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drawings/drawing11.xml" ContentType="application/vnd.openxmlformats-officedocument.drawing+xml"/>
  <Override PartName="/xl/tables/table2.xml" ContentType="application/vnd.openxmlformats-officedocument.spreadsheetml.table+xml"/>
  <Override PartName="/xl/comments4.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610"/>
  <workbookPr showInkAnnotation="0" autoCompressPictures="0"/>
  <mc:AlternateContent xmlns:mc="http://schemas.openxmlformats.org/markup-compatibility/2006">
    <mc:Choice Requires="x15">
      <x15ac:absPath xmlns:x15ac="http://schemas.microsoft.com/office/spreadsheetml/2010/11/ac" url="/Users/justin/Documents/PFSA Project/"/>
    </mc:Choice>
  </mc:AlternateContent>
  <bookViews>
    <workbookView xWindow="2980" yWindow="1040" windowWidth="38400" windowHeight="23460" tabRatio="658" firstSheet="1" activeTab="14"/>
  </bookViews>
  <sheets>
    <sheet name="_xltb_storage_" sheetId="39" state="veryHidden" r:id="rId1"/>
    <sheet name="Results Summary" sheetId="33" r:id="rId2"/>
    <sheet name="Inventory Figures" sheetId="36" r:id="rId3"/>
    <sheet name="POSF Inventory" sheetId="22" r:id="rId4"/>
    <sheet name="Waste Calc" sheetId="38" r:id="rId5"/>
    <sheet name="Chinese Values" sheetId="35" r:id="rId6"/>
    <sheet name="POSF Zone Def" sheetId="21" r:id="rId7"/>
    <sheet name="POSF Emiss by Zone" sheetId="23" r:id="rId8"/>
    <sheet name="Subst Prop and FOFS" sheetId="25" r:id="rId9"/>
    <sheet name="Deposition Flux Compare" sheetId="30" r:id="rId10"/>
    <sheet name="Flux and Mass Bal Results" sheetId="34" r:id="rId11"/>
    <sheet name="PFSA_rain_snow" sheetId="6" r:id="rId12"/>
    <sheet name="PEC_ocean" sheetId="7" r:id="rId13"/>
    <sheet name="PEC_air" sheetId="8" r:id="rId14"/>
    <sheet name="Frequency Detection" sheetId="31" r:id="rId15"/>
    <sheet name="Armitage" sheetId="13" r:id="rId16"/>
    <sheet name="PHxSF-based" sheetId="10" r:id="rId17"/>
    <sheet name="PDSF-based" sheetId="11" r:id="rId18"/>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53" i="31" l="1"/>
  <c r="Q53" i="31"/>
  <c r="P53" i="31"/>
  <c r="Q44" i="31"/>
  <c r="Q45" i="31"/>
  <c r="Q46" i="31"/>
  <c r="Q47" i="31"/>
  <c r="Q48" i="31"/>
  <c r="Q49" i="31"/>
  <c r="Q50" i="31"/>
  <c r="Q51" i="31"/>
  <c r="Q52" i="31"/>
  <c r="Q43" i="31"/>
  <c r="P44" i="31"/>
  <c r="P45" i="31"/>
  <c r="P46" i="31"/>
  <c r="P47" i="31"/>
  <c r="P48" i="31"/>
  <c r="P49" i="31"/>
  <c r="P50" i="31"/>
  <c r="P51" i="31"/>
  <c r="P52" i="31"/>
  <c r="P43" i="31"/>
  <c r="AA17" i="8"/>
  <c r="AA18" i="8"/>
  <c r="AA19" i="8"/>
  <c r="AA20" i="8"/>
  <c r="AA10" i="8"/>
  <c r="AA11" i="8"/>
  <c r="AA12" i="8"/>
  <c r="AA13" i="8"/>
  <c r="AA14" i="8"/>
  <c r="AA15" i="8"/>
  <c r="AA16" i="8"/>
  <c r="AA21" i="8"/>
  <c r="AA22" i="8"/>
  <c r="AA31" i="8"/>
  <c r="AA32" i="8"/>
  <c r="AA33" i="8"/>
  <c r="AA34" i="8"/>
  <c r="AA35" i="8"/>
  <c r="AA255" i="8"/>
  <c r="AA256" i="8"/>
  <c r="AA257" i="8"/>
  <c r="AA258" i="8"/>
  <c r="AA267" i="8"/>
  <c r="AA268" i="8"/>
  <c r="AA269" i="8"/>
  <c r="AA270" i="8"/>
  <c r="AA271" i="8"/>
  <c r="AA272" i="8"/>
  <c r="AA273" i="8"/>
  <c r="AA274" i="8"/>
  <c r="AA275" i="8"/>
  <c r="AA277" i="8"/>
  <c r="AA278" i="8"/>
  <c r="AA279" i="8"/>
  <c r="AA280" i="8"/>
  <c r="AA281" i="8"/>
  <c r="AA282" i="8"/>
  <c r="AA283" i="8"/>
  <c r="AA284" i="8"/>
  <c r="AA285" i="8"/>
  <c r="AA286" i="8"/>
  <c r="AA287" i="8"/>
  <c r="AA288" i="8"/>
  <c r="AA289" i="8"/>
  <c r="AA290" i="8"/>
  <c r="AA291" i="8"/>
  <c r="AA293" i="8"/>
  <c r="AA294" i="8"/>
  <c r="AA295" i="8"/>
  <c r="AA296" i="8"/>
  <c r="J44" i="31"/>
  <c r="K4" i="8"/>
  <c r="K5" i="8"/>
  <c r="K6" i="8"/>
  <c r="K7" i="8"/>
  <c r="K8" i="8"/>
  <c r="K9" i="8"/>
  <c r="K10" i="8"/>
  <c r="K11" i="8"/>
  <c r="K12" i="8"/>
  <c r="K13" i="8"/>
  <c r="K14" i="8"/>
  <c r="K15" i="8"/>
  <c r="K16" i="8"/>
  <c r="K17" i="8"/>
  <c r="K18" i="8"/>
  <c r="K19" i="8"/>
  <c r="K20" i="8"/>
  <c r="K21" i="8"/>
  <c r="K22" i="8"/>
  <c r="K23" i="8"/>
  <c r="K24" i="8"/>
  <c r="K25" i="8"/>
  <c r="K26" i="8"/>
  <c r="K27" i="8"/>
  <c r="K28" i="8"/>
  <c r="K29" i="8"/>
  <c r="K30" i="8"/>
  <c r="K36" i="8"/>
  <c r="K38" i="8"/>
  <c r="K39" i="8"/>
  <c r="K40" i="8"/>
  <c r="K41" i="8"/>
  <c r="K42" i="8"/>
  <c r="K43" i="8"/>
  <c r="K44" i="8"/>
  <c r="K45" i="8"/>
  <c r="K46" i="8"/>
  <c r="K47" i="8"/>
  <c r="K48" i="8"/>
  <c r="K49" i="8"/>
  <c r="K50" i="8"/>
  <c r="K52" i="8"/>
  <c r="K53" i="8"/>
  <c r="K54" i="8"/>
  <c r="K55" i="8"/>
  <c r="K56" i="8"/>
  <c r="K57" i="8"/>
  <c r="K58"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2" i="8"/>
  <c r="K103" i="8"/>
  <c r="K104" i="8"/>
  <c r="K105" i="8"/>
  <c r="K106" i="8"/>
  <c r="K110" i="8"/>
  <c r="K111" i="8"/>
  <c r="K112" i="8"/>
  <c r="K113" i="8"/>
  <c r="K115" i="8"/>
  <c r="K116" i="8"/>
  <c r="K117"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9" i="8"/>
  <c r="K260" i="8"/>
  <c r="K261" i="8"/>
  <c r="K262" i="8"/>
  <c r="K263" i="8"/>
  <c r="K264" i="8"/>
  <c r="K265" i="8"/>
  <c r="K305" i="8"/>
  <c r="K306" i="8"/>
  <c r="K307" i="8"/>
  <c r="K308" i="8"/>
  <c r="K309" i="8"/>
  <c r="K310" i="8"/>
  <c r="K311" i="8"/>
  <c r="K312" i="8"/>
  <c r="K314" i="8"/>
  <c r="K316" i="8"/>
  <c r="K317" i="8"/>
  <c r="K318" i="8"/>
  <c r="K319" i="8"/>
  <c r="K320" i="8"/>
  <c r="K321" i="8"/>
  <c r="K322" i="8"/>
  <c r="K323" i="8"/>
  <c r="K324" i="8"/>
  <c r="K325" i="8"/>
  <c r="K326" i="8"/>
  <c r="K327" i="8"/>
  <c r="K328" i="8"/>
  <c r="K329" i="8"/>
  <c r="K330" i="8"/>
  <c r="K331" i="8"/>
  <c r="K332" i="8"/>
  <c r="K333" i="8"/>
  <c r="K33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4" i="31"/>
  <c r="L44" i="31"/>
  <c r="N44" i="31"/>
  <c r="CB52" i="33"/>
  <c r="J45" i="31"/>
  <c r="K45" i="31"/>
  <c r="L45" i="31"/>
  <c r="N45" i="31"/>
  <c r="CB53" i="33"/>
  <c r="J46" i="31"/>
  <c r="K46" i="31"/>
  <c r="L46" i="31"/>
  <c r="N46" i="31"/>
  <c r="CB54" i="33"/>
  <c r="J47" i="31"/>
  <c r="K47" i="31"/>
  <c r="L47" i="31"/>
  <c r="N47" i="31"/>
  <c r="CB55" i="33"/>
  <c r="J48" i="31"/>
  <c r="K48" i="31"/>
  <c r="L48" i="31"/>
  <c r="N48" i="31"/>
  <c r="CB56" i="33"/>
  <c r="J49" i="31"/>
  <c r="K49" i="31"/>
  <c r="L49" i="31"/>
  <c r="N49" i="31"/>
  <c r="CB57" i="33"/>
  <c r="J50" i="31"/>
  <c r="K50" i="31"/>
  <c r="L50" i="31"/>
  <c r="N50" i="31"/>
  <c r="CB58" i="33"/>
  <c r="J51" i="31"/>
  <c r="K51" i="31"/>
  <c r="L51" i="31"/>
  <c r="N51" i="31"/>
  <c r="CB59" i="33"/>
  <c r="J52" i="31"/>
  <c r="K52" i="31"/>
  <c r="L52" i="31"/>
  <c r="N52" i="31"/>
  <c r="CB60" i="33"/>
  <c r="Q17" i="8"/>
  <c r="Q18" i="8"/>
  <c r="Q19" i="8"/>
  <c r="Q20" i="8"/>
  <c r="Q10" i="8"/>
  <c r="Q11" i="8"/>
  <c r="Q12" i="8"/>
  <c r="Q13" i="8"/>
  <c r="Q14" i="8"/>
  <c r="Q15" i="8"/>
  <c r="Q16" i="8"/>
  <c r="Q21" i="8"/>
  <c r="Q22" i="8"/>
  <c r="Q35" i="8"/>
  <c r="Q112" i="8"/>
  <c r="Q113" i="8"/>
  <c r="Q123" i="8"/>
  <c r="Q255" i="8"/>
  <c r="Q256" i="8"/>
  <c r="Q257" i="8"/>
  <c r="Q258" i="8"/>
  <c r="Q259" i="8"/>
  <c r="Q260" i="8"/>
  <c r="Q261" i="8"/>
  <c r="Q262" i="8"/>
  <c r="Q263" i="8"/>
  <c r="Q264" i="8"/>
  <c r="Q265" i="8"/>
  <c r="Q266" i="8"/>
  <c r="Q267" i="8"/>
  <c r="Q268" i="8"/>
  <c r="Q269" i="8"/>
  <c r="Q271" i="8"/>
  <c r="Q273" i="8"/>
  <c r="Q274" i="8"/>
  <c r="Q275" i="8"/>
  <c r="Q277" i="8"/>
  <c r="Q278" i="8"/>
  <c r="Q279" i="8"/>
  <c r="Q280" i="8"/>
  <c r="Q281" i="8"/>
  <c r="Q282" i="8"/>
  <c r="Q283" i="8"/>
  <c r="Q284" i="8"/>
  <c r="Q286" i="8"/>
  <c r="Q287" i="8"/>
  <c r="Q288" i="8"/>
  <c r="Q289" i="8"/>
  <c r="Q290" i="8"/>
  <c r="Q291" i="8"/>
  <c r="Q292" i="8"/>
  <c r="Q293" i="8"/>
  <c r="Q294" i="8"/>
  <c r="Q296" i="8"/>
  <c r="Q299" i="8"/>
  <c r="Q300" i="8"/>
  <c r="Q303" i="8"/>
  <c r="Q339" i="8"/>
  <c r="J23" i="31"/>
  <c r="J4" i="8"/>
  <c r="J5" i="8"/>
  <c r="J6" i="8"/>
  <c r="J7" i="8"/>
  <c r="J8" i="8"/>
  <c r="J9" i="8"/>
  <c r="J10" i="8"/>
  <c r="J11" i="8"/>
  <c r="J12" i="8"/>
  <c r="J13" i="8"/>
  <c r="J14" i="8"/>
  <c r="J15" i="8"/>
  <c r="J16" i="8"/>
  <c r="J17" i="8"/>
  <c r="J18" i="8"/>
  <c r="J19" i="8"/>
  <c r="J20" i="8"/>
  <c r="J21" i="8"/>
  <c r="J22" i="8"/>
  <c r="J23" i="8"/>
  <c r="J24" i="8"/>
  <c r="J25" i="8"/>
  <c r="J26" i="8"/>
  <c r="J27" i="8"/>
  <c r="J28" i="8"/>
  <c r="J29" i="8"/>
  <c r="J30" i="8"/>
  <c r="J36" i="8"/>
  <c r="J38" i="8"/>
  <c r="J39" i="8"/>
  <c r="J40" i="8"/>
  <c r="J41" i="8"/>
  <c r="J42" i="8"/>
  <c r="J43" i="8"/>
  <c r="J44" i="8"/>
  <c r="J45" i="8"/>
  <c r="J46" i="8"/>
  <c r="J47" i="8"/>
  <c r="J48" i="8"/>
  <c r="J49" i="8"/>
  <c r="J50" i="8"/>
  <c r="J52" i="8"/>
  <c r="J53" i="8"/>
  <c r="J54" i="8"/>
  <c r="J55" i="8"/>
  <c r="J56" i="8"/>
  <c r="J57" i="8"/>
  <c r="J58"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2" i="8"/>
  <c r="J103" i="8"/>
  <c r="J104" i="8"/>
  <c r="J105" i="8"/>
  <c r="J106" i="8"/>
  <c r="J110" i="8"/>
  <c r="J111" i="8"/>
  <c r="J112" i="8"/>
  <c r="J113" i="8"/>
  <c r="J115" i="8"/>
  <c r="J116" i="8"/>
  <c r="J117"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9" i="8"/>
  <c r="J260" i="8"/>
  <c r="J261" i="8"/>
  <c r="J262" i="8"/>
  <c r="J263" i="8"/>
  <c r="J264" i="8"/>
  <c r="J265" i="8"/>
  <c r="J305" i="8"/>
  <c r="J306" i="8"/>
  <c r="J307" i="8"/>
  <c r="J308" i="8"/>
  <c r="J309" i="8"/>
  <c r="J310" i="8"/>
  <c r="J311" i="8"/>
  <c r="J312" i="8"/>
  <c r="J314" i="8"/>
  <c r="J316" i="8"/>
  <c r="J317" i="8"/>
  <c r="J318" i="8"/>
  <c r="J319" i="8"/>
  <c r="J320" i="8"/>
  <c r="J321" i="8"/>
  <c r="J322" i="8"/>
  <c r="J323" i="8"/>
  <c r="J324" i="8"/>
  <c r="J325" i="8"/>
  <c r="J326" i="8"/>
  <c r="J327" i="8"/>
  <c r="J328" i="8"/>
  <c r="J329" i="8"/>
  <c r="J330" i="8"/>
  <c r="J331" i="8"/>
  <c r="J332" i="8"/>
  <c r="J333" i="8"/>
  <c r="J33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K23" i="31"/>
  <c r="L23" i="31"/>
  <c r="N23" i="31"/>
  <c r="BZ52" i="33"/>
  <c r="J24" i="31"/>
  <c r="K24" i="31"/>
  <c r="L24" i="31"/>
  <c r="N24" i="31"/>
  <c r="BZ53" i="33"/>
  <c r="J25" i="31"/>
  <c r="K25" i="31"/>
  <c r="L25" i="31"/>
  <c r="N25" i="31"/>
  <c r="BZ54" i="33"/>
  <c r="J26" i="31"/>
  <c r="K26" i="31"/>
  <c r="L26" i="31"/>
  <c r="N26" i="31"/>
  <c r="BZ55" i="33"/>
  <c r="J27" i="31"/>
  <c r="K27" i="31"/>
  <c r="L27" i="31"/>
  <c r="N27" i="31"/>
  <c r="BZ56" i="33"/>
  <c r="J28" i="31"/>
  <c r="K28" i="31"/>
  <c r="L28" i="31"/>
  <c r="N28" i="31"/>
  <c r="BZ57" i="33"/>
  <c r="J29" i="31"/>
  <c r="K29" i="31"/>
  <c r="L29" i="31"/>
  <c r="N29" i="31"/>
  <c r="BZ58" i="33"/>
  <c r="J30" i="31"/>
  <c r="K30" i="31"/>
  <c r="L30" i="31"/>
  <c r="N30" i="31"/>
  <c r="BZ59" i="33"/>
  <c r="J31" i="31"/>
  <c r="K31" i="31"/>
  <c r="L31" i="31"/>
  <c r="N31" i="31"/>
  <c r="BZ60" i="33"/>
  <c r="J43" i="31"/>
  <c r="K43" i="31"/>
  <c r="L43" i="31"/>
  <c r="N43" i="31"/>
  <c r="CB51" i="33"/>
  <c r="J22" i="31"/>
  <c r="K22" i="31"/>
  <c r="L22" i="31"/>
  <c r="N22" i="31"/>
  <c r="BZ51" i="33"/>
  <c r="AH23" i="7"/>
  <c r="AH24" i="7"/>
  <c r="AH25" i="7"/>
  <c r="AH26" i="7"/>
  <c r="K260" i="7"/>
  <c r="K261" i="7"/>
  <c r="K262" i="7"/>
  <c r="K263" i="7"/>
  <c r="K264" i="7"/>
  <c r="AH27" i="7"/>
  <c r="K265" i="7"/>
  <c r="K266" i="7"/>
  <c r="K267" i="7"/>
  <c r="K268" i="7"/>
  <c r="K269" i="7"/>
  <c r="K270" i="7"/>
  <c r="AH28" i="7"/>
  <c r="AH29" i="7"/>
  <c r="K271" i="7"/>
  <c r="K272" i="7"/>
  <c r="K273" i="7"/>
  <c r="K274" i="7"/>
  <c r="K275" i="7"/>
  <c r="AH30"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AH31"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J7" i="31"/>
  <c r="J147" i="7"/>
  <c r="J148" i="7"/>
  <c r="J149" i="7"/>
  <c r="J150" i="7"/>
  <c r="J7" i="7"/>
  <c r="J8" i="7"/>
  <c r="J9" i="7"/>
  <c r="J10" i="7"/>
  <c r="J11" i="7"/>
  <c r="J12" i="7"/>
  <c r="J13" i="7"/>
  <c r="J14" i="7"/>
  <c r="J15"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5" i="7"/>
  <c r="J86" i="7"/>
  <c r="J87" i="7"/>
  <c r="J88" i="7"/>
  <c r="J89" i="7"/>
  <c r="J90" i="7"/>
  <c r="J91" i="7"/>
  <c r="J92" i="7"/>
  <c r="J93" i="7"/>
  <c r="J94" i="7"/>
  <c r="J95" i="7"/>
  <c r="J96" i="7"/>
  <c r="J97" i="7"/>
  <c r="J98" i="7"/>
  <c r="J99" i="7"/>
  <c r="J100" i="7"/>
  <c r="J101" i="7"/>
  <c r="J102" i="7"/>
  <c r="J103" i="7"/>
  <c r="J104" i="7"/>
  <c r="J105" i="7"/>
  <c r="J106" i="7"/>
  <c r="J107" i="7"/>
  <c r="J108"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80" i="7"/>
  <c r="J181" i="7"/>
  <c r="J182" i="7"/>
  <c r="J183" i="7"/>
  <c r="J184" i="7"/>
  <c r="J185" i="7"/>
  <c r="J186" i="7"/>
  <c r="J187" i="7"/>
  <c r="J188" i="7"/>
  <c r="J189" i="7"/>
  <c r="J190" i="7"/>
  <c r="J191" i="7"/>
  <c r="J192" i="7"/>
  <c r="J199" i="7"/>
  <c r="J200" i="7"/>
  <c r="J201" i="7"/>
  <c r="J202" i="7"/>
  <c r="J203" i="7"/>
  <c r="J204" i="7"/>
  <c r="J205" i="7"/>
  <c r="J206" i="7"/>
  <c r="J207" i="7"/>
  <c r="J208" i="7"/>
  <c r="J209" i="7"/>
  <c r="J210" i="7"/>
  <c r="J211" i="7"/>
  <c r="J212" i="7"/>
  <c r="J213" i="7"/>
  <c r="J214" i="7"/>
  <c r="J215" i="7"/>
  <c r="J216" i="7"/>
  <c r="J217" i="7"/>
  <c r="J218"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V260" i="7"/>
  <c r="J260" i="7"/>
  <c r="V262" i="7"/>
  <c r="J262" i="7"/>
  <c r="V263" i="7"/>
  <c r="J263" i="7"/>
  <c r="V264" i="7"/>
  <c r="J264" i="7"/>
  <c r="V266" i="7"/>
  <c r="J266" i="7"/>
  <c r="V267" i="7"/>
  <c r="J267" i="7"/>
  <c r="V268" i="7"/>
  <c r="J268" i="7"/>
  <c r="V269" i="7"/>
  <c r="J269" i="7"/>
  <c r="V270" i="7"/>
  <c r="J270" i="7"/>
  <c r="V295" i="7"/>
  <c r="J295" i="7"/>
  <c r="V296" i="7"/>
  <c r="J296" i="7"/>
  <c r="V297" i="7"/>
  <c r="J297" i="7"/>
  <c r="V298" i="7"/>
  <c r="J298" i="7"/>
  <c r="V299" i="7"/>
  <c r="J299" i="7"/>
  <c r="V300" i="7"/>
  <c r="J300" i="7"/>
  <c r="V301" i="7"/>
  <c r="J301" i="7"/>
  <c r="V302" i="7"/>
  <c r="J302" i="7"/>
  <c r="V303" i="7"/>
  <c r="J303" i="7"/>
  <c r="V304" i="7"/>
  <c r="J304" i="7"/>
  <c r="V312" i="7"/>
  <c r="J312" i="7"/>
  <c r="V313" i="7"/>
  <c r="J313" i="7"/>
  <c r="V314" i="7"/>
  <c r="J314" i="7"/>
  <c r="V317" i="7"/>
  <c r="J317" i="7"/>
  <c r="V318" i="7"/>
  <c r="J318" i="7"/>
  <c r="V319" i="7"/>
  <c r="J319" i="7"/>
  <c r="V320" i="7"/>
  <c r="J320" i="7"/>
  <c r="V324" i="7"/>
  <c r="J324" i="7"/>
  <c r="V325" i="7"/>
  <c r="J325" i="7"/>
  <c r="V326" i="7"/>
  <c r="J326" i="7"/>
  <c r="V327" i="7"/>
  <c r="J327" i="7"/>
  <c r="V328" i="7"/>
  <c r="J328" i="7"/>
  <c r="V329" i="7"/>
  <c r="J329" i="7"/>
  <c r="V330" i="7"/>
  <c r="J330" i="7"/>
  <c r="V331" i="7"/>
  <c r="J331" i="7"/>
  <c r="V332" i="7"/>
  <c r="J332" i="7"/>
  <c r="V333" i="7"/>
  <c r="J333" i="7"/>
  <c r="V334" i="7"/>
  <c r="J334" i="7"/>
  <c r="V335" i="7"/>
  <c r="J335" i="7"/>
  <c r="V336" i="7"/>
  <c r="J336" i="7"/>
  <c r="V337" i="7"/>
  <c r="J337" i="7"/>
  <c r="V341" i="7"/>
  <c r="J341" i="7"/>
  <c r="V342" i="7"/>
  <c r="J342" i="7"/>
  <c r="V343" i="7"/>
  <c r="J343" i="7"/>
  <c r="V344" i="7"/>
  <c r="J344" i="7"/>
  <c r="V345" i="7"/>
  <c r="J345" i="7"/>
  <c r="V346" i="7"/>
  <c r="J346" i="7"/>
  <c r="V347" i="7"/>
  <c r="J347" i="7"/>
  <c r="V348" i="7"/>
  <c r="J348" i="7"/>
  <c r="V349" i="7"/>
  <c r="J349" i="7"/>
  <c r="V351" i="7"/>
  <c r="J351" i="7"/>
  <c r="K7" i="31"/>
  <c r="L7" i="31"/>
  <c r="N7" i="31"/>
  <c r="BX52" i="33"/>
  <c r="J8" i="31"/>
  <c r="K8" i="31"/>
  <c r="L8" i="31"/>
  <c r="N8" i="31"/>
  <c r="BX53" i="33"/>
  <c r="J9" i="31"/>
  <c r="K9" i="31"/>
  <c r="L9" i="31"/>
  <c r="V261" i="7"/>
  <c r="V322" i="7"/>
  <c r="V323" i="7"/>
  <c r="V350" i="7"/>
  <c r="N9" i="31"/>
  <c r="BX54" i="33"/>
  <c r="J10" i="31"/>
  <c r="K10" i="31"/>
  <c r="L10" i="31"/>
  <c r="V265" i="7"/>
  <c r="V321" i="7"/>
  <c r="V338" i="7"/>
  <c r="V339" i="7"/>
  <c r="V271" i="7"/>
  <c r="V272" i="7"/>
  <c r="V273" i="7"/>
  <c r="V274" i="7"/>
  <c r="V275" i="7"/>
  <c r="V276" i="7"/>
  <c r="V277" i="7"/>
  <c r="V278" i="7"/>
  <c r="V279" i="7"/>
  <c r="V280" i="7"/>
  <c r="V281" i="7"/>
  <c r="V282" i="7"/>
  <c r="V283" i="7"/>
  <c r="V284" i="7"/>
  <c r="V285" i="7"/>
  <c r="V286" i="7"/>
  <c r="V287" i="7"/>
  <c r="V288" i="7"/>
  <c r="V289" i="7"/>
  <c r="V290" i="7"/>
  <c r="V291" i="7"/>
  <c r="V292" i="7"/>
  <c r="V293" i="7"/>
  <c r="V294" i="7"/>
  <c r="V305" i="7"/>
  <c r="V306" i="7"/>
  <c r="V307" i="7"/>
  <c r="V308" i="7"/>
  <c r="V309" i="7"/>
  <c r="V310" i="7"/>
  <c r="V311" i="7"/>
  <c r="V315" i="7"/>
  <c r="V316" i="7"/>
  <c r="V340" i="7"/>
  <c r="N10" i="31"/>
  <c r="BX55" i="33"/>
  <c r="J11" i="31"/>
  <c r="K11" i="31"/>
  <c r="L11" i="31"/>
  <c r="N11" i="31"/>
  <c r="BX56" i="33"/>
  <c r="J12" i="31"/>
  <c r="K12" i="31"/>
  <c r="L12" i="31"/>
  <c r="N12" i="31"/>
  <c r="BX57" i="33"/>
  <c r="J13" i="31"/>
  <c r="K13" i="31"/>
  <c r="L13" i="31"/>
  <c r="N13" i="31"/>
  <c r="BX58" i="33"/>
  <c r="J14" i="31"/>
  <c r="K14" i="31"/>
  <c r="L14" i="31"/>
  <c r="N14" i="31"/>
  <c r="BX59" i="33"/>
  <c r="J15" i="31"/>
  <c r="K15" i="31"/>
  <c r="L15" i="31"/>
  <c r="N15" i="31"/>
  <c r="BX60" i="33"/>
  <c r="J6" i="31"/>
  <c r="K6" i="31"/>
  <c r="L6" i="31"/>
  <c r="N6" i="31"/>
  <c r="BX51" i="33"/>
  <c r="M44" i="31"/>
  <c r="M45" i="31"/>
  <c r="M46" i="31"/>
  <c r="M47" i="31"/>
  <c r="M48" i="31"/>
  <c r="M49" i="31"/>
  <c r="M50" i="31"/>
  <c r="M51" i="31"/>
  <c r="M52" i="31"/>
  <c r="M23" i="31"/>
  <c r="M24" i="31"/>
  <c r="M25" i="31"/>
  <c r="M26" i="31"/>
  <c r="M27" i="31"/>
  <c r="M28" i="31"/>
  <c r="M29" i="31"/>
  <c r="M30" i="31"/>
  <c r="M31" i="31"/>
  <c r="M22" i="31"/>
  <c r="M43" i="31"/>
  <c r="O52" i="31"/>
  <c r="O51" i="31"/>
  <c r="O50" i="31"/>
  <c r="O49" i="31"/>
  <c r="O48" i="31"/>
  <c r="O47" i="31"/>
  <c r="O46" i="31"/>
  <c r="O45" i="31"/>
  <c r="O44" i="31"/>
  <c r="O43" i="31"/>
  <c r="O31" i="31"/>
  <c r="O30" i="31"/>
  <c r="O29" i="31"/>
  <c r="O28" i="31"/>
  <c r="O27" i="31"/>
  <c r="O26" i="31"/>
  <c r="O25" i="31"/>
  <c r="O24" i="31"/>
  <c r="O23" i="31"/>
  <c r="O22" i="31"/>
  <c r="M7" i="31"/>
  <c r="M8" i="31"/>
  <c r="M9" i="31"/>
  <c r="M10" i="31"/>
  <c r="M11" i="31"/>
  <c r="M12" i="31"/>
  <c r="M13" i="31"/>
  <c r="M14" i="31"/>
  <c r="M15" i="31"/>
  <c r="M6" i="31"/>
  <c r="O7" i="31"/>
  <c r="O8" i="31"/>
  <c r="O9" i="31"/>
  <c r="O10" i="31"/>
  <c r="O11" i="31"/>
  <c r="O12" i="31"/>
  <c r="O13" i="31"/>
  <c r="O14" i="31"/>
  <c r="O15" i="31"/>
  <c r="O6" i="31"/>
  <c r="CC53" i="33"/>
  <c r="BY56" i="33"/>
  <c r="G85" i="22"/>
  <c r="CN85" i="22"/>
  <c r="CZ85" i="22"/>
  <c r="FG85" i="22"/>
  <c r="FT85" i="22"/>
  <c r="G84" i="22"/>
  <c r="CN84" i="22"/>
  <c r="CZ84" i="22"/>
  <c r="FG84" i="22"/>
  <c r="FT84" i="22"/>
  <c r="G83" i="22"/>
  <c r="CN83" i="22"/>
  <c r="CZ83" i="22"/>
  <c r="FG83" i="22"/>
  <c r="FT83" i="22"/>
  <c r="G82" i="22"/>
  <c r="CN82" i="22"/>
  <c r="CZ82" i="22"/>
  <c r="FG82" i="22"/>
  <c r="FT82" i="22"/>
  <c r="G81" i="22"/>
  <c r="CN81" i="22"/>
  <c r="CZ81" i="22"/>
  <c r="FG81" i="22"/>
  <c r="FT81" i="22"/>
  <c r="G80" i="22"/>
  <c r="CN80" i="22"/>
  <c r="CZ80" i="22"/>
  <c r="FG80" i="22"/>
  <c r="FT80" i="22"/>
  <c r="G79" i="22"/>
  <c r="CN79" i="22"/>
  <c r="CZ79" i="22"/>
  <c r="FG79" i="22"/>
  <c r="FT79" i="22"/>
  <c r="G78" i="22"/>
  <c r="CN78" i="22"/>
  <c r="CZ78" i="22"/>
  <c r="FG78" i="22"/>
  <c r="FT78" i="22"/>
  <c r="G77" i="22"/>
  <c r="CN77" i="22"/>
  <c r="CZ77" i="22"/>
  <c r="FG77" i="22"/>
  <c r="FT77" i="22"/>
  <c r="G76" i="22"/>
  <c r="CN76" i="22"/>
  <c r="CZ76" i="22"/>
  <c r="FG76" i="22"/>
  <c r="FT76" i="22"/>
  <c r="GV85" i="22"/>
  <c r="D9" i="23"/>
  <c r="DR93" i="23"/>
  <c r="Y62" i="25"/>
  <c r="Y11" i="25"/>
  <c r="FN4" i="23"/>
  <c r="IO93" i="23"/>
  <c r="F85" i="22"/>
  <c r="CM85" i="22"/>
  <c r="CY85" i="22"/>
  <c r="FF85" i="22"/>
  <c r="FS85" i="22"/>
  <c r="F84" i="22"/>
  <c r="CM84" i="22"/>
  <c r="CY84" i="22"/>
  <c r="FF84" i="22"/>
  <c r="FS84" i="22"/>
  <c r="F83" i="22"/>
  <c r="CM83" i="22"/>
  <c r="CY83" i="22"/>
  <c r="FF83" i="22"/>
  <c r="FS83" i="22"/>
  <c r="F82" i="22"/>
  <c r="CM82" i="22"/>
  <c r="CY82" i="22"/>
  <c r="FF82" i="22"/>
  <c r="FS82" i="22"/>
  <c r="F81" i="22"/>
  <c r="CM81" i="22"/>
  <c r="CY81" i="22"/>
  <c r="FF81" i="22"/>
  <c r="FS81" i="22"/>
  <c r="F80" i="22"/>
  <c r="CM80" i="22"/>
  <c r="CY80" i="22"/>
  <c r="FF80" i="22"/>
  <c r="FS80" i="22"/>
  <c r="F79" i="22"/>
  <c r="CM79" i="22"/>
  <c r="CY79" i="22"/>
  <c r="FF79" i="22"/>
  <c r="FS79" i="22"/>
  <c r="F78" i="22"/>
  <c r="CM78" i="22"/>
  <c r="CY78" i="22"/>
  <c r="FF78" i="22"/>
  <c r="FS78" i="22"/>
  <c r="F77" i="22"/>
  <c r="CM77" i="22"/>
  <c r="CY77" i="22"/>
  <c r="FF77" i="22"/>
  <c r="FS77" i="22"/>
  <c r="F76" i="22"/>
  <c r="CM76" i="22"/>
  <c r="CY76" i="22"/>
  <c r="FF76" i="22"/>
  <c r="FS76" i="22"/>
  <c r="GU85" i="22"/>
  <c r="D7" i="23"/>
  <c r="DQ93" i="23"/>
  <c r="IN93" i="23"/>
  <c r="IM93" i="23"/>
  <c r="IL93" i="23"/>
  <c r="CX85" i="22"/>
  <c r="FC85" i="22"/>
  <c r="FX85" i="22"/>
  <c r="CX84" i="22"/>
  <c r="FC84" i="22"/>
  <c r="FX84" i="22"/>
  <c r="GR85" i="22"/>
  <c r="GT85" i="22"/>
  <c r="DN93" i="23"/>
  <c r="IK93" i="23"/>
  <c r="CW85" i="22"/>
  <c r="FB85" i="22"/>
  <c r="FV85" i="22"/>
  <c r="CW84" i="22"/>
  <c r="FB84" i="22"/>
  <c r="FV84" i="22"/>
  <c r="GQ85" i="22"/>
  <c r="GS85" i="22"/>
  <c r="DM93" i="23"/>
  <c r="IJ93" i="23"/>
  <c r="CN93" i="23"/>
  <c r="I85" i="22"/>
  <c r="BY85" i="22"/>
  <c r="FA85" i="22"/>
  <c r="GN85" i="22"/>
  <c r="CZ93" i="23"/>
  <c r="DL93" i="23"/>
  <c r="BQ140" i="21"/>
  <c r="J70" i="22"/>
  <c r="K85" i="22"/>
  <c r="CP85" i="22"/>
  <c r="CV85" i="22"/>
  <c r="DD85" i="22"/>
  <c r="FI85" i="22"/>
  <c r="FP11" i="22"/>
  <c r="FP85" i="22"/>
  <c r="I84" i="22"/>
  <c r="K84" i="22"/>
  <c r="CP84" i="22"/>
  <c r="CV84" i="22"/>
  <c r="DD84" i="22"/>
  <c r="FI84" i="22"/>
  <c r="FP84" i="22"/>
  <c r="I83" i="22"/>
  <c r="K83" i="22"/>
  <c r="CP83" i="22"/>
  <c r="CV83" i="22"/>
  <c r="DD83" i="22"/>
  <c r="FI83" i="22"/>
  <c r="FP83" i="22"/>
  <c r="I82" i="22"/>
  <c r="K82" i="22"/>
  <c r="CP82" i="22"/>
  <c r="CV82" i="22"/>
  <c r="DD82" i="22"/>
  <c r="FI82" i="22"/>
  <c r="FP82" i="22"/>
  <c r="I81" i="22"/>
  <c r="K81" i="22"/>
  <c r="CP81" i="22"/>
  <c r="CV81" i="22"/>
  <c r="DD81" i="22"/>
  <c r="FI81" i="22"/>
  <c r="FP81" i="22"/>
  <c r="E71" i="22"/>
  <c r="E72" i="22"/>
  <c r="E73" i="22"/>
  <c r="E74" i="22"/>
  <c r="E75" i="22"/>
  <c r="E76" i="22"/>
  <c r="E77" i="22"/>
  <c r="E78" i="22"/>
  <c r="E79" i="22"/>
  <c r="E80" i="22"/>
  <c r="I80" i="22"/>
  <c r="K80" i="22"/>
  <c r="CP80" i="22"/>
  <c r="CV80" i="22"/>
  <c r="DD80" i="22"/>
  <c r="FI80" i="22"/>
  <c r="FP80" i="22"/>
  <c r="I79" i="22"/>
  <c r="K79" i="22"/>
  <c r="CP79" i="22"/>
  <c r="CV79" i="22"/>
  <c r="DD79" i="22"/>
  <c r="FI79" i="22"/>
  <c r="FP79" i="22"/>
  <c r="I78" i="22"/>
  <c r="K78" i="22"/>
  <c r="CP78" i="22"/>
  <c r="CV78" i="22"/>
  <c r="DD78" i="22"/>
  <c r="FI78" i="22"/>
  <c r="FP78" i="22"/>
  <c r="I77" i="22"/>
  <c r="K77" i="22"/>
  <c r="CP77" i="22"/>
  <c r="CV77" i="22"/>
  <c r="DD77" i="22"/>
  <c r="FI77" i="22"/>
  <c r="FP77" i="22"/>
  <c r="I76" i="22"/>
  <c r="K76" i="22"/>
  <c r="CP76" i="22"/>
  <c r="CV76" i="22"/>
  <c r="DD76" i="22"/>
  <c r="FI76" i="22"/>
  <c r="FP76" i="22"/>
  <c r="HB85" i="22"/>
  <c r="ED93" i="23"/>
  <c r="II93" i="23"/>
  <c r="FO11" i="22"/>
  <c r="FO85" i="22"/>
  <c r="FO84" i="22"/>
  <c r="FO83" i="22"/>
  <c r="FO82" i="22"/>
  <c r="FO81" i="22"/>
  <c r="FO80" i="22"/>
  <c r="FO79" i="22"/>
  <c r="FO78" i="22"/>
  <c r="FO77" i="22"/>
  <c r="FO76" i="22"/>
  <c r="H85" i="22"/>
  <c r="CO85" i="22"/>
  <c r="DC85" i="22"/>
  <c r="FH85" i="22"/>
  <c r="H84" i="22"/>
  <c r="CO84" i="22"/>
  <c r="DC84" i="22"/>
  <c r="FH84" i="22"/>
  <c r="H83" i="22"/>
  <c r="CO83" i="22"/>
  <c r="DC83" i="22"/>
  <c r="FH83" i="22"/>
  <c r="H82" i="22"/>
  <c r="CO82" i="22"/>
  <c r="DC82" i="22"/>
  <c r="FH82" i="22"/>
  <c r="H81" i="22"/>
  <c r="CO81" i="22"/>
  <c r="DC81" i="22"/>
  <c r="FH81" i="22"/>
  <c r="H80" i="22"/>
  <c r="CO80" i="22"/>
  <c r="DC80" i="22"/>
  <c r="FH80" i="22"/>
  <c r="H79" i="22"/>
  <c r="CO79" i="22"/>
  <c r="DC79" i="22"/>
  <c r="FH79" i="22"/>
  <c r="H78" i="22"/>
  <c r="CO78" i="22"/>
  <c r="DC78" i="22"/>
  <c r="FH78" i="22"/>
  <c r="H77" i="22"/>
  <c r="CO77" i="22"/>
  <c r="DC77" i="22"/>
  <c r="FH77" i="22"/>
  <c r="H76" i="22"/>
  <c r="CO76" i="22"/>
  <c r="DC76" i="22"/>
  <c r="FH76" i="22"/>
  <c r="HA85" i="22"/>
  <c r="EC93" i="23"/>
  <c r="CM93" i="23"/>
  <c r="BX85" i="22"/>
  <c r="EZ85" i="22"/>
  <c r="GM85" i="22"/>
  <c r="CY93" i="23"/>
  <c r="DK93" i="23"/>
  <c r="IH93" i="23"/>
  <c r="BQ85" i="22"/>
  <c r="ES85" i="22"/>
  <c r="GF85" i="22"/>
  <c r="CL93" i="23"/>
  <c r="BW85" i="22"/>
  <c r="EY85" i="22"/>
  <c r="GL85" i="22"/>
  <c r="CX93" i="23"/>
  <c r="IG93" i="23"/>
  <c r="BP85" i="22"/>
  <c r="ER85" i="22"/>
  <c r="GE85" i="22"/>
  <c r="CK93" i="23"/>
  <c r="BV85" i="22"/>
  <c r="EX85" i="22"/>
  <c r="GK85" i="22"/>
  <c r="CW93" i="23"/>
  <c r="IF93" i="23"/>
  <c r="BO85" i="22"/>
  <c r="EQ85" i="22"/>
  <c r="GD85" i="22"/>
  <c r="CJ93" i="23"/>
  <c r="BU85" i="22"/>
  <c r="EW85" i="22"/>
  <c r="GJ85" i="22"/>
  <c r="CV93" i="23"/>
  <c r="DH93" i="23"/>
  <c r="DB85" i="22"/>
  <c r="FE85" i="22"/>
  <c r="GB85" i="22"/>
  <c r="GX85" i="22"/>
  <c r="GZ85" i="22"/>
  <c r="DZ93" i="23"/>
  <c r="IE93" i="23"/>
  <c r="DA85" i="22"/>
  <c r="FD85" i="22"/>
  <c r="FZ85" i="22"/>
  <c r="GW85" i="22"/>
  <c r="GY85" i="22"/>
  <c r="DY93" i="23"/>
  <c r="BN85" i="22"/>
  <c r="EP85" i="22"/>
  <c r="GC85" i="22"/>
  <c r="CI93" i="23"/>
  <c r="BT85" i="22"/>
  <c r="EV85" i="22"/>
  <c r="GI85" i="22"/>
  <c r="CU93" i="23"/>
  <c r="DG93" i="23"/>
  <c r="ID93" i="23"/>
  <c r="CH93" i="23"/>
  <c r="CT93" i="23"/>
  <c r="DF93" i="23"/>
  <c r="DX93" i="23"/>
  <c r="IC93" i="23"/>
  <c r="DW93" i="23"/>
  <c r="CG93" i="23"/>
  <c r="CS93" i="23"/>
  <c r="DE93" i="23"/>
  <c r="IB93" i="23"/>
  <c r="CF93" i="23"/>
  <c r="CR93" i="23"/>
  <c r="IA93" i="23"/>
  <c r="CE93" i="23"/>
  <c r="CQ93" i="23"/>
  <c r="HZ93" i="23"/>
  <c r="CD93" i="23"/>
  <c r="CP93" i="23"/>
  <c r="DB93" i="23"/>
  <c r="DT93" i="23"/>
  <c r="HY93" i="23"/>
  <c r="DS93" i="23"/>
  <c r="CC93" i="23"/>
  <c r="CO93" i="23"/>
  <c r="DA93" i="23"/>
  <c r="HX93" i="23"/>
  <c r="AC85" i="22"/>
  <c r="CK85" i="22"/>
  <c r="CN138" i="21"/>
  <c r="CK186" i="21"/>
  <c r="CN198" i="21"/>
  <c r="CJ138" i="21"/>
  <c r="CJ198" i="21"/>
  <c r="CK138" i="21"/>
  <c r="CK198" i="21"/>
  <c r="CL138" i="21"/>
  <c r="CL198" i="21"/>
  <c r="CM138" i="21"/>
  <c r="CJ186" i="21"/>
  <c r="CM198" i="21"/>
  <c r="CS198" i="21"/>
  <c r="CI65" i="21"/>
  <c r="CI82" i="21"/>
  <c r="FH93" i="23"/>
  <c r="Y58" i="25"/>
  <c r="Y10" i="25"/>
  <c r="FN3" i="23"/>
  <c r="HW93" i="23"/>
  <c r="CJ85" i="22"/>
  <c r="FG93" i="23"/>
  <c r="HV93" i="23"/>
  <c r="AB85" i="22"/>
  <c r="CI85" i="22"/>
  <c r="FF93" i="23"/>
  <c r="HU93" i="23"/>
  <c r="CH85" i="22"/>
  <c r="FE93" i="23"/>
  <c r="HT93" i="23"/>
  <c r="AA85" i="22"/>
  <c r="CG85" i="22"/>
  <c r="FD93" i="23"/>
  <c r="HS93" i="23"/>
  <c r="CF85" i="22"/>
  <c r="FC93" i="23"/>
  <c r="HR93" i="23"/>
  <c r="CR198" i="21"/>
  <c r="CH65" i="21"/>
  <c r="CH82" i="21"/>
  <c r="FB93" i="23"/>
  <c r="HQ93" i="23"/>
  <c r="FA93" i="23"/>
  <c r="HP93" i="23"/>
  <c r="EZ93" i="23"/>
  <c r="HO93" i="23"/>
  <c r="EY93" i="23"/>
  <c r="HN93" i="23"/>
  <c r="EX93" i="23"/>
  <c r="HM93" i="23"/>
  <c r="EW93" i="23"/>
  <c r="HL93" i="23"/>
  <c r="CQ198" i="21"/>
  <c r="CG65" i="21"/>
  <c r="CG82" i="21"/>
  <c r="EV93" i="23"/>
  <c r="HK93" i="23"/>
  <c r="EU93" i="23"/>
  <c r="HJ93" i="23"/>
  <c r="ET93" i="23"/>
  <c r="HI93" i="23"/>
  <c r="ES93" i="23"/>
  <c r="HH93" i="23"/>
  <c r="ER93" i="23"/>
  <c r="HG93" i="23"/>
  <c r="EQ93" i="23"/>
  <c r="HF93" i="23"/>
  <c r="CP198" i="21"/>
  <c r="CF65" i="21"/>
  <c r="CF82" i="21"/>
  <c r="EP93" i="23"/>
  <c r="HE93" i="23"/>
  <c r="EO93" i="23"/>
  <c r="HD93" i="23"/>
  <c r="EN93" i="23"/>
  <c r="HC93" i="23"/>
  <c r="EM93" i="23"/>
  <c r="HB93" i="23"/>
  <c r="EL93" i="23"/>
  <c r="HA93" i="23"/>
  <c r="EK93" i="23"/>
  <c r="GZ93" i="23"/>
  <c r="CO198" i="21"/>
  <c r="CE65" i="21"/>
  <c r="CE82" i="21"/>
  <c r="EJ93" i="23"/>
  <c r="GY93" i="23"/>
  <c r="EI93" i="23"/>
  <c r="GX93" i="23"/>
  <c r="EH93" i="23"/>
  <c r="GW93" i="23"/>
  <c r="EG93" i="23"/>
  <c r="GV93" i="23"/>
  <c r="EF93" i="23"/>
  <c r="GU93" i="23"/>
  <c r="EE93" i="23"/>
  <c r="GT93" i="23"/>
  <c r="DM85" i="22"/>
  <c r="DM84" i="22"/>
  <c r="EF85" i="22"/>
  <c r="D6" i="23"/>
  <c r="BP93" i="23"/>
  <c r="FN5" i="23"/>
  <c r="GS93" i="23"/>
  <c r="DL85" i="22"/>
  <c r="DL84" i="22"/>
  <c r="EE85" i="22"/>
  <c r="D5" i="23"/>
  <c r="BO93" i="23"/>
  <c r="GR93" i="23"/>
  <c r="ED85" i="22"/>
  <c r="BN93" i="23"/>
  <c r="GQ93" i="23"/>
  <c r="EC85" i="22"/>
  <c r="BM93" i="23"/>
  <c r="GP93" i="23"/>
  <c r="EB85" i="22"/>
  <c r="BL93" i="23"/>
  <c r="GO93" i="23"/>
  <c r="EA85" i="22"/>
  <c r="BK93" i="23"/>
  <c r="GN93" i="23"/>
  <c r="BA85" i="22"/>
  <c r="AL93" i="23"/>
  <c r="BG85" i="22"/>
  <c r="AX93" i="23"/>
  <c r="BJ93" i="23"/>
  <c r="DO85" i="22"/>
  <c r="DT85" i="22"/>
  <c r="DO84" i="22"/>
  <c r="DT84" i="22"/>
  <c r="EL85" i="22"/>
  <c r="CB93" i="23"/>
  <c r="GM93" i="23"/>
  <c r="DS85" i="22"/>
  <c r="DS84" i="22"/>
  <c r="DN85" i="22"/>
  <c r="DN84" i="22"/>
  <c r="EK85" i="22"/>
  <c r="CA93" i="23"/>
  <c r="AZ85" i="22"/>
  <c r="AK93" i="23"/>
  <c r="BF85" i="22"/>
  <c r="AW93" i="23"/>
  <c r="BI93" i="23"/>
  <c r="GL93" i="23"/>
  <c r="AY85" i="22"/>
  <c r="AJ93" i="23"/>
  <c r="BE85" i="22"/>
  <c r="AV93" i="23"/>
  <c r="BH93" i="23"/>
  <c r="EJ85" i="22"/>
  <c r="BZ93" i="23"/>
  <c r="GK93" i="23"/>
  <c r="EI85" i="22"/>
  <c r="BY93" i="23"/>
  <c r="AX85" i="22"/>
  <c r="AI93" i="23"/>
  <c r="BD85" i="22"/>
  <c r="AU93" i="23"/>
  <c r="BG93" i="23"/>
  <c r="GJ93" i="23"/>
  <c r="AW85" i="22"/>
  <c r="AH93" i="23"/>
  <c r="BC85" i="22"/>
  <c r="AT93" i="23"/>
  <c r="BF93" i="23"/>
  <c r="EH85" i="22"/>
  <c r="BX93" i="23"/>
  <c r="GI93" i="23"/>
  <c r="EG85" i="22"/>
  <c r="BW93" i="23"/>
  <c r="AV85" i="22"/>
  <c r="AG93" i="23"/>
  <c r="BB85" i="22"/>
  <c r="AS93" i="23"/>
  <c r="BE93" i="23"/>
  <c r="GH93" i="23"/>
  <c r="AF93" i="23"/>
  <c r="AR93" i="23"/>
  <c r="BD93" i="23"/>
  <c r="BV93" i="23"/>
  <c r="GG93" i="23"/>
  <c r="BU93" i="23"/>
  <c r="AE93" i="23"/>
  <c r="AQ93" i="23"/>
  <c r="BC93" i="23"/>
  <c r="GF93" i="23"/>
  <c r="AD93" i="23"/>
  <c r="AP93" i="23"/>
  <c r="BB93" i="23"/>
  <c r="BT93" i="23"/>
  <c r="GE93" i="23"/>
  <c r="BS93" i="23"/>
  <c r="AC93" i="23"/>
  <c r="AO93" i="23"/>
  <c r="BA93" i="23"/>
  <c r="GD93" i="23"/>
  <c r="AB93" i="23"/>
  <c r="AN93" i="23"/>
  <c r="AZ93" i="23"/>
  <c r="BR93" i="23"/>
  <c r="GC93" i="23"/>
  <c r="BQ93" i="23"/>
  <c r="AA93" i="23"/>
  <c r="AM93" i="23"/>
  <c r="AY93" i="23"/>
  <c r="GB93" i="23"/>
  <c r="AI85" i="22"/>
  <c r="N93" i="23"/>
  <c r="AO85" i="22"/>
  <c r="Z93" i="23"/>
  <c r="GA93" i="23"/>
  <c r="AH85" i="22"/>
  <c r="M93" i="23"/>
  <c r="AN85" i="22"/>
  <c r="Y93" i="23"/>
  <c r="FZ93" i="23"/>
  <c r="AG85" i="22"/>
  <c r="L93" i="23"/>
  <c r="AM85" i="22"/>
  <c r="X93" i="23"/>
  <c r="FY93" i="23"/>
  <c r="AF85" i="22"/>
  <c r="K93" i="23"/>
  <c r="AL85" i="22"/>
  <c r="W93" i="23"/>
  <c r="FX93" i="23"/>
  <c r="AE85" i="22"/>
  <c r="J93" i="23"/>
  <c r="AK85" i="22"/>
  <c r="V93" i="23"/>
  <c r="FW93" i="23"/>
  <c r="AD85" i="22"/>
  <c r="I93" i="23"/>
  <c r="AJ85" i="22"/>
  <c r="U93" i="23"/>
  <c r="FV93" i="23"/>
  <c r="H93" i="23"/>
  <c r="T93" i="23"/>
  <c r="FU93" i="23"/>
  <c r="G93" i="23"/>
  <c r="S93" i="23"/>
  <c r="FT93" i="23"/>
  <c r="F93" i="23"/>
  <c r="R93" i="23"/>
  <c r="FS93" i="23"/>
  <c r="E93" i="23"/>
  <c r="Q93" i="23"/>
  <c r="FR93" i="23"/>
  <c r="D93" i="23"/>
  <c r="P93" i="23"/>
  <c r="FQ93" i="23"/>
  <c r="C93" i="23"/>
  <c r="O93" i="23"/>
  <c r="FP93" i="23"/>
  <c r="G75" i="22"/>
  <c r="CN75" i="22"/>
  <c r="CZ75" i="22"/>
  <c r="FG75" i="22"/>
  <c r="FT75" i="22"/>
  <c r="GV84" i="22"/>
  <c r="DR92" i="23"/>
  <c r="IO92" i="23"/>
  <c r="F75" i="22"/>
  <c r="CM75" i="22"/>
  <c r="CY75" i="22"/>
  <c r="FF75" i="22"/>
  <c r="FS75" i="22"/>
  <c r="GU84" i="22"/>
  <c r="DQ92" i="23"/>
  <c r="IN92" i="23"/>
  <c r="IM92" i="23"/>
  <c r="IL92" i="23"/>
  <c r="CX83" i="22"/>
  <c r="FC83" i="22"/>
  <c r="FX83" i="22"/>
  <c r="GR84" i="22"/>
  <c r="GT84" i="22"/>
  <c r="DN92" i="23"/>
  <c r="IK92" i="23"/>
  <c r="CW83" i="22"/>
  <c r="FB83" i="22"/>
  <c r="FV83" i="22"/>
  <c r="GQ84" i="22"/>
  <c r="GS84" i="22"/>
  <c r="DM92" i="23"/>
  <c r="IJ92" i="23"/>
  <c r="CN92" i="23"/>
  <c r="BY84" i="22"/>
  <c r="FA84" i="22"/>
  <c r="GN84" i="22"/>
  <c r="CZ92" i="23"/>
  <c r="DL92" i="23"/>
  <c r="I75" i="22"/>
  <c r="K75" i="22"/>
  <c r="CP75" i="22"/>
  <c r="CV75" i="22"/>
  <c r="DD75" i="22"/>
  <c r="FI75" i="22"/>
  <c r="FP75" i="22"/>
  <c r="HB84" i="22"/>
  <c r="ED92" i="23"/>
  <c r="II92" i="23"/>
  <c r="FO75" i="22"/>
  <c r="H75" i="22"/>
  <c r="CO75" i="22"/>
  <c r="DC75" i="22"/>
  <c r="FH75" i="22"/>
  <c r="HA84" i="22"/>
  <c r="EC92" i="23"/>
  <c r="CM92" i="23"/>
  <c r="BX84" i="22"/>
  <c r="EZ84" i="22"/>
  <c r="GM84" i="22"/>
  <c r="CY92" i="23"/>
  <c r="DK92" i="23"/>
  <c r="IH92" i="23"/>
  <c r="BQ84" i="22"/>
  <c r="ES84" i="22"/>
  <c r="GF84" i="22"/>
  <c r="CL92" i="23"/>
  <c r="BW84" i="22"/>
  <c r="EY84" i="22"/>
  <c r="GL84" i="22"/>
  <c r="CX92" i="23"/>
  <c r="IG92" i="23"/>
  <c r="BP84" i="22"/>
  <c r="ER84" i="22"/>
  <c r="GE84" i="22"/>
  <c r="CK92" i="23"/>
  <c r="BV84" i="22"/>
  <c r="EX84" i="22"/>
  <c r="GK84" i="22"/>
  <c r="CW92" i="23"/>
  <c r="IF92" i="23"/>
  <c r="BO84" i="22"/>
  <c r="EQ84" i="22"/>
  <c r="GD84" i="22"/>
  <c r="CJ92" i="23"/>
  <c r="BU84" i="22"/>
  <c r="EW84" i="22"/>
  <c r="GJ84" i="22"/>
  <c r="CV92" i="23"/>
  <c r="DH92" i="23"/>
  <c r="DB84" i="22"/>
  <c r="FE84" i="22"/>
  <c r="GB84" i="22"/>
  <c r="GX84" i="22"/>
  <c r="GZ84" i="22"/>
  <c r="DZ92" i="23"/>
  <c r="IE92" i="23"/>
  <c r="DA84" i="22"/>
  <c r="FD84" i="22"/>
  <c r="FZ84" i="22"/>
  <c r="GW84" i="22"/>
  <c r="GY84" i="22"/>
  <c r="DY92" i="23"/>
  <c r="BN84" i="22"/>
  <c r="EP84" i="22"/>
  <c r="GC84" i="22"/>
  <c r="CI92" i="23"/>
  <c r="BT84" i="22"/>
  <c r="EV84" i="22"/>
  <c r="GI84" i="22"/>
  <c r="CU92" i="23"/>
  <c r="DG92" i="23"/>
  <c r="ID92" i="23"/>
  <c r="CH92" i="23"/>
  <c r="CT92" i="23"/>
  <c r="DF92" i="23"/>
  <c r="DX92" i="23"/>
  <c r="IC92" i="23"/>
  <c r="DW92" i="23"/>
  <c r="CG92" i="23"/>
  <c r="CS92" i="23"/>
  <c r="DE92" i="23"/>
  <c r="IB92" i="23"/>
  <c r="CF92" i="23"/>
  <c r="CR92" i="23"/>
  <c r="IA92" i="23"/>
  <c r="CE92" i="23"/>
  <c r="CQ92" i="23"/>
  <c r="HZ92" i="23"/>
  <c r="CD92" i="23"/>
  <c r="CP92" i="23"/>
  <c r="DB92" i="23"/>
  <c r="DT92" i="23"/>
  <c r="HY92" i="23"/>
  <c r="DS92" i="23"/>
  <c r="CC92" i="23"/>
  <c r="CO92" i="23"/>
  <c r="DA92" i="23"/>
  <c r="HX92" i="23"/>
  <c r="AC84" i="22"/>
  <c r="CK84" i="22"/>
  <c r="CI81" i="21"/>
  <c r="FH92" i="23"/>
  <c r="HW92" i="23"/>
  <c r="CJ84" i="22"/>
  <c r="FG92" i="23"/>
  <c r="HV92" i="23"/>
  <c r="AB84" i="22"/>
  <c r="CI84" i="22"/>
  <c r="FF92" i="23"/>
  <c r="HU92" i="23"/>
  <c r="CH84" i="22"/>
  <c r="FE92" i="23"/>
  <c r="HT92" i="23"/>
  <c r="AA84" i="22"/>
  <c r="CG84" i="22"/>
  <c r="FD92" i="23"/>
  <c r="HS92" i="23"/>
  <c r="CF84" i="22"/>
  <c r="FC92" i="23"/>
  <c r="HR92" i="23"/>
  <c r="CH81" i="21"/>
  <c r="FB92" i="23"/>
  <c r="HQ92" i="23"/>
  <c r="FA92" i="23"/>
  <c r="HP92" i="23"/>
  <c r="EZ92" i="23"/>
  <c r="HO92" i="23"/>
  <c r="EY92" i="23"/>
  <c r="HN92" i="23"/>
  <c r="EX92" i="23"/>
  <c r="HM92" i="23"/>
  <c r="EW92" i="23"/>
  <c r="HL92" i="23"/>
  <c r="CG81" i="21"/>
  <c r="EV92" i="23"/>
  <c r="HK92" i="23"/>
  <c r="EU92" i="23"/>
  <c r="HJ92" i="23"/>
  <c r="ET92" i="23"/>
  <c r="HI92" i="23"/>
  <c r="ES92" i="23"/>
  <c r="HH92" i="23"/>
  <c r="ER92" i="23"/>
  <c r="HG92" i="23"/>
  <c r="EQ92" i="23"/>
  <c r="HF92" i="23"/>
  <c r="CF81" i="21"/>
  <c r="EP92" i="23"/>
  <c r="HE92" i="23"/>
  <c r="EO92" i="23"/>
  <c r="HD92" i="23"/>
  <c r="EN92" i="23"/>
  <c r="HC92" i="23"/>
  <c r="EM92" i="23"/>
  <c r="HB92" i="23"/>
  <c r="EL92" i="23"/>
  <c r="HA92" i="23"/>
  <c r="EK92" i="23"/>
  <c r="GZ92" i="23"/>
  <c r="CE81" i="21"/>
  <c r="EJ92" i="23"/>
  <c r="GY92" i="23"/>
  <c r="EI92" i="23"/>
  <c r="GX92" i="23"/>
  <c r="EH92" i="23"/>
  <c r="GW92" i="23"/>
  <c r="EG92" i="23"/>
  <c r="GV92" i="23"/>
  <c r="EF92" i="23"/>
  <c r="GU92" i="23"/>
  <c r="EE92" i="23"/>
  <c r="GT92" i="23"/>
  <c r="DM83" i="22"/>
  <c r="EF84" i="22"/>
  <c r="BP92" i="23"/>
  <c r="GS92" i="23"/>
  <c r="DL83" i="22"/>
  <c r="EE84" i="22"/>
  <c r="BO92" i="23"/>
  <c r="GR92" i="23"/>
  <c r="ED84" i="22"/>
  <c r="BN92" i="23"/>
  <c r="GQ92" i="23"/>
  <c r="EC84" i="22"/>
  <c r="BM92" i="23"/>
  <c r="GP92" i="23"/>
  <c r="EB84" i="22"/>
  <c r="BL92" i="23"/>
  <c r="GO92" i="23"/>
  <c r="EA84" i="22"/>
  <c r="BK92" i="23"/>
  <c r="GN92" i="23"/>
  <c r="BA84" i="22"/>
  <c r="AL92" i="23"/>
  <c r="BG84" i="22"/>
  <c r="AX92" i="23"/>
  <c r="BJ92" i="23"/>
  <c r="DO83" i="22"/>
  <c r="DT83" i="22"/>
  <c r="EL84" i="22"/>
  <c r="CB92" i="23"/>
  <c r="GM92" i="23"/>
  <c r="DS83" i="22"/>
  <c r="DN83" i="22"/>
  <c r="EK84" i="22"/>
  <c r="CA92" i="23"/>
  <c r="AZ84" i="22"/>
  <c r="AK92" i="23"/>
  <c r="BF84" i="22"/>
  <c r="AW92" i="23"/>
  <c r="BI92" i="23"/>
  <c r="GL92" i="23"/>
  <c r="AY84" i="22"/>
  <c r="AJ92" i="23"/>
  <c r="BE84" i="22"/>
  <c r="AV92" i="23"/>
  <c r="BH92" i="23"/>
  <c r="EJ84" i="22"/>
  <c r="BZ92" i="23"/>
  <c r="GK92" i="23"/>
  <c r="EI84" i="22"/>
  <c r="BY92" i="23"/>
  <c r="AX84" i="22"/>
  <c r="AI92" i="23"/>
  <c r="BD84" i="22"/>
  <c r="AU92" i="23"/>
  <c r="BG92" i="23"/>
  <c r="GJ92" i="23"/>
  <c r="AW84" i="22"/>
  <c r="AH92" i="23"/>
  <c r="BC84" i="22"/>
  <c r="AT92" i="23"/>
  <c r="BF92" i="23"/>
  <c r="EH84" i="22"/>
  <c r="BX92" i="23"/>
  <c r="GI92" i="23"/>
  <c r="EG84" i="22"/>
  <c r="BW92" i="23"/>
  <c r="AV84" i="22"/>
  <c r="AG92" i="23"/>
  <c r="BB84" i="22"/>
  <c r="AS92" i="23"/>
  <c r="BE92" i="23"/>
  <c r="GH92" i="23"/>
  <c r="AF92" i="23"/>
  <c r="AR92" i="23"/>
  <c r="BD92" i="23"/>
  <c r="BV92" i="23"/>
  <c r="GG92" i="23"/>
  <c r="BU92" i="23"/>
  <c r="AE92" i="23"/>
  <c r="AQ92" i="23"/>
  <c r="BC92" i="23"/>
  <c r="GF92" i="23"/>
  <c r="AD92" i="23"/>
  <c r="AP92" i="23"/>
  <c r="BB92" i="23"/>
  <c r="BT92" i="23"/>
  <c r="GE92" i="23"/>
  <c r="BS92" i="23"/>
  <c r="AC92" i="23"/>
  <c r="AO92" i="23"/>
  <c r="BA92" i="23"/>
  <c r="GD92" i="23"/>
  <c r="AB92" i="23"/>
  <c r="AN92" i="23"/>
  <c r="AZ92" i="23"/>
  <c r="BR92" i="23"/>
  <c r="GC92" i="23"/>
  <c r="BQ92" i="23"/>
  <c r="AA92" i="23"/>
  <c r="AM92" i="23"/>
  <c r="AY92" i="23"/>
  <c r="GB92" i="23"/>
  <c r="AI84" i="22"/>
  <c r="N92" i="23"/>
  <c r="AO84" i="22"/>
  <c r="Z92" i="23"/>
  <c r="GA92" i="23"/>
  <c r="AH84" i="22"/>
  <c r="M92" i="23"/>
  <c r="AN84" i="22"/>
  <c r="Y92" i="23"/>
  <c r="FZ92" i="23"/>
  <c r="AG84" i="22"/>
  <c r="L92" i="23"/>
  <c r="AM84" i="22"/>
  <c r="X92" i="23"/>
  <c r="FY92" i="23"/>
  <c r="AF84" i="22"/>
  <c r="K92" i="23"/>
  <c r="AL84" i="22"/>
  <c r="W92" i="23"/>
  <c r="FX92" i="23"/>
  <c r="AE84" i="22"/>
  <c r="J92" i="23"/>
  <c r="AK84" i="22"/>
  <c r="V92" i="23"/>
  <c r="FW92" i="23"/>
  <c r="AD84" i="22"/>
  <c r="I92" i="23"/>
  <c r="AJ84" i="22"/>
  <c r="U92" i="23"/>
  <c r="FV92" i="23"/>
  <c r="H92" i="23"/>
  <c r="T92" i="23"/>
  <c r="FU92" i="23"/>
  <c r="G92" i="23"/>
  <c r="S92" i="23"/>
  <c r="FT92" i="23"/>
  <c r="F92" i="23"/>
  <c r="R92" i="23"/>
  <c r="FS92" i="23"/>
  <c r="E92" i="23"/>
  <c r="Q92" i="23"/>
  <c r="FR92" i="23"/>
  <c r="D92" i="23"/>
  <c r="P92" i="23"/>
  <c r="FQ92" i="23"/>
  <c r="C92" i="23"/>
  <c r="O92" i="23"/>
  <c r="FP92" i="23"/>
  <c r="G74" i="22"/>
  <c r="CN74" i="22"/>
  <c r="CZ74" i="22"/>
  <c r="FG74" i="22"/>
  <c r="FT74" i="22"/>
  <c r="GV83" i="22"/>
  <c r="DR91" i="23"/>
  <c r="IO91" i="23"/>
  <c r="F74" i="22"/>
  <c r="CM74" i="22"/>
  <c r="CY74" i="22"/>
  <c r="FF74" i="22"/>
  <c r="FS74" i="22"/>
  <c r="GU83" i="22"/>
  <c r="DQ91" i="23"/>
  <c r="IN91" i="23"/>
  <c r="IM91" i="23"/>
  <c r="IL91" i="23"/>
  <c r="CX82" i="22"/>
  <c r="FC82" i="22"/>
  <c r="FX82" i="22"/>
  <c r="GR83" i="22"/>
  <c r="GT83" i="22"/>
  <c r="DN91" i="23"/>
  <c r="IK91" i="23"/>
  <c r="CW82" i="22"/>
  <c r="FB82" i="22"/>
  <c r="FV82" i="22"/>
  <c r="GQ83" i="22"/>
  <c r="GS83" i="22"/>
  <c r="DM91" i="23"/>
  <c r="IJ91" i="23"/>
  <c r="CN91" i="23"/>
  <c r="BY83" i="22"/>
  <c r="FA83" i="22"/>
  <c r="GN83" i="22"/>
  <c r="CZ91" i="23"/>
  <c r="DL91" i="23"/>
  <c r="I74" i="22"/>
  <c r="K74" i="22"/>
  <c r="CP74" i="22"/>
  <c r="CV74" i="22"/>
  <c r="DD74" i="22"/>
  <c r="FI74" i="22"/>
  <c r="FP74" i="22"/>
  <c r="HB83" i="22"/>
  <c r="ED91" i="23"/>
  <c r="II91" i="23"/>
  <c r="FO74" i="22"/>
  <c r="H74" i="22"/>
  <c r="CO74" i="22"/>
  <c r="DC74" i="22"/>
  <c r="FH74" i="22"/>
  <c r="HA83" i="22"/>
  <c r="EC91" i="23"/>
  <c r="CM91" i="23"/>
  <c r="BX83" i="22"/>
  <c r="EZ83" i="22"/>
  <c r="GM83" i="22"/>
  <c r="CY91" i="23"/>
  <c r="DK91" i="23"/>
  <c r="IH91" i="23"/>
  <c r="BQ83" i="22"/>
  <c r="ES83" i="22"/>
  <c r="GF83" i="22"/>
  <c r="CL91" i="23"/>
  <c r="BW83" i="22"/>
  <c r="EY83" i="22"/>
  <c r="GL83" i="22"/>
  <c r="CX91" i="23"/>
  <c r="IG91" i="23"/>
  <c r="BP83" i="22"/>
  <c r="ER83" i="22"/>
  <c r="GE83" i="22"/>
  <c r="CK91" i="23"/>
  <c r="BV83" i="22"/>
  <c r="EX83" i="22"/>
  <c r="GK83" i="22"/>
  <c r="CW91" i="23"/>
  <c r="IF91" i="23"/>
  <c r="BO83" i="22"/>
  <c r="EQ83" i="22"/>
  <c r="GD83" i="22"/>
  <c r="CJ91" i="23"/>
  <c r="BU83" i="22"/>
  <c r="EW83" i="22"/>
  <c r="GJ83" i="22"/>
  <c r="CV91" i="23"/>
  <c r="DH91" i="23"/>
  <c r="DB83" i="22"/>
  <c r="FE83" i="22"/>
  <c r="GB83" i="22"/>
  <c r="GX83" i="22"/>
  <c r="GZ83" i="22"/>
  <c r="DZ91" i="23"/>
  <c r="IE91" i="23"/>
  <c r="DA83" i="22"/>
  <c r="FD83" i="22"/>
  <c r="FZ83" i="22"/>
  <c r="GW83" i="22"/>
  <c r="GY83" i="22"/>
  <c r="DY91" i="23"/>
  <c r="BN83" i="22"/>
  <c r="EP83" i="22"/>
  <c r="GC83" i="22"/>
  <c r="CI91" i="23"/>
  <c r="BT83" i="22"/>
  <c r="EV83" i="22"/>
  <c r="GI83" i="22"/>
  <c r="CU91" i="23"/>
  <c r="DG91" i="23"/>
  <c r="ID91" i="23"/>
  <c r="CH91" i="23"/>
  <c r="CT91" i="23"/>
  <c r="DF91" i="23"/>
  <c r="DX91" i="23"/>
  <c r="IC91" i="23"/>
  <c r="DW91" i="23"/>
  <c r="CG91" i="23"/>
  <c r="CS91" i="23"/>
  <c r="DE91" i="23"/>
  <c r="IB91" i="23"/>
  <c r="CF91" i="23"/>
  <c r="CR91" i="23"/>
  <c r="IA91" i="23"/>
  <c r="CE91" i="23"/>
  <c r="CQ91" i="23"/>
  <c r="HZ91" i="23"/>
  <c r="CD91" i="23"/>
  <c r="CP91" i="23"/>
  <c r="DB91" i="23"/>
  <c r="DT91" i="23"/>
  <c r="HY91" i="23"/>
  <c r="DS91" i="23"/>
  <c r="CC91" i="23"/>
  <c r="CO91" i="23"/>
  <c r="DA91" i="23"/>
  <c r="HX91" i="23"/>
  <c r="AC83" i="22"/>
  <c r="CK83" i="22"/>
  <c r="CI80" i="21"/>
  <c r="FH91" i="23"/>
  <c r="HW91" i="23"/>
  <c r="CJ83" i="22"/>
  <c r="FG91" i="23"/>
  <c r="HV91" i="23"/>
  <c r="AB83" i="22"/>
  <c r="CI83" i="22"/>
  <c r="FF91" i="23"/>
  <c r="HU91" i="23"/>
  <c r="CH83" i="22"/>
  <c r="FE91" i="23"/>
  <c r="HT91" i="23"/>
  <c r="AA83" i="22"/>
  <c r="CG83" i="22"/>
  <c r="FD91" i="23"/>
  <c r="HS91" i="23"/>
  <c r="CF83" i="22"/>
  <c r="FC91" i="23"/>
  <c r="HR91" i="23"/>
  <c r="CH80" i="21"/>
  <c r="FB91" i="23"/>
  <c r="HQ91" i="23"/>
  <c r="FA91" i="23"/>
  <c r="HP91" i="23"/>
  <c r="EZ91" i="23"/>
  <c r="HO91" i="23"/>
  <c r="EY91" i="23"/>
  <c r="HN91" i="23"/>
  <c r="EX91" i="23"/>
  <c r="HM91" i="23"/>
  <c r="EW91" i="23"/>
  <c r="HL91" i="23"/>
  <c r="CG80" i="21"/>
  <c r="EV91" i="23"/>
  <c r="HK91" i="23"/>
  <c r="EU91" i="23"/>
  <c r="HJ91" i="23"/>
  <c r="ET91" i="23"/>
  <c r="HI91" i="23"/>
  <c r="ES91" i="23"/>
  <c r="HH91" i="23"/>
  <c r="ER91" i="23"/>
  <c r="HG91" i="23"/>
  <c r="EQ91" i="23"/>
  <c r="HF91" i="23"/>
  <c r="CF80" i="21"/>
  <c r="EP91" i="23"/>
  <c r="HE91" i="23"/>
  <c r="EO91" i="23"/>
  <c r="HD91" i="23"/>
  <c r="EN91" i="23"/>
  <c r="HC91" i="23"/>
  <c r="EM91" i="23"/>
  <c r="HB91" i="23"/>
  <c r="EL91" i="23"/>
  <c r="HA91" i="23"/>
  <c r="EK91" i="23"/>
  <c r="GZ91" i="23"/>
  <c r="CE80" i="21"/>
  <c r="EJ91" i="23"/>
  <c r="GY91" i="23"/>
  <c r="EI91" i="23"/>
  <c r="GX91" i="23"/>
  <c r="EH91" i="23"/>
  <c r="GW91" i="23"/>
  <c r="EG91" i="23"/>
  <c r="GV91" i="23"/>
  <c r="EF91" i="23"/>
  <c r="GU91" i="23"/>
  <c r="EE91" i="23"/>
  <c r="GT91" i="23"/>
  <c r="DM82" i="22"/>
  <c r="EF83" i="22"/>
  <c r="BP91" i="23"/>
  <c r="GS91" i="23"/>
  <c r="DL82" i="22"/>
  <c r="EE83" i="22"/>
  <c r="BO91" i="23"/>
  <c r="GR91" i="23"/>
  <c r="ED83" i="22"/>
  <c r="BN91" i="23"/>
  <c r="GQ91" i="23"/>
  <c r="EC83" i="22"/>
  <c r="BM91" i="23"/>
  <c r="GP91" i="23"/>
  <c r="EB83" i="22"/>
  <c r="BL91" i="23"/>
  <c r="GO91" i="23"/>
  <c r="EA83" i="22"/>
  <c r="BK91" i="23"/>
  <c r="GN91" i="23"/>
  <c r="BA83" i="22"/>
  <c r="AL91" i="23"/>
  <c r="BG83" i="22"/>
  <c r="AX91" i="23"/>
  <c r="BJ91" i="23"/>
  <c r="DO82" i="22"/>
  <c r="DT82" i="22"/>
  <c r="EL83" i="22"/>
  <c r="CB91" i="23"/>
  <c r="GM91" i="23"/>
  <c r="DS82" i="22"/>
  <c r="DN82" i="22"/>
  <c r="EK83" i="22"/>
  <c r="CA91" i="23"/>
  <c r="AZ83" i="22"/>
  <c r="AK91" i="23"/>
  <c r="BF83" i="22"/>
  <c r="AW91" i="23"/>
  <c r="BI91" i="23"/>
  <c r="GL91" i="23"/>
  <c r="AY83" i="22"/>
  <c r="AJ91" i="23"/>
  <c r="BE83" i="22"/>
  <c r="AV91" i="23"/>
  <c r="BH91" i="23"/>
  <c r="EJ83" i="22"/>
  <c r="BZ91" i="23"/>
  <c r="GK91" i="23"/>
  <c r="EI83" i="22"/>
  <c r="BY91" i="23"/>
  <c r="AX83" i="22"/>
  <c r="AI91" i="23"/>
  <c r="BD83" i="22"/>
  <c r="AU91" i="23"/>
  <c r="BG91" i="23"/>
  <c r="GJ91" i="23"/>
  <c r="AW83" i="22"/>
  <c r="AH91" i="23"/>
  <c r="BC83" i="22"/>
  <c r="AT91" i="23"/>
  <c r="BF91" i="23"/>
  <c r="EH83" i="22"/>
  <c r="BX91" i="23"/>
  <c r="GI91" i="23"/>
  <c r="EG83" i="22"/>
  <c r="BW91" i="23"/>
  <c r="AV83" i="22"/>
  <c r="AG91" i="23"/>
  <c r="BB83" i="22"/>
  <c r="AS91" i="23"/>
  <c r="BE91" i="23"/>
  <c r="GH91" i="23"/>
  <c r="AF91" i="23"/>
  <c r="AR91" i="23"/>
  <c r="BD91" i="23"/>
  <c r="BV91" i="23"/>
  <c r="GG91" i="23"/>
  <c r="BU91" i="23"/>
  <c r="AE91" i="23"/>
  <c r="AQ91" i="23"/>
  <c r="BC91" i="23"/>
  <c r="GF91" i="23"/>
  <c r="AD91" i="23"/>
  <c r="AP91" i="23"/>
  <c r="BB91" i="23"/>
  <c r="BT91" i="23"/>
  <c r="GE91" i="23"/>
  <c r="BS91" i="23"/>
  <c r="AC91" i="23"/>
  <c r="AO91" i="23"/>
  <c r="BA91" i="23"/>
  <c r="GD91" i="23"/>
  <c r="AB91" i="23"/>
  <c r="AN91" i="23"/>
  <c r="AZ91" i="23"/>
  <c r="BR91" i="23"/>
  <c r="GC91" i="23"/>
  <c r="BQ91" i="23"/>
  <c r="AA91" i="23"/>
  <c r="AM91" i="23"/>
  <c r="AY91" i="23"/>
  <c r="GB91" i="23"/>
  <c r="AI83" i="22"/>
  <c r="N91" i="23"/>
  <c r="AO83" i="22"/>
  <c r="Z91" i="23"/>
  <c r="GA91" i="23"/>
  <c r="AH83" i="22"/>
  <c r="M91" i="23"/>
  <c r="AN83" i="22"/>
  <c r="Y91" i="23"/>
  <c r="FZ91" i="23"/>
  <c r="AG83" i="22"/>
  <c r="L91" i="23"/>
  <c r="AM83" i="22"/>
  <c r="X91" i="23"/>
  <c r="FY91" i="23"/>
  <c r="AF83" i="22"/>
  <c r="K91" i="23"/>
  <c r="AL83" i="22"/>
  <c r="W91" i="23"/>
  <c r="FX91" i="23"/>
  <c r="AE83" i="22"/>
  <c r="J91" i="23"/>
  <c r="AK83" i="22"/>
  <c r="V91" i="23"/>
  <c r="FW91" i="23"/>
  <c r="AD83" i="22"/>
  <c r="I91" i="23"/>
  <c r="AJ83" i="22"/>
  <c r="U91" i="23"/>
  <c r="FV91" i="23"/>
  <c r="H91" i="23"/>
  <c r="T91" i="23"/>
  <c r="FU91" i="23"/>
  <c r="G91" i="23"/>
  <c r="S91" i="23"/>
  <c r="FT91" i="23"/>
  <c r="F91" i="23"/>
  <c r="R91" i="23"/>
  <c r="FS91" i="23"/>
  <c r="E91" i="23"/>
  <c r="Q91" i="23"/>
  <c r="FR91" i="23"/>
  <c r="D91" i="23"/>
  <c r="P91" i="23"/>
  <c r="FQ91" i="23"/>
  <c r="C91" i="23"/>
  <c r="O91" i="23"/>
  <c r="FP91" i="23"/>
  <c r="G73" i="22"/>
  <c r="CN73" i="22"/>
  <c r="CZ73" i="22"/>
  <c r="FG73" i="22"/>
  <c r="FT73" i="22"/>
  <c r="GV82" i="22"/>
  <c r="DR90" i="23"/>
  <c r="IO90" i="23"/>
  <c r="F73" i="22"/>
  <c r="CM73" i="22"/>
  <c r="CY73" i="22"/>
  <c r="FF73" i="22"/>
  <c r="FS73" i="22"/>
  <c r="GU82" i="22"/>
  <c r="DQ90" i="23"/>
  <c r="IN90" i="23"/>
  <c r="IM90" i="23"/>
  <c r="IL90" i="23"/>
  <c r="CX81" i="22"/>
  <c r="FC81" i="22"/>
  <c r="FX81" i="22"/>
  <c r="GR82" i="22"/>
  <c r="GT82" i="22"/>
  <c r="DN90" i="23"/>
  <c r="IK90" i="23"/>
  <c r="CW81" i="22"/>
  <c r="FB81" i="22"/>
  <c r="FV81" i="22"/>
  <c r="GQ82" i="22"/>
  <c r="GS82" i="22"/>
  <c r="DM90" i="23"/>
  <c r="IJ90" i="23"/>
  <c r="CN90" i="23"/>
  <c r="BY82" i="22"/>
  <c r="FA82" i="22"/>
  <c r="GN82" i="22"/>
  <c r="CZ90" i="23"/>
  <c r="DL90" i="23"/>
  <c r="I73" i="22"/>
  <c r="K73" i="22"/>
  <c r="CP73" i="22"/>
  <c r="CV73" i="22"/>
  <c r="DD73" i="22"/>
  <c r="FI73" i="22"/>
  <c r="FP73" i="22"/>
  <c r="HB82" i="22"/>
  <c r="ED90" i="23"/>
  <c r="II90" i="23"/>
  <c r="FO73" i="22"/>
  <c r="D71" i="22"/>
  <c r="D72" i="22"/>
  <c r="D73" i="22"/>
  <c r="H73" i="22"/>
  <c r="CO73" i="22"/>
  <c r="DC73" i="22"/>
  <c r="FH73" i="22"/>
  <c r="HA82" i="22"/>
  <c r="EC90" i="23"/>
  <c r="CM90" i="23"/>
  <c r="BX82" i="22"/>
  <c r="EZ82" i="22"/>
  <c r="GM82" i="22"/>
  <c r="CY90" i="23"/>
  <c r="DK90" i="23"/>
  <c r="IH90" i="23"/>
  <c r="BQ82" i="22"/>
  <c r="ES82" i="22"/>
  <c r="GF82" i="22"/>
  <c r="CL90" i="23"/>
  <c r="BW82" i="22"/>
  <c r="EY82" i="22"/>
  <c r="GL82" i="22"/>
  <c r="CX90" i="23"/>
  <c r="IG90" i="23"/>
  <c r="BP82" i="22"/>
  <c r="ER82" i="22"/>
  <c r="GE82" i="22"/>
  <c r="CK90" i="23"/>
  <c r="BV82" i="22"/>
  <c r="EX82" i="22"/>
  <c r="GK82" i="22"/>
  <c r="CW90" i="23"/>
  <c r="IF90" i="23"/>
  <c r="BO82" i="22"/>
  <c r="EQ82" i="22"/>
  <c r="GD82" i="22"/>
  <c r="CJ90" i="23"/>
  <c r="BU82" i="22"/>
  <c r="EW82" i="22"/>
  <c r="GJ82" i="22"/>
  <c r="CV90" i="23"/>
  <c r="DH90" i="23"/>
  <c r="DB82" i="22"/>
  <c r="FE82" i="22"/>
  <c r="GB82" i="22"/>
  <c r="GX82" i="22"/>
  <c r="GZ82" i="22"/>
  <c r="DZ90" i="23"/>
  <c r="IE90" i="23"/>
  <c r="DA82" i="22"/>
  <c r="FD82" i="22"/>
  <c r="FZ82" i="22"/>
  <c r="GW82" i="22"/>
  <c r="GY82" i="22"/>
  <c r="DY90" i="23"/>
  <c r="BN82" i="22"/>
  <c r="EP82" i="22"/>
  <c r="GC82" i="22"/>
  <c r="CI90" i="23"/>
  <c r="BT82" i="22"/>
  <c r="EV82" i="22"/>
  <c r="GI82" i="22"/>
  <c r="CU90" i="23"/>
  <c r="DG90" i="23"/>
  <c r="ID90" i="23"/>
  <c r="CH90" i="23"/>
  <c r="CT90" i="23"/>
  <c r="DF90" i="23"/>
  <c r="DX90" i="23"/>
  <c r="IC90" i="23"/>
  <c r="DW90" i="23"/>
  <c r="CG90" i="23"/>
  <c r="CS90" i="23"/>
  <c r="DE90" i="23"/>
  <c r="IB90" i="23"/>
  <c r="CF90" i="23"/>
  <c r="CR90" i="23"/>
  <c r="IA90" i="23"/>
  <c r="CE90" i="23"/>
  <c r="CQ90" i="23"/>
  <c r="HZ90" i="23"/>
  <c r="CD90" i="23"/>
  <c r="CP90" i="23"/>
  <c r="DB90" i="23"/>
  <c r="DT90" i="23"/>
  <c r="HY90" i="23"/>
  <c r="DS90" i="23"/>
  <c r="CC90" i="23"/>
  <c r="CO90" i="23"/>
  <c r="DA90" i="23"/>
  <c r="HX90" i="23"/>
  <c r="AC82" i="22"/>
  <c r="CK82" i="22"/>
  <c r="CI79" i="21"/>
  <c r="FH90" i="23"/>
  <c r="HW90" i="23"/>
  <c r="CJ82" i="22"/>
  <c r="FG90" i="23"/>
  <c r="HV90" i="23"/>
  <c r="AB82" i="22"/>
  <c r="CI82" i="22"/>
  <c r="FF90" i="23"/>
  <c r="HU90" i="23"/>
  <c r="CH82" i="22"/>
  <c r="FE90" i="23"/>
  <c r="HT90" i="23"/>
  <c r="AA82" i="22"/>
  <c r="CG82" i="22"/>
  <c r="FD90" i="23"/>
  <c r="HS90" i="23"/>
  <c r="CF82" i="22"/>
  <c r="FC90" i="23"/>
  <c r="HR90" i="23"/>
  <c r="CH79" i="21"/>
  <c r="FB90" i="23"/>
  <c r="HQ90" i="23"/>
  <c r="FA90" i="23"/>
  <c r="HP90" i="23"/>
  <c r="EZ90" i="23"/>
  <c r="HO90" i="23"/>
  <c r="EY90" i="23"/>
  <c r="HN90" i="23"/>
  <c r="EX90" i="23"/>
  <c r="HM90" i="23"/>
  <c r="EW90" i="23"/>
  <c r="HL90" i="23"/>
  <c r="CG79" i="21"/>
  <c r="EV90" i="23"/>
  <c r="HK90" i="23"/>
  <c r="EU90" i="23"/>
  <c r="HJ90" i="23"/>
  <c r="ET90" i="23"/>
  <c r="HI90" i="23"/>
  <c r="ES90" i="23"/>
  <c r="HH90" i="23"/>
  <c r="ER90" i="23"/>
  <c r="HG90" i="23"/>
  <c r="EQ90" i="23"/>
  <c r="HF90" i="23"/>
  <c r="CF79" i="21"/>
  <c r="EP90" i="23"/>
  <c r="HE90" i="23"/>
  <c r="EO90" i="23"/>
  <c r="HD90" i="23"/>
  <c r="EN90" i="23"/>
  <c r="HC90" i="23"/>
  <c r="EM90" i="23"/>
  <c r="HB90" i="23"/>
  <c r="EL90" i="23"/>
  <c r="HA90" i="23"/>
  <c r="EK90" i="23"/>
  <c r="GZ90" i="23"/>
  <c r="CE79" i="21"/>
  <c r="EJ90" i="23"/>
  <c r="GY90" i="23"/>
  <c r="EI90" i="23"/>
  <c r="GX90" i="23"/>
  <c r="EH90" i="23"/>
  <c r="GW90" i="23"/>
  <c r="EG90" i="23"/>
  <c r="GV90" i="23"/>
  <c r="EF90" i="23"/>
  <c r="GU90" i="23"/>
  <c r="EE90" i="23"/>
  <c r="GT90" i="23"/>
  <c r="DM81" i="22"/>
  <c r="EF82" i="22"/>
  <c r="BP90" i="23"/>
  <c r="GS90" i="23"/>
  <c r="DL81" i="22"/>
  <c r="EE82" i="22"/>
  <c r="BO90" i="23"/>
  <c r="GR90" i="23"/>
  <c r="ED82" i="22"/>
  <c r="BN90" i="23"/>
  <c r="GQ90" i="23"/>
  <c r="EC82" i="22"/>
  <c r="BM90" i="23"/>
  <c r="GP90" i="23"/>
  <c r="EB82" i="22"/>
  <c r="BL90" i="23"/>
  <c r="GO90" i="23"/>
  <c r="EA82" i="22"/>
  <c r="BK90" i="23"/>
  <c r="GN90" i="23"/>
  <c r="BA82" i="22"/>
  <c r="AL90" i="23"/>
  <c r="BG82" i="22"/>
  <c r="AX90" i="23"/>
  <c r="BJ90" i="23"/>
  <c r="DO81" i="22"/>
  <c r="DT81" i="22"/>
  <c r="EL82" i="22"/>
  <c r="CB90" i="23"/>
  <c r="GM90" i="23"/>
  <c r="DS81" i="22"/>
  <c r="DN81" i="22"/>
  <c r="EK82" i="22"/>
  <c r="CA90" i="23"/>
  <c r="AZ82" i="22"/>
  <c r="AK90" i="23"/>
  <c r="BF82" i="22"/>
  <c r="AW90" i="23"/>
  <c r="BI90" i="23"/>
  <c r="GL90" i="23"/>
  <c r="AY82" i="22"/>
  <c r="AJ90" i="23"/>
  <c r="BE82" i="22"/>
  <c r="AV90" i="23"/>
  <c r="BH90" i="23"/>
  <c r="EJ82" i="22"/>
  <c r="BZ90" i="23"/>
  <c r="GK90" i="23"/>
  <c r="EI82" i="22"/>
  <c r="BY90" i="23"/>
  <c r="AX82" i="22"/>
  <c r="AI90" i="23"/>
  <c r="BD82" i="22"/>
  <c r="AU90" i="23"/>
  <c r="BG90" i="23"/>
  <c r="GJ90" i="23"/>
  <c r="AW82" i="22"/>
  <c r="AH90" i="23"/>
  <c r="BC82" i="22"/>
  <c r="AT90" i="23"/>
  <c r="BF90" i="23"/>
  <c r="EH82" i="22"/>
  <c r="BX90" i="23"/>
  <c r="GI90" i="23"/>
  <c r="EG82" i="22"/>
  <c r="BW90" i="23"/>
  <c r="AV82" i="22"/>
  <c r="AG90" i="23"/>
  <c r="BB82" i="22"/>
  <c r="AS90" i="23"/>
  <c r="BE90" i="23"/>
  <c r="GH90" i="23"/>
  <c r="AF90" i="23"/>
  <c r="AR90" i="23"/>
  <c r="BD90" i="23"/>
  <c r="BV90" i="23"/>
  <c r="GG90" i="23"/>
  <c r="BU90" i="23"/>
  <c r="AE90" i="23"/>
  <c r="AQ90" i="23"/>
  <c r="BC90" i="23"/>
  <c r="GF90" i="23"/>
  <c r="AD90" i="23"/>
  <c r="AP90" i="23"/>
  <c r="BB90" i="23"/>
  <c r="BT90" i="23"/>
  <c r="GE90" i="23"/>
  <c r="BS90" i="23"/>
  <c r="AC90" i="23"/>
  <c r="AO90" i="23"/>
  <c r="BA90" i="23"/>
  <c r="GD90" i="23"/>
  <c r="AB90" i="23"/>
  <c r="AN90" i="23"/>
  <c r="AZ90" i="23"/>
  <c r="BR90" i="23"/>
  <c r="GC90" i="23"/>
  <c r="BQ90" i="23"/>
  <c r="AA90" i="23"/>
  <c r="AM90" i="23"/>
  <c r="AY90" i="23"/>
  <c r="GB90" i="23"/>
  <c r="AI82" i="22"/>
  <c r="N90" i="23"/>
  <c r="AO82" i="22"/>
  <c r="Z90" i="23"/>
  <c r="GA90" i="23"/>
  <c r="AH82" i="22"/>
  <c r="M90" i="23"/>
  <c r="AN82" i="22"/>
  <c r="Y90" i="23"/>
  <c r="FZ90" i="23"/>
  <c r="AG82" i="22"/>
  <c r="L90" i="23"/>
  <c r="AM82" i="22"/>
  <c r="X90" i="23"/>
  <c r="FY90" i="23"/>
  <c r="AF82" i="22"/>
  <c r="K90" i="23"/>
  <c r="AL82" i="22"/>
  <c r="W90" i="23"/>
  <c r="FX90" i="23"/>
  <c r="AE82" i="22"/>
  <c r="J90" i="23"/>
  <c r="AK82" i="22"/>
  <c r="V90" i="23"/>
  <c r="FW90" i="23"/>
  <c r="AD82" i="22"/>
  <c r="I90" i="23"/>
  <c r="AJ82" i="22"/>
  <c r="U90" i="23"/>
  <c r="FV90" i="23"/>
  <c r="H90" i="23"/>
  <c r="T90" i="23"/>
  <c r="FU90" i="23"/>
  <c r="G90" i="23"/>
  <c r="S90" i="23"/>
  <c r="FT90" i="23"/>
  <c r="F90" i="23"/>
  <c r="R90" i="23"/>
  <c r="FS90" i="23"/>
  <c r="E90" i="23"/>
  <c r="Q90" i="23"/>
  <c r="FR90" i="23"/>
  <c r="D90" i="23"/>
  <c r="P90" i="23"/>
  <c r="FQ90" i="23"/>
  <c r="C90" i="23"/>
  <c r="O90" i="23"/>
  <c r="FP90" i="23"/>
  <c r="G72" i="22"/>
  <c r="CN72" i="22"/>
  <c r="CZ72" i="22"/>
  <c r="FG72" i="22"/>
  <c r="FT72" i="22"/>
  <c r="GV81" i="22"/>
  <c r="DR89" i="23"/>
  <c r="IO89" i="23"/>
  <c r="F72" i="22"/>
  <c r="CM72" i="22"/>
  <c r="CY72" i="22"/>
  <c r="FF72" i="22"/>
  <c r="FS72" i="22"/>
  <c r="GU81" i="22"/>
  <c r="DQ89" i="23"/>
  <c r="IN89" i="23"/>
  <c r="IM89" i="23"/>
  <c r="IL89" i="23"/>
  <c r="CX80" i="22"/>
  <c r="FC80" i="22"/>
  <c r="FX80" i="22"/>
  <c r="GR81" i="22"/>
  <c r="GT81" i="22"/>
  <c r="DN89" i="23"/>
  <c r="IK89" i="23"/>
  <c r="CW80" i="22"/>
  <c r="FB80" i="22"/>
  <c r="FV80" i="22"/>
  <c r="GQ81" i="22"/>
  <c r="GS81" i="22"/>
  <c r="DM89" i="23"/>
  <c r="IJ89" i="23"/>
  <c r="CN89" i="23"/>
  <c r="BY81" i="22"/>
  <c r="FA81" i="22"/>
  <c r="GN81" i="22"/>
  <c r="CZ89" i="23"/>
  <c r="DL89" i="23"/>
  <c r="I72" i="22"/>
  <c r="K72" i="22"/>
  <c r="CP72" i="22"/>
  <c r="CV72" i="22"/>
  <c r="DD72" i="22"/>
  <c r="FI72" i="22"/>
  <c r="FP72" i="22"/>
  <c r="HB81" i="22"/>
  <c r="ED89" i="23"/>
  <c r="II89" i="23"/>
  <c r="FO72" i="22"/>
  <c r="H72" i="22"/>
  <c r="CO72" i="22"/>
  <c r="DC72" i="22"/>
  <c r="FH72" i="22"/>
  <c r="HA81" i="22"/>
  <c r="EC89" i="23"/>
  <c r="CM89" i="23"/>
  <c r="BX81" i="22"/>
  <c r="EZ81" i="22"/>
  <c r="GM81" i="22"/>
  <c r="CY89" i="23"/>
  <c r="DK89" i="23"/>
  <c r="IH89" i="23"/>
  <c r="BQ81" i="22"/>
  <c r="ES81" i="22"/>
  <c r="GF81" i="22"/>
  <c r="CL89" i="23"/>
  <c r="BW81" i="22"/>
  <c r="EY81" i="22"/>
  <c r="GL81" i="22"/>
  <c r="CX89" i="23"/>
  <c r="IG89" i="23"/>
  <c r="BP81" i="22"/>
  <c r="ER81" i="22"/>
  <c r="GE81" i="22"/>
  <c r="CK89" i="23"/>
  <c r="BV81" i="22"/>
  <c r="EX81" i="22"/>
  <c r="GK81" i="22"/>
  <c r="CW89" i="23"/>
  <c r="IF89" i="23"/>
  <c r="BO81" i="22"/>
  <c r="EQ81" i="22"/>
  <c r="GD81" i="22"/>
  <c r="CJ89" i="23"/>
  <c r="BU81" i="22"/>
  <c r="EW81" i="22"/>
  <c r="GJ81" i="22"/>
  <c r="CV89" i="23"/>
  <c r="DH89" i="23"/>
  <c r="DB81" i="22"/>
  <c r="FE81" i="22"/>
  <c r="GB81" i="22"/>
  <c r="GX81" i="22"/>
  <c r="GZ81" i="22"/>
  <c r="DZ89" i="23"/>
  <c r="IE89" i="23"/>
  <c r="DA81" i="22"/>
  <c r="FD81" i="22"/>
  <c r="FZ81" i="22"/>
  <c r="GW81" i="22"/>
  <c r="GY81" i="22"/>
  <c r="DY89" i="23"/>
  <c r="BN81" i="22"/>
  <c r="EP81" i="22"/>
  <c r="GC81" i="22"/>
  <c r="CI89" i="23"/>
  <c r="BT81" i="22"/>
  <c r="EV81" i="22"/>
  <c r="GI81" i="22"/>
  <c r="CU89" i="23"/>
  <c r="DG89" i="23"/>
  <c r="ID89" i="23"/>
  <c r="CH89" i="23"/>
  <c r="CT89" i="23"/>
  <c r="DF89" i="23"/>
  <c r="DX89" i="23"/>
  <c r="IC89" i="23"/>
  <c r="DW89" i="23"/>
  <c r="CG89" i="23"/>
  <c r="CS89" i="23"/>
  <c r="DE89" i="23"/>
  <c r="IB89" i="23"/>
  <c r="CF89" i="23"/>
  <c r="CR89" i="23"/>
  <c r="IA89" i="23"/>
  <c r="CE89" i="23"/>
  <c r="CQ89" i="23"/>
  <c r="HZ89" i="23"/>
  <c r="CD89" i="23"/>
  <c r="CP89" i="23"/>
  <c r="DB89" i="23"/>
  <c r="DT89" i="23"/>
  <c r="HY89" i="23"/>
  <c r="DS89" i="23"/>
  <c r="CC89" i="23"/>
  <c r="CO89" i="23"/>
  <c r="DA89" i="23"/>
  <c r="HX89" i="23"/>
  <c r="AC81" i="22"/>
  <c r="CK81" i="22"/>
  <c r="CI78" i="21"/>
  <c r="FH89" i="23"/>
  <c r="HW89" i="23"/>
  <c r="CJ81" i="22"/>
  <c r="FG89" i="23"/>
  <c r="HV89" i="23"/>
  <c r="AB81" i="22"/>
  <c r="CI81" i="22"/>
  <c r="FF89" i="23"/>
  <c r="HU89" i="23"/>
  <c r="CH81" i="22"/>
  <c r="FE89" i="23"/>
  <c r="HT89" i="23"/>
  <c r="AA81" i="22"/>
  <c r="CG81" i="22"/>
  <c r="FD89" i="23"/>
  <c r="HS89" i="23"/>
  <c r="CF81" i="22"/>
  <c r="FC89" i="23"/>
  <c r="HR89" i="23"/>
  <c r="CH78" i="21"/>
  <c r="FB89" i="23"/>
  <c r="HQ89" i="23"/>
  <c r="FA89" i="23"/>
  <c r="HP89" i="23"/>
  <c r="EZ89" i="23"/>
  <c r="HO89" i="23"/>
  <c r="EY89" i="23"/>
  <c r="HN89" i="23"/>
  <c r="EX89" i="23"/>
  <c r="HM89" i="23"/>
  <c r="EW89" i="23"/>
  <c r="HL89" i="23"/>
  <c r="CG78" i="21"/>
  <c r="EV89" i="23"/>
  <c r="HK89" i="23"/>
  <c r="EU89" i="23"/>
  <c r="HJ89" i="23"/>
  <c r="ET89" i="23"/>
  <c r="HI89" i="23"/>
  <c r="ES89" i="23"/>
  <c r="HH89" i="23"/>
  <c r="ER89" i="23"/>
  <c r="HG89" i="23"/>
  <c r="EQ89" i="23"/>
  <c r="HF89" i="23"/>
  <c r="CF78" i="21"/>
  <c r="EP89" i="23"/>
  <c r="HE89" i="23"/>
  <c r="EO89" i="23"/>
  <c r="HD89" i="23"/>
  <c r="EN89" i="23"/>
  <c r="HC89" i="23"/>
  <c r="EM89" i="23"/>
  <c r="HB89" i="23"/>
  <c r="EL89" i="23"/>
  <c r="HA89" i="23"/>
  <c r="EK89" i="23"/>
  <c r="GZ89" i="23"/>
  <c r="CE78" i="21"/>
  <c r="EJ89" i="23"/>
  <c r="GY89" i="23"/>
  <c r="EI89" i="23"/>
  <c r="GX89" i="23"/>
  <c r="EH89" i="23"/>
  <c r="GW89" i="23"/>
  <c r="EG89" i="23"/>
  <c r="GV89" i="23"/>
  <c r="EF89" i="23"/>
  <c r="GU89" i="23"/>
  <c r="EE89" i="23"/>
  <c r="GT89" i="23"/>
  <c r="DM80" i="22"/>
  <c r="EF81" i="22"/>
  <c r="BP89" i="23"/>
  <c r="GS89" i="23"/>
  <c r="DL80" i="22"/>
  <c r="EE81" i="22"/>
  <c r="BO89" i="23"/>
  <c r="GR89" i="23"/>
  <c r="ED81" i="22"/>
  <c r="BN89" i="23"/>
  <c r="GQ89" i="23"/>
  <c r="EC81" i="22"/>
  <c r="BM89" i="23"/>
  <c r="GP89" i="23"/>
  <c r="EB81" i="22"/>
  <c r="BL89" i="23"/>
  <c r="GO89" i="23"/>
  <c r="EA81" i="22"/>
  <c r="BK89" i="23"/>
  <c r="GN89" i="23"/>
  <c r="BA81" i="22"/>
  <c r="AL89" i="23"/>
  <c r="BG81" i="22"/>
  <c r="AX89" i="23"/>
  <c r="BJ89" i="23"/>
  <c r="DO80" i="22"/>
  <c r="DT80" i="22"/>
  <c r="EL81" i="22"/>
  <c r="CB89" i="23"/>
  <c r="GM89" i="23"/>
  <c r="DS80" i="22"/>
  <c r="DN80" i="22"/>
  <c r="EK81" i="22"/>
  <c r="CA89" i="23"/>
  <c r="AZ81" i="22"/>
  <c r="AK89" i="23"/>
  <c r="BF81" i="22"/>
  <c r="AW89" i="23"/>
  <c r="BI89" i="23"/>
  <c r="GL89" i="23"/>
  <c r="AY81" i="22"/>
  <c r="AJ89" i="23"/>
  <c r="BE81" i="22"/>
  <c r="AV89" i="23"/>
  <c r="BH89" i="23"/>
  <c r="EJ81" i="22"/>
  <c r="BZ89" i="23"/>
  <c r="GK89" i="23"/>
  <c r="EI81" i="22"/>
  <c r="BY89" i="23"/>
  <c r="AX81" i="22"/>
  <c r="AI89" i="23"/>
  <c r="BD81" i="22"/>
  <c r="AU89" i="23"/>
  <c r="BG89" i="23"/>
  <c r="GJ89" i="23"/>
  <c r="AW81" i="22"/>
  <c r="AH89" i="23"/>
  <c r="BC81" i="22"/>
  <c r="AT89" i="23"/>
  <c r="BF89" i="23"/>
  <c r="EH81" i="22"/>
  <c r="BX89" i="23"/>
  <c r="GI89" i="23"/>
  <c r="EG81" i="22"/>
  <c r="BW89" i="23"/>
  <c r="AV81" i="22"/>
  <c r="AG89" i="23"/>
  <c r="BB81" i="22"/>
  <c r="AS89" i="23"/>
  <c r="BE89" i="23"/>
  <c r="GH89" i="23"/>
  <c r="AF89" i="23"/>
  <c r="AR89" i="23"/>
  <c r="BD89" i="23"/>
  <c r="BV89" i="23"/>
  <c r="GG89" i="23"/>
  <c r="BU89" i="23"/>
  <c r="AE89" i="23"/>
  <c r="AQ89" i="23"/>
  <c r="BC89" i="23"/>
  <c r="GF89" i="23"/>
  <c r="AD89" i="23"/>
  <c r="AP89" i="23"/>
  <c r="BB89" i="23"/>
  <c r="BT89" i="23"/>
  <c r="GE89" i="23"/>
  <c r="BS89" i="23"/>
  <c r="AC89" i="23"/>
  <c r="AO89" i="23"/>
  <c r="BA89" i="23"/>
  <c r="GD89" i="23"/>
  <c r="AB89" i="23"/>
  <c r="AN89" i="23"/>
  <c r="AZ89" i="23"/>
  <c r="BR89" i="23"/>
  <c r="GC89" i="23"/>
  <c r="BQ89" i="23"/>
  <c r="AA89" i="23"/>
  <c r="AM89" i="23"/>
  <c r="AY89" i="23"/>
  <c r="GB89" i="23"/>
  <c r="AI81" i="22"/>
  <c r="N89" i="23"/>
  <c r="AO81" i="22"/>
  <c r="Z89" i="23"/>
  <c r="GA89" i="23"/>
  <c r="AH81" i="22"/>
  <c r="M89" i="23"/>
  <c r="AN81" i="22"/>
  <c r="Y89" i="23"/>
  <c r="FZ89" i="23"/>
  <c r="AG81" i="22"/>
  <c r="L89" i="23"/>
  <c r="AM81" i="22"/>
  <c r="X89" i="23"/>
  <c r="FY89" i="23"/>
  <c r="AF81" i="22"/>
  <c r="K89" i="23"/>
  <c r="AL81" i="22"/>
  <c r="W89" i="23"/>
  <c r="FX89" i="23"/>
  <c r="AE81" i="22"/>
  <c r="J89" i="23"/>
  <c r="AK81" i="22"/>
  <c r="V89" i="23"/>
  <c r="FW89" i="23"/>
  <c r="AD81" i="22"/>
  <c r="I89" i="23"/>
  <c r="AJ81" i="22"/>
  <c r="U89" i="23"/>
  <c r="FV89" i="23"/>
  <c r="H89" i="23"/>
  <c r="T89" i="23"/>
  <c r="FU89" i="23"/>
  <c r="G89" i="23"/>
  <c r="S89" i="23"/>
  <c r="FT89" i="23"/>
  <c r="F89" i="23"/>
  <c r="R89" i="23"/>
  <c r="FS89" i="23"/>
  <c r="E89" i="23"/>
  <c r="Q89" i="23"/>
  <c r="FR89" i="23"/>
  <c r="D89" i="23"/>
  <c r="P89" i="23"/>
  <c r="FQ89" i="23"/>
  <c r="C89" i="23"/>
  <c r="O89" i="23"/>
  <c r="FP89" i="23"/>
  <c r="G71" i="22"/>
  <c r="CN71" i="22"/>
  <c r="CZ71" i="22"/>
  <c r="FG71" i="22"/>
  <c r="FT71" i="22"/>
  <c r="GV80" i="22"/>
  <c r="DR88" i="23"/>
  <c r="IO88" i="23"/>
  <c r="F71" i="22"/>
  <c r="CM71" i="22"/>
  <c r="CY71" i="22"/>
  <c r="FF71" i="22"/>
  <c r="FS71" i="22"/>
  <c r="GU80" i="22"/>
  <c r="DQ88" i="23"/>
  <c r="IN88" i="23"/>
  <c r="IM88" i="23"/>
  <c r="IL88" i="23"/>
  <c r="CX79" i="22"/>
  <c r="FC79" i="22"/>
  <c r="FX79" i="22"/>
  <c r="GR80" i="22"/>
  <c r="GT80" i="22"/>
  <c r="DN88" i="23"/>
  <c r="IK88" i="23"/>
  <c r="CW79" i="22"/>
  <c r="FB79" i="22"/>
  <c r="FV79" i="22"/>
  <c r="GQ80" i="22"/>
  <c r="GS80" i="22"/>
  <c r="DM88" i="23"/>
  <c r="IJ88" i="23"/>
  <c r="CN88" i="23"/>
  <c r="BY80" i="22"/>
  <c r="FA80" i="22"/>
  <c r="GN80" i="22"/>
  <c r="CZ88" i="23"/>
  <c r="DL88" i="23"/>
  <c r="I71" i="22"/>
  <c r="K71" i="22"/>
  <c r="CP71" i="22"/>
  <c r="CV71" i="22"/>
  <c r="DD71" i="22"/>
  <c r="FI71" i="22"/>
  <c r="FP71" i="22"/>
  <c r="HB80" i="22"/>
  <c r="ED88" i="23"/>
  <c r="II88" i="23"/>
  <c r="FO71" i="22"/>
  <c r="H71" i="22"/>
  <c r="CO71" i="22"/>
  <c r="DC71" i="22"/>
  <c r="FH71" i="22"/>
  <c r="HA80" i="22"/>
  <c r="EC88" i="23"/>
  <c r="CM88" i="23"/>
  <c r="BX80" i="22"/>
  <c r="EZ80" i="22"/>
  <c r="GM80" i="22"/>
  <c r="CY88" i="23"/>
  <c r="DK88" i="23"/>
  <c r="IH88" i="23"/>
  <c r="BQ80" i="22"/>
  <c r="ES80" i="22"/>
  <c r="GF80" i="22"/>
  <c r="CL88" i="23"/>
  <c r="BW80" i="22"/>
  <c r="EY80" i="22"/>
  <c r="GL80" i="22"/>
  <c r="CX88" i="23"/>
  <c r="IG88" i="23"/>
  <c r="BP80" i="22"/>
  <c r="ER80" i="22"/>
  <c r="GE80" i="22"/>
  <c r="CK88" i="23"/>
  <c r="BV80" i="22"/>
  <c r="EX80" i="22"/>
  <c r="GK80" i="22"/>
  <c r="CW88" i="23"/>
  <c r="IF88" i="23"/>
  <c r="BO80" i="22"/>
  <c r="EQ80" i="22"/>
  <c r="GD80" i="22"/>
  <c r="CJ88" i="23"/>
  <c r="BU80" i="22"/>
  <c r="EW80" i="22"/>
  <c r="GJ80" i="22"/>
  <c r="CV88" i="23"/>
  <c r="DH88" i="23"/>
  <c r="DB80" i="22"/>
  <c r="FE80" i="22"/>
  <c r="GB80" i="22"/>
  <c r="GX80" i="22"/>
  <c r="GZ80" i="22"/>
  <c r="DZ88" i="23"/>
  <c r="IE88" i="23"/>
  <c r="DA80" i="22"/>
  <c r="FD80" i="22"/>
  <c r="FZ80" i="22"/>
  <c r="GW80" i="22"/>
  <c r="GY80" i="22"/>
  <c r="DY88" i="23"/>
  <c r="BN80" i="22"/>
  <c r="EP80" i="22"/>
  <c r="GC80" i="22"/>
  <c r="CI88" i="23"/>
  <c r="BT80" i="22"/>
  <c r="EV80" i="22"/>
  <c r="GI80" i="22"/>
  <c r="CU88" i="23"/>
  <c r="DG88" i="23"/>
  <c r="ID88" i="23"/>
  <c r="CH88" i="23"/>
  <c r="CT88" i="23"/>
  <c r="DF88" i="23"/>
  <c r="DX88" i="23"/>
  <c r="IC88" i="23"/>
  <c r="DW88" i="23"/>
  <c r="CG88" i="23"/>
  <c r="CS88" i="23"/>
  <c r="DE88" i="23"/>
  <c r="IB88" i="23"/>
  <c r="CF88" i="23"/>
  <c r="CR88" i="23"/>
  <c r="IA88" i="23"/>
  <c r="CE88" i="23"/>
  <c r="CQ88" i="23"/>
  <c r="HZ88" i="23"/>
  <c r="CD88" i="23"/>
  <c r="CP88" i="23"/>
  <c r="DB88" i="23"/>
  <c r="DT88" i="23"/>
  <c r="HY88" i="23"/>
  <c r="DS88" i="23"/>
  <c r="CC88" i="23"/>
  <c r="CO88" i="23"/>
  <c r="DA88" i="23"/>
  <c r="HX88" i="23"/>
  <c r="AC80" i="22"/>
  <c r="CK80" i="22"/>
  <c r="CI77" i="21"/>
  <c r="FH88" i="23"/>
  <c r="HW88" i="23"/>
  <c r="CJ80" i="22"/>
  <c r="FG88" i="23"/>
  <c r="HV88" i="23"/>
  <c r="AB80" i="22"/>
  <c r="CI80" i="22"/>
  <c r="FF88" i="23"/>
  <c r="HU88" i="23"/>
  <c r="CH80" i="22"/>
  <c r="FE88" i="23"/>
  <c r="HT88" i="23"/>
  <c r="AA80" i="22"/>
  <c r="CG80" i="22"/>
  <c r="FD88" i="23"/>
  <c r="HS88" i="23"/>
  <c r="CF80" i="22"/>
  <c r="FC88" i="23"/>
  <c r="HR88" i="23"/>
  <c r="CH77" i="21"/>
  <c r="FB88" i="23"/>
  <c r="HQ88" i="23"/>
  <c r="FA88" i="23"/>
  <c r="HP88" i="23"/>
  <c r="EZ88" i="23"/>
  <c r="HO88" i="23"/>
  <c r="EY88" i="23"/>
  <c r="HN88" i="23"/>
  <c r="EX88" i="23"/>
  <c r="HM88" i="23"/>
  <c r="EW88" i="23"/>
  <c r="HL88" i="23"/>
  <c r="CG77" i="21"/>
  <c r="EV88" i="23"/>
  <c r="HK88" i="23"/>
  <c r="EU88" i="23"/>
  <c r="HJ88" i="23"/>
  <c r="ET88" i="23"/>
  <c r="HI88" i="23"/>
  <c r="ES88" i="23"/>
  <c r="HH88" i="23"/>
  <c r="ER88" i="23"/>
  <c r="HG88" i="23"/>
  <c r="EQ88" i="23"/>
  <c r="HF88" i="23"/>
  <c r="CF77" i="21"/>
  <c r="EP88" i="23"/>
  <c r="HE88" i="23"/>
  <c r="EO88" i="23"/>
  <c r="HD88" i="23"/>
  <c r="EN88" i="23"/>
  <c r="HC88" i="23"/>
  <c r="EM88" i="23"/>
  <c r="HB88" i="23"/>
  <c r="EL88" i="23"/>
  <c r="HA88" i="23"/>
  <c r="EK88" i="23"/>
  <c r="GZ88" i="23"/>
  <c r="CE77" i="21"/>
  <c r="EJ88" i="23"/>
  <c r="GY88" i="23"/>
  <c r="EI88" i="23"/>
  <c r="GX88" i="23"/>
  <c r="EH88" i="23"/>
  <c r="GW88" i="23"/>
  <c r="EG88" i="23"/>
  <c r="GV88" i="23"/>
  <c r="EF88" i="23"/>
  <c r="GU88" i="23"/>
  <c r="EE88" i="23"/>
  <c r="GT88" i="23"/>
  <c r="DM79" i="22"/>
  <c r="EF80" i="22"/>
  <c r="BP88" i="23"/>
  <c r="GS88" i="23"/>
  <c r="DL79" i="22"/>
  <c r="EE80" i="22"/>
  <c r="BO88" i="23"/>
  <c r="GR88" i="23"/>
  <c r="ED80" i="22"/>
  <c r="BN88" i="23"/>
  <c r="GQ88" i="23"/>
  <c r="EC80" i="22"/>
  <c r="BM88" i="23"/>
  <c r="GP88" i="23"/>
  <c r="EB80" i="22"/>
  <c r="BL88" i="23"/>
  <c r="GO88" i="23"/>
  <c r="EA80" i="22"/>
  <c r="BK88" i="23"/>
  <c r="GN88" i="23"/>
  <c r="BA80" i="22"/>
  <c r="AL88" i="23"/>
  <c r="BG80" i="22"/>
  <c r="AX88" i="23"/>
  <c r="BJ88" i="23"/>
  <c r="DO79" i="22"/>
  <c r="DT79" i="22"/>
  <c r="EL80" i="22"/>
  <c r="CB88" i="23"/>
  <c r="GM88" i="23"/>
  <c r="DS79" i="22"/>
  <c r="DN79" i="22"/>
  <c r="EK80" i="22"/>
  <c r="CA88" i="23"/>
  <c r="AZ80" i="22"/>
  <c r="AK88" i="23"/>
  <c r="BF80" i="22"/>
  <c r="AW88" i="23"/>
  <c r="BI88" i="23"/>
  <c r="GL88" i="23"/>
  <c r="AY80" i="22"/>
  <c r="AJ88" i="23"/>
  <c r="BE80" i="22"/>
  <c r="AV88" i="23"/>
  <c r="BH88" i="23"/>
  <c r="EJ80" i="22"/>
  <c r="BZ88" i="23"/>
  <c r="GK88" i="23"/>
  <c r="EI80" i="22"/>
  <c r="BY88" i="23"/>
  <c r="AX80" i="22"/>
  <c r="AI88" i="23"/>
  <c r="BD80" i="22"/>
  <c r="AU88" i="23"/>
  <c r="BG88" i="23"/>
  <c r="GJ88" i="23"/>
  <c r="AW80" i="22"/>
  <c r="AH88" i="23"/>
  <c r="BC80" i="22"/>
  <c r="AT88" i="23"/>
  <c r="BF88" i="23"/>
  <c r="EH80" i="22"/>
  <c r="BX88" i="23"/>
  <c r="GI88" i="23"/>
  <c r="EG80" i="22"/>
  <c r="BW88" i="23"/>
  <c r="AV80" i="22"/>
  <c r="AG88" i="23"/>
  <c r="BB80" i="22"/>
  <c r="AS88" i="23"/>
  <c r="BE88" i="23"/>
  <c r="GH88" i="23"/>
  <c r="AF88" i="23"/>
  <c r="AR88" i="23"/>
  <c r="BD88" i="23"/>
  <c r="BV88" i="23"/>
  <c r="GG88" i="23"/>
  <c r="BU88" i="23"/>
  <c r="AE88" i="23"/>
  <c r="AQ88" i="23"/>
  <c r="BC88" i="23"/>
  <c r="GF88" i="23"/>
  <c r="AD88" i="23"/>
  <c r="AP88" i="23"/>
  <c r="BB88" i="23"/>
  <c r="BT88" i="23"/>
  <c r="GE88" i="23"/>
  <c r="BS88" i="23"/>
  <c r="AC88" i="23"/>
  <c r="AO88" i="23"/>
  <c r="BA88" i="23"/>
  <c r="GD88" i="23"/>
  <c r="AB88" i="23"/>
  <c r="AN88" i="23"/>
  <c r="AZ88" i="23"/>
  <c r="BR88" i="23"/>
  <c r="GC88" i="23"/>
  <c r="BQ88" i="23"/>
  <c r="AA88" i="23"/>
  <c r="AM88" i="23"/>
  <c r="AY88" i="23"/>
  <c r="GB88" i="23"/>
  <c r="AI80" i="22"/>
  <c r="N88" i="23"/>
  <c r="AO80" i="22"/>
  <c r="Z88" i="23"/>
  <c r="GA88" i="23"/>
  <c r="AH80" i="22"/>
  <c r="M88" i="23"/>
  <c r="AN80" i="22"/>
  <c r="Y88" i="23"/>
  <c r="FZ88" i="23"/>
  <c r="AG80" i="22"/>
  <c r="L88" i="23"/>
  <c r="AM80" i="22"/>
  <c r="X88" i="23"/>
  <c r="FY88" i="23"/>
  <c r="AF80" i="22"/>
  <c r="K88" i="23"/>
  <c r="AL80" i="22"/>
  <c r="W88" i="23"/>
  <c r="FX88" i="23"/>
  <c r="AE80" i="22"/>
  <c r="J88" i="23"/>
  <c r="AK80" i="22"/>
  <c r="V88" i="23"/>
  <c r="FW88" i="23"/>
  <c r="AD80" i="22"/>
  <c r="I88" i="23"/>
  <c r="AJ80" i="22"/>
  <c r="U88" i="23"/>
  <c r="FV88" i="23"/>
  <c r="H88" i="23"/>
  <c r="T88" i="23"/>
  <c r="FU88" i="23"/>
  <c r="G88" i="23"/>
  <c r="S88" i="23"/>
  <c r="FT88" i="23"/>
  <c r="F88" i="23"/>
  <c r="R88" i="23"/>
  <c r="FS88" i="23"/>
  <c r="E88" i="23"/>
  <c r="Q88" i="23"/>
  <c r="FR88" i="23"/>
  <c r="D88" i="23"/>
  <c r="P88" i="23"/>
  <c r="FQ88" i="23"/>
  <c r="C88" i="23"/>
  <c r="O88" i="23"/>
  <c r="FP88" i="23"/>
  <c r="G70" i="22"/>
  <c r="CN70" i="22"/>
  <c r="CZ70" i="22"/>
  <c r="FG70" i="22"/>
  <c r="FT70" i="22"/>
  <c r="GV79" i="22"/>
  <c r="DR87" i="23"/>
  <c r="IO87" i="23"/>
  <c r="F70" i="22"/>
  <c r="CM70" i="22"/>
  <c r="CY70" i="22"/>
  <c r="FF70" i="22"/>
  <c r="FS70" i="22"/>
  <c r="GU79" i="22"/>
  <c r="DQ87" i="23"/>
  <c r="IN87" i="23"/>
  <c r="IM87" i="23"/>
  <c r="IL87" i="23"/>
  <c r="CX78" i="22"/>
  <c r="FC78" i="22"/>
  <c r="FX78" i="22"/>
  <c r="GR79" i="22"/>
  <c r="GT79" i="22"/>
  <c r="DN87" i="23"/>
  <c r="IK87" i="23"/>
  <c r="CW78" i="22"/>
  <c r="FB78" i="22"/>
  <c r="FV78" i="22"/>
  <c r="GQ79" i="22"/>
  <c r="GS79" i="22"/>
  <c r="DM87" i="23"/>
  <c r="IJ87" i="23"/>
  <c r="CN87" i="23"/>
  <c r="BY79" i="22"/>
  <c r="FA79" i="22"/>
  <c r="GN79" i="22"/>
  <c r="CZ87" i="23"/>
  <c r="DL87" i="23"/>
  <c r="I70" i="22"/>
  <c r="CP70" i="22"/>
  <c r="CV70" i="22"/>
  <c r="DD70" i="22"/>
  <c r="FI70" i="22"/>
  <c r="FP70" i="22"/>
  <c r="HB79" i="22"/>
  <c r="ED87" i="23"/>
  <c r="II87" i="23"/>
  <c r="FO70" i="22"/>
  <c r="H70" i="22"/>
  <c r="CO70" i="22"/>
  <c r="DC70" i="22"/>
  <c r="FH70" i="22"/>
  <c r="HA79" i="22"/>
  <c r="EC87" i="23"/>
  <c r="CM87" i="23"/>
  <c r="BX79" i="22"/>
  <c r="EZ79" i="22"/>
  <c r="GM79" i="22"/>
  <c r="CY87" i="23"/>
  <c r="DK87" i="23"/>
  <c r="IH87" i="23"/>
  <c r="BQ79" i="22"/>
  <c r="ES79" i="22"/>
  <c r="GF79" i="22"/>
  <c r="CL87" i="23"/>
  <c r="BW79" i="22"/>
  <c r="EY79" i="22"/>
  <c r="GL79" i="22"/>
  <c r="CX87" i="23"/>
  <c r="IG87" i="23"/>
  <c r="BP79" i="22"/>
  <c r="ER79" i="22"/>
  <c r="GE79" i="22"/>
  <c r="CK87" i="23"/>
  <c r="BV79" i="22"/>
  <c r="EX79" i="22"/>
  <c r="GK79" i="22"/>
  <c r="CW87" i="23"/>
  <c r="IF87" i="23"/>
  <c r="BO79" i="22"/>
  <c r="EQ79" i="22"/>
  <c r="GD79" i="22"/>
  <c r="CJ87" i="23"/>
  <c r="BU79" i="22"/>
  <c r="EW79" i="22"/>
  <c r="GJ79" i="22"/>
  <c r="CV87" i="23"/>
  <c r="DH87" i="23"/>
  <c r="DB79" i="22"/>
  <c r="FE79" i="22"/>
  <c r="GB79" i="22"/>
  <c r="GX79" i="22"/>
  <c r="GZ79" i="22"/>
  <c r="DZ87" i="23"/>
  <c r="IE87" i="23"/>
  <c r="DA79" i="22"/>
  <c r="FD79" i="22"/>
  <c r="FZ79" i="22"/>
  <c r="GW79" i="22"/>
  <c r="GY79" i="22"/>
  <c r="DY87" i="23"/>
  <c r="BN79" i="22"/>
  <c r="EP79" i="22"/>
  <c r="GC79" i="22"/>
  <c r="CI87" i="23"/>
  <c r="BT79" i="22"/>
  <c r="EV79" i="22"/>
  <c r="GI79" i="22"/>
  <c r="CU87" i="23"/>
  <c r="DG87" i="23"/>
  <c r="ID87" i="23"/>
  <c r="CH87" i="23"/>
  <c r="CT87" i="23"/>
  <c r="DF87" i="23"/>
  <c r="DX87" i="23"/>
  <c r="IC87" i="23"/>
  <c r="DW87" i="23"/>
  <c r="CG87" i="23"/>
  <c r="CS87" i="23"/>
  <c r="DE87" i="23"/>
  <c r="IB87" i="23"/>
  <c r="CF87" i="23"/>
  <c r="CR87" i="23"/>
  <c r="IA87" i="23"/>
  <c r="CE87" i="23"/>
  <c r="CQ87" i="23"/>
  <c r="HZ87" i="23"/>
  <c r="CD87" i="23"/>
  <c r="CP87" i="23"/>
  <c r="DB87" i="23"/>
  <c r="DT87" i="23"/>
  <c r="HY87" i="23"/>
  <c r="DS87" i="23"/>
  <c r="CC87" i="23"/>
  <c r="CO87" i="23"/>
  <c r="DA87" i="23"/>
  <c r="HX87" i="23"/>
  <c r="AC79" i="22"/>
  <c r="CK79" i="22"/>
  <c r="CI76" i="21"/>
  <c r="FH87" i="23"/>
  <c r="HW87" i="23"/>
  <c r="CJ79" i="22"/>
  <c r="FG87" i="23"/>
  <c r="HV87" i="23"/>
  <c r="AB79" i="22"/>
  <c r="CI79" i="22"/>
  <c r="FF87" i="23"/>
  <c r="HU87" i="23"/>
  <c r="CH79" i="22"/>
  <c r="FE87" i="23"/>
  <c r="HT87" i="23"/>
  <c r="AA79" i="22"/>
  <c r="CG79" i="22"/>
  <c r="FD87" i="23"/>
  <c r="HS87" i="23"/>
  <c r="CF79" i="22"/>
  <c r="FC87" i="23"/>
  <c r="HR87" i="23"/>
  <c r="CH76" i="21"/>
  <c r="FB87" i="23"/>
  <c r="HQ87" i="23"/>
  <c r="FA87" i="23"/>
  <c r="HP87" i="23"/>
  <c r="EZ87" i="23"/>
  <c r="HO87" i="23"/>
  <c r="EY87" i="23"/>
  <c r="HN87" i="23"/>
  <c r="EX87" i="23"/>
  <c r="HM87" i="23"/>
  <c r="EW87" i="23"/>
  <c r="HL87" i="23"/>
  <c r="CG76" i="21"/>
  <c r="EV87" i="23"/>
  <c r="HK87" i="23"/>
  <c r="EU87" i="23"/>
  <c r="HJ87" i="23"/>
  <c r="ET87" i="23"/>
  <c r="HI87" i="23"/>
  <c r="ES87" i="23"/>
  <c r="HH87" i="23"/>
  <c r="ER87" i="23"/>
  <c r="HG87" i="23"/>
  <c r="EQ87" i="23"/>
  <c r="HF87" i="23"/>
  <c r="CF76" i="21"/>
  <c r="EP87" i="23"/>
  <c r="HE87" i="23"/>
  <c r="EO87" i="23"/>
  <c r="HD87" i="23"/>
  <c r="EN87" i="23"/>
  <c r="HC87" i="23"/>
  <c r="EM87" i="23"/>
  <c r="HB87" i="23"/>
  <c r="EL87" i="23"/>
  <c r="HA87" i="23"/>
  <c r="EK87" i="23"/>
  <c r="GZ87" i="23"/>
  <c r="CE76" i="21"/>
  <c r="EJ87" i="23"/>
  <c r="GY87" i="23"/>
  <c r="EI87" i="23"/>
  <c r="GX87" i="23"/>
  <c r="EH87" i="23"/>
  <c r="GW87" i="23"/>
  <c r="EG87" i="23"/>
  <c r="GV87" i="23"/>
  <c r="EF87" i="23"/>
  <c r="GU87" i="23"/>
  <c r="EE87" i="23"/>
  <c r="GT87" i="23"/>
  <c r="DM78" i="22"/>
  <c r="EF79" i="22"/>
  <c r="BP87" i="23"/>
  <c r="GS87" i="23"/>
  <c r="DL78" i="22"/>
  <c r="EE79" i="22"/>
  <c r="BO87" i="23"/>
  <c r="GR87" i="23"/>
  <c r="ED79" i="22"/>
  <c r="BN87" i="23"/>
  <c r="GQ87" i="23"/>
  <c r="EC79" i="22"/>
  <c r="BM87" i="23"/>
  <c r="GP87" i="23"/>
  <c r="EB79" i="22"/>
  <c r="BL87" i="23"/>
  <c r="GO87" i="23"/>
  <c r="EA79" i="22"/>
  <c r="BK87" i="23"/>
  <c r="GN87" i="23"/>
  <c r="BA79" i="22"/>
  <c r="AL87" i="23"/>
  <c r="BG79" i="22"/>
  <c r="AX87" i="23"/>
  <c r="BJ87" i="23"/>
  <c r="DO78" i="22"/>
  <c r="DT78" i="22"/>
  <c r="EL79" i="22"/>
  <c r="CB87" i="23"/>
  <c r="GM87" i="23"/>
  <c r="DS78" i="22"/>
  <c r="DN78" i="22"/>
  <c r="EK79" i="22"/>
  <c r="CA87" i="23"/>
  <c r="AZ79" i="22"/>
  <c r="AK87" i="23"/>
  <c r="BF79" i="22"/>
  <c r="AW87" i="23"/>
  <c r="BI87" i="23"/>
  <c r="GL87" i="23"/>
  <c r="AY79" i="22"/>
  <c r="AJ87" i="23"/>
  <c r="BE79" i="22"/>
  <c r="AV87" i="23"/>
  <c r="BH87" i="23"/>
  <c r="EJ79" i="22"/>
  <c r="BZ87" i="23"/>
  <c r="GK87" i="23"/>
  <c r="EI79" i="22"/>
  <c r="BY87" i="23"/>
  <c r="AX79" i="22"/>
  <c r="AI87" i="23"/>
  <c r="BD79" i="22"/>
  <c r="AU87" i="23"/>
  <c r="BG87" i="23"/>
  <c r="GJ87" i="23"/>
  <c r="AW79" i="22"/>
  <c r="AH87" i="23"/>
  <c r="BC79" i="22"/>
  <c r="AT87" i="23"/>
  <c r="BF87" i="23"/>
  <c r="EH79" i="22"/>
  <c r="BX87" i="23"/>
  <c r="GI87" i="23"/>
  <c r="EG79" i="22"/>
  <c r="BW87" i="23"/>
  <c r="AV79" i="22"/>
  <c r="AG87" i="23"/>
  <c r="BB79" i="22"/>
  <c r="AS87" i="23"/>
  <c r="BE87" i="23"/>
  <c r="GH87" i="23"/>
  <c r="AF87" i="23"/>
  <c r="AR87" i="23"/>
  <c r="BD87" i="23"/>
  <c r="BV87" i="23"/>
  <c r="GG87" i="23"/>
  <c r="BU87" i="23"/>
  <c r="AE87" i="23"/>
  <c r="AQ87" i="23"/>
  <c r="BC87" i="23"/>
  <c r="GF87" i="23"/>
  <c r="AD87" i="23"/>
  <c r="AP87" i="23"/>
  <c r="BB87" i="23"/>
  <c r="BT87" i="23"/>
  <c r="GE87" i="23"/>
  <c r="BS87" i="23"/>
  <c r="AC87" i="23"/>
  <c r="AO87" i="23"/>
  <c r="BA87" i="23"/>
  <c r="GD87" i="23"/>
  <c r="AB87" i="23"/>
  <c r="AN87" i="23"/>
  <c r="AZ87" i="23"/>
  <c r="BR87" i="23"/>
  <c r="GC87" i="23"/>
  <c r="BQ87" i="23"/>
  <c r="AA87" i="23"/>
  <c r="AM87" i="23"/>
  <c r="AY87" i="23"/>
  <c r="GB87" i="23"/>
  <c r="AI79" i="22"/>
  <c r="N87" i="23"/>
  <c r="AO79" i="22"/>
  <c r="Z87" i="23"/>
  <c r="GA87" i="23"/>
  <c r="AH79" i="22"/>
  <c r="M87" i="23"/>
  <c r="AN79" i="22"/>
  <c r="Y87" i="23"/>
  <c r="FZ87" i="23"/>
  <c r="AG79" i="22"/>
  <c r="L87" i="23"/>
  <c r="AM79" i="22"/>
  <c r="X87" i="23"/>
  <c r="FY87" i="23"/>
  <c r="AF79" i="22"/>
  <c r="K87" i="23"/>
  <c r="AL79" i="22"/>
  <c r="W87" i="23"/>
  <c r="FX87" i="23"/>
  <c r="AE79" i="22"/>
  <c r="J87" i="23"/>
  <c r="AK79" i="22"/>
  <c r="V87" i="23"/>
  <c r="FW87" i="23"/>
  <c r="AD79" i="22"/>
  <c r="I87" i="23"/>
  <c r="AJ79" i="22"/>
  <c r="U87" i="23"/>
  <c r="FV87" i="23"/>
  <c r="H87" i="23"/>
  <c r="T87" i="23"/>
  <c r="FU87" i="23"/>
  <c r="G87" i="23"/>
  <c r="S87" i="23"/>
  <c r="FT87" i="23"/>
  <c r="F87" i="23"/>
  <c r="R87" i="23"/>
  <c r="FS87" i="23"/>
  <c r="E87" i="23"/>
  <c r="Q87" i="23"/>
  <c r="FR87" i="23"/>
  <c r="D87" i="23"/>
  <c r="P87" i="23"/>
  <c r="FQ87" i="23"/>
  <c r="C87" i="23"/>
  <c r="O87" i="23"/>
  <c r="FP87" i="23"/>
  <c r="G69" i="22"/>
  <c r="CN69" i="22"/>
  <c r="CZ69" i="22"/>
  <c r="FG69" i="22"/>
  <c r="FT69" i="22"/>
  <c r="GV78" i="22"/>
  <c r="DR86" i="23"/>
  <c r="IO86" i="23"/>
  <c r="F69" i="22"/>
  <c r="CM69" i="22"/>
  <c r="CY69" i="22"/>
  <c r="FF69" i="22"/>
  <c r="FS69" i="22"/>
  <c r="GU78" i="22"/>
  <c r="DQ86" i="23"/>
  <c r="IN86" i="23"/>
  <c r="IM86" i="23"/>
  <c r="IL86" i="23"/>
  <c r="CX77" i="22"/>
  <c r="FC77" i="22"/>
  <c r="FX77" i="22"/>
  <c r="GR78" i="22"/>
  <c r="GT78" i="22"/>
  <c r="DN86" i="23"/>
  <c r="IK86" i="23"/>
  <c r="CW77" i="22"/>
  <c r="FB77" i="22"/>
  <c r="FV77" i="22"/>
  <c r="GQ78" i="22"/>
  <c r="GS78" i="22"/>
  <c r="DM86" i="23"/>
  <c r="IJ86" i="23"/>
  <c r="CN86" i="23"/>
  <c r="BY78" i="22"/>
  <c r="FA78" i="22"/>
  <c r="GN78" i="22"/>
  <c r="CZ86" i="23"/>
  <c r="DL86" i="23"/>
  <c r="I69" i="22"/>
  <c r="BQ139" i="21"/>
  <c r="J69" i="22"/>
  <c r="CP69" i="22"/>
  <c r="CV69" i="22"/>
  <c r="DD69" i="22"/>
  <c r="FI69" i="22"/>
  <c r="FP69" i="22"/>
  <c r="HB78" i="22"/>
  <c r="ED86" i="23"/>
  <c r="II86" i="23"/>
  <c r="FO69" i="22"/>
  <c r="H69" i="22"/>
  <c r="CO69" i="22"/>
  <c r="DC69" i="22"/>
  <c r="FH69" i="22"/>
  <c r="HA78" i="22"/>
  <c r="EC86" i="23"/>
  <c r="CM86" i="23"/>
  <c r="BX78" i="22"/>
  <c r="EZ78" i="22"/>
  <c r="GM78" i="22"/>
  <c r="CY86" i="23"/>
  <c r="DK86" i="23"/>
  <c r="IH86" i="23"/>
  <c r="BQ78" i="22"/>
  <c r="ES78" i="22"/>
  <c r="GF78" i="22"/>
  <c r="CL86" i="23"/>
  <c r="BW78" i="22"/>
  <c r="EY78" i="22"/>
  <c r="GL78" i="22"/>
  <c r="CX86" i="23"/>
  <c r="IG86" i="23"/>
  <c r="BP78" i="22"/>
  <c r="ER78" i="22"/>
  <c r="GE78" i="22"/>
  <c r="CK86" i="23"/>
  <c r="BV78" i="22"/>
  <c r="EX78" i="22"/>
  <c r="GK78" i="22"/>
  <c r="CW86" i="23"/>
  <c r="IF86" i="23"/>
  <c r="BO78" i="22"/>
  <c r="EQ78" i="22"/>
  <c r="GD78" i="22"/>
  <c r="CJ86" i="23"/>
  <c r="BU78" i="22"/>
  <c r="EW78" i="22"/>
  <c r="GJ78" i="22"/>
  <c r="CV86" i="23"/>
  <c r="DH86" i="23"/>
  <c r="DB78" i="22"/>
  <c r="FE78" i="22"/>
  <c r="GB78" i="22"/>
  <c r="GX78" i="22"/>
  <c r="GZ78" i="22"/>
  <c r="DZ86" i="23"/>
  <c r="IE86" i="23"/>
  <c r="DA78" i="22"/>
  <c r="FD78" i="22"/>
  <c r="FZ78" i="22"/>
  <c r="GW78" i="22"/>
  <c r="GY78" i="22"/>
  <c r="DY86" i="23"/>
  <c r="BN78" i="22"/>
  <c r="EP78" i="22"/>
  <c r="GC78" i="22"/>
  <c r="CI86" i="23"/>
  <c r="BT78" i="22"/>
  <c r="EV78" i="22"/>
  <c r="GI78" i="22"/>
  <c r="CU86" i="23"/>
  <c r="DG86" i="23"/>
  <c r="ID86" i="23"/>
  <c r="CH86" i="23"/>
  <c r="CT86" i="23"/>
  <c r="DF86" i="23"/>
  <c r="DX86" i="23"/>
  <c r="IC86" i="23"/>
  <c r="DW86" i="23"/>
  <c r="CG86" i="23"/>
  <c r="CS86" i="23"/>
  <c r="DE86" i="23"/>
  <c r="IB86" i="23"/>
  <c r="CF86" i="23"/>
  <c r="CR86" i="23"/>
  <c r="IA86" i="23"/>
  <c r="CE86" i="23"/>
  <c r="CQ86" i="23"/>
  <c r="HZ86" i="23"/>
  <c r="CD86" i="23"/>
  <c r="CP86" i="23"/>
  <c r="DB86" i="23"/>
  <c r="DT86" i="23"/>
  <c r="HY86" i="23"/>
  <c r="DS86" i="23"/>
  <c r="CC86" i="23"/>
  <c r="CO86" i="23"/>
  <c r="DA86" i="23"/>
  <c r="HX86" i="23"/>
  <c r="AC78" i="22"/>
  <c r="CK78" i="22"/>
  <c r="CI75" i="21"/>
  <c r="FH86" i="23"/>
  <c r="HW86" i="23"/>
  <c r="CJ78" i="22"/>
  <c r="FG86" i="23"/>
  <c r="HV86" i="23"/>
  <c r="AB78" i="22"/>
  <c r="CI78" i="22"/>
  <c r="FF86" i="23"/>
  <c r="HU86" i="23"/>
  <c r="CH78" i="22"/>
  <c r="FE86" i="23"/>
  <c r="HT86" i="23"/>
  <c r="AA78" i="22"/>
  <c r="CG78" i="22"/>
  <c r="FD86" i="23"/>
  <c r="HS86" i="23"/>
  <c r="CF78" i="22"/>
  <c r="FC86" i="23"/>
  <c r="HR86" i="23"/>
  <c r="CH75" i="21"/>
  <c r="FB86" i="23"/>
  <c r="HQ86" i="23"/>
  <c r="FA86" i="23"/>
  <c r="HP86" i="23"/>
  <c r="EZ86" i="23"/>
  <c r="HO86" i="23"/>
  <c r="EY86" i="23"/>
  <c r="HN86" i="23"/>
  <c r="EX86" i="23"/>
  <c r="HM86" i="23"/>
  <c r="EW86" i="23"/>
  <c r="HL86" i="23"/>
  <c r="CG75" i="21"/>
  <c r="EV86" i="23"/>
  <c r="HK86" i="23"/>
  <c r="EU86" i="23"/>
  <c r="HJ86" i="23"/>
  <c r="ET86" i="23"/>
  <c r="HI86" i="23"/>
  <c r="ES86" i="23"/>
  <c r="HH86" i="23"/>
  <c r="ER86" i="23"/>
  <c r="HG86" i="23"/>
  <c r="EQ86" i="23"/>
  <c r="HF86" i="23"/>
  <c r="CF75" i="21"/>
  <c r="EP86" i="23"/>
  <c r="HE86" i="23"/>
  <c r="EO86" i="23"/>
  <c r="HD86" i="23"/>
  <c r="EN86" i="23"/>
  <c r="HC86" i="23"/>
  <c r="EM86" i="23"/>
  <c r="HB86" i="23"/>
  <c r="EL86" i="23"/>
  <c r="HA86" i="23"/>
  <c r="EK86" i="23"/>
  <c r="GZ86" i="23"/>
  <c r="CE75" i="21"/>
  <c r="EJ86" i="23"/>
  <c r="GY86" i="23"/>
  <c r="EI86" i="23"/>
  <c r="GX86" i="23"/>
  <c r="EH86" i="23"/>
  <c r="GW86" i="23"/>
  <c r="EG86" i="23"/>
  <c r="GV86" i="23"/>
  <c r="EF86" i="23"/>
  <c r="GU86" i="23"/>
  <c r="EE86" i="23"/>
  <c r="GT86" i="23"/>
  <c r="DM77" i="22"/>
  <c r="EF78" i="22"/>
  <c r="BP86" i="23"/>
  <c r="GS86" i="23"/>
  <c r="DL77" i="22"/>
  <c r="EE78" i="22"/>
  <c r="BO86" i="23"/>
  <c r="GR86" i="23"/>
  <c r="ED78" i="22"/>
  <c r="BN86" i="23"/>
  <c r="GQ86" i="23"/>
  <c r="EC78" i="22"/>
  <c r="BM86" i="23"/>
  <c r="GP86" i="23"/>
  <c r="EB78" i="22"/>
  <c r="BL86" i="23"/>
  <c r="GO86" i="23"/>
  <c r="EA78" i="22"/>
  <c r="BK86" i="23"/>
  <c r="GN86" i="23"/>
  <c r="BA78" i="22"/>
  <c r="AL86" i="23"/>
  <c r="BG78" i="22"/>
  <c r="AX86" i="23"/>
  <c r="BJ86" i="23"/>
  <c r="DO77" i="22"/>
  <c r="DT77" i="22"/>
  <c r="EL78" i="22"/>
  <c r="CB86" i="23"/>
  <c r="GM86" i="23"/>
  <c r="DS77" i="22"/>
  <c r="DN77" i="22"/>
  <c r="EK78" i="22"/>
  <c r="CA86" i="23"/>
  <c r="AZ78" i="22"/>
  <c r="AK86" i="23"/>
  <c r="BF78" i="22"/>
  <c r="AW86" i="23"/>
  <c r="BI86" i="23"/>
  <c r="GL86" i="23"/>
  <c r="AY78" i="22"/>
  <c r="AJ86" i="23"/>
  <c r="BE78" i="22"/>
  <c r="AV86" i="23"/>
  <c r="BH86" i="23"/>
  <c r="EJ78" i="22"/>
  <c r="BZ86" i="23"/>
  <c r="GK86" i="23"/>
  <c r="EI78" i="22"/>
  <c r="BY86" i="23"/>
  <c r="AX78" i="22"/>
  <c r="AI86" i="23"/>
  <c r="BD78" i="22"/>
  <c r="AU86" i="23"/>
  <c r="BG86" i="23"/>
  <c r="GJ86" i="23"/>
  <c r="AW78" i="22"/>
  <c r="AH86" i="23"/>
  <c r="BC78" i="22"/>
  <c r="AT86" i="23"/>
  <c r="BF86" i="23"/>
  <c r="EH78" i="22"/>
  <c r="BX86" i="23"/>
  <c r="GI86" i="23"/>
  <c r="EG78" i="22"/>
  <c r="BW86" i="23"/>
  <c r="AV78" i="22"/>
  <c r="AG86" i="23"/>
  <c r="BB78" i="22"/>
  <c r="AS86" i="23"/>
  <c r="BE86" i="23"/>
  <c r="GH86" i="23"/>
  <c r="AF86" i="23"/>
  <c r="AR86" i="23"/>
  <c r="BD86" i="23"/>
  <c r="BV86" i="23"/>
  <c r="GG86" i="23"/>
  <c r="BU86" i="23"/>
  <c r="AE86" i="23"/>
  <c r="AQ86" i="23"/>
  <c r="BC86" i="23"/>
  <c r="GF86" i="23"/>
  <c r="AD86" i="23"/>
  <c r="AP86" i="23"/>
  <c r="BB86" i="23"/>
  <c r="BT86" i="23"/>
  <c r="GE86" i="23"/>
  <c r="BS86" i="23"/>
  <c r="AC86" i="23"/>
  <c r="AO86" i="23"/>
  <c r="BA86" i="23"/>
  <c r="GD86" i="23"/>
  <c r="AB86" i="23"/>
  <c r="AN86" i="23"/>
  <c r="AZ86" i="23"/>
  <c r="BR86" i="23"/>
  <c r="GC86" i="23"/>
  <c r="BQ86" i="23"/>
  <c r="AA86" i="23"/>
  <c r="AM86" i="23"/>
  <c r="AY86" i="23"/>
  <c r="GB86" i="23"/>
  <c r="AI78" i="22"/>
  <c r="N86" i="23"/>
  <c r="AO78" i="22"/>
  <c r="Z86" i="23"/>
  <c r="GA86" i="23"/>
  <c r="AH78" i="22"/>
  <c r="M86" i="23"/>
  <c r="AN78" i="22"/>
  <c r="Y86" i="23"/>
  <c r="FZ86" i="23"/>
  <c r="AG78" i="22"/>
  <c r="L86" i="23"/>
  <c r="AM78" i="22"/>
  <c r="X86" i="23"/>
  <c r="FY86" i="23"/>
  <c r="AF78" i="22"/>
  <c r="K86" i="23"/>
  <c r="AL78" i="22"/>
  <c r="W86" i="23"/>
  <c r="FX86" i="23"/>
  <c r="AE78" i="22"/>
  <c r="J86" i="23"/>
  <c r="AK78" i="22"/>
  <c r="V86" i="23"/>
  <c r="FW86" i="23"/>
  <c r="AD78" i="22"/>
  <c r="I86" i="23"/>
  <c r="AJ78" i="22"/>
  <c r="U86" i="23"/>
  <c r="FV86" i="23"/>
  <c r="H86" i="23"/>
  <c r="T86" i="23"/>
  <c r="FU86" i="23"/>
  <c r="G86" i="23"/>
  <c r="S86" i="23"/>
  <c r="FT86" i="23"/>
  <c r="F86" i="23"/>
  <c r="R86" i="23"/>
  <c r="FS86" i="23"/>
  <c r="E86" i="23"/>
  <c r="Q86" i="23"/>
  <c r="FR86" i="23"/>
  <c r="D86" i="23"/>
  <c r="P86" i="23"/>
  <c r="FQ86" i="23"/>
  <c r="C86" i="23"/>
  <c r="O86" i="23"/>
  <c r="FP86" i="23"/>
  <c r="G68" i="22"/>
  <c r="CN68" i="22"/>
  <c r="CZ68" i="22"/>
  <c r="FG68" i="22"/>
  <c r="FT68" i="22"/>
  <c r="GV77" i="22"/>
  <c r="DR85" i="23"/>
  <c r="IO85" i="23"/>
  <c r="F68" i="22"/>
  <c r="CM68" i="22"/>
  <c r="CY68" i="22"/>
  <c r="FF68" i="22"/>
  <c r="FS68" i="22"/>
  <c r="GU77" i="22"/>
  <c r="DQ85" i="23"/>
  <c r="IN85" i="23"/>
  <c r="IM85" i="23"/>
  <c r="IL85" i="23"/>
  <c r="CX76" i="22"/>
  <c r="FC76" i="22"/>
  <c r="FX76" i="22"/>
  <c r="GR77" i="22"/>
  <c r="GT77" i="22"/>
  <c r="DN85" i="23"/>
  <c r="IK85" i="23"/>
  <c r="CW76" i="22"/>
  <c r="FB76" i="22"/>
  <c r="FV76" i="22"/>
  <c r="GQ77" i="22"/>
  <c r="GS77" i="22"/>
  <c r="DM85" i="23"/>
  <c r="IJ85" i="23"/>
  <c r="CN85" i="23"/>
  <c r="BY77" i="22"/>
  <c r="FA77" i="22"/>
  <c r="GN77" i="22"/>
  <c r="CZ85" i="23"/>
  <c r="DL85" i="23"/>
  <c r="I68" i="22"/>
  <c r="BQ138" i="21"/>
  <c r="J68" i="22"/>
  <c r="CP68" i="22"/>
  <c r="CV68" i="22"/>
  <c r="DD68" i="22"/>
  <c r="FI68" i="22"/>
  <c r="FP68" i="22"/>
  <c r="HB77" i="22"/>
  <c r="ED85" i="23"/>
  <c r="II85" i="23"/>
  <c r="FO68" i="22"/>
  <c r="H68" i="22"/>
  <c r="CO68" i="22"/>
  <c r="DC68" i="22"/>
  <c r="FH68" i="22"/>
  <c r="HA77" i="22"/>
  <c r="EC85" i="23"/>
  <c r="CM85" i="23"/>
  <c r="BX77" i="22"/>
  <c r="EZ77" i="22"/>
  <c r="GM77" i="22"/>
  <c r="CY85" i="23"/>
  <c r="DK85" i="23"/>
  <c r="IH85" i="23"/>
  <c r="BQ77" i="22"/>
  <c r="ES77" i="22"/>
  <c r="GF77" i="22"/>
  <c r="CL85" i="23"/>
  <c r="BW77" i="22"/>
  <c r="EY77" i="22"/>
  <c r="GL77" i="22"/>
  <c r="CX85" i="23"/>
  <c r="IG85" i="23"/>
  <c r="BP77" i="22"/>
  <c r="ER77" i="22"/>
  <c r="GE77" i="22"/>
  <c r="CK85" i="23"/>
  <c r="BV77" i="22"/>
  <c r="EX77" i="22"/>
  <c r="GK77" i="22"/>
  <c r="CW85" i="23"/>
  <c r="IF85" i="23"/>
  <c r="BO77" i="22"/>
  <c r="EQ77" i="22"/>
  <c r="GD77" i="22"/>
  <c r="CJ85" i="23"/>
  <c r="BU77" i="22"/>
  <c r="EW77" i="22"/>
  <c r="GJ77" i="22"/>
  <c r="CV85" i="23"/>
  <c r="DH85" i="23"/>
  <c r="DB77" i="22"/>
  <c r="FE77" i="22"/>
  <c r="GB77" i="22"/>
  <c r="GX77" i="22"/>
  <c r="GZ77" i="22"/>
  <c r="DZ85" i="23"/>
  <c r="IE85" i="23"/>
  <c r="DA77" i="22"/>
  <c r="FD77" i="22"/>
  <c r="FZ77" i="22"/>
  <c r="GW77" i="22"/>
  <c r="GY77" i="22"/>
  <c r="DY85" i="23"/>
  <c r="BN77" i="22"/>
  <c r="EP77" i="22"/>
  <c r="GC77" i="22"/>
  <c r="CI85" i="23"/>
  <c r="BT77" i="22"/>
  <c r="EV77" i="22"/>
  <c r="GI77" i="22"/>
  <c r="CU85" i="23"/>
  <c r="DG85" i="23"/>
  <c r="ID85" i="23"/>
  <c r="CH85" i="23"/>
  <c r="CT85" i="23"/>
  <c r="DF85" i="23"/>
  <c r="DX85" i="23"/>
  <c r="IC85" i="23"/>
  <c r="DW85" i="23"/>
  <c r="CG85" i="23"/>
  <c r="CS85" i="23"/>
  <c r="DE85" i="23"/>
  <c r="IB85" i="23"/>
  <c r="CF85" i="23"/>
  <c r="CR85" i="23"/>
  <c r="IA85" i="23"/>
  <c r="CE85" i="23"/>
  <c r="CQ85" i="23"/>
  <c r="HZ85" i="23"/>
  <c r="CD85" i="23"/>
  <c r="CP85" i="23"/>
  <c r="DB85" i="23"/>
  <c r="DT85" i="23"/>
  <c r="HY85" i="23"/>
  <c r="DS85" i="23"/>
  <c r="CC85" i="23"/>
  <c r="CO85" i="23"/>
  <c r="DA85" i="23"/>
  <c r="HX85" i="23"/>
  <c r="AC77" i="22"/>
  <c r="CK77" i="22"/>
  <c r="CI74" i="21"/>
  <c r="FH85" i="23"/>
  <c r="HW85" i="23"/>
  <c r="CJ77" i="22"/>
  <c r="FG85" i="23"/>
  <c r="HV85" i="23"/>
  <c r="AB77" i="22"/>
  <c r="CI77" i="22"/>
  <c r="FF85" i="23"/>
  <c r="HU85" i="23"/>
  <c r="CH77" i="22"/>
  <c r="FE85" i="23"/>
  <c r="HT85" i="23"/>
  <c r="AA77" i="22"/>
  <c r="CG77" i="22"/>
  <c r="FD85" i="23"/>
  <c r="HS85" i="23"/>
  <c r="CF77" i="22"/>
  <c r="FC85" i="23"/>
  <c r="HR85" i="23"/>
  <c r="CH74" i="21"/>
  <c r="FB85" i="23"/>
  <c r="HQ85" i="23"/>
  <c r="FA85" i="23"/>
  <c r="HP85" i="23"/>
  <c r="EZ85" i="23"/>
  <c r="HO85" i="23"/>
  <c r="EY85" i="23"/>
  <c r="HN85" i="23"/>
  <c r="EX85" i="23"/>
  <c r="HM85" i="23"/>
  <c r="EW85" i="23"/>
  <c r="HL85" i="23"/>
  <c r="CG74" i="21"/>
  <c r="EV85" i="23"/>
  <c r="HK85" i="23"/>
  <c r="EU85" i="23"/>
  <c r="HJ85" i="23"/>
  <c r="ET85" i="23"/>
  <c r="HI85" i="23"/>
  <c r="ES85" i="23"/>
  <c r="HH85" i="23"/>
  <c r="ER85" i="23"/>
  <c r="HG85" i="23"/>
  <c r="EQ85" i="23"/>
  <c r="HF85" i="23"/>
  <c r="CF74" i="21"/>
  <c r="EP85" i="23"/>
  <c r="HE85" i="23"/>
  <c r="EO85" i="23"/>
  <c r="HD85" i="23"/>
  <c r="EN85" i="23"/>
  <c r="HC85" i="23"/>
  <c r="EM85" i="23"/>
  <c r="HB85" i="23"/>
  <c r="EL85" i="23"/>
  <c r="HA85" i="23"/>
  <c r="EK85" i="23"/>
  <c r="GZ85" i="23"/>
  <c r="CE74" i="21"/>
  <c r="EJ85" i="23"/>
  <c r="GY85" i="23"/>
  <c r="EI85" i="23"/>
  <c r="GX85" i="23"/>
  <c r="EH85" i="23"/>
  <c r="GW85" i="23"/>
  <c r="EG85" i="23"/>
  <c r="GV85" i="23"/>
  <c r="EF85" i="23"/>
  <c r="GU85" i="23"/>
  <c r="EE85" i="23"/>
  <c r="GT85" i="23"/>
  <c r="DM76" i="22"/>
  <c r="EF77" i="22"/>
  <c r="BP85" i="23"/>
  <c r="GS85" i="23"/>
  <c r="DL76" i="22"/>
  <c r="EE77" i="22"/>
  <c r="BO85" i="23"/>
  <c r="GR85" i="23"/>
  <c r="ED77" i="22"/>
  <c r="BN85" i="23"/>
  <c r="GQ85" i="23"/>
  <c r="EC77" i="22"/>
  <c r="BM85" i="23"/>
  <c r="GP85" i="23"/>
  <c r="EB77" i="22"/>
  <c r="BL85" i="23"/>
  <c r="GO85" i="23"/>
  <c r="EA77" i="22"/>
  <c r="BK85" i="23"/>
  <c r="GN85" i="23"/>
  <c r="BA77" i="22"/>
  <c r="AL85" i="23"/>
  <c r="BG77" i="22"/>
  <c r="AX85" i="23"/>
  <c r="BJ85" i="23"/>
  <c r="DO76" i="22"/>
  <c r="DT76" i="22"/>
  <c r="EL77" i="22"/>
  <c r="CB85" i="23"/>
  <c r="GM85" i="23"/>
  <c r="DS76" i="22"/>
  <c r="DN76" i="22"/>
  <c r="EK77" i="22"/>
  <c r="CA85" i="23"/>
  <c r="AZ77" i="22"/>
  <c r="AK85" i="23"/>
  <c r="BF77" i="22"/>
  <c r="AW85" i="23"/>
  <c r="BI85" i="23"/>
  <c r="GL85" i="23"/>
  <c r="AY77" i="22"/>
  <c r="AJ85" i="23"/>
  <c r="BE77" i="22"/>
  <c r="AV85" i="23"/>
  <c r="BH85" i="23"/>
  <c r="EJ77" i="22"/>
  <c r="BZ85" i="23"/>
  <c r="GK85" i="23"/>
  <c r="EI77" i="22"/>
  <c r="BY85" i="23"/>
  <c r="AX77" i="22"/>
  <c r="AI85" i="23"/>
  <c r="BD77" i="22"/>
  <c r="AU85" i="23"/>
  <c r="BG85" i="23"/>
  <c r="GJ85" i="23"/>
  <c r="AW77" i="22"/>
  <c r="AH85" i="23"/>
  <c r="BC77" i="22"/>
  <c r="AT85" i="23"/>
  <c r="BF85" i="23"/>
  <c r="EH77" i="22"/>
  <c r="BX85" i="23"/>
  <c r="GI85" i="23"/>
  <c r="EG77" i="22"/>
  <c r="BW85" i="23"/>
  <c r="AV77" i="22"/>
  <c r="AG85" i="23"/>
  <c r="BB77" i="22"/>
  <c r="AS85" i="23"/>
  <c r="BE85" i="23"/>
  <c r="GH85" i="23"/>
  <c r="AF85" i="23"/>
  <c r="AR85" i="23"/>
  <c r="BD85" i="23"/>
  <c r="BV85" i="23"/>
  <c r="GG85" i="23"/>
  <c r="BU85" i="23"/>
  <c r="AE85" i="23"/>
  <c r="AQ85" i="23"/>
  <c r="BC85" i="23"/>
  <c r="GF85" i="23"/>
  <c r="AD85" i="23"/>
  <c r="AP85" i="23"/>
  <c r="BB85" i="23"/>
  <c r="BT85" i="23"/>
  <c r="GE85" i="23"/>
  <c r="BS85" i="23"/>
  <c r="AC85" i="23"/>
  <c r="AO85" i="23"/>
  <c r="BA85" i="23"/>
  <c r="GD85" i="23"/>
  <c r="AB85" i="23"/>
  <c r="AN85" i="23"/>
  <c r="AZ85" i="23"/>
  <c r="BR85" i="23"/>
  <c r="GC85" i="23"/>
  <c r="BQ85" i="23"/>
  <c r="AA85" i="23"/>
  <c r="AM85" i="23"/>
  <c r="AY85" i="23"/>
  <c r="GB85" i="23"/>
  <c r="AI77" i="22"/>
  <c r="N85" i="23"/>
  <c r="AO77" i="22"/>
  <c r="Z85" i="23"/>
  <c r="GA85" i="23"/>
  <c r="AH77" i="22"/>
  <c r="M85" i="23"/>
  <c r="AN77" i="22"/>
  <c r="Y85" i="23"/>
  <c r="FZ85" i="23"/>
  <c r="AG77" i="22"/>
  <c r="L85" i="23"/>
  <c r="AM77" i="22"/>
  <c r="X85" i="23"/>
  <c r="FY85" i="23"/>
  <c r="AF77" i="22"/>
  <c r="K85" i="23"/>
  <c r="AL77" i="22"/>
  <c r="W85" i="23"/>
  <c r="FX85" i="23"/>
  <c r="AE77" i="22"/>
  <c r="J85" i="23"/>
  <c r="AK77" i="22"/>
  <c r="V85" i="23"/>
  <c r="FW85" i="23"/>
  <c r="AD77" i="22"/>
  <c r="I85" i="23"/>
  <c r="AJ77" i="22"/>
  <c r="U85" i="23"/>
  <c r="FV85" i="23"/>
  <c r="H85" i="23"/>
  <c r="T85" i="23"/>
  <c r="FU85" i="23"/>
  <c r="G85" i="23"/>
  <c r="S85" i="23"/>
  <c r="FT85" i="23"/>
  <c r="F85" i="23"/>
  <c r="R85" i="23"/>
  <c r="FS85" i="23"/>
  <c r="E85" i="23"/>
  <c r="Q85" i="23"/>
  <c r="FR85" i="23"/>
  <c r="D85" i="23"/>
  <c r="P85" i="23"/>
  <c r="FQ85" i="23"/>
  <c r="C85" i="23"/>
  <c r="O85" i="23"/>
  <c r="FP85" i="23"/>
  <c r="G67" i="22"/>
  <c r="CN67" i="22"/>
  <c r="CZ67" i="22"/>
  <c r="FG67" i="22"/>
  <c r="FT67" i="22"/>
  <c r="GV76" i="22"/>
  <c r="DR84" i="23"/>
  <c r="IO84" i="23"/>
  <c r="F67" i="22"/>
  <c r="CM67" i="22"/>
  <c r="CY67" i="22"/>
  <c r="FF67" i="22"/>
  <c r="FS67" i="22"/>
  <c r="GU76" i="22"/>
  <c r="DQ84" i="23"/>
  <c r="IN84" i="23"/>
  <c r="IM84" i="23"/>
  <c r="IL84" i="23"/>
  <c r="CX75" i="22"/>
  <c r="FC75" i="22"/>
  <c r="FX75" i="22"/>
  <c r="GR76" i="22"/>
  <c r="GT76" i="22"/>
  <c r="DN84" i="23"/>
  <c r="IK84" i="23"/>
  <c r="CW75" i="22"/>
  <c r="FB75" i="22"/>
  <c r="FV75" i="22"/>
  <c r="GQ76" i="22"/>
  <c r="GS76" i="22"/>
  <c r="DM84" i="23"/>
  <c r="IJ84" i="23"/>
  <c r="CN84" i="23"/>
  <c r="BY76" i="22"/>
  <c r="FA76" i="22"/>
  <c r="GN76" i="22"/>
  <c r="CZ84" i="23"/>
  <c r="DL84" i="23"/>
  <c r="I67" i="22"/>
  <c r="BQ137" i="21"/>
  <c r="J67" i="22"/>
  <c r="CP67" i="22"/>
  <c r="CV67" i="22"/>
  <c r="DD67" i="22"/>
  <c r="FI67" i="22"/>
  <c r="FP67" i="22"/>
  <c r="HB76" i="22"/>
  <c r="ED84" i="23"/>
  <c r="II84" i="23"/>
  <c r="FO67" i="22"/>
  <c r="H67" i="22"/>
  <c r="CO67" i="22"/>
  <c r="DC67" i="22"/>
  <c r="FH67" i="22"/>
  <c r="HA76" i="22"/>
  <c r="EC84" i="23"/>
  <c r="CM84" i="23"/>
  <c r="BX76" i="22"/>
  <c r="EZ76" i="22"/>
  <c r="GM76" i="22"/>
  <c r="CY84" i="23"/>
  <c r="DK84" i="23"/>
  <c r="IH84" i="23"/>
  <c r="BQ76" i="22"/>
  <c r="ES76" i="22"/>
  <c r="GF76" i="22"/>
  <c r="CL84" i="23"/>
  <c r="BW76" i="22"/>
  <c r="EY76" i="22"/>
  <c r="GL76" i="22"/>
  <c r="CX84" i="23"/>
  <c r="IG84" i="23"/>
  <c r="BP76" i="22"/>
  <c r="ER76" i="22"/>
  <c r="GE76" i="22"/>
  <c r="CK84" i="23"/>
  <c r="BV76" i="22"/>
  <c r="EX76" i="22"/>
  <c r="GK76" i="22"/>
  <c r="CW84" i="23"/>
  <c r="IF84" i="23"/>
  <c r="BO76" i="22"/>
  <c r="EQ76" i="22"/>
  <c r="GD76" i="22"/>
  <c r="CJ84" i="23"/>
  <c r="BU76" i="22"/>
  <c r="EW76" i="22"/>
  <c r="GJ76" i="22"/>
  <c r="CV84" i="23"/>
  <c r="DH84" i="23"/>
  <c r="DB76" i="22"/>
  <c r="FE76" i="22"/>
  <c r="GB76" i="22"/>
  <c r="GX76" i="22"/>
  <c r="GZ76" i="22"/>
  <c r="DZ84" i="23"/>
  <c r="IE84" i="23"/>
  <c r="DA76" i="22"/>
  <c r="FD76" i="22"/>
  <c r="FZ76" i="22"/>
  <c r="GW76" i="22"/>
  <c r="GY76" i="22"/>
  <c r="DY84" i="23"/>
  <c r="BN76" i="22"/>
  <c r="EP76" i="22"/>
  <c r="GC76" i="22"/>
  <c r="CI84" i="23"/>
  <c r="BT76" i="22"/>
  <c r="EV76" i="22"/>
  <c r="GI76" i="22"/>
  <c r="CU84" i="23"/>
  <c r="DG84" i="23"/>
  <c r="ID84" i="23"/>
  <c r="CH84" i="23"/>
  <c r="CT84" i="23"/>
  <c r="DF84" i="23"/>
  <c r="DX84" i="23"/>
  <c r="IC84" i="23"/>
  <c r="DW84" i="23"/>
  <c r="CG84" i="23"/>
  <c r="CS84" i="23"/>
  <c r="DE84" i="23"/>
  <c r="IB84" i="23"/>
  <c r="CF84" i="23"/>
  <c r="CR84" i="23"/>
  <c r="IA84" i="23"/>
  <c r="CE84" i="23"/>
  <c r="CQ84" i="23"/>
  <c r="HZ84" i="23"/>
  <c r="CD84" i="23"/>
  <c r="CP84" i="23"/>
  <c r="DB84" i="23"/>
  <c r="DT84" i="23"/>
  <c r="HY84" i="23"/>
  <c r="DS84" i="23"/>
  <c r="CC84" i="23"/>
  <c r="CO84" i="23"/>
  <c r="DA84" i="23"/>
  <c r="HX84" i="23"/>
  <c r="AC76" i="22"/>
  <c r="CK76" i="22"/>
  <c r="CI73" i="21"/>
  <c r="FH84" i="23"/>
  <c r="HW84" i="23"/>
  <c r="CJ76" i="22"/>
  <c r="FG84" i="23"/>
  <c r="HV84" i="23"/>
  <c r="AB76" i="22"/>
  <c r="CI76" i="22"/>
  <c r="FF84" i="23"/>
  <c r="HU84" i="23"/>
  <c r="CH76" i="22"/>
  <c r="FE84" i="23"/>
  <c r="HT84" i="23"/>
  <c r="AA76" i="22"/>
  <c r="CG76" i="22"/>
  <c r="FD84" i="23"/>
  <c r="HS84" i="23"/>
  <c r="CF76" i="22"/>
  <c r="FC84" i="23"/>
  <c r="HR84" i="23"/>
  <c r="CH73" i="21"/>
  <c r="FB84" i="23"/>
  <c r="HQ84" i="23"/>
  <c r="FA84" i="23"/>
  <c r="HP84" i="23"/>
  <c r="EZ84" i="23"/>
  <c r="HO84" i="23"/>
  <c r="EY84" i="23"/>
  <c r="HN84" i="23"/>
  <c r="EX84" i="23"/>
  <c r="HM84" i="23"/>
  <c r="EW84" i="23"/>
  <c r="HL84" i="23"/>
  <c r="CG73" i="21"/>
  <c r="EV84" i="23"/>
  <c r="HK84" i="23"/>
  <c r="EU84" i="23"/>
  <c r="HJ84" i="23"/>
  <c r="ET84" i="23"/>
  <c r="HI84" i="23"/>
  <c r="ES84" i="23"/>
  <c r="HH84" i="23"/>
  <c r="ER84" i="23"/>
  <c r="HG84" i="23"/>
  <c r="EQ84" i="23"/>
  <c r="HF84" i="23"/>
  <c r="CF73" i="21"/>
  <c r="EP84" i="23"/>
  <c r="HE84" i="23"/>
  <c r="EO84" i="23"/>
  <c r="HD84" i="23"/>
  <c r="EN84" i="23"/>
  <c r="HC84" i="23"/>
  <c r="EM84" i="23"/>
  <c r="HB84" i="23"/>
  <c r="EL84" i="23"/>
  <c r="HA84" i="23"/>
  <c r="EK84" i="23"/>
  <c r="GZ84" i="23"/>
  <c r="CE73" i="21"/>
  <c r="EJ84" i="23"/>
  <c r="GY84" i="23"/>
  <c r="EI84" i="23"/>
  <c r="GX84" i="23"/>
  <c r="EH84" i="23"/>
  <c r="GW84" i="23"/>
  <c r="EG84" i="23"/>
  <c r="GV84" i="23"/>
  <c r="EF84" i="23"/>
  <c r="GU84" i="23"/>
  <c r="EE84" i="23"/>
  <c r="GT84" i="23"/>
  <c r="DM75" i="22"/>
  <c r="EF76" i="22"/>
  <c r="BP84" i="23"/>
  <c r="GS84" i="23"/>
  <c r="DL75" i="22"/>
  <c r="EE76" i="22"/>
  <c r="BO84" i="23"/>
  <c r="GR84" i="23"/>
  <c r="ED76" i="22"/>
  <c r="BN84" i="23"/>
  <c r="GQ84" i="23"/>
  <c r="EC76" i="22"/>
  <c r="BM84" i="23"/>
  <c r="GP84" i="23"/>
  <c r="EB76" i="22"/>
  <c r="BL84" i="23"/>
  <c r="GO84" i="23"/>
  <c r="EA76" i="22"/>
  <c r="BK84" i="23"/>
  <c r="GN84" i="23"/>
  <c r="BA76" i="22"/>
  <c r="AL84" i="23"/>
  <c r="BG76" i="22"/>
  <c r="AX84" i="23"/>
  <c r="BJ84" i="23"/>
  <c r="DO75" i="22"/>
  <c r="DT75" i="22"/>
  <c r="EL76" i="22"/>
  <c r="CB84" i="23"/>
  <c r="GM84" i="23"/>
  <c r="DS75" i="22"/>
  <c r="DN75" i="22"/>
  <c r="EK76" i="22"/>
  <c r="CA84" i="23"/>
  <c r="AZ76" i="22"/>
  <c r="AK84" i="23"/>
  <c r="BF76" i="22"/>
  <c r="AW84" i="23"/>
  <c r="BI84" i="23"/>
  <c r="GL84" i="23"/>
  <c r="AY76" i="22"/>
  <c r="AJ84" i="23"/>
  <c r="BE76" i="22"/>
  <c r="AV84" i="23"/>
  <c r="BH84" i="23"/>
  <c r="EJ76" i="22"/>
  <c r="BZ84" i="23"/>
  <c r="GK84" i="23"/>
  <c r="EI76" i="22"/>
  <c r="BY84" i="23"/>
  <c r="AX76" i="22"/>
  <c r="AI84" i="23"/>
  <c r="BD76" i="22"/>
  <c r="AU84" i="23"/>
  <c r="BG84" i="23"/>
  <c r="GJ84" i="23"/>
  <c r="AW76" i="22"/>
  <c r="AH84" i="23"/>
  <c r="BC76" i="22"/>
  <c r="AT84" i="23"/>
  <c r="BF84" i="23"/>
  <c r="EH76" i="22"/>
  <c r="BX84" i="23"/>
  <c r="GI84" i="23"/>
  <c r="EG76" i="22"/>
  <c r="BW84" i="23"/>
  <c r="AV76" i="22"/>
  <c r="AG84" i="23"/>
  <c r="BB76" i="22"/>
  <c r="AS84" i="23"/>
  <c r="BE84" i="23"/>
  <c r="GH84" i="23"/>
  <c r="AF84" i="23"/>
  <c r="AR84" i="23"/>
  <c r="BD84" i="23"/>
  <c r="BV84" i="23"/>
  <c r="GG84" i="23"/>
  <c r="BU84" i="23"/>
  <c r="AE84" i="23"/>
  <c r="AQ84" i="23"/>
  <c r="BC84" i="23"/>
  <c r="GF84" i="23"/>
  <c r="AD84" i="23"/>
  <c r="AP84" i="23"/>
  <c r="BB84" i="23"/>
  <c r="BT84" i="23"/>
  <c r="GE84" i="23"/>
  <c r="BS84" i="23"/>
  <c r="AC84" i="23"/>
  <c r="AO84" i="23"/>
  <c r="BA84" i="23"/>
  <c r="GD84" i="23"/>
  <c r="AB84" i="23"/>
  <c r="AN84" i="23"/>
  <c r="AZ84" i="23"/>
  <c r="BR84" i="23"/>
  <c r="GC84" i="23"/>
  <c r="BQ84" i="23"/>
  <c r="AA84" i="23"/>
  <c r="AM84" i="23"/>
  <c r="AY84" i="23"/>
  <c r="GB84" i="23"/>
  <c r="AI76" i="22"/>
  <c r="N84" i="23"/>
  <c r="AO76" i="22"/>
  <c r="Z84" i="23"/>
  <c r="GA84" i="23"/>
  <c r="AH76" i="22"/>
  <c r="M84" i="23"/>
  <c r="AN76" i="22"/>
  <c r="Y84" i="23"/>
  <c r="FZ84" i="23"/>
  <c r="AG76" i="22"/>
  <c r="L84" i="23"/>
  <c r="AM76" i="22"/>
  <c r="X84" i="23"/>
  <c r="FY84" i="23"/>
  <c r="AF76" i="22"/>
  <c r="K84" i="23"/>
  <c r="AL76" i="22"/>
  <c r="W84" i="23"/>
  <c r="FX84" i="23"/>
  <c r="AE76" i="22"/>
  <c r="J84" i="23"/>
  <c r="AK76" i="22"/>
  <c r="V84" i="23"/>
  <c r="FW84" i="23"/>
  <c r="AD76" i="22"/>
  <c r="I84" i="23"/>
  <c r="AJ76" i="22"/>
  <c r="U84" i="23"/>
  <c r="FV84" i="23"/>
  <c r="H84" i="23"/>
  <c r="T84" i="23"/>
  <c r="FU84" i="23"/>
  <c r="G84" i="23"/>
  <c r="S84" i="23"/>
  <c r="FT84" i="23"/>
  <c r="F84" i="23"/>
  <c r="R84" i="23"/>
  <c r="FS84" i="23"/>
  <c r="E84" i="23"/>
  <c r="Q84" i="23"/>
  <c r="FR84" i="23"/>
  <c r="D84" i="23"/>
  <c r="P84" i="23"/>
  <c r="FQ84" i="23"/>
  <c r="C84" i="23"/>
  <c r="O84" i="23"/>
  <c r="FP84" i="23"/>
  <c r="G66" i="22"/>
  <c r="CN66" i="22"/>
  <c r="CZ66" i="22"/>
  <c r="FG66" i="22"/>
  <c r="FT66" i="22"/>
  <c r="GV75" i="22"/>
  <c r="DR83" i="23"/>
  <c r="IO83" i="23"/>
  <c r="F66" i="22"/>
  <c r="CM66" i="22"/>
  <c r="CY66" i="22"/>
  <c r="FF66" i="22"/>
  <c r="FS66" i="22"/>
  <c r="GU75" i="22"/>
  <c r="DQ83" i="23"/>
  <c r="IN83" i="23"/>
  <c r="IM83" i="23"/>
  <c r="IL83" i="23"/>
  <c r="CX74" i="22"/>
  <c r="FC74" i="22"/>
  <c r="FX74" i="22"/>
  <c r="GR75" i="22"/>
  <c r="GT75" i="22"/>
  <c r="DN83" i="23"/>
  <c r="IK83" i="23"/>
  <c r="CW74" i="22"/>
  <c r="FB74" i="22"/>
  <c r="FV74" i="22"/>
  <c r="GQ75" i="22"/>
  <c r="GS75" i="22"/>
  <c r="DM83" i="23"/>
  <c r="IJ83" i="23"/>
  <c r="CN83" i="23"/>
  <c r="BY75" i="22"/>
  <c r="FA75" i="22"/>
  <c r="GN75" i="22"/>
  <c r="CZ83" i="23"/>
  <c r="DL83" i="23"/>
  <c r="I66" i="22"/>
  <c r="BQ136" i="21"/>
  <c r="J66" i="22"/>
  <c r="CP66" i="22"/>
  <c r="CV66" i="22"/>
  <c r="DD66" i="22"/>
  <c r="FI66" i="22"/>
  <c r="FP66" i="22"/>
  <c r="HB75" i="22"/>
  <c r="ED83" i="23"/>
  <c r="II83" i="23"/>
  <c r="FO66" i="22"/>
  <c r="H66" i="22"/>
  <c r="CO66" i="22"/>
  <c r="DC66" i="22"/>
  <c r="FH66" i="22"/>
  <c r="HA75" i="22"/>
  <c r="EC83" i="23"/>
  <c r="CM83" i="23"/>
  <c r="BX75" i="22"/>
  <c r="EZ75" i="22"/>
  <c r="GM75" i="22"/>
  <c r="CY83" i="23"/>
  <c r="DK83" i="23"/>
  <c r="IH83" i="23"/>
  <c r="BQ75" i="22"/>
  <c r="ES75" i="22"/>
  <c r="GF75" i="22"/>
  <c r="CL83" i="23"/>
  <c r="BW75" i="22"/>
  <c r="EY75" i="22"/>
  <c r="GL75" i="22"/>
  <c r="CX83" i="23"/>
  <c r="IG83" i="23"/>
  <c r="BP75" i="22"/>
  <c r="ER75" i="22"/>
  <c r="GE75" i="22"/>
  <c r="CK83" i="23"/>
  <c r="BV75" i="22"/>
  <c r="EX75" i="22"/>
  <c r="GK75" i="22"/>
  <c r="CW83" i="23"/>
  <c r="IF83" i="23"/>
  <c r="BO75" i="22"/>
  <c r="EQ75" i="22"/>
  <c r="GD75" i="22"/>
  <c r="CJ83" i="23"/>
  <c r="BU75" i="22"/>
  <c r="EW75" i="22"/>
  <c r="GJ75" i="22"/>
  <c r="CV83" i="23"/>
  <c r="DH83" i="23"/>
  <c r="DB75" i="22"/>
  <c r="FE75" i="22"/>
  <c r="GB75" i="22"/>
  <c r="GX75" i="22"/>
  <c r="GZ75" i="22"/>
  <c r="DZ83" i="23"/>
  <c r="IE83" i="23"/>
  <c r="DA75" i="22"/>
  <c r="FD75" i="22"/>
  <c r="FZ75" i="22"/>
  <c r="GW75" i="22"/>
  <c r="GY75" i="22"/>
  <c r="DY83" i="23"/>
  <c r="BN75" i="22"/>
  <c r="EP75" i="22"/>
  <c r="GC75" i="22"/>
  <c r="CI83" i="23"/>
  <c r="BT75" i="22"/>
  <c r="EV75" i="22"/>
  <c r="GI75" i="22"/>
  <c r="CU83" i="23"/>
  <c r="DG83" i="23"/>
  <c r="ID83" i="23"/>
  <c r="CH83" i="23"/>
  <c r="CT83" i="23"/>
  <c r="DF83" i="23"/>
  <c r="DX83" i="23"/>
  <c r="IC83" i="23"/>
  <c r="DW83" i="23"/>
  <c r="CG83" i="23"/>
  <c r="CS83" i="23"/>
  <c r="DE83" i="23"/>
  <c r="IB83" i="23"/>
  <c r="CF83" i="23"/>
  <c r="CR83" i="23"/>
  <c r="IA83" i="23"/>
  <c r="CE83" i="23"/>
  <c r="CQ83" i="23"/>
  <c r="HZ83" i="23"/>
  <c r="CD83" i="23"/>
  <c r="CP83" i="23"/>
  <c r="DB83" i="23"/>
  <c r="DT83" i="23"/>
  <c r="HY83" i="23"/>
  <c r="DS83" i="23"/>
  <c r="CC83" i="23"/>
  <c r="CO83" i="23"/>
  <c r="DA83" i="23"/>
  <c r="HX83" i="23"/>
  <c r="AC75" i="22"/>
  <c r="CK75" i="22"/>
  <c r="CI72" i="21"/>
  <c r="FH83" i="23"/>
  <c r="HW83" i="23"/>
  <c r="CJ75" i="22"/>
  <c r="FG83" i="23"/>
  <c r="HV83" i="23"/>
  <c r="AB75" i="22"/>
  <c r="CI75" i="22"/>
  <c r="FF83" i="23"/>
  <c r="HU83" i="23"/>
  <c r="CH75" i="22"/>
  <c r="FE83" i="23"/>
  <c r="HT83" i="23"/>
  <c r="AA75" i="22"/>
  <c r="CG75" i="22"/>
  <c r="FD83" i="23"/>
  <c r="HS83" i="23"/>
  <c r="CF75" i="22"/>
  <c r="FC83" i="23"/>
  <c r="HR83" i="23"/>
  <c r="CH72" i="21"/>
  <c r="FB83" i="23"/>
  <c r="HQ83" i="23"/>
  <c r="FA83" i="23"/>
  <c r="HP83" i="23"/>
  <c r="EZ83" i="23"/>
  <c r="HO83" i="23"/>
  <c r="EY83" i="23"/>
  <c r="HN83" i="23"/>
  <c r="EX83" i="23"/>
  <c r="HM83" i="23"/>
  <c r="EW83" i="23"/>
  <c r="HL83" i="23"/>
  <c r="CG72" i="21"/>
  <c r="EV83" i="23"/>
  <c r="HK83" i="23"/>
  <c r="EU83" i="23"/>
  <c r="HJ83" i="23"/>
  <c r="ET83" i="23"/>
  <c r="HI83" i="23"/>
  <c r="ES83" i="23"/>
  <c r="HH83" i="23"/>
  <c r="ER83" i="23"/>
  <c r="HG83" i="23"/>
  <c r="EQ83" i="23"/>
  <c r="HF83" i="23"/>
  <c r="CF72" i="21"/>
  <c r="EP83" i="23"/>
  <c r="HE83" i="23"/>
  <c r="EO83" i="23"/>
  <c r="HD83" i="23"/>
  <c r="EN83" i="23"/>
  <c r="HC83" i="23"/>
  <c r="EM83" i="23"/>
  <c r="HB83" i="23"/>
  <c r="EL83" i="23"/>
  <c r="HA83" i="23"/>
  <c r="EK83" i="23"/>
  <c r="GZ83" i="23"/>
  <c r="CE72" i="21"/>
  <c r="EJ83" i="23"/>
  <c r="GY83" i="23"/>
  <c r="EI83" i="23"/>
  <c r="GX83" i="23"/>
  <c r="EH83" i="23"/>
  <c r="GW83" i="23"/>
  <c r="EG83" i="23"/>
  <c r="GV83" i="23"/>
  <c r="EF83" i="23"/>
  <c r="GU83" i="23"/>
  <c r="EE83" i="23"/>
  <c r="GT83" i="23"/>
  <c r="DM74" i="22"/>
  <c r="EF75" i="22"/>
  <c r="BP83" i="23"/>
  <c r="GS83" i="23"/>
  <c r="DL74" i="22"/>
  <c r="EE75" i="22"/>
  <c r="BO83" i="23"/>
  <c r="GR83" i="23"/>
  <c r="ED75" i="22"/>
  <c r="BN83" i="23"/>
  <c r="GQ83" i="23"/>
  <c r="EC75" i="22"/>
  <c r="BM83" i="23"/>
  <c r="GP83" i="23"/>
  <c r="EB75" i="22"/>
  <c r="BL83" i="23"/>
  <c r="GO83" i="23"/>
  <c r="EA75" i="22"/>
  <c r="BK83" i="23"/>
  <c r="GN83" i="23"/>
  <c r="BA75" i="22"/>
  <c r="AL83" i="23"/>
  <c r="BG75" i="22"/>
  <c r="AX83" i="23"/>
  <c r="BJ83" i="23"/>
  <c r="DO74" i="22"/>
  <c r="DT74" i="22"/>
  <c r="EL75" i="22"/>
  <c r="CB83" i="23"/>
  <c r="GM83" i="23"/>
  <c r="DS74" i="22"/>
  <c r="DN74" i="22"/>
  <c r="EK75" i="22"/>
  <c r="CA83" i="23"/>
  <c r="AZ75" i="22"/>
  <c r="AK83" i="23"/>
  <c r="BF75" i="22"/>
  <c r="AW83" i="23"/>
  <c r="BI83" i="23"/>
  <c r="GL83" i="23"/>
  <c r="AY75" i="22"/>
  <c r="AJ83" i="23"/>
  <c r="BE75" i="22"/>
  <c r="AV83" i="23"/>
  <c r="BH83" i="23"/>
  <c r="EJ75" i="22"/>
  <c r="BZ83" i="23"/>
  <c r="GK83" i="23"/>
  <c r="EI75" i="22"/>
  <c r="BY83" i="23"/>
  <c r="AX75" i="22"/>
  <c r="AI83" i="23"/>
  <c r="BD75" i="22"/>
  <c r="AU83" i="23"/>
  <c r="BG83" i="23"/>
  <c r="GJ83" i="23"/>
  <c r="AW75" i="22"/>
  <c r="AH83" i="23"/>
  <c r="BC75" i="22"/>
  <c r="AT83" i="23"/>
  <c r="BF83" i="23"/>
  <c r="EH75" i="22"/>
  <c r="BX83" i="23"/>
  <c r="GI83" i="23"/>
  <c r="EG75" i="22"/>
  <c r="BW83" i="23"/>
  <c r="AV75" i="22"/>
  <c r="AG83" i="23"/>
  <c r="BB75" i="22"/>
  <c r="AS83" i="23"/>
  <c r="BE83" i="23"/>
  <c r="GH83" i="23"/>
  <c r="AF83" i="23"/>
  <c r="AR83" i="23"/>
  <c r="BD83" i="23"/>
  <c r="BV83" i="23"/>
  <c r="GG83" i="23"/>
  <c r="BU83" i="23"/>
  <c r="AE83" i="23"/>
  <c r="AQ83" i="23"/>
  <c r="BC83" i="23"/>
  <c r="GF83" i="23"/>
  <c r="AD83" i="23"/>
  <c r="AP83" i="23"/>
  <c r="BB83" i="23"/>
  <c r="BT83" i="23"/>
  <c r="GE83" i="23"/>
  <c r="BS83" i="23"/>
  <c r="AC83" i="23"/>
  <c r="AO83" i="23"/>
  <c r="BA83" i="23"/>
  <c r="GD83" i="23"/>
  <c r="AB83" i="23"/>
  <c r="AN83" i="23"/>
  <c r="AZ83" i="23"/>
  <c r="BR83" i="23"/>
  <c r="GC83" i="23"/>
  <c r="BQ83" i="23"/>
  <c r="AA83" i="23"/>
  <c r="AM83" i="23"/>
  <c r="AY83" i="23"/>
  <c r="GB83" i="23"/>
  <c r="AI75" i="22"/>
  <c r="N83" i="23"/>
  <c r="AO75" i="22"/>
  <c r="Z83" i="23"/>
  <c r="GA83" i="23"/>
  <c r="AH75" i="22"/>
  <c r="M83" i="23"/>
  <c r="AN75" i="22"/>
  <c r="Y83" i="23"/>
  <c r="FZ83" i="23"/>
  <c r="AG75" i="22"/>
  <c r="L83" i="23"/>
  <c r="AM75" i="22"/>
  <c r="X83" i="23"/>
  <c r="FY83" i="23"/>
  <c r="AF75" i="22"/>
  <c r="K83" i="23"/>
  <c r="AL75" i="22"/>
  <c r="W83" i="23"/>
  <c r="FX83" i="23"/>
  <c r="AE75" i="22"/>
  <c r="J83" i="23"/>
  <c r="AK75" i="22"/>
  <c r="V83" i="23"/>
  <c r="FW83" i="23"/>
  <c r="AD75" i="22"/>
  <c r="I83" i="23"/>
  <c r="AJ75" i="22"/>
  <c r="U83" i="23"/>
  <c r="FV83" i="23"/>
  <c r="H83" i="23"/>
  <c r="T83" i="23"/>
  <c r="FU83" i="23"/>
  <c r="G83" i="23"/>
  <c r="S83" i="23"/>
  <c r="FT83" i="23"/>
  <c r="F83" i="23"/>
  <c r="R83" i="23"/>
  <c r="FS83" i="23"/>
  <c r="E83" i="23"/>
  <c r="Q83" i="23"/>
  <c r="FR83" i="23"/>
  <c r="D83" i="23"/>
  <c r="P83" i="23"/>
  <c r="FQ83" i="23"/>
  <c r="C83" i="23"/>
  <c r="O83" i="23"/>
  <c r="FP83" i="23"/>
  <c r="G65" i="22"/>
  <c r="CN65" i="22"/>
  <c r="CZ65" i="22"/>
  <c r="FG65" i="22"/>
  <c r="FT65" i="22"/>
  <c r="GV74" i="22"/>
  <c r="DR82" i="23"/>
  <c r="IO82" i="23"/>
  <c r="F65" i="22"/>
  <c r="CM65" i="22"/>
  <c r="CY65" i="22"/>
  <c r="FF65" i="22"/>
  <c r="FS65" i="22"/>
  <c r="GU74" i="22"/>
  <c r="DQ82" i="23"/>
  <c r="IN82" i="23"/>
  <c r="IM82" i="23"/>
  <c r="IL82" i="23"/>
  <c r="CX73" i="22"/>
  <c r="FC73" i="22"/>
  <c r="FX73" i="22"/>
  <c r="GR74" i="22"/>
  <c r="GT74" i="22"/>
  <c r="DN82" i="23"/>
  <c r="IK82" i="23"/>
  <c r="CW73" i="22"/>
  <c r="FB73" i="22"/>
  <c r="FV73" i="22"/>
  <c r="GQ74" i="22"/>
  <c r="GS74" i="22"/>
  <c r="DM82" i="23"/>
  <c r="IJ82" i="23"/>
  <c r="CN82" i="23"/>
  <c r="BY74" i="22"/>
  <c r="FA74" i="22"/>
  <c r="GN74" i="22"/>
  <c r="CZ82" i="23"/>
  <c r="DL82" i="23"/>
  <c r="I65" i="22"/>
  <c r="BQ135" i="21"/>
  <c r="J65" i="22"/>
  <c r="CP65" i="22"/>
  <c r="CV65" i="22"/>
  <c r="DD65" i="22"/>
  <c r="FI65" i="22"/>
  <c r="FP65" i="22"/>
  <c r="HB74" i="22"/>
  <c r="ED82" i="23"/>
  <c r="II82" i="23"/>
  <c r="FO65" i="22"/>
  <c r="H65" i="22"/>
  <c r="CO65" i="22"/>
  <c r="DC65" i="22"/>
  <c r="FH65" i="22"/>
  <c r="HA74" i="22"/>
  <c r="EC82" i="23"/>
  <c r="CM82" i="23"/>
  <c r="BX74" i="22"/>
  <c r="EZ74" i="22"/>
  <c r="GM74" i="22"/>
  <c r="CY82" i="23"/>
  <c r="DK82" i="23"/>
  <c r="IH82" i="23"/>
  <c r="BQ74" i="22"/>
  <c r="ES74" i="22"/>
  <c r="GF74" i="22"/>
  <c r="CL82" i="23"/>
  <c r="BW74" i="22"/>
  <c r="EY74" i="22"/>
  <c r="GL74" i="22"/>
  <c r="CX82" i="23"/>
  <c r="IG82" i="23"/>
  <c r="BP74" i="22"/>
  <c r="ER74" i="22"/>
  <c r="GE74" i="22"/>
  <c r="CK82" i="23"/>
  <c r="BV74" i="22"/>
  <c r="EX74" i="22"/>
  <c r="GK74" i="22"/>
  <c r="CW82" i="23"/>
  <c r="IF82" i="23"/>
  <c r="BO74" i="22"/>
  <c r="EQ74" i="22"/>
  <c r="GD74" i="22"/>
  <c r="CJ82" i="23"/>
  <c r="BU74" i="22"/>
  <c r="EW74" i="22"/>
  <c r="GJ74" i="22"/>
  <c r="CV82" i="23"/>
  <c r="DH82" i="23"/>
  <c r="DB74" i="22"/>
  <c r="FE74" i="22"/>
  <c r="GB74" i="22"/>
  <c r="GX74" i="22"/>
  <c r="GZ74" i="22"/>
  <c r="DZ82" i="23"/>
  <c r="IE82" i="23"/>
  <c r="DA74" i="22"/>
  <c r="FD74" i="22"/>
  <c r="FZ74" i="22"/>
  <c r="GW74" i="22"/>
  <c r="GY74" i="22"/>
  <c r="DY82" i="23"/>
  <c r="BN74" i="22"/>
  <c r="EP74" i="22"/>
  <c r="GC74" i="22"/>
  <c r="CI82" i="23"/>
  <c r="BT74" i="22"/>
  <c r="EV74" i="22"/>
  <c r="GI74" i="22"/>
  <c r="CU82" i="23"/>
  <c r="DG82" i="23"/>
  <c r="ID82" i="23"/>
  <c r="CH82" i="23"/>
  <c r="CT82" i="23"/>
  <c r="DF82" i="23"/>
  <c r="DX82" i="23"/>
  <c r="IC82" i="23"/>
  <c r="DW82" i="23"/>
  <c r="CG82" i="23"/>
  <c r="CS82" i="23"/>
  <c r="DE82" i="23"/>
  <c r="IB82" i="23"/>
  <c r="CF82" i="23"/>
  <c r="CR82" i="23"/>
  <c r="IA82" i="23"/>
  <c r="CE82" i="23"/>
  <c r="CQ82" i="23"/>
  <c r="HZ82" i="23"/>
  <c r="CD82" i="23"/>
  <c r="CP82" i="23"/>
  <c r="DB82" i="23"/>
  <c r="DT82" i="23"/>
  <c r="HY82" i="23"/>
  <c r="DS82" i="23"/>
  <c r="CC82" i="23"/>
  <c r="CO82" i="23"/>
  <c r="DA82" i="23"/>
  <c r="HX82" i="23"/>
  <c r="AC74" i="22"/>
  <c r="CK74" i="22"/>
  <c r="CI71" i="21"/>
  <c r="FH82" i="23"/>
  <c r="HW82" i="23"/>
  <c r="CJ74" i="22"/>
  <c r="FG82" i="23"/>
  <c r="HV82" i="23"/>
  <c r="AB74" i="22"/>
  <c r="CI74" i="22"/>
  <c r="FF82" i="23"/>
  <c r="HU82" i="23"/>
  <c r="CH74" i="22"/>
  <c r="FE82" i="23"/>
  <c r="HT82" i="23"/>
  <c r="AA74" i="22"/>
  <c r="CG74" i="22"/>
  <c r="FD82" i="23"/>
  <c r="HS82" i="23"/>
  <c r="CF74" i="22"/>
  <c r="FC82" i="23"/>
  <c r="HR82" i="23"/>
  <c r="CH71" i="21"/>
  <c r="FB82" i="23"/>
  <c r="HQ82" i="23"/>
  <c r="FA82" i="23"/>
  <c r="HP82" i="23"/>
  <c r="EZ82" i="23"/>
  <c r="HO82" i="23"/>
  <c r="EY82" i="23"/>
  <c r="HN82" i="23"/>
  <c r="EX82" i="23"/>
  <c r="HM82" i="23"/>
  <c r="EW82" i="23"/>
  <c r="HL82" i="23"/>
  <c r="CG71" i="21"/>
  <c r="EV82" i="23"/>
  <c r="HK82" i="23"/>
  <c r="EU82" i="23"/>
  <c r="HJ82" i="23"/>
  <c r="ET82" i="23"/>
  <c r="HI82" i="23"/>
  <c r="ES82" i="23"/>
  <c r="HH82" i="23"/>
  <c r="ER82" i="23"/>
  <c r="HG82" i="23"/>
  <c r="EQ82" i="23"/>
  <c r="HF82" i="23"/>
  <c r="CF71" i="21"/>
  <c r="EP82" i="23"/>
  <c r="HE82" i="23"/>
  <c r="EO82" i="23"/>
  <c r="HD82" i="23"/>
  <c r="EN82" i="23"/>
  <c r="HC82" i="23"/>
  <c r="EM82" i="23"/>
  <c r="HB82" i="23"/>
  <c r="EL82" i="23"/>
  <c r="HA82" i="23"/>
  <c r="EK82" i="23"/>
  <c r="GZ82" i="23"/>
  <c r="CE71" i="21"/>
  <c r="EJ82" i="23"/>
  <c r="GY82" i="23"/>
  <c r="EI82" i="23"/>
  <c r="GX82" i="23"/>
  <c r="EH82" i="23"/>
  <c r="GW82" i="23"/>
  <c r="EG82" i="23"/>
  <c r="GV82" i="23"/>
  <c r="EF82" i="23"/>
  <c r="GU82" i="23"/>
  <c r="EE82" i="23"/>
  <c r="GT82" i="23"/>
  <c r="DM73" i="22"/>
  <c r="EF74" i="22"/>
  <c r="BP82" i="23"/>
  <c r="GS82" i="23"/>
  <c r="DL73" i="22"/>
  <c r="EE74" i="22"/>
  <c r="BO82" i="23"/>
  <c r="GR82" i="23"/>
  <c r="ED74" i="22"/>
  <c r="BN82" i="23"/>
  <c r="GQ82" i="23"/>
  <c r="EC74" i="22"/>
  <c r="BM82" i="23"/>
  <c r="GP82" i="23"/>
  <c r="EB74" i="22"/>
  <c r="BL82" i="23"/>
  <c r="GO82" i="23"/>
  <c r="EA74" i="22"/>
  <c r="BK82" i="23"/>
  <c r="GN82" i="23"/>
  <c r="BA74" i="22"/>
  <c r="AL82" i="23"/>
  <c r="BG74" i="22"/>
  <c r="AX82" i="23"/>
  <c r="BJ82" i="23"/>
  <c r="DO73" i="22"/>
  <c r="DT73" i="22"/>
  <c r="EL74" i="22"/>
  <c r="CB82" i="23"/>
  <c r="GM82" i="23"/>
  <c r="DS73" i="22"/>
  <c r="DN73" i="22"/>
  <c r="EK74" i="22"/>
  <c r="CA82" i="23"/>
  <c r="AZ74" i="22"/>
  <c r="AK82" i="23"/>
  <c r="BF74" i="22"/>
  <c r="AW82" i="23"/>
  <c r="BI82" i="23"/>
  <c r="GL82" i="23"/>
  <c r="AY74" i="22"/>
  <c r="AJ82" i="23"/>
  <c r="BE74" i="22"/>
  <c r="AV82" i="23"/>
  <c r="BH82" i="23"/>
  <c r="EJ74" i="22"/>
  <c r="BZ82" i="23"/>
  <c r="GK82" i="23"/>
  <c r="EI74" i="22"/>
  <c r="BY82" i="23"/>
  <c r="AX74" i="22"/>
  <c r="AI82" i="23"/>
  <c r="BD74" i="22"/>
  <c r="AU82" i="23"/>
  <c r="BG82" i="23"/>
  <c r="GJ82" i="23"/>
  <c r="AW74" i="22"/>
  <c r="AH82" i="23"/>
  <c r="BC74" i="22"/>
  <c r="AT82" i="23"/>
  <c r="BF82" i="23"/>
  <c r="EH74" i="22"/>
  <c r="BX82" i="23"/>
  <c r="GI82" i="23"/>
  <c r="EG74" i="22"/>
  <c r="BW82" i="23"/>
  <c r="AV74" i="22"/>
  <c r="AG82" i="23"/>
  <c r="BB74" i="22"/>
  <c r="AS82" i="23"/>
  <c r="BE82" i="23"/>
  <c r="GH82" i="23"/>
  <c r="AF82" i="23"/>
  <c r="AR82" i="23"/>
  <c r="BD82" i="23"/>
  <c r="BV82" i="23"/>
  <c r="GG82" i="23"/>
  <c r="BU82" i="23"/>
  <c r="AE82" i="23"/>
  <c r="AQ82" i="23"/>
  <c r="BC82" i="23"/>
  <c r="GF82" i="23"/>
  <c r="AD82" i="23"/>
  <c r="AP82" i="23"/>
  <c r="BB82" i="23"/>
  <c r="BT82" i="23"/>
  <c r="GE82" i="23"/>
  <c r="BS82" i="23"/>
  <c r="AC82" i="23"/>
  <c r="AO82" i="23"/>
  <c r="BA82" i="23"/>
  <c r="GD82" i="23"/>
  <c r="AB82" i="23"/>
  <c r="AN82" i="23"/>
  <c r="AZ82" i="23"/>
  <c r="BR82" i="23"/>
  <c r="GC82" i="23"/>
  <c r="BQ82" i="23"/>
  <c r="AA82" i="23"/>
  <c r="AM82" i="23"/>
  <c r="AY82" i="23"/>
  <c r="GB82" i="23"/>
  <c r="AI74" i="22"/>
  <c r="N82" i="23"/>
  <c r="AO74" i="22"/>
  <c r="Z82" i="23"/>
  <c r="GA82" i="23"/>
  <c r="AH74" i="22"/>
  <c r="M82" i="23"/>
  <c r="AN74" i="22"/>
  <c r="Y82" i="23"/>
  <c r="FZ82" i="23"/>
  <c r="AG74" i="22"/>
  <c r="L82" i="23"/>
  <c r="AM74" i="22"/>
  <c r="X82" i="23"/>
  <c r="FY82" i="23"/>
  <c r="AF74" i="22"/>
  <c r="K82" i="23"/>
  <c r="AL74" i="22"/>
  <c r="W82" i="23"/>
  <c r="FX82" i="23"/>
  <c r="AE74" i="22"/>
  <c r="J82" i="23"/>
  <c r="AK74" i="22"/>
  <c r="V82" i="23"/>
  <c r="FW82" i="23"/>
  <c r="AD74" i="22"/>
  <c r="I82" i="23"/>
  <c r="AJ74" i="22"/>
  <c r="U82" i="23"/>
  <c r="FV82" i="23"/>
  <c r="H82" i="23"/>
  <c r="T82" i="23"/>
  <c r="FU82" i="23"/>
  <c r="G82" i="23"/>
  <c r="S82" i="23"/>
  <c r="FT82" i="23"/>
  <c r="F82" i="23"/>
  <c r="R82" i="23"/>
  <c r="FS82" i="23"/>
  <c r="E82" i="23"/>
  <c r="Q82" i="23"/>
  <c r="FR82" i="23"/>
  <c r="D82" i="23"/>
  <c r="P82" i="23"/>
  <c r="FQ82" i="23"/>
  <c r="C82" i="23"/>
  <c r="O82" i="23"/>
  <c r="FP82" i="23"/>
  <c r="G64" i="22"/>
  <c r="CN64" i="22"/>
  <c r="CZ64" i="22"/>
  <c r="FG64" i="22"/>
  <c r="FT64" i="22"/>
  <c r="GV73" i="22"/>
  <c r="DR81" i="23"/>
  <c r="IO81" i="23"/>
  <c r="F64" i="22"/>
  <c r="CM64" i="22"/>
  <c r="CY64" i="22"/>
  <c r="FF64" i="22"/>
  <c r="FS64" i="22"/>
  <c r="GU73" i="22"/>
  <c r="DQ81" i="23"/>
  <c r="IN81" i="23"/>
  <c r="IM81" i="23"/>
  <c r="IL81" i="23"/>
  <c r="CX72" i="22"/>
  <c r="FC72" i="22"/>
  <c r="FX72" i="22"/>
  <c r="GR73" i="22"/>
  <c r="GT73" i="22"/>
  <c r="DN81" i="23"/>
  <c r="IK81" i="23"/>
  <c r="CW72" i="22"/>
  <c r="FB72" i="22"/>
  <c r="FV72" i="22"/>
  <c r="GQ73" i="22"/>
  <c r="GS73" i="22"/>
  <c r="DM81" i="23"/>
  <c r="IJ81" i="23"/>
  <c r="CN81" i="23"/>
  <c r="BY73" i="22"/>
  <c r="FA73" i="22"/>
  <c r="GN73" i="22"/>
  <c r="CZ81" i="23"/>
  <c r="DL81" i="23"/>
  <c r="I64" i="22"/>
  <c r="BQ134" i="21"/>
  <c r="J64" i="22"/>
  <c r="CP64" i="22"/>
  <c r="CV64" i="22"/>
  <c r="DD64" i="22"/>
  <c r="FI64" i="22"/>
  <c r="FP64" i="22"/>
  <c r="HB73" i="22"/>
  <c r="ED81" i="23"/>
  <c r="II81" i="23"/>
  <c r="FO64" i="22"/>
  <c r="H64" i="22"/>
  <c r="CO64" i="22"/>
  <c r="DC64" i="22"/>
  <c r="FH64" i="22"/>
  <c r="HA73" i="22"/>
  <c r="EC81" i="23"/>
  <c r="CM81" i="23"/>
  <c r="BX73" i="22"/>
  <c r="EZ73" i="22"/>
  <c r="GM73" i="22"/>
  <c r="CY81" i="23"/>
  <c r="DK81" i="23"/>
  <c r="IH81" i="23"/>
  <c r="BQ73" i="22"/>
  <c r="ES73" i="22"/>
  <c r="GF73" i="22"/>
  <c r="CL81" i="23"/>
  <c r="BW73" i="22"/>
  <c r="EY73" i="22"/>
  <c r="GL73" i="22"/>
  <c r="CX81" i="23"/>
  <c r="IG81" i="23"/>
  <c r="BP73" i="22"/>
  <c r="ER73" i="22"/>
  <c r="GE73" i="22"/>
  <c r="CK81" i="23"/>
  <c r="BV73" i="22"/>
  <c r="EX73" i="22"/>
  <c r="GK73" i="22"/>
  <c r="CW81" i="23"/>
  <c r="IF81" i="23"/>
  <c r="BO73" i="22"/>
  <c r="EQ73" i="22"/>
  <c r="GD73" i="22"/>
  <c r="CJ81" i="23"/>
  <c r="BU73" i="22"/>
  <c r="EW73" i="22"/>
  <c r="GJ73" i="22"/>
  <c r="CV81" i="23"/>
  <c r="DH81" i="23"/>
  <c r="DB73" i="22"/>
  <c r="FE73" i="22"/>
  <c r="GB73" i="22"/>
  <c r="GX73" i="22"/>
  <c r="GZ73" i="22"/>
  <c r="DZ81" i="23"/>
  <c r="IE81" i="23"/>
  <c r="DA73" i="22"/>
  <c r="FD73" i="22"/>
  <c r="FZ73" i="22"/>
  <c r="GW73" i="22"/>
  <c r="GY73" i="22"/>
  <c r="DY81" i="23"/>
  <c r="BN73" i="22"/>
  <c r="EP73" i="22"/>
  <c r="GC73" i="22"/>
  <c r="CI81" i="23"/>
  <c r="BT73" i="22"/>
  <c r="EV73" i="22"/>
  <c r="GI73" i="22"/>
  <c r="CU81" i="23"/>
  <c r="DG81" i="23"/>
  <c r="ID81" i="23"/>
  <c r="CH81" i="23"/>
  <c r="CT81" i="23"/>
  <c r="DF81" i="23"/>
  <c r="DX81" i="23"/>
  <c r="IC81" i="23"/>
  <c r="DW81" i="23"/>
  <c r="CG81" i="23"/>
  <c r="CS81" i="23"/>
  <c r="DE81" i="23"/>
  <c r="IB81" i="23"/>
  <c r="CF81" i="23"/>
  <c r="CR81" i="23"/>
  <c r="IA81" i="23"/>
  <c r="CE81" i="23"/>
  <c r="CQ81" i="23"/>
  <c r="HZ81" i="23"/>
  <c r="CD81" i="23"/>
  <c r="CP81" i="23"/>
  <c r="DB81" i="23"/>
  <c r="DT81" i="23"/>
  <c r="HY81" i="23"/>
  <c r="DS81" i="23"/>
  <c r="CC81" i="23"/>
  <c r="CO81" i="23"/>
  <c r="DA81" i="23"/>
  <c r="HX81" i="23"/>
  <c r="AC73" i="22"/>
  <c r="CK73" i="22"/>
  <c r="CI70" i="21"/>
  <c r="FH81" i="23"/>
  <c r="HW81" i="23"/>
  <c r="CJ73" i="22"/>
  <c r="FG81" i="23"/>
  <c r="HV81" i="23"/>
  <c r="AB73" i="22"/>
  <c r="CI73" i="22"/>
  <c r="FF81" i="23"/>
  <c r="HU81" i="23"/>
  <c r="CH73" i="22"/>
  <c r="FE81" i="23"/>
  <c r="HT81" i="23"/>
  <c r="AA73" i="22"/>
  <c r="CG73" i="22"/>
  <c r="FD81" i="23"/>
  <c r="HS81" i="23"/>
  <c r="CF73" i="22"/>
  <c r="FC81" i="23"/>
  <c r="HR81" i="23"/>
  <c r="CH70" i="21"/>
  <c r="FB81" i="23"/>
  <c r="HQ81" i="23"/>
  <c r="FA81" i="23"/>
  <c r="HP81" i="23"/>
  <c r="EZ81" i="23"/>
  <c r="HO81" i="23"/>
  <c r="EY81" i="23"/>
  <c r="HN81" i="23"/>
  <c r="EX81" i="23"/>
  <c r="HM81" i="23"/>
  <c r="EW81" i="23"/>
  <c r="HL81" i="23"/>
  <c r="CG70" i="21"/>
  <c r="EV81" i="23"/>
  <c r="HK81" i="23"/>
  <c r="EU81" i="23"/>
  <c r="HJ81" i="23"/>
  <c r="ET81" i="23"/>
  <c r="HI81" i="23"/>
  <c r="ES81" i="23"/>
  <c r="HH81" i="23"/>
  <c r="ER81" i="23"/>
  <c r="HG81" i="23"/>
  <c r="EQ81" i="23"/>
  <c r="HF81" i="23"/>
  <c r="CF70" i="21"/>
  <c r="EP81" i="23"/>
  <c r="HE81" i="23"/>
  <c r="EO81" i="23"/>
  <c r="HD81" i="23"/>
  <c r="EN81" i="23"/>
  <c r="HC81" i="23"/>
  <c r="EM81" i="23"/>
  <c r="HB81" i="23"/>
  <c r="EL81" i="23"/>
  <c r="HA81" i="23"/>
  <c r="EK81" i="23"/>
  <c r="GZ81" i="23"/>
  <c r="CE70" i="21"/>
  <c r="EJ81" i="23"/>
  <c r="GY81" i="23"/>
  <c r="EI81" i="23"/>
  <c r="GX81" i="23"/>
  <c r="EH81" i="23"/>
  <c r="GW81" i="23"/>
  <c r="EG81" i="23"/>
  <c r="GV81" i="23"/>
  <c r="EF81" i="23"/>
  <c r="GU81" i="23"/>
  <c r="EE81" i="23"/>
  <c r="GT81" i="23"/>
  <c r="DM72" i="22"/>
  <c r="EF73" i="22"/>
  <c r="BP81" i="23"/>
  <c r="GS81" i="23"/>
  <c r="DL72" i="22"/>
  <c r="EE73" i="22"/>
  <c r="BO81" i="23"/>
  <c r="GR81" i="23"/>
  <c r="ED73" i="22"/>
  <c r="BN81" i="23"/>
  <c r="GQ81" i="23"/>
  <c r="EC73" i="22"/>
  <c r="BM81" i="23"/>
  <c r="GP81" i="23"/>
  <c r="EB73" i="22"/>
  <c r="BL81" i="23"/>
  <c r="GO81" i="23"/>
  <c r="EA73" i="22"/>
  <c r="BK81" i="23"/>
  <c r="GN81" i="23"/>
  <c r="BA73" i="22"/>
  <c r="AL81" i="23"/>
  <c r="BG73" i="22"/>
  <c r="AX81" i="23"/>
  <c r="BJ81" i="23"/>
  <c r="DO72" i="22"/>
  <c r="DT72" i="22"/>
  <c r="EL73" i="22"/>
  <c r="CB81" i="23"/>
  <c r="GM81" i="23"/>
  <c r="DS72" i="22"/>
  <c r="DN72" i="22"/>
  <c r="EK73" i="22"/>
  <c r="CA81" i="23"/>
  <c r="AZ73" i="22"/>
  <c r="AK81" i="23"/>
  <c r="BF73" i="22"/>
  <c r="AW81" i="23"/>
  <c r="BI81" i="23"/>
  <c r="GL81" i="23"/>
  <c r="AY73" i="22"/>
  <c r="AJ81" i="23"/>
  <c r="BE73" i="22"/>
  <c r="AV81" i="23"/>
  <c r="BH81" i="23"/>
  <c r="EJ73" i="22"/>
  <c r="BZ81" i="23"/>
  <c r="GK81" i="23"/>
  <c r="EI73" i="22"/>
  <c r="BY81" i="23"/>
  <c r="AX73" i="22"/>
  <c r="AI81" i="23"/>
  <c r="BD73" i="22"/>
  <c r="AU81" i="23"/>
  <c r="BG81" i="23"/>
  <c r="GJ81" i="23"/>
  <c r="AW73" i="22"/>
  <c r="AH81" i="23"/>
  <c r="BC73" i="22"/>
  <c r="AT81" i="23"/>
  <c r="BF81" i="23"/>
  <c r="EH73" i="22"/>
  <c r="BX81" i="23"/>
  <c r="GI81" i="23"/>
  <c r="EG73" i="22"/>
  <c r="BW81" i="23"/>
  <c r="AV73" i="22"/>
  <c r="AG81" i="23"/>
  <c r="BB73" i="22"/>
  <c r="AS81" i="23"/>
  <c r="BE81" i="23"/>
  <c r="GH81" i="23"/>
  <c r="AF81" i="23"/>
  <c r="AR81" i="23"/>
  <c r="BD81" i="23"/>
  <c r="BV81" i="23"/>
  <c r="GG81" i="23"/>
  <c r="BU81" i="23"/>
  <c r="AE81" i="23"/>
  <c r="AQ81" i="23"/>
  <c r="BC81" i="23"/>
  <c r="GF81" i="23"/>
  <c r="AD81" i="23"/>
  <c r="AP81" i="23"/>
  <c r="BB81" i="23"/>
  <c r="BT81" i="23"/>
  <c r="GE81" i="23"/>
  <c r="BS81" i="23"/>
  <c r="AC81" i="23"/>
  <c r="AO81" i="23"/>
  <c r="BA81" i="23"/>
  <c r="GD81" i="23"/>
  <c r="AB81" i="23"/>
  <c r="AN81" i="23"/>
  <c r="AZ81" i="23"/>
  <c r="BR81" i="23"/>
  <c r="GC81" i="23"/>
  <c r="BQ81" i="23"/>
  <c r="AA81" i="23"/>
  <c r="AM81" i="23"/>
  <c r="AY81" i="23"/>
  <c r="GB81" i="23"/>
  <c r="AI73" i="22"/>
  <c r="N81" i="23"/>
  <c r="AO73" i="22"/>
  <c r="Z81" i="23"/>
  <c r="GA81" i="23"/>
  <c r="AH73" i="22"/>
  <c r="M81" i="23"/>
  <c r="AN73" i="22"/>
  <c r="Y81" i="23"/>
  <c r="FZ81" i="23"/>
  <c r="AG73" i="22"/>
  <c r="L81" i="23"/>
  <c r="AM73" i="22"/>
  <c r="X81" i="23"/>
  <c r="FY81" i="23"/>
  <c r="AF73" i="22"/>
  <c r="K81" i="23"/>
  <c r="AL73" i="22"/>
  <c r="W81" i="23"/>
  <c r="FX81" i="23"/>
  <c r="AE73" i="22"/>
  <c r="J81" i="23"/>
  <c r="AK73" i="22"/>
  <c r="V81" i="23"/>
  <c r="FW81" i="23"/>
  <c r="AD73" i="22"/>
  <c r="I81" i="23"/>
  <c r="AJ73" i="22"/>
  <c r="U81" i="23"/>
  <c r="FV81" i="23"/>
  <c r="H81" i="23"/>
  <c r="T81" i="23"/>
  <c r="FU81" i="23"/>
  <c r="G81" i="23"/>
  <c r="S81" i="23"/>
  <c r="FT81" i="23"/>
  <c r="F81" i="23"/>
  <c r="R81" i="23"/>
  <c r="FS81" i="23"/>
  <c r="E81" i="23"/>
  <c r="Q81" i="23"/>
  <c r="FR81" i="23"/>
  <c r="D81" i="23"/>
  <c r="P81" i="23"/>
  <c r="FQ81" i="23"/>
  <c r="C81" i="23"/>
  <c r="O81" i="23"/>
  <c r="FP81" i="23"/>
  <c r="CT63" i="22"/>
  <c r="G63" i="22"/>
  <c r="CN63" i="22"/>
  <c r="CZ63" i="22"/>
  <c r="FG63" i="22"/>
  <c r="FT63" i="22"/>
  <c r="GV72" i="22"/>
  <c r="DR80" i="23"/>
  <c r="IO80" i="23"/>
  <c r="F63" i="22"/>
  <c r="CM63" i="22"/>
  <c r="CY63" i="22"/>
  <c r="FF63" i="22"/>
  <c r="FS63" i="22"/>
  <c r="GU72" i="22"/>
  <c r="DQ80" i="23"/>
  <c r="IN80" i="23"/>
  <c r="IM80" i="23"/>
  <c r="IL80" i="23"/>
  <c r="CX71" i="22"/>
  <c r="FC71" i="22"/>
  <c r="FX71" i="22"/>
  <c r="GR72" i="22"/>
  <c r="GT72" i="22"/>
  <c r="DN80" i="23"/>
  <c r="IK80" i="23"/>
  <c r="CW71" i="22"/>
  <c r="FB71" i="22"/>
  <c r="FV71" i="22"/>
  <c r="GQ72" i="22"/>
  <c r="GS72" i="22"/>
  <c r="DM80" i="23"/>
  <c r="IJ80" i="23"/>
  <c r="CN80" i="23"/>
  <c r="BY72" i="22"/>
  <c r="FA72" i="22"/>
  <c r="GN72" i="22"/>
  <c r="CZ80" i="23"/>
  <c r="DL80" i="23"/>
  <c r="I63" i="22"/>
  <c r="BQ133" i="21"/>
  <c r="J63" i="22"/>
  <c r="CP63" i="22"/>
  <c r="CV63" i="22"/>
  <c r="DD63" i="22"/>
  <c r="FI63" i="22"/>
  <c r="FP63" i="22"/>
  <c r="HB72" i="22"/>
  <c r="ED80" i="23"/>
  <c r="II80" i="23"/>
  <c r="FO63" i="22"/>
  <c r="H63" i="22"/>
  <c r="CO63" i="22"/>
  <c r="DC63" i="22"/>
  <c r="FH63" i="22"/>
  <c r="HA72" i="22"/>
  <c r="EC80" i="23"/>
  <c r="CM80" i="23"/>
  <c r="BX72" i="22"/>
  <c r="EZ72" i="22"/>
  <c r="GM72" i="22"/>
  <c r="CY80" i="23"/>
  <c r="DK80" i="23"/>
  <c r="IH80" i="23"/>
  <c r="BQ72" i="22"/>
  <c r="ES72" i="22"/>
  <c r="GF72" i="22"/>
  <c r="CL80" i="23"/>
  <c r="BW72" i="22"/>
  <c r="EY72" i="22"/>
  <c r="GL72" i="22"/>
  <c r="CX80" i="23"/>
  <c r="IG80" i="23"/>
  <c r="BP72" i="22"/>
  <c r="ER72" i="22"/>
  <c r="GE72" i="22"/>
  <c r="CK80" i="23"/>
  <c r="BV72" i="22"/>
  <c r="EX72" i="22"/>
  <c r="GK72" i="22"/>
  <c r="CW80" i="23"/>
  <c r="IF80" i="23"/>
  <c r="BO72" i="22"/>
  <c r="EQ72" i="22"/>
  <c r="GD72" i="22"/>
  <c r="CJ80" i="23"/>
  <c r="BU72" i="22"/>
  <c r="EW72" i="22"/>
  <c r="GJ72" i="22"/>
  <c r="CV80" i="23"/>
  <c r="DH80" i="23"/>
  <c r="DB72" i="22"/>
  <c r="FE72" i="22"/>
  <c r="GB72" i="22"/>
  <c r="GX72" i="22"/>
  <c r="GZ72" i="22"/>
  <c r="DZ80" i="23"/>
  <c r="IE80" i="23"/>
  <c r="DA72" i="22"/>
  <c r="FD72" i="22"/>
  <c r="FZ72" i="22"/>
  <c r="GW72" i="22"/>
  <c r="GY72" i="22"/>
  <c r="DY80" i="23"/>
  <c r="BN72" i="22"/>
  <c r="EP72" i="22"/>
  <c r="GC72" i="22"/>
  <c r="CI80" i="23"/>
  <c r="BT72" i="22"/>
  <c r="EV72" i="22"/>
  <c r="GI72" i="22"/>
  <c r="CU80" i="23"/>
  <c r="DG80" i="23"/>
  <c r="ID80" i="23"/>
  <c r="CH80" i="23"/>
  <c r="CT80" i="23"/>
  <c r="DF80" i="23"/>
  <c r="DX80" i="23"/>
  <c r="IC80" i="23"/>
  <c r="DW80" i="23"/>
  <c r="CG80" i="23"/>
  <c r="CS80" i="23"/>
  <c r="DE80" i="23"/>
  <c r="IB80" i="23"/>
  <c r="CF80" i="23"/>
  <c r="CR80" i="23"/>
  <c r="IA80" i="23"/>
  <c r="CE80" i="23"/>
  <c r="CQ80" i="23"/>
  <c r="HZ80" i="23"/>
  <c r="CD80" i="23"/>
  <c r="CP80" i="23"/>
  <c r="DB80" i="23"/>
  <c r="DT80" i="23"/>
  <c r="HY80" i="23"/>
  <c r="DS80" i="23"/>
  <c r="CC80" i="23"/>
  <c r="CO80" i="23"/>
  <c r="DA80" i="23"/>
  <c r="HX80" i="23"/>
  <c r="AC72" i="22"/>
  <c r="CK72" i="22"/>
  <c r="CI69" i="21"/>
  <c r="FH80" i="23"/>
  <c r="HW80" i="23"/>
  <c r="CJ72" i="22"/>
  <c r="FG80" i="23"/>
  <c r="HV80" i="23"/>
  <c r="AB72" i="22"/>
  <c r="CI72" i="22"/>
  <c r="FF80" i="23"/>
  <c r="HU80" i="23"/>
  <c r="CH72" i="22"/>
  <c r="FE80" i="23"/>
  <c r="HT80" i="23"/>
  <c r="AA72" i="22"/>
  <c r="CG72" i="22"/>
  <c r="FD80" i="23"/>
  <c r="HS80" i="23"/>
  <c r="CF72" i="22"/>
  <c r="FC80" i="23"/>
  <c r="HR80" i="23"/>
  <c r="CH69" i="21"/>
  <c r="FB80" i="23"/>
  <c r="HQ80" i="23"/>
  <c r="FA80" i="23"/>
  <c r="HP80" i="23"/>
  <c r="EZ80" i="23"/>
  <c r="HO80" i="23"/>
  <c r="EY80" i="23"/>
  <c r="HN80" i="23"/>
  <c r="EX80" i="23"/>
  <c r="HM80" i="23"/>
  <c r="EW80" i="23"/>
  <c r="HL80" i="23"/>
  <c r="CG69" i="21"/>
  <c r="EV80" i="23"/>
  <c r="HK80" i="23"/>
  <c r="EU80" i="23"/>
  <c r="HJ80" i="23"/>
  <c r="ET80" i="23"/>
  <c r="HI80" i="23"/>
  <c r="ES80" i="23"/>
  <c r="HH80" i="23"/>
  <c r="ER80" i="23"/>
  <c r="HG80" i="23"/>
  <c r="EQ80" i="23"/>
  <c r="HF80" i="23"/>
  <c r="CF69" i="21"/>
  <c r="EP80" i="23"/>
  <c r="HE80" i="23"/>
  <c r="EO80" i="23"/>
  <c r="HD80" i="23"/>
  <c r="EN80" i="23"/>
  <c r="HC80" i="23"/>
  <c r="EM80" i="23"/>
  <c r="HB80" i="23"/>
  <c r="EL80" i="23"/>
  <c r="HA80" i="23"/>
  <c r="EK80" i="23"/>
  <c r="GZ80" i="23"/>
  <c r="CE69" i="21"/>
  <c r="EJ80" i="23"/>
  <c r="GY80" i="23"/>
  <c r="EI80" i="23"/>
  <c r="GX80" i="23"/>
  <c r="EH80" i="23"/>
  <c r="GW80" i="23"/>
  <c r="EG80" i="23"/>
  <c r="GV80" i="23"/>
  <c r="EF80" i="23"/>
  <c r="GU80" i="23"/>
  <c r="EE80" i="23"/>
  <c r="GT80" i="23"/>
  <c r="DM71" i="22"/>
  <c r="EF72" i="22"/>
  <c r="BP80" i="23"/>
  <c r="GS80" i="23"/>
  <c r="DL71" i="22"/>
  <c r="EE72" i="22"/>
  <c r="BO80" i="23"/>
  <c r="GR80" i="23"/>
  <c r="ED72" i="22"/>
  <c r="BN80" i="23"/>
  <c r="GQ80" i="23"/>
  <c r="EC72" i="22"/>
  <c r="BM80" i="23"/>
  <c r="GP80" i="23"/>
  <c r="EB72" i="22"/>
  <c r="BL80" i="23"/>
  <c r="GO80" i="23"/>
  <c r="EA72" i="22"/>
  <c r="BK80" i="23"/>
  <c r="GN80" i="23"/>
  <c r="BA72" i="22"/>
  <c r="AL80" i="23"/>
  <c r="BG72" i="22"/>
  <c r="AX80" i="23"/>
  <c r="BJ80" i="23"/>
  <c r="DO71" i="22"/>
  <c r="DT71" i="22"/>
  <c r="EL72" i="22"/>
  <c r="CB80" i="23"/>
  <c r="GM80" i="23"/>
  <c r="DS71" i="22"/>
  <c r="DN71" i="22"/>
  <c r="EK72" i="22"/>
  <c r="CA80" i="23"/>
  <c r="AZ72" i="22"/>
  <c r="AK80" i="23"/>
  <c r="BF72" i="22"/>
  <c r="AW80" i="23"/>
  <c r="BI80" i="23"/>
  <c r="GL80" i="23"/>
  <c r="AY72" i="22"/>
  <c r="AJ80" i="23"/>
  <c r="BE72" i="22"/>
  <c r="AV80" i="23"/>
  <c r="BH80" i="23"/>
  <c r="EJ72" i="22"/>
  <c r="BZ80" i="23"/>
  <c r="GK80" i="23"/>
  <c r="EI72" i="22"/>
  <c r="BY80" i="23"/>
  <c r="AX72" i="22"/>
  <c r="AI80" i="23"/>
  <c r="BD72" i="22"/>
  <c r="AU80" i="23"/>
  <c r="BG80" i="23"/>
  <c r="GJ80" i="23"/>
  <c r="AW72" i="22"/>
  <c r="AH80" i="23"/>
  <c r="BC72" i="22"/>
  <c r="AT80" i="23"/>
  <c r="BF80" i="23"/>
  <c r="EH72" i="22"/>
  <c r="BX80" i="23"/>
  <c r="GI80" i="23"/>
  <c r="EG72" i="22"/>
  <c r="BW80" i="23"/>
  <c r="AV72" i="22"/>
  <c r="AG80" i="23"/>
  <c r="BB72" i="22"/>
  <c r="AS80" i="23"/>
  <c r="BE80" i="23"/>
  <c r="GH80" i="23"/>
  <c r="AF80" i="23"/>
  <c r="AR80" i="23"/>
  <c r="BD80" i="23"/>
  <c r="BV80" i="23"/>
  <c r="GG80" i="23"/>
  <c r="BU80" i="23"/>
  <c r="AE80" i="23"/>
  <c r="AQ80" i="23"/>
  <c r="BC80" i="23"/>
  <c r="GF80" i="23"/>
  <c r="AD80" i="23"/>
  <c r="AP80" i="23"/>
  <c r="BB80" i="23"/>
  <c r="BT80" i="23"/>
  <c r="GE80" i="23"/>
  <c r="BS80" i="23"/>
  <c r="AC80" i="23"/>
  <c r="AO80" i="23"/>
  <c r="BA80" i="23"/>
  <c r="GD80" i="23"/>
  <c r="AB80" i="23"/>
  <c r="AN80" i="23"/>
  <c r="AZ80" i="23"/>
  <c r="BR80" i="23"/>
  <c r="GC80" i="23"/>
  <c r="BQ80" i="23"/>
  <c r="AA80" i="23"/>
  <c r="AM80" i="23"/>
  <c r="AY80" i="23"/>
  <c r="GB80" i="23"/>
  <c r="AI72" i="22"/>
  <c r="N80" i="23"/>
  <c r="AO72" i="22"/>
  <c r="Z80" i="23"/>
  <c r="GA80" i="23"/>
  <c r="AH72" i="22"/>
  <c r="M80" i="23"/>
  <c r="AN72" i="22"/>
  <c r="Y80" i="23"/>
  <c r="FZ80" i="23"/>
  <c r="AG72" i="22"/>
  <c r="L80" i="23"/>
  <c r="AM72" i="22"/>
  <c r="X80" i="23"/>
  <c r="FY80" i="23"/>
  <c r="AF72" i="22"/>
  <c r="K80" i="23"/>
  <c r="AL72" i="22"/>
  <c r="W80" i="23"/>
  <c r="FX80" i="23"/>
  <c r="AE72" i="22"/>
  <c r="J80" i="23"/>
  <c r="AK72" i="22"/>
  <c r="V80" i="23"/>
  <c r="FW80" i="23"/>
  <c r="AD72" i="22"/>
  <c r="I80" i="23"/>
  <c r="AJ72" i="22"/>
  <c r="U80" i="23"/>
  <c r="FV80" i="23"/>
  <c r="H80" i="23"/>
  <c r="T80" i="23"/>
  <c r="FU80" i="23"/>
  <c r="G80" i="23"/>
  <c r="S80" i="23"/>
  <c r="FT80" i="23"/>
  <c r="F80" i="23"/>
  <c r="R80" i="23"/>
  <c r="FS80" i="23"/>
  <c r="E80" i="23"/>
  <c r="Q80" i="23"/>
  <c r="FR80" i="23"/>
  <c r="D80" i="23"/>
  <c r="P80" i="23"/>
  <c r="FQ80" i="23"/>
  <c r="C80" i="23"/>
  <c r="O80" i="23"/>
  <c r="FP80" i="23"/>
  <c r="CT62" i="22"/>
  <c r="G62" i="22"/>
  <c r="CN62" i="22"/>
  <c r="CZ62" i="22"/>
  <c r="FG62" i="22"/>
  <c r="FT62" i="22"/>
  <c r="GV71" i="22"/>
  <c r="DR79" i="23"/>
  <c r="IO79" i="23"/>
  <c r="F62" i="22"/>
  <c r="CM62" i="22"/>
  <c r="CY62" i="22"/>
  <c r="FF62" i="22"/>
  <c r="FS62" i="22"/>
  <c r="GU71" i="22"/>
  <c r="DQ79" i="23"/>
  <c r="IN79" i="23"/>
  <c r="IM79" i="23"/>
  <c r="IL79" i="23"/>
  <c r="CX70" i="22"/>
  <c r="FC70" i="22"/>
  <c r="FX70" i="22"/>
  <c r="GR71" i="22"/>
  <c r="GT71" i="22"/>
  <c r="DN79" i="23"/>
  <c r="IK79" i="23"/>
  <c r="CW70" i="22"/>
  <c r="FB70" i="22"/>
  <c r="FV70" i="22"/>
  <c r="GQ71" i="22"/>
  <c r="GS71" i="22"/>
  <c r="DM79" i="23"/>
  <c r="IJ79" i="23"/>
  <c r="CN79" i="23"/>
  <c r="BY71" i="22"/>
  <c r="FA71" i="22"/>
  <c r="GN71" i="22"/>
  <c r="CZ79" i="23"/>
  <c r="DL79" i="23"/>
  <c r="I62" i="22"/>
  <c r="BQ132" i="21"/>
  <c r="J62" i="22"/>
  <c r="CP62" i="22"/>
  <c r="CV62" i="22"/>
  <c r="DD62" i="22"/>
  <c r="FI62" i="22"/>
  <c r="FP62" i="22"/>
  <c r="HB71" i="22"/>
  <c r="ED79" i="23"/>
  <c r="II79" i="23"/>
  <c r="FO62" i="22"/>
  <c r="H62" i="22"/>
  <c r="CO62" i="22"/>
  <c r="DC62" i="22"/>
  <c r="FH62" i="22"/>
  <c r="HA71" i="22"/>
  <c r="EC79" i="23"/>
  <c r="CM79" i="23"/>
  <c r="BX71" i="22"/>
  <c r="EZ71" i="22"/>
  <c r="GM71" i="22"/>
  <c r="CY79" i="23"/>
  <c r="DK79" i="23"/>
  <c r="IH79" i="23"/>
  <c r="BQ71" i="22"/>
  <c r="ES71" i="22"/>
  <c r="GF71" i="22"/>
  <c r="CL79" i="23"/>
  <c r="BW71" i="22"/>
  <c r="EY71" i="22"/>
  <c r="GL71" i="22"/>
  <c r="CX79" i="23"/>
  <c r="IG79" i="23"/>
  <c r="BP71" i="22"/>
  <c r="ER71" i="22"/>
  <c r="GE71" i="22"/>
  <c r="CK79" i="23"/>
  <c r="BV71" i="22"/>
  <c r="EX71" i="22"/>
  <c r="GK71" i="22"/>
  <c r="CW79" i="23"/>
  <c r="IF79" i="23"/>
  <c r="BO71" i="22"/>
  <c r="EQ71" i="22"/>
  <c r="GD71" i="22"/>
  <c r="CJ79" i="23"/>
  <c r="BU71" i="22"/>
  <c r="EW71" i="22"/>
  <c r="GJ71" i="22"/>
  <c r="CV79" i="23"/>
  <c r="DH79" i="23"/>
  <c r="DB71" i="22"/>
  <c r="FE71" i="22"/>
  <c r="GB71" i="22"/>
  <c r="GX71" i="22"/>
  <c r="GZ71" i="22"/>
  <c r="DZ79" i="23"/>
  <c r="IE79" i="23"/>
  <c r="DA71" i="22"/>
  <c r="FD71" i="22"/>
  <c r="FZ71" i="22"/>
  <c r="GW71" i="22"/>
  <c r="GY71" i="22"/>
  <c r="DY79" i="23"/>
  <c r="BN71" i="22"/>
  <c r="EP71" i="22"/>
  <c r="GC71" i="22"/>
  <c r="CI79" i="23"/>
  <c r="BT71" i="22"/>
  <c r="EV71" i="22"/>
  <c r="GI71" i="22"/>
  <c r="CU79" i="23"/>
  <c r="DG79" i="23"/>
  <c r="ID79" i="23"/>
  <c r="CH79" i="23"/>
  <c r="CT79" i="23"/>
  <c r="DF79" i="23"/>
  <c r="DX79" i="23"/>
  <c r="IC79" i="23"/>
  <c r="DW79" i="23"/>
  <c r="CG79" i="23"/>
  <c r="CS79" i="23"/>
  <c r="DE79" i="23"/>
  <c r="IB79" i="23"/>
  <c r="CF79" i="23"/>
  <c r="CR79" i="23"/>
  <c r="IA79" i="23"/>
  <c r="CE79" i="23"/>
  <c r="CQ79" i="23"/>
  <c r="HZ79" i="23"/>
  <c r="CD79" i="23"/>
  <c r="CP79" i="23"/>
  <c r="DB79" i="23"/>
  <c r="DT79" i="23"/>
  <c r="HY79" i="23"/>
  <c r="DS79" i="23"/>
  <c r="CC79" i="23"/>
  <c r="CO79" i="23"/>
  <c r="DA79" i="23"/>
  <c r="HX79" i="23"/>
  <c r="AC71" i="22"/>
  <c r="CK71" i="22"/>
  <c r="CI68" i="21"/>
  <c r="FH79" i="23"/>
  <c r="HW79" i="23"/>
  <c r="CJ71" i="22"/>
  <c r="FG79" i="23"/>
  <c r="HV79" i="23"/>
  <c r="AB71" i="22"/>
  <c r="CI71" i="22"/>
  <c r="FF79" i="23"/>
  <c r="HU79" i="23"/>
  <c r="CH71" i="22"/>
  <c r="FE79" i="23"/>
  <c r="HT79" i="23"/>
  <c r="AA71" i="22"/>
  <c r="CG71" i="22"/>
  <c r="FD79" i="23"/>
  <c r="HS79" i="23"/>
  <c r="CF71" i="22"/>
  <c r="FC79" i="23"/>
  <c r="HR79" i="23"/>
  <c r="CH68" i="21"/>
  <c r="FB79" i="23"/>
  <c r="HQ79" i="23"/>
  <c r="FA79" i="23"/>
  <c r="HP79" i="23"/>
  <c r="EZ79" i="23"/>
  <c r="HO79" i="23"/>
  <c r="EY79" i="23"/>
  <c r="HN79" i="23"/>
  <c r="EX79" i="23"/>
  <c r="HM79" i="23"/>
  <c r="EW79" i="23"/>
  <c r="HL79" i="23"/>
  <c r="CG68" i="21"/>
  <c r="EV79" i="23"/>
  <c r="HK79" i="23"/>
  <c r="EU79" i="23"/>
  <c r="HJ79" i="23"/>
  <c r="ET79" i="23"/>
  <c r="HI79" i="23"/>
  <c r="ES79" i="23"/>
  <c r="HH79" i="23"/>
  <c r="ER79" i="23"/>
  <c r="HG79" i="23"/>
  <c r="EQ79" i="23"/>
  <c r="HF79" i="23"/>
  <c r="CF68" i="21"/>
  <c r="EP79" i="23"/>
  <c r="HE79" i="23"/>
  <c r="EO79" i="23"/>
  <c r="HD79" i="23"/>
  <c r="EN79" i="23"/>
  <c r="HC79" i="23"/>
  <c r="EM79" i="23"/>
  <c r="HB79" i="23"/>
  <c r="EL79" i="23"/>
  <c r="HA79" i="23"/>
  <c r="EK79" i="23"/>
  <c r="GZ79" i="23"/>
  <c r="CE68" i="21"/>
  <c r="EJ79" i="23"/>
  <c r="GY79" i="23"/>
  <c r="EI79" i="23"/>
  <c r="GX79" i="23"/>
  <c r="EH79" i="23"/>
  <c r="GW79" i="23"/>
  <c r="EG79" i="23"/>
  <c r="GV79" i="23"/>
  <c r="EF79" i="23"/>
  <c r="GU79" i="23"/>
  <c r="EE79" i="23"/>
  <c r="GT79" i="23"/>
  <c r="DM70" i="22"/>
  <c r="EF71" i="22"/>
  <c r="BP79" i="23"/>
  <c r="GS79" i="23"/>
  <c r="DL70" i="22"/>
  <c r="EE71" i="22"/>
  <c r="BO79" i="23"/>
  <c r="GR79" i="23"/>
  <c r="ED71" i="22"/>
  <c r="BN79" i="23"/>
  <c r="GQ79" i="23"/>
  <c r="EC71" i="22"/>
  <c r="BM79" i="23"/>
  <c r="GP79" i="23"/>
  <c r="EB71" i="22"/>
  <c r="BL79" i="23"/>
  <c r="GO79" i="23"/>
  <c r="EA71" i="22"/>
  <c r="BK79" i="23"/>
  <c r="GN79" i="23"/>
  <c r="BA71" i="22"/>
  <c r="AL79" i="23"/>
  <c r="BG71" i="22"/>
  <c r="AX79" i="23"/>
  <c r="BJ79" i="23"/>
  <c r="DO70" i="22"/>
  <c r="DT70" i="22"/>
  <c r="EL71" i="22"/>
  <c r="CB79" i="23"/>
  <c r="GM79" i="23"/>
  <c r="DS70" i="22"/>
  <c r="DN70" i="22"/>
  <c r="EK71" i="22"/>
  <c r="CA79" i="23"/>
  <c r="AZ71" i="22"/>
  <c r="AK79" i="23"/>
  <c r="BF71" i="22"/>
  <c r="AW79" i="23"/>
  <c r="BI79" i="23"/>
  <c r="GL79" i="23"/>
  <c r="AY71" i="22"/>
  <c r="AJ79" i="23"/>
  <c r="BE71" i="22"/>
  <c r="AV79" i="23"/>
  <c r="BH79" i="23"/>
  <c r="EJ71" i="22"/>
  <c r="BZ79" i="23"/>
  <c r="GK79" i="23"/>
  <c r="EI71" i="22"/>
  <c r="BY79" i="23"/>
  <c r="AX71" i="22"/>
  <c r="AI79" i="23"/>
  <c r="BD71" i="22"/>
  <c r="AU79" i="23"/>
  <c r="BG79" i="23"/>
  <c r="GJ79" i="23"/>
  <c r="AW71" i="22"/>
  <c r="AH79" i="23"/>
  <c r="BC71" i="22"/>
  <c r="AT79" i="23"/>
  <c r="BF79" i="23"/>
  <c r="EH71" i="22"/>
  <c r="BX79" i="23"/>
  <c r="GI79" i="23"/>
  <c r="EG71" i="22"/>
  <c r="BW79" i="23"/>
  <c r="AV71" i="22"/>
  <c r="AG79" i="23"/>
  <c r="BB71" i="22"/>
  <c r="AS79" i="23"/>
  <c r="BE79" i="23"/>
  <c r="GH79" i="23"/>
  <c r="AF79" i="23"/>
  <c r="AR79" i="23"/>
  <c r="BD79" i="23"/>
  <c r="BV79" i="23"/>
  <c r="GG79" i="23"/>
  <c r="BU79" i="23"/>
  <c r="AE79" i="23"/>
  <c r="AQ79" i="23"/>
  <c r="BC79" i="23"/>
  <c r="GF79" i="23"/>
  <c r="AD79" i="23"/>
  <c r="AP79" i="23"/>
  <c r="BB79" i="23"/>
  <c r="BT79" i="23"/>
  <c r="GE79" i="23"/>
  <c r="BS79" i="23"/>
  <c r="AC79" i="23"/>
  <c r="AO79" i="23"/>
  <c r="BA79" i="23"/>
  <c r="GD79" i="23"/>
  <c r="AB79" i="23"/>
  <c r="AN79" i="23"/>
  <c r="AZ79" i="23"/>
  <c r="BR79" i="23"/>
  <c r="GC79" i="23"/>
  <c r="BQ79" i="23"/>
  <c r="AA79" i="23"/>
  <c r="AM79" i="23"/>
  <c r="AY79" i="23"/>
  <c r="GB79" i="23"/>
  <c r="AI71" i="22"/>
  <c r="N79" i="23"/>
  <c r="AO71" i="22"/>
  <c r="Z79" i="23"/>
  <c r="GA79" i="23"/>
  <c r="AH71" i="22"/>
  <c r="M79" i="23"/>
  <c r="AN71" i="22"/>
  <c r="Y79" i="23"/>
  <c r="FZ79" i="23"/>
  <c r="AG71" i="22"/>
  <c r="L79" i="23"/>
  <c r="AM71" i="22"/>
  <c r="X79" i="23"/>
  <c r="FY79" i="23"/>
  <c r="AF71" i="22"/>
  <c r="K79" i="23"/>
  <c r="AL71" i="22"/>
  <c r="W79" i="23"/>
  <c r="FX79" i="23"/>
  <c r="AE71" i="22"/>
  <c r="J79" i="23"/>
  <c r="AK71" i="22"/>
  <c r="V79" i="23"/>
  <c r="FW79" i="23"/>
  <c r="AD71" i="22"/>
  <c r="I79" i="23"/>
  <c r="AJ71" i="22"/>
  <c r="U79" i="23"/>
  <c r="FV79" i="23"/>
  <c r="H79" i="23"/>
  <c r="T79" i="23"/>
  <c r="FU79" i="23"/>
  <c r="G79" i="23"/>
  <c r="S79" i="23"/>
  <c r="FT79" i="23"/>
  <c r="F79" i="23"/>
  <c r="R79" i="23"/>
  <c r="FS79" i="23"/>
  <c r="E79" i="23"/>
  <c r="Q79" i="23"/>
  <c r="FR79" i="23"/>
  <c r="D79" i="23"/>
  <c r="P79" i="23"/>
  <c r="FQ79" i="23"/>
  <c r="C79" i="23"/>
  <c r="O79" i="23"/>
  <c r="FP79" i="23"/>
  <c r="CT61" i="22"/>
  <c r="G61" i="22"/>
  <c r="CN61" i="22"/>
  <c r="CZ61" i="22"/>
  <c r="FG61" i="22"/>
  <c r="FT61" i="22"/>
  <c r="GV70" i="22"/>
  <c r="DR78" i="23"/>
  <c r="IO78" i="23"/>
  <c r="F61" i="22"/>
  <c r="CM61" i="22"/>
  <c r="CY61" i="22"/>
  <c r="FF61" i="22"/>
  <c r="FS61" i="22"/>
  <c r="GU70" i="22"/>
  <c r="DQ78" i="23"/>
  <c r="IN78" i="23"/>
  <c r="IM78" i="23"/>
  <c r="IL78" i="23"/>
  <c r="CX69" i="22"/>
  <c r="FC69" i="22"/>
  <c r="FX69" i="22"/>
  <c r="GR70" i="22"/>
  <c r="GT70" i="22"/>
  <c r="DN78" i="23"/>
  <c r="IK78" i="23"/>
  <c r="CW69" i="22"/>
  <c r="FB69" i="22"/>
  <c r="FV69" i="22"/>
  <c r="GQ70" i="22"/>
  <c r="GS70" i="22"/>
  <c r="DM78" i="23"/>
  <c r="IJ78" i="23"/>
  <c r="BS70" i="22"/>
  <c r="EU70" i="22"/>
  <c r="GH70" i="22"/>
  <c r="CN78" i="23"/>
  <c r="BY70" i="22"/>
  <c r="FA70" i="22"/>
  <c r="GN70" i="22"/>
  <c r="CZ78" i="23"/>
  <c r="DL78" i="23"/>
  <c r="I61" i="22"/>
  <c r="BQ131" i="21"/>
  <c r="J61" i="22"/>
  <c r="CP61" i="22"/>
  <c r="CV61" i="22"/>
  <c r="DD61" i="22"/>
  <c r="FI61" i="22"/>
  <c r="FP61" i="22"/>
  <c r="HB70" i="22"/>
  <c r="ED78" i="23"/>
  <c r="II78" i="23"/>
  <c r="FO61" i="22"/>
  <c r="H61" i="22"/>
  <c r="CO61" i="22"/>
  <c r="DC61" i="22"/>
  <c r="FH61" i="22"/>
  <c r="HA70" i="22"/>
  <c r="EC78" i="23"/>
  <c r="BR70" i="22"/>
  <c r="ET70" i="22"/>
  <c r="GG70" i="22"/>
  <c r="CM78" i="23"/>
  <c r="BX70" i="22"/>
  <c r="EZ70" i="22"/>
  <c r="GM70" i="22"/>
  <c r="CY78" i="23"/>
  <c r="DK78" i="23"/>
  <c r="IH78" i="23"/>
  <c r="BQ70" i="22"/>
  <c r="ES70" i="22"/>
  <c r="GF70" i="22"/>
  <c r="CL78" i="23"/>
  <c r="BW70" i="22"/>
  <c r="EY70" i="22"/>
  <c r="GL70" i="22"/>
  <c r="CX78" i="23"/>
  <c r="IG78" i="23"/>
  <c r="BP70" i="22"/>
  <c r="ER70" i="22"/>
  <c r="GE70" i="22"/>
  <c r="CK78" i="23"/>
  <c r="BV70" i="22"/>
  <c r="EX70" i="22"/>
  <c r="GK70" i="22"/>
  <c r="CW78" i="23"/>
  <c r="IF78" i="23"/>
  <c r="BO70" i="22"/>
  <c r="EQ70" i="22"/>
  <c r="GD70" i="22"/>
  <c r="CJ78" i="23"/>
  <c r="BU70" i="22"/>
  <c r="EW70" i="22"/>
  <c r="GJ70" i="22"/>
  <c r="CV78" i="23"/>
  <c r="DH78" i="23"/>
  <c r="DB70" i="22"/>
  <c r="FE70" i="22"/>
  <c r="GB70" i="22"/>
  <c r="GX70" i="22"/>
  <c r="GZ70" i="22"/>
  <c r="DZ78" i="23"/>
  <c r="IE78" i="23"/>
  <c r="DA70" i="22"/>
  <c r="FD70" i="22"/>
  <c r="FZ70" i="22"/>
  <c r="GW70" i="22"/>
  <c r="GY70" i="22"/>
  <c r="DY78" i="23"/>
  <c r="BN70" i="22"/>
  <c r="EP70" i="22"/>
  <c r="GC70" i="22"/>
  <c r="CI78" i="23"/>
  <c r="BT70" i="22"/>
  <c r="EV70" i="22"/>
  <c r="GI70" i="22"/>
  <c r="CU78" i="23"/>
  <c r="DG78" i="23"/>
  <c r="ID78" i="23"/>
  <c r="CH78" i="23"/>
  <c r="CT78" i="23"/>
  <c r="DF78" i="23"/>
  <c r="DX78" i="23"/>
  <c r="IC78" i="23"/>
  <c r="DW78" i="23"/>
  <c r="CG78" i="23"/>
  <c r="CS78" i="23"/>
  <c r="DE78" i="23"/>
  <c r="IB78" i="23"/>
  <c r="CF78" i="23"/>
  <c r="CR78" i="23"/>
  <c r="IA78" i="23"/>
  <c r="CE78" i="23"/>
  <c r="CQ78" i="23"/>
  <c r="HZ78" i="23"/>
  <c r="CD78" i="23"/>
  <c r="CP78" i="23"/>
  <c r="DB78" i="23"/>
  <c r="DT78" i="23"/>
  <c r="HY78" i="23"/>
  <c r="DS78" i="23"/>
  <c r="CC78" i="23"/>
  <c r="CO78" i="23"/>
  <c r="DA78" i="23"/>
  <c r="HX78" i="23"/>
  <c r="AC70" i="22"/>
  <c r="CJ70" i="22"/>
  <c r="CK70" i="22"/>
  <c r="CI67" i="21"/>
  <c r="FH78" i="23"/>
  <c r="HW78" i="23"/>
  <c r="FG78" i="23"/>
  <c r="HV78" i="23"/>
  <c r="AB70" i="22"/>
  <c r="CH70" i="22"/>
  <c r="CI70" i="22"/>
  <c r="FF78" i="23"/>
  <c r="HU78" i="23"/>
  <c r="FE78" i="23"/>
  <c r="HT78" i="23"/>
  <c r="AA70" i="22"/>
  <c r="CF70" i="22"/>
  <c r="CG70" i="22"/>
  <c r="FD78" i="23"/>
  <c r="HS78" i="23"/>
  <c r="FC78" i="23"/>
  <c r="HR78" i="23"/>
  <c r="CH67" i="21"/>
  <c r="FB78" i="23"/>
  <c r="HQ78" i="23"/>
  <c r="FA78" i="23"/>
  <c r="HP78" i="23"/>
  <c r="EZ78" i="23"/>
  <c r="HO78" i="23"/>
  <c r="EY78" i="23"/>
  <c r="HN78" i="23"/>
  <c r="EX78" i="23"/>
  <c r="HM78" i="23"/>
  <c r="EW78" i="23"/>
  <c r="HL78" i="23"/>
  <c r="CG67" i="21"/>
  <c r="EV78" i="23"/>
  <c r="HK78" i="23"/>
  <c r="EU78" i="23"/>
  <c r="HJ78" i="23"/>
  <c r="ET78" i="23"/>
  <c r="HI78" i="23"/>
  <c r="ES78" i="23"/>
  <c r="HH78" i="23"/>
  <c r="ER78" i="23"/>
  <c r="HG78" i="23"/>
  <c r="EQ78" i="23"/>
  <c r="HF78" i="23"/>
  <c r="CF67" i="21"/>
  <c r="EP78" i="23"/>
  <c r="HE78" i="23"/>
  <c r="EO78" i="23"/>
  <c r="HD78" i="23"/>
  <c r="EN78" i="23"/>
  <c r="HC78" i="23"/>
  <c r="EM78" i="23"/>
  <c r="HB78" i="23"/>
  <c r="EL78" i="23"/>
  <c r="HA78" i="23"/>
  <c r="EK78" i="23"/>
  <c r="GZ78" i="23"/>
  <c r="CE67" i="21"/>
  <c r="EJ78" i="23"/>
  <c r="GY78" i="23"/>
  <c r="EI78" i="23"/>
  <c r="GX78" i="23"/>
  <c r="EH78" i="23"/>
  <c r="GW78" i="23"/>
  <c r="EG78" i="23"/>
  <c r="GV78" i="23"/>
  <c r="EF78" i="23"/>
  <c r="GU78" i="23"/>
  <c r="EE78" i="23"/>
  <c r="GT78" i="23"/>
  <c r="DM69" i="22"/>
  <c r="EF70" i="22"/>
  <c r="BP78" i="23"/>
  <c r="GS78" i="23"/>
  <c r="DL69" i="22"/>
  <c r="EE70" i="22"/>
  <c r="BO78" i="23"/>
  <c r="GR78" i="23"/>
  <c r="ED70" i="22"/>
  <c r="BN78" i="23"/>
  <c r="GQ78" i="23"/>
  <c r="EC70" i="22"/>
  <c r="BM78" i="23"/>
  <c r="GP78" i="23"/>
  <c r="EB70" i="22"/>
  <c r="BL78" i="23"/>
  <c r="GO78" i="23"/>
  <c r="EA70" i="22"/>
  <c r="BK78" i="23"/>
  <c r="GN78" i="23"/>
  <c r="BA70" i="22"/>
  <c r="AL78" i="23"/>
  <c r="BG70" i="22"/>
  <c r="AX78" i="23"/>
  <c r="BJ78" i="23"/>
  <c r="DO69" i="22"/>
  <c r="DT69" i="22"/>
  <c r="EL70" i="22"/>
  <c r="CB78" i="23"/>
  <c r="GM78" i="23"/>
  <c r="DS69" i="22"/>
  <c r="DN69" i="22"/>
  <c r="EK70" i="22"/>
  <c r="CA78" i="23"/>
  <c r="AZ70" i="22"/>
  <c r="AK78" i="23"/>
  <c r="BF70" i="22"/>
  <c r="AW78" i="23"/>
  <c r="BI78" i="23"/>
  <c r="GL78" i="23"/>
  <c r="AY70" i="22"/>
  <c r="AJ78" i="23"/>
  <c r="BE70" i="22"/>
  <c r="AV78" i="23"/>
  <c r="BH78" i="23"/>
  <c r="EJ70" i="22"/>
  <c r="BZ78" i="23"/>
  <c r="GK78" i="23"/>
  <c r="EI70" i="22"/>
  <c r="BY78" i="23"/>
  <c r="AX70" i="22"/>
  <c r="AI78" i="23"/>
  <c r="BD70" i="22"/>
  <c r="AU78" i="23"/>
  <c r="BG78" i="23"/>
  <c r="GJ78" i="23"/>
  <c r="AW70" i="22"/>
  <c r="AH78" i="23"/>
  <c r="BC70" i="22"/>
  <c r="AT78" i="23"/>
  <c r="BF78" i="23"/>
  <c r="EH70" i="22"/>
  <c r="BX78" i="23"/>
  <c r="GI78" i="23"/>
  <c r="EG70" i="22"/>
  <c r="BW78" i="23"/>
  <c r="AV70" i="22"/>
  <c r="AG78" i="23"/>
  <c r="BB70" i="22"/>
  <c r="AS78" i="23"/>
  <c r="BE78" i="23"/>
  <c r="GH78" i="23"/>
  <c r="AF78" i="23"/>
  <c r="AR78" i="23"/>
  <c r="BD78" i="23"/>
  <c r="BV78" i="23"/>
  <c r="GG78" i="23"/>
  <c r="BU78" i="23"/>
  <c r="AE78" i="23"/>
  <c r="AQ78" i="23"/>
  <c r="BC78" i="23"/>
  <c r="GF78" i="23"/>
  <c r="AD78" i="23"/>
  <c r="AP78" i="23"/>
  <c r="BB78" i="23"/>
  <c r="BT78" i="23"/>
  <c r="GE78" i="23"/>
  <c r="BS78" i="23"/>
  <c r="AC78" i="23"/>
  <c r="AO78" i="23"/>
  <c r="BA78" i="23"/>
  <c r="GD78" i="23"/>
  <c r="AB78" i="23"/>
  <c r="AN78" i="23"/>
  <c r="AZ78" i="23"/>
  <c r="BR78" i="23"/>
  <c r="GC78" i="23"/>
  <c r="BQ78" i="23"/>
  <c r="AA78" i="23"/>
  <c r="AM78" i="23"/>
  <c r="AY78" i="23"/>
  <c r="GB78" i="23"/>
  <c r="AI70" i="22"/>
  <c r="N78" i="23"/>
  <c r="AO70" i="22"/>
  <c r="Z78" i="23"/>
  <c r="GA78" i="23"/>
  <c r="AH70" i="22"/>
  <c r="M78" i="23"/>
  <c r="AN70" i="22"/>
  <c r="Y78" i="23"/>
  <c r="FZ78" i="23"/>
  <c r="AG70" i="22"/>
  <c r="L78" i="23"/>
  <c r="AM70" i="22"/>
  <c r="X78" i="23"/>
  <c r="FY78" i="23"/>
  <c r="AF70" i="22"/>
  <c r="K78" i="23"/>
  <c r="AL70" i="22"/>
  <c r="W78" i="23"/>
  <c r="FX78" i="23"/>
  <c r="AE70" i="22"/>
  <c r="J78" i="23"/>
  <c r="AK70" i="22"/>
  <c r="V78" i="23"/>
  <c r="FW78" i="23"/>
  <c r="AD70" i="22"/>
  <c r="I78" i="23"/>
  <c r="AJ70" i="22"/>
  <c r="U78" i="23"/>
  <c r="FV78" i="23"/>
  <c r="H78" i="23"/>
  <c r="T78" i="23"/>
  <c r="FU78" i="23"/>
  <c r="G78" i="23"/>
  <c r="S78" i="23"/>
  <c r="FT78" i="23"/>
  <c r="F78" i="23"/>
  <c r="R78" i="23"/>
  <c r="FS78" i="23"/>
  <c r="E78" i="23"/>
  <c r="Q78" i="23"/>
  <c r="FR78" i="23"/>
  <c r="D78" i="23"/>
  <c r="P78" i="23"/>
  <c r="FQ78" i="23"/>
  <c r="C78" i="23"/>
  <c r="O78" i="23"/>
  <c r="FP78" i="23"/>
  <c r="CT60" i="22"/>
  <c r="G60" i="22"/>
  <c r="CN60" i="22"/>
  <c r="CZ60" i="22"/>
  <c r="FG60" i="22"/>
  <c r="FT60" i="22"/>
  <c r="GV69" i="22"/>
  <c r="DR77" i="23"/>
  <c r="IO77" i="23"/>
  <c r="FM11" i="22"/>
  <c r="FM57" i="22"/>
  <c r="FM60" i="22"/>
  <c r="F60" i="22"/>
  <c r="CM60" i="22"/>
  <c r="CY60" i="22"/>
  <c r="FF60" i="22"/>
  <c r="FS60" i="22"/>
  <c r="GU69" i="22"/>
  <c r="DQ77" i="23"/>
  <c r="IN77" i="23"/>
  <c r="IM77" i="23"/>
  <c r="IL77" i="23"/>
  <c r="CX68" i="22"/>
  <c r="FC68" i="22"/>
  <c r="FX68" i="22"/>
  <c r="GR69" i="22"/>
  <c r="GT69" i="22"/>
  <c r="DN77" i="23"/>
  <c r="IK77" i="23"/>
  <c r="GS69" i="22"/>
  <c r="CW68" i="22"/>
  <c r="FB68" i="22"/>
  <c r="FV68" i="22"/>
  <c r="GQ69" i="22"/>
  <c r="DM77" i="23"/>
  <c r="IJ77" i="23"/>
  <c r="BS69" i="22"/>
  <c r="EU69" i="22"/>
  <c r="GH69" i="22"/>
  <c r="CN77" i="23"/>
  <c r="BY69" i="22"/>
  <c r="FA69" i="22"/>
  <c r="GN69" i="22"/>
  <c r="CZ77" i="23"/>
  <c r="DL77" i="23"/>
  <c r="I60" i="22"/>
  <c r="BQ130" i="21"/>
  <c r="J60" i="22"/>
  <c r="CP60" i="22"/>
  <c r="CV60" i="22"/>
  <c r="DD60" i="22"/>
  <c r="FI60" i="22"/>
  <c r="FP60" i="22"/>
  <c r="HB69" i="22"/>
  <c r="ED77" i="23"/>
  <c r="II77" i="23"/>
  <c r="DK77" i="23"/>
  <c r="FO60" i="22"/>
  <c r="H60" i="22"/>
  <c r="CO60" i="22"/>
  <c r="DC60" i="22"/>
  <c r="FH60" i="22"/>
  <c r="HA69" i="22"/>
  <c r="EC77" i="23"/>
  <c r="BR69" i="22"/>
  <c r="ET69" i="22"/>
  <c r="GG69" i="22"/>
  <c r="CM77" i="23"/>
  <c r="BX69" i="22"/>
  <c r="EZ69" i="22"/>
  <c r="GM69" i="22"/>
  <c r="CY77" i="23"/>
  <c r="IH77" i="23"/>
  <c r="BQ69" i="22"/>
  <c r="ES69" i="22"/>
  <c r="GF69" i="22"/>
  <c r="CL77" i="23"/>
  <c r="BW69" i="22"/>
  <c r="EY69" i="22"/>
  <c r="GL69" i="22"/>
  <c r="CX77" i="23"/>
  <c r="IG77" i="23"/>
  <c r="BP69" i="22"/>
  <c r="ER69" i="22"/>
  <c r="GE69" i="22"/>
  <c r="CK77" i="23"/>
  <c r="BV69" i="22"/>
  <c r="EX69" i="22"/>
  <c r="GK69" i="22"/>
  <c r="CW77" i="23"/>
  <c r="IF77" i="23"/>
  <c r="BO69" i="22"/>
  <c r="EQ69" i="22"/>
  <c r="GD69" i="22"/>
  <c r="CJ77" i="23"/>
  <c r="BU69" i="22"/>
  <c r="EW69" i="22"/>
  <c r="GJ69" i="22"/>
  <c r="CV77" i="23"/>
  <c r="DH77" i="23"/>
  <c r="DB69" i="22"/>
  <c r="FE69" i="22"/>
  <c r="GB69" i="22"/>
  <c r="GX69" i="22"/>
  <c r="GZ69" i="22"/>
  <c r="DZ77" i="23"/>
  <c r="IE77" i="23"/>
  <c r="DG77" i="23"/>
  <c r="DA69" i="22"/>
  <c r="FD69" i="22"/>
  <c r="FZ69" i="22"/>
  <c r="GW69" i="22"/>
  <c r="GY69" i="22"/>
  <c r="DY77" i="23"/>
  <c r="BN69" i="22"/>
  <c r="EP69" i="22"/>
  <c r="GC69" i="22"/>
  <c r="CI77" i="23"/>
  <c r="BT69" i="22"/>
  <c r="EV69" i="22"/>
  <c r="GI69" i="22"/>
  <c r="CU77" i="23"/>
  <c r="ID77" i="23"/>
  <c r="CH77" i="23"/>
  <c r="CT77" i="23"/>
  <c r="DF77" i="23"/>
  <c r="DX77" i="23"/>
  <c r="IC77" i="23"/>
  <c r="DE77" i="23"/>
  <c r="DW77" i="23"/>
  <c r="CG77" i="23"/>
  <c r="CS77" i="23"/>
  <c r="IB77" i="23"/>
  <c r="CF77" i="23"/>
  <c r="CR77" i="23"/>
  <c r="IA77" i="23"/>
  <c r="CE77" i="23"/>
  <c r="CQ77" i="23"/>
  <c r="HZ77" i="23"/>
  <c r="CD77" i="23"/>
  <c r="CP77" i="23"/>
  <c r="DB77" i="23"/>
  <c r="DT77" i="23"/>
  <c r="HY77" i="23"/>
  <c r="DA77" i="23"/>
  <c r="DS77" i="23"/>
  <c r="CC77" i="23"/>
  <c r="CO77" i="23"/>
  <c r="HX77" i="23"/>
  <c r="AC69" i="22"/>
  <c r="CJ69" i="22"/>
  <c r="CK69" i="22"/>
  <c r="CI66" i="21"/>
  <c r="FH77" i="23"/>
  <c r="HW77" i="23"/>
  <c r="FG77" i="23"/>
  <c r="HV77" i="23"/>
  <c r="AB69" i="22"/>
  <c r="CH69" i="22"/>
  <c r="CI69" i="22"/>
  <c r="FF77" i="23"/>
  <c r="HU77" i="23"/>
  <c r="FE77" i="23"/>
  <c r="HT77" i="23"/>
  <c r="AA69" i="22"/>
  <c r="CF69" i="22"/>
  <c r="CG69" i="22"/>
  <c r="FD77" i="23"/>
  <c r="HS77" i="23"/>
  <c r="FC77" i="23"/>
  <c r="HR77" i="23"/>
  <c r="CH66" i="21"/>
  <c r="FB77" i="23"/>
  <c r="HQ77" i="23"/>
  <c r="FA77" i="23"/>
  <c r="HP77" i="23"/>
  <c r="EZ77" i="23"/>
  <c r="HO77" i="23"/>
  <c r="EY77" i="23"/>
  <c r="HN77" i="23"/>
  <c r="EX77" i="23"/>
  <c r="HM77" i="23"/>
  <c r="EW77" i="23"/>
  <c r="HL77" i="23"/>
  <c r="CG66" i="21"/>
  <c r="EV77" i="23"/>
  <c r="HK77" i="23"/>
  <c r="EU77" i="23"/>
  <c r="HJ77" i="23"/>
  <c r="ET77" i="23"/>
  <c r="HI77" i="23"/>
  <c r="ES77" i="23"/>
  <c r="HH77" i="23"/>
  <c r="ER77" i="23"/>
  <c r="HG77" i="23"/>
  <c r="EQ77" i="23"/>
  <c r="HF77" i="23"/>
  <c r="CF66" i="21"/>
  <c r="EP77" i="23"/>
  <c r="HE77" i="23"/>
  <c r="EO77" i="23"/>
  <c r="HD77" i="23"/>
  <c r="EN77" i="23"/>
  <c r="HC77" i="23"/>
  <c r="EM77" i="23"/>
  <c r="HB77" i="23"/>
  <c r="EL77" i="23"/>
  <c r="HA77" i="23"/>
  <c r="EK77" i="23"/>
  <c r="GZ77" i="23"/>
  <c r="CE66" i="21"/>
  <c r="EJ77" i="23"/>
  <c r="GY77" i="23"/>
  <c r="EI77" i="23"/>
  <c r="GX77" i="23"/>
  <c r="EH77" i="23"/>
  <c r="GW77" i="23"/>
  <c r="EG77" i="23"/>
  <c r="GV77" i="23"/>
  <c r="EF77" i="23"/>
  <c r="GU77" i="23"/>
  <c r="EE77" i="23"/>
  <c r="GT77" i="23"/>
  <c r="DM68" i="22"/>
  <c r="EF69" i="22"/>
  <c r="BP77" i="23"/>
  <c r="GS77" i="23"/>
  <c r="DL68" i="22"/>
  <c r="EE69" i="22"/>
  <c r="BO77" i="23"/>
  <c r="GR77" i="23"/>
  <c r="ED69" i="22"/>
  <c r="BN77" i="23"/>
  <c r="GQ77" i="23"/>
  <c r="EC69" i="22"/>
  <c r="BM77" i="23"/>
  <c r="GP77" i="23"/>
  <c r="EB69" i="22"/>
  <c r="BL77" i="23"/>
  <c r="GO77" i="23"/>
  <c r="EA69" i="22"/>
  <c r="BK77" i="23"/>
  <c r="GN77" i="23"/>
  <c r="BA69" i="22"/>
  <c r="AL77" i="23"/>
  <c r="BG69" i="22"/>
  <c r="AX77" i="23"/>
  <c r="BJ77" i="23"/>
  <c r="DO68" i="22"/>
  <c r="DT68" i="22"/>
  <c r="EL69" i="22"/>
  <c r="CB77" i="23"/>
  <c r="GM77" i="23"/>
  <c r="DS68" i="22"/>
  <c r="DN68" i="22"/>
  <c r="EK69" i="22"/>
  <c r="CA77" i="23"/>
  <c r="AZ69" i="22"/>
  <c r="AK77" i="23"/>
  <c r="BF69" i="22"/>
  <c r="AW77" i="23"/>
  <c r="BI77" i="23"/>
  <c r="GL77" i="23"/>
  <c r="AY69" i="22"/>
  <c r="AJ77" i="23"/>
  <c r="BE69" i="22"/>
  <c r="AV77" i="23"/>
  <c r="BH77" i="23"/>
  <c r="EJ69" i="22"/>
  <c r="BZ77" i="23"/>
  <c r="GK77" i="23"/>
  <c r="EI69" i="22"/>
  <c r="BY77" i="23"/>
  <c r="AX69" i="22"/>
  <c r="AI77" i="23"/>
  <c r="BD69" i="22"/>
  <c r="AU77" i="23"/>
  <c r="BG77" i="23"/>
  <c r="GJ77" i="23"/>
  <c r="AW69" i="22"/>
  <c r="AH77" i="23"/>
  <c r="BC69" i="22"/>
  <c r="AT77" i="23"/>
  <c r="BF77" i="23"/>
  <c r="EH69" i="22"/>
  <c r="BX77" i="23"/>
  <c r="GI77" i="23"/>
  <c r="EG69" i="22"/>
  <c r="BW77" i="23"/>
  <c r="AV69" i="22"/>
  <c r="AG77" i="23"/>
  <c r="BB69" i="22"/>
  <c r="AS77" i="23"/>
  <c r="BE77" i="23"/>
  <c r="GH77" i="23"/>
  <c r="AF77" i="23"/>
  <c r="AR77" i="23"/>
  <c r="BD77" i="23"/>
  <c r="BV77" i="23"/>
  <c r="GG77" i="23"/>
  <c r="BU77" i="23"/>
  <c r="AE77" i="23"/>
  <c r="AQ77" i="23"/>
  <c r="BC77" i="23"/>
  <c r="GF77" i="23"/>
  <c r="AD77" i="23"/>
  <c r="AP77" i="23"/>
  <c r="BB77" i="23"/>
  <c r="BT77" i="23"/>
  <c r="GE77" i="23"/>
  <c r="BS77" i="23"/>
  <c r="AC77" i="23"/>
  <c r="AO77" i="23"/>
  <c r="BA77" i="23"/>
  <c r="GD77" i="23"/>
  <c r="AB77" i="23"/>
  <c r="AN77" i="23"/>
  <c r="AZ77" i="23"/>
  <c r="BR77" i="23"/>
  <c r="GC77" i="23"/>
  <c r="BQ77" i="23"/>
  <c r="AA77" i="23"/>
  <c r="AM77" i="23"/>
  <c r="AY77" i="23"/>
  <c r="GB77" i="23"/>
  <c r="AI69" i="22"/>
  <c r="N77" i="23"/>
  <c r="AO69" i="22"/>
  <c r="Z77" i="23"/>
  <c r="GA77" i="23"/>
  <c r="AH69" i="22"/>
  <c r="M77" i="23"/>
  <c r="AN69" i="22"/>
  <c r="Y77" i="23"/>
  <c r="FZ77" i="23"/>
  <c r="AG69" i="22"/>
  <c r="L77" i="23"/>
  <c r="AM69" i="22"/>
  <c r="X77" i="23"/>
  <c r="FY77" i="23"/>
  <c r="AF69" i="22"/>
  <c r="K77" i="23"/>
  <c r="AL69" i="22"/>
  <c r="W77" i="23"/>
  <c r="FX77" i="23"/>
  <c r="AE69" i="22"/>
  <c r="J77" i="23"/>
  <c r="AK69" i="22"/>
  <c r="V77" i="23"/>
  <c r="FW77" i="23"/>
  <c r="AD69" i="22"/>
  <c r="I77" i="23"/>
  <c r="AJ69" i="22"/>
  <c r="U77" i="23"/>
  <c r="FV77" i="23"/>
  <c r="H77" i="23"/>
  <c r="T77" i="23"/>
  <c r="FU77" i="23"/>
  <c r="G77" i="23"/>
  <c r="S77" i="23"/>
  <c r="FT77" i="23"/>
  <c r="F77" i="23"/>
  <c r="R77" i="23"/>
  <c r="FS77" i="23"/>
  <c r="E77" i="23"/>
  <c r="Q77" i="23"/>
  <c r="FR77" i="23"/>
  <c r="D77" i="23"/>
  <c r="P77" i="23"/>
  <c r="FQ77" i="23"/>
  <c r="C77" i="23"/>
  <c r="O77" i="23"/>
  <c r="FP77" i="23"/>
  <c r="CT59" i="22"/>
  <c r="G59" i="22"/>
  <c r="CN59" i="22"/>
  <c r="CZ59" i="22"/>
  <c r="FG59" i="22"/>
  <c r="FT59" i="22"/>
  <c r="GV68" i="22"/>
  <c r="DR76" i="23"/>
  <c r="IO76" i="23"/>
  <c r="FM59" i="22"/>
  <c r="F59" i="22"/>
  <c r="CM59" i="22"/>
  <c r="CY59" i="22"/>
  <c r="FF59" i="22"/>
  <c r="FS59" i="22"/>
  <c r="GU68" i="22"/>
  <c r="DQ76" i="23"/>
  <c r="IN76" i="23"/>
  <c r="IM76" i="23"/>
  <c r="IL76" i="23"/>
  <c r="CX67" i="22"/>
  <c r="FC67" i="22"/>
  <c r="FX67" i="22"/>
  <c r="GR68" i="22"/>
  <c r="GT68" i="22"/>
  <c r="DN76" i="23"/>
  <c r="IK76" i="23"/>
  <c r="GS68" i="22"/>
  <c r="CW67" i="22"/>
  <c r="FB67" i="22"/>
  <c r="FV67" i="22"/>
  <c r="GQ68" i="22"/>
  <c r="DM76" i="23"/>
  <c r="IJ76" i="23"/>
  <c r="BS68" i="22"/>
  <c r="EU68" i="22"/>
  <c r="GH68" i="22"/>
  <c r="CN76" i="23"/>
  <c r="BY68" i="22"/>
  <c r="FA68" i="22"/>
  <c r="GN68" i="22"/>
  <c r="CZ76" i="23"/>
  <c r="DL76" i="23"/>
  <c r="I59" i="22"/>
  <c r="CP59" i="22"/>
  <c r="CV59" i="22"/>
  <c r="DD59" i="22"/>
  <c r="FI59" i="22"/>
  <c r="FP59" i="22"/>
  <c r="HB68" i="22"/>
  <c r="ED76" i="23"/>
  <c r="II76" i="23"/>
  <c r="DK76" i="23"/>
  <c r="FO59" i="22"/>
  <c r="H59" i="22"/>
  <c r="CO59" i="22"/>
  <c r="DC59" i="22"/>
  <c r="FH59" i="22"/>
  <c r="HA68" i="22"/>
  <c r="EC76" i="23"/>
  <c r="BR68" i="22"/>
  <c r="ET68" i="22"/>
  <c r="GG68" i="22"/>
  <c r="CM76" i="23"/>
  <c r="BX68" i="22"/>
  <c r="EZ68" i="22"/>
  <c r="GM68" i="22"/>
  <c r="CY76" i="23"/>
  <c r="IH76" i="23"/>
  <c r="BQ68" i="22"/>
  <c r="ES68" i="22"/>
  <c r="GF68" i="22"/>
  <c r="CL76" i="23"/>
  <c r="BW68" i="22"/>
  <c r="EY68" i="22"/>
  <c r="GL68" i="22"/>
  <c r="CX76" i="23"/>
  <c r="IG76" i="23"/>
  <c r="BP68" i="22"/>
  <c r="ER68" i="22"/>
  <c r="GE68" i="22"/>
  <c r="CK76" i="23"/>
  <c r="BV68" i="22"/>
  <c r="EX68" i="22"/>
  <c r="GK68" i="22"/>
  <c r="CW76" i="23"/>
  <c r="IF76" i="23"/>
  <c r="BO68" i="22"/>
  <c r="EQ68" i="22"/>
  <c r="GD68" i="22"/>
  <c r="CJ76" i="23"/>
  <c r="BU68" i="22"/>
  <c r="EW68" i="22"/>
  <c r="GJ68" i="22"/>
  <c r="CV76" i="23"/>
  <c r="DH76" i="23"/>
  <c r="DB68" i="22"/>
  <c r="FE68" i="22"/>
  <c r="GB68" i="22"/>
  <c r="GX68" i="22"/>
  <c r="GZ68" i="22"/>
  <c r="DZ76" i="23"/>
  <c r="IE76" i="23"/>
  <c r="DG76" i="23"/>
  <c r="DA68" i="22"/>
  <c r="FD68" i="22"/>
  <c r="FZ68" i="22"/>
  <c r="GW68" i="22"/>
  <c r="GY68" i="22"/>
  <c r="DY76" i="23"/>
  <c r="BN68" i="22"/>
  <c r="EP68" i="22"/>
  <c r="GC68" i="22"/>
  <c r="CI76" i="23"/>
  <c r="BT68" i="22"/>
  <c r="EV68" i="22"/>
  <c r="GI68" i="22"/>
  <c r="CU76" i="23"/>
  <c r="ID76" i="23"/>
  <c r="CH76" i="23"/>
  <c r="CT76" i="23"/>
  <c r="DF76" i="23"/>
  <c r="DX76" i="23"/>
  <c r="IC76" i="23"/>
  <c r="DE76" i="23"/>
  <c r="DW76" i="23"/>
  <c r="CG76" i="23"/>
  <c r="CS76" i="23"/>
  <c r="IB76" i="23"/>
  <c r="CF76" i="23"/>
  <c r="CR76" i="23"/>
  <c r="IA76" i="23"/>
  <c r="CE76" i="23"/>
  <c r="CQ76" i="23"/>
  <c r="HZ76" i="23"/>
  <c r="CD76" i="23"/>
  <c r="CP76" i="23"/>
  <c r="DB76" i="23"/>
  <c r="DT76" i="23"/>
  <c r="HY76" i="23"/>
  <c r="DA76" i="23"/>
  <c r="DS76" i="23"/>
  <c r="CC76" i="23"/>
  <c r="CO76" i="23"/>
  <c r="HX76" i="23"/>
  <c r="AC68" i="22"/>
  <c r="CJ68" i="22"/>
  <c r="CK68" i="22"/>
  <c r="FH76" i="23"/>
  <c r="HW76" i="23"/>
  <c r="FG76" i="23"/>
  <c r="HV76" i="23"/>
  <c r="AB68" i="22"/>
  <c r="CH68" i="22"/>
  <c r="CI68" i="22"/>
  <c r="FF76" i="23"/>
  <c r="HU76" i="23"/>
  <c r="FE76" i="23"/>
  <c r="HT76" i="23"/>
  <c r="AA68" i="22"/>
  <c r="CF68" i="22"/>
  <c r="CG68" i="22"/>
  <c r="FD76" i="23"/>
  <c r="HS76" i="23"/>
  <c r="FC76" i="23"/>
  <c r="HR76" i="23"/>
  <c r="FB76" i="23"/>
  <c r="HQ76" i="23"/>
  <c r="FA76" i="23"/>
  <c r="HP76" i="23"/>
  <c r="EZ76" i="23"/>
  <c r="HO76" i="23"/>
  <c r="EY76" i="23"/>
  <c r="HN76" i="23"/>
  <c r="EX76" i="23"/>
  <c r="HM76" i="23"/>
  <c r="EW76" i="23"/>
  <c r="HL76" i="23"/>
  <c r="EV76" i="23"/>
  <c r="HK76" i="23"/>
  <c r="EU76" i="23"/>
  <c r="HJ76" i="23"/>
  <c r="ET76" i="23"/>
  <c r="HI76" i="23"/>
  <c r="ES76" i="23"/>
  <c r="HH76" i="23"/>
  <c r="ER76" i="23"/>
  <c r="HG76" i="23"/>
  <c r="EQ76" i="23"/>
  <c r="HF76" i="23"/>
  <c r="EP76" i="23"/>
  <c r="HE76" i="23"/>
  <c r="EO76" i="23"/>
  <c r="HD76" i="23"/>
  <c r="EN76" i="23"/>
  <c r="HC76" i="23"/>
  <c r="EM76" i="23"/>
  <c r="HB76" i="23"/>
  <c r="EL76" i="23"/>
  <c r="HA76" i="23"/>
  <c r="EK76" i="23"/>
  <c r="GZ76" i="23"/>
  <c r="EJ76" i="23"/>
  <c r="GY76" i="23"/>
  <c r="EI76" i="23"/>
  <c r="GX76" i="23"/>
  <c r="EH76" i="23"/>
  <c r="GW76" i="23"/>
  <c r="EG76" i="23"/>
  <c r="GV76" i="23"/>
  <c r="EF76" i="23"/>
  <c r="GU76" i="23"/>
  <c r="EE76" i="23"/>
  <c r="GT76" i="23"/>
  <c r="DM67" i="22"/>
  <c r="EF68" i="22"/>
  <c r="BP76" i="23"/>
  <c r="GS76" i="23"/>
  <c r="DL67" i="22"/>
  <c r="EE68" i="22"/>
  <c r="BO76" i="23"/>
  <c r="GR76" i="23"/>
  <c r="ED68" i="22"/>
  <c r="BN76" i="23"/>
  <c r="GQ76" i="23"/>
  <c r="EC68" i="22"/>
  <c r="BM76" i="23"/>
  <c r="GP76" i="23"/>
  <c r="EB68" i="22"/>
  <c r="BL76" i="23"/>
  <c r="GO76" i="23"/>
  <c r="EA68" i="22"/>
  <c r="BK76" i="23"/>
  <c r="GN76" i="23"/>
  <c r="BA68" i="22"/>
  <c r="AL76" i="23"/>
  <c r="BG68" i="22"/>
  <c r="AX76" i="23"/>
  <c r="BJ76" i="23"/>
  <c r="DO67" i="22"/>
  <c r="DT67" i="22"/>
  <c r="EL68" i="22"/>
  <c r="CB76" i="23"/>
  <c r="GM76" i="23"/>
  <c r="DS67" i="22"/>
  <c r="DN67" i="22"/>
  <c r="EK68" i="22"/>
  <c r="CA76" i="23"/>
  <c r="AZ68" i="22"/>
  <c r="AK76" i="23"/>
  <c r="BF68" i="22"/>
  <c r="AW76" i="23"/>
  <c r="BI76" i="23"/>
  <c r="GL76" i="23"/>
  <c r="AY68" i="22"/>
  <c r="AJ76" i="23"/>
  <c r="BE68" i="22"/>
  <c r="AV76" i="23"/>
  <c r="BH76" i="23"/>
  <c r="EJ68" i="22"/>
  <c r="BZ76" i="23"/>
  <c r="GK76" i="23"/>
  <c r="EI68" i="22"/>
  <c r="BY76" i="23"/>
  <c r="AX68" i="22"/>
  <c r="AI76" i="23"/>
  <c r="BD68" i="22"/>
  <c r="AU76" i="23"/>
  <c r="BG76" i="23"/>
  <c r="GJ76" i="23"/>
  <c r="AW68" i="22"/>
  <c r="AH76" i="23"/>
  <c r="BC68" i="22"/>
  <c r="AT76" i="23"/>
  <c r="BF76" i="23"/>
  <c r="EH68" i="22"/>
  <c r="BX76" i="23"/>
  <c r="GI76" i="23"/>
  <c r="EG68" i="22"/>
  <c r="BW76" i="23"/>
  <c r="AV68" i="22"/>
  <c r="AG76" i="23"/>
  <c r="BB68" i="22"/>
  <c r="AS76" i="23"/>
  <c r="BE76" i="23"/>
  <c r="GH76" i="23"/>
  <c r="AF76" i="23"/>
  <c r="AR76" i="23"/>
  <c r="BD76" i="23"/>
  <c r="BV76" i="23"/>
  <c r="GG76" i="23"/>
  <c r="BU76" i="23"/>
  <c r="AE76" i="23"/>
  <c r="AQ76" i="23"/>
  <c r="BC76" i="23"/>
  <c r="GF76" i="23"/>
  <c r="AD76" i="23"/>
  <c r="AP76" i="23"/>
  <c r="BB76" i="23"/>
  <c r="BT76" i="23"/>
  <c r="GE76" i="23"/>
  <c r="BS76" i="23"/>
  <c r="AC76" i="23"/>
  <c r="AO76" i="23"/>
  <c r="BA76" i="23"/>
  <c r="GD76" i="23"/>
  <c r="AB76" i="23"/>
  <c r="AN76" i="23"/>
  <c r="AZ76" i="23"/>
  <c r="BR76" i="23"/>
  <c r="GC76" i="23"/>
  <c r="BQ76" i="23"/>
  <c r="AA76" i="23"/>
  <c r="AM76" i="23"/>
  <c r="AY76" i="23"/>
  <c r="GB76" i="23"/>
  <c r="AI68" i="22"/>
  <c r="N76" i="23"/>
  <c r="AO68" i="22"/>
  <c r="Z76" i="23"/>
  <c r="GA76" i="23"/>
  <c r="AH68" i="22"/>
  <c r="M76" i="23"/>
  <c r="AN68" i="22"/>
  <c r="Y76" i="23"/>
  <c r="FZ76" i="23"/>
  <c r="AG68" i="22"/>
  <c r="L76" i="23"/>
  <c r="AM68" i="22"/>
  <c r="X76" i="23"/>
  <c r="FY76" i="23"/>
  <c r="AF68" i="22"/>
  <c r="K76" i="23"/>
  <c r="AL68" i="22"/>
  <c r="W76" i="23"/>
  <c r="FX76" i="23"/>
  <c r="AE68" i="22"/>
  <c r="J76" i="23"/>
  <c r="AK68" i="22"/>
  <c r="V76" i="23"/>
  <c r="FW76" i="23"/>
  <c r="AD68" i="22"/>
  <c r="I76" i="23"/>
  <c r="AJ68" i="22"/>
  <c r="U76" i="23"/>
  <c r="FV76" i="23"/>
  <c r="H76" i="23"/>
  <c r="T76" i="23"/>
  <c r="FU76" i="23"/>
  <c r="G76" i="23"/>
  <c r="S76" i="23"/>
  <c r="FT76" i="23"/>
  <c r="F76" i="23"/>
  <c r="R76" i="23"/>
  <c r="FS76" i="23"/>
  <c r="E76" i="23"/>
  <c r="Q76" i="23"/>
  <c r="FR76" i="23"/>
  <c r="D76" i="23"/>
  <c r="P76" i="23"/>
  <c r="FQ76" i="23"/>
  <c r="C76" i="23"/>
  <c r="O76" i="23"/>
  <c r="FP76" i="23"/>
  <c r="CT58" i="22"/>
  <c r="G58" i="22"/>
  <c r="CN58" i="22"/>
  <c r="CZ58" i="22"/>
  <c r="FG58" i="22"/>
  <c r="FT58" i="22"/>
  <c r="GV67" i="22"/>
  <c r="DR75" i="23"/>
  <c r="IO75" i="23"/>
  <c r="FM58" i="22"/>
  <c r="F58" i="22"/>
  <c r="CM58" i="22"/>
  <c r="CY58" i="22"/>
  <c r="FF58" i="22"/>
  <c r="FS58" i="22"/>
  <c r="GU67" i="22"/>
  <c r="DQ75" i="23"/>
  <c r="IN75" i="23"/>
  <c r="IM75" i="23"/>
  <c r="IL75" i="23"/>
  <c r="CX66" i="22"/>
  <c r="FC66" i="22"/>
  <c r="FX66" i="22"/>
  <c r="GR67" i="22"/>
  <c r="GT67" i="22"/>
  <c r="DN75" i="23"/>
  <c r="IK75" i="23"/>
  <c r="GS67" i="22"/>
  <c r="CW66" i="22"/>
  <c r="FB66" i="22"/>
  <c r="FV66" i="22"/>
  <c r="GQ67" i="22"/>
  <c r="DM75" i="23"/>
  <c r="IJ75" i="23"/>
  <c r="BS67" i="22"/>
  <c r="EU67" i="22"/>
  <c r="GH67" i="22"/>
  <c r="CN75" i="23"/>
  <c r="BY67" i="22"/>
  <c r="FA67" i="22"/>
  <c r="GN67" i="22"/>
  <c r="CZ75" i="23"/>
  <c r="DL75" i="23"/>
  <c r="I58" i="22"/>
  <c r="J58" i="22"/>
  <c r="CP58" i="22"/>
  <c r="CV58" i="22"/>
  <c r="DD58" i="22"/>
  <c r="FI58" i="22"/>
  <c r="FP58" i="22"/>
  <c r="HB67" i="22"/>
  <c r="ED75" i="23"/>
  <c r="II75" i="23"/>
  <c r="DK75" i="23"/>
  <c r="FO58" i="22"/>
  <c r="H58" i="22"/>
  <c r="CO58" i="22"/>
  <c r="DC58" i="22"/>
  <c r="FH58" i="22"/>
  <c r="HA67" i="22"/>
  <c r="EC75" i="23"/>
  <c r="BR67" i="22"/>
  <c r="ET67" i="22"/>
  <c r="GG67" i="22"/>
  <c r="CM75" i="23"/>
  <c r="BX67" i="22"/>
  <c r="EZ67" i="22"/>
  <c r="GM67" i="22"/>
  <c r="CY75" i="23"/>
  <c r="IH75" i="23"/>
  <c r="BQ67" i="22"/>
  <c r="ES67" i="22"/>
  <c r="GF67" i="22"/>
  <c r="CL75" i="23"/>
  <c r="BW67" i="22"/>
  <c r="EY67" i="22"/>
  <c r="GL67" i="22"/>
  <c r="CX75" i="23"/>
  <c r="IG75" i="23"/>
  <c r="BP67" i="22"/>
  <c r="ER67" i="22"/>
  <c r="GE67" i="22"/>
  <c r="CK75" i="23"/>
  <c r="BV67" i="22"/>
  <c r="EX67" i="22"/>
  <c r="GK67" i="22"/>
  <c r="CW75" i="23"/>
  <c r="IF75" i="23"/>
  <c r="BO67" i="22"/>
  <c r="EQ67" i="22"/>
  <c r="GD67" i="22"/>
  <c r="CJ75" i="23"/>
  <c r="BU67" i="22"/>
  <c r="EW67" i="22"/>
  <c r="GJ67" i="22"/>
  <c r="CV75" i="23"/>
  <c r="DH75" i="23"/>
  <c r="DB67" i="22"/>
  <c r="FE67" i="22"/>
  <c r="GB67" i="22"/>
  <c r="GX67" i="22"/>
  <c r="GZ67" i="22"/>
  <c r="DZ75" i="23"/>
  <c r="IE75" i="23"/>
  <c r="DG75" i="23"/>
  <c r="DA67" i="22"/>
  <c r="FD67" i="22"/>
  <c r="FZ67" i="22"/>
  <c r="GW67" i="22"/>
  <c r="GY67" i="22"/>
  <c r="DY75" i="23"/>
  <c r="BN67" i="22"/>
  <c r="EP67" i="22"/>
  <c r="GC67" i="22"/>
  <c r="CI75" i="23"/>
  <c r="BT67" i="22"/>
  <c r="EV67" i="22"/>
  <c r="GI67" i="22"/>
  <c r="CU75" i="23"/>
  <c r="ID75" i="23"/>
  <c r="CH75" i="23"/>
  <c r="CT75" i="23"/>
  <c r="DF75" i="23"/>
  <c r="DX75" i="23"/>
  <c r="IC75" i="23"/>
  <c r="DE75" i="23"/>
  <c r="DW75" i="23"/>
  <c r="CG75" i="23"/>
  <c r="CS75" i="23"/>
  <c r="IB75" i="23"/>
  <c r="CF75" i="23"/>
  <c r="CR75" i="23"/>
  <c r="IA75" i="23"/>
  <c r="CE75" i="23"/>
  <c r="CQ75" i="23"/>
  <c r="HZ75" i="23"/>
  <c r="CD75" i="23"/>
  <c r="CP75" i="23"/>
  <c r="DB75" i="23"/>
  <c r="DT75" i="23"/>
  <c r="HY75" i="23"/>
  <c r="DA75" i="23"/>
  <c r="DS75" i="23"/>
  <c r="CC75" i="23"/>
  <c r="CO75" i="23"/>
  <c r="HX75" i="23"/>
  <c r="AC67" i="22"/>
  <c r="CJ67" i="22"/>
  <c r="CK67" i="22"/>
  <c r="CN137" i="21"/>
  <c r="CK185" i="21"/>
  <c r="CN197" i="21"/>
  <c r="CJ137" i="21"/>
  <c r="CJ197" i="21"/>
  <c r="CK137" i="21"/>
  <c r="CK197" i="21"/>
  <c r="CL137" i="21"/>
  <c r="CL197" i="21"/>
  <c r="CM137" i="21"/>
  <c r="CJ185" i="21"/>
  <c r="CM197" i="21"/>
  <c r="CS197" i="21"/>
  <c r="CI64" i="21"/>
  <c r="FH75" i="23"/>
  <c r="HW75" i="23"/>
  <c r="FG75" i="23"/>
  <c r="HV75" i="23"/>
  <c r="AB67" i="22"/>
  <c r="CH67" i="22"/>
  <c r="CI67" i="22"/>
  <c r="FF75" i="23"/>
  <c r="HU75" i="23"/>
  <c r="FE75" i="23"/>
  <c r="HT75" i="23"/>
  <c r="AA67" i="22"/>
  <c r="CF67" i="22"/>
  <c r="CG67" i="22"/>
  <c r="FD75" i="23"/>
  <c r="HS75" i="23"/>
  <c r="FC75" i="23"/>
  <c r="HR75" i="23"/>
  <c r="CR197" i="21"/>
  <c r="CH64" i="21"/>
  <c r="FB75" i="23"/>
  <c r="HQ75" i="23"/>
  <c r="FA75" i="23"/>
  <c r="HP75" i="23"/>
  <c r="EZ75" i="23"/>
  <c r="HO75" i="23"/>
  <c r="EY75" i="23"/>
  <c r="HN75" i="23"/>
  <c r="EX75" i="23"/>
  <c r="HM75" i="23"/>
  <c r="EW75" i="23"/>
  <c r="HL75" i="23"/>
  <c r="CQ197" i="21"/>
  <c r="CG64" i="21"/>
  <c r="EV75" i="23"/>
  <c r="HK75" i="23"/>
  <c r="EU75" i="23"/>
  <c r="HJ75" i="23"/>
  <c r="ET75" i="23"/>
  <c r="HI75" i="23"/>
  <c r="ES75" i="23"/>
  <c r="HH75" i="23"/>
  <c r="ER75" i="23"/>
  <c r="HG75" i="23"/>
  <c r="EQ75" i="23"/>
  <c r="HF75" i="23"/>
  <c r="CP197" i="21"/>
  <c r="CF64" i="21"/>
  <c r="EP75" i="23"/>
  <c r="HE75" i="23"/>
  <c r="EO75" i="23"/>
  <c r="HD75" i="23"/>
  <c r="EN75" i="23"/>
  <c r="HC75" i="23"/>
  <c r="EM75" i="23"/>
  <c r="HB75" i="23"/>
  <c r="EL75" i="23"/>
  <c r="HA75" i="23"/>
  <c r="EK75" i="23"/>
  <c r="GZ75" i="23"/>
  <c r="CO197" i="21"/>
  <c r="CE64" i="21"/>
  <c r="EJ75" i="23"/>
  <c r="GY75" i="23"/>
  <c r="EI75" i="23"/>
  <c r="GX75" i="23"/>
  <c r="EH75" i="23"/>
  <c r="GW75" i="23"/>
  <c r="EG75" i="23"/>
  <c r="GV75" i="23"/>
  <c r="EF75" i="23"/>
  <c r="GU75" i="23"/>
  <c r="EE75" i="23"/>
  <c r="GT75" i="23"/>
  <c r="DM66" i="22"/>
  <c r="EF67" i="22"/>
  <c r="BP75" i="23"/>
  <c r="GS75" i="23"/>
  <c r="DL66" i="22"/>
  <c r="EE67" i="22"/>
  <c r="BO75" i="23"/>
  <c r="GR75" i="23"/>
  <c r="ED67" i="22"/>
  <c r="BN75" i="23"/>
  <c r="GQ75" i="23"/>
  <c r="EC67" i="22"/>
  <c r="BM75" i="23"/>
  <c r="GP75" i="23"/>
  <c r="EB67" i="22"/>
  <c r="BL75" i="23"/>
  <c r="GO75" i="23"/>
  <c r="EA67" i="22"/>
  <c r="BK75" i="23"/>
  <c r="GN75" i="23"/>
  <c r="BA67" i="22"/>
  <c r="AL75" i="23"/>
  <c r="BG67" i="22"/>
  <c r="AX75" i="23"/>
  <c r="BJ75" i="23"/>
  <c r="DO66" i="22"/>
  <c r="DT66" i="22"/>
  <c r="EL67" i="22"/>
  <c r="CB75" i="23"/>
  <c r="GM75" i="23"/>
  <c r="DS66" i="22"/>
  <c r="DN66" i="22"/>
  <c r="EK67" i="22"/>
  <c r="CA75" i="23"/>
  <c r="AZ67" i="22"/>
  <c r="AK75" i="23"/>
  <c r="BF67" i="22"/>
  <c r="AW75" i="23"/>
  <c r="BI75" i="23"/>
  <c r="GL75" i="23"/>
  <c r="AY67" i="22"/>
  <c r="AJ75" i="23"/>
  <c r="BE67" i="22"/>
  <c r="AV75" i="23"/>
  <c r="BH75" i="23"/>
  <c r="EJ67" i="22"/>
  <c r="BZ75" i="23"/>
  <c r="GK75" i="23"/>
  <c r="EI67" i="22"/>
  <c r="BY75" i="23"/>
  <c r="AX67" i="22"/>
  <c r="AI75" i="23"/>
  <c r="BD67" i="22"/>
  <c r="AU75" i="23"/>
  <c r="BG75" i="23"/>
  <c r="GJ75" i="23"/>
  <c r="AW67" i="22"/>
  <c r="AH75" i="23"/>
  <c r="BC67" i="22"/>
  <c r="AT75" i="23"/>
  <c r="BF75" i="23"/>
  <c r="EH67" i="22"/>
  <c r="BX75" i="23"/>
  <c r="GI75" i="23"/>
  <c r="EG67" i="22"/>
  <c r="BW75" i="23"/>
  <c r="AV67" i="22"/>
  <c r="AG75" i="23"/>
  <c r="BB67" i="22"/>
  <c r="AS75" i="23"/>
  <c r="BE75" i="23"/>
  <c r="GH75" i="23"/>
  <c r="AF75" i="23"/>
  <c r="AR75" i="23"/>
  <c r="BD75" i="23"/>
  <c r="BV75" i="23"/>
  <c r="GG75" i="23"/>
  <c r="BU75" i="23"/>
  <c r="AE75" i="23"/>
  <c r="AQ75" i="23"/>
  <c r="BC75" i="23"/>
  <c r="GF75" i="23"/>
  <c r="AD75" i="23"/>
  <c r="AP75" i="23"/>
  <c r="BB75" i="23"/>
  <c r="BT75" i="23"/>
  <c r="GE75" i="23"/>
  <c r="BS75" i="23"/>
  <c r="AC75" i="23"/>
  <c r="AO75" i="23"/>
  <c r="BA75" i="23"/>
  <c r="GD75" i="23"/>
  <c r="AB75" i="23"/>
  <c r="AN75" i="23"/>
  <c r="AZ75" i="23"/>
  <c r="BR75" i="23"/>
  <c r="GC75" i="23"/>
  <c r="BQ75" i="23"/>
  <c r="AA75" i="23"/>
  <c r="AM75" i="23"/>
  <c r="AY75" i="23"/>
  <c r="GB75" i="23"/>
  <c r="AI67" i="22"/>
  <c r="N75" i="23"/>
  <c r="AO67" i="22"/>
  <c r="Z75" i="23"/>
  <c r="GA75" i="23"/>
  <c r="AH67" i="22"/>
  <c r="M75" i="23"/>
  <c r="AN67" i="22"/>
  <c r="Y75" i="23"/>
  <c r="FZ75" i="23"/>
  <c r="AG67" i="22"/>
  <c r="L75" i="23"/>
  <c r="AM67" i="22"/>
  <c r="X75" i="23"/>
  <c r="FY75" i="23"/>
  <c r="AF67" i="22"/>
  <c r="K75" i="23"/>
  <c r="AL67" i="22"/>
  <c r="W75" i="23"/>
  <c r="FX75" i="23"/>
  <c r="AE67" i="22"/>
  <c r="J75" i="23"/>
  <c r="AK67" i="22"/>
  <c r="V75" i="23"/>
  <c r="FW75" i="23"/>
  <c r="AD67" i="22"/>
  <c r="I75" i="23"/>
  <c r="AJ67" i="22"/>
  <c r="U75" i="23"/>
  <c r="FV75" i="23"/>
  <c r="H75" i="23"/>
  <c r="T75" i="23"/>
  <c r="FU75" i="23"/>
  <c r="G75" i="23"/>
  <c r="S75" i="23"/>
  <c r="FT75" i="23"/>
  <c r="F75" i="23"/>
  <c r="R75" i="23"/>
  <c r="FS75" i="23"/>
  <c r="E75" i="23"/>
  <c r="Q75" i="23"/>
  <c r="FR75" i="23"/>
  <c r="D75" i="23"/>
  <c r="P75" i="23"/>
  <c r="FQ75" i="23"/>
  <c r="C75" i="23"/>
  <c r="O75" i="23"/>
  <c r="FP75" i="23"/>
  <c r="F57" i="22"/>
  <c r="CM57" i="22"/>
  <c r="CT57" i="22"/>
  <c r="CY57" i="22"/>
  <c r="FF57" i="22"/>
  <c r="FG57" i="22"/>
  <c r="FN11" i="22"/>
  <c r="FN57" i="22"/>
  <c r="FT57" i="22"/>
  <c r="GV66" i="22"/>
  <c r="DR74" i="23"/>
  <c r="IO74" i="23"/>
  <c r="FS57" i="22"/>
  <c r="GU66" i="22"/>
  <c r="DQ74" i="23"/>
  <c r="IN74" i="23"/>
  <c r="IM74" i="23"/>
  <c r="IL74" i="23"/>
  <c r="CX65" i="22"/>
  <c r="FC65" i="22"/>
  <c r="FX65" i="22"/>
  <c r="GR66" i="22"/>
  <c r="GT66" i="22"/>
  <c r="DN74" i="23"/>
  <c r="IK74" i="23"/>
  <c r="GS66" i="22"/>
  <c r="CW65" i="22"/>
  <c r="FB65" i="22"/>
  <c r="FV65" i="22"/>
  <c r="GQ66" i="22"/>
  <c r="DM74" i="23"/>
  <c r="IJ74" i="23"/>
  <c r="BS66" i="22"/>
  <c r="EU66" i="22"/>
  <c r="GH66" i="22"/>
  <c r="CN74" i="23"/>
  <c r="BY66" i="22"/>
  <c r="FA66" i="22"/>
  <c r="GN66" i="22"/>
  <c r="CZ74" i="23"/>
  <c r="DL74" i="23"/>
  <c r="I57" i="22"/>
  <c r="J57" i="22"/>
  <c r="CP57" i="22"/>
  <c r="DD57" i="22"/>
  <c r="FI57" i="22"/>
  <c r="FP57" i="22"/>
  <c r="HB66" i="22"/>
  <c r="ED74" i="23"/>
  <c r="II74" i="23"/>
  <c r="DK74" i="23"/>
  <c r="FO57" i="22"/>
  <c r="H57" i="22"/>
  <c r="CO57" i="22"/>
  <c r="DC57" i="22"/>
  <c r="FH57" i="22"/>
  <c r="HA66" i="22"/>
  <c r="EC74" i="23"/>
  <c r="BR66" i="22"/>
  <c r="ET66" i="22"/>
  <c r="GG66" i="22"/>
  <c r="CM74" i="23"/>
  <c r="BX66" i="22"/>
  <c r="EZ66" i="22"/>
  <c r="GM66" i="22"/>
  <c r="CY74" i="23"/>
  <c r="IH74" i="23"/>
  <c r="BQ66" i="22"/>
  <c r="ES66" i="22"/>
  <c r="GF66" i="22"/>
  <c r="CL74" i="23"/>
  <c r="BW66" i="22"/>
  <c r="EY66" i="22"/>
  <c r="GL66" i="22"/>
  <c r="CX74" i="23"/>
  <c r="IG74" i="23"/>
  <c r="BP66" i="22"/>
  <c r="ER66" i="22"/>
  <c r="GE66" i="22"/>
  <c r="CK74" i="23"/>
  <c r="BV66" i="22"/>
  <c r="EX66" i="22"/>
  <c r="GK66" i="22"/>
  <c r="CW74" i="23"/>
  <c r="IF74" i="23"/>
  <c r="BO66" i="22"/>
  <c r="EQ66" i="22"/>
  <c r="GD66" i="22"/>
  <c r="CJ74" i="23"/>
  <c r="BU66" i="22"/>
  <c r="EW66" i="22"/>
  <c r="GJ66" i="22"/>
  <c r="CV74" i="23"/>
  <c r="DH74" i="23"/>
  <c r="DB66" i="22"/>
  <c r="FE66" i="22"/>
  <c r="GB66" i="22"/>
  <c r="GX66" i="22"/>
  <c r="GZ66" i="22"/>
  <c r="DZ74" i="23"/>
  <c r="IE74" i="23"/>
  <c r="DG74" i="23"/>
  <c r="DA66" i="22"/>
  <c r="FD66" i="22"/>
  <c r="FZ66" i="22"/>
  <c r="GW66" i="22"/>
  <c r="GY66" i="22"/>
  <c r="DY74" i="23"/>
  <c r="BN66" i="22"/>
  <c r="EP66" i="22"/>
  <c r="GC66" i="22"/>
  <c r="CI74" i="23"/>
  <c r="BT66" i="22"/>
  <c r="EV66" i="22"/>
  <c r="GI66" i="22"/>
  <c r="CU74" i="23"/>
  <c r="ID74" i="23"/>
  <c r="CH74" i="23"/>
  <c r="CT74" i="23"/>
  <c r="DF74" i="23"/>
  <c r="DX74" i="23"/>
  <c r="IC74" i="23"/>
  <c r="DE74" i="23"/>
  <c r="DW74" i="23"/>
  <c r="CG74" i="23"/>
  <c r="CS74" i="23"/>
  <c r="IB74" i="23"/>
  <c r="CF74" i="23"/>
  <c r="CR74" i="23"/>
  <c r="IA74" i="23"/>
  <c r="CE74" i="23"/>
  <c r="CQ74" i="23"/>
  <c r="HZ74" i="23"/>
  <c r="CD74" i="23"/>
  <c r="CP74" i="23"/>
  <c r="DB74" i="23"/>
  <c r="DT74" i="23"/>
  <c r="HY74" i="23"/>
  <c r="DA74" i="23"/>
  <c r="DS74" i="23"/>
  <c r="CC74" i="23"/>
  <c r="CO74" i="23"/>
  <c r="HX74" i="23"/>
  <c r="AC66" i="22"/>
  <c r="CJ66" i="22"/>
  <c r="CK66" i="22"/>
  <c r="CN136" i="21"/>
  <c r="CK184" i="21"/>
  <c r="CN196" i="21"/>
  <c r="CJ136" i="21"/>
  <c r="CJ196" i="21"/>
  <c r="CK136" i="21"/>
  <c r="CK196" i="21"/>
  <c r="CL136" i="21"/>
  <c r="CL196" i="21"/>
  <c r="CM136" i="21"/>
  <c r="CJ184" i="21"/>
  <c r="CM196" i="21"/>
  <c r="CS196" i="21"/>
  <c r="CI63" i="21"/>
  <c r="FH74" i="23"/>
  <c r="HW74" i="23"/>
  <c r="FG74" i="23"/>
  <c r="HV74" i="23"/>
  <c r="AB66" i="22"/>
  <c r="CH66" i="22"/>
  <c r="CI66" i="22"/>
  <c r="FF74" i="23"/>
  <c r="HU74" i="23"/>
  <c r="FE74" i="23"/>
  <c r="HT74" i="23"/>
  <c r="AA66" i="22"/>
  <c r="CF66" i="22"/>
  <c r="CG66" i="22"/>
  <c r="FD74" i="23"/>
  <c r="HS74" i="23"/>
  <c r="FC74" i="23"/>
  <c r="HR74" i="23"/>
  <c r="CR196" i="21"/>
  <c r="CH63" i="21"/>
  <c r="FB74" i="23"/>
  <c r="HQ74" i="23"/>
  <c r="FA74" i="23"/>
  <c r="HP74" i="23"/>
  <c r="EZ74" i="23"/>
  <c r="HO74" i="23"/>
  <c r="EY74" i="23"/>
  <c r="HN74" i="23"/>
  <c r="EX74" i="23"/>
  <c r="HM74" i="23"/>
  <c r="EW74" i="23"/>
  <c r="HL74" i="23"/>
  <c r="CQ196" i="21"/>
  <c r="CG63" i="21"/>
  <c r="EV74" i="23"/>
  <c r="HK74" i="23"/>
  <c r="EU74" i="23"/>
  <c r="HJ74" i="23"/>
  <c r="ET74" i="23"/>
  <c r="HI74" i="23"/>
  <c r="ES74" i="23"/>
  <c r="HH74" i="23"/>
  <c r="ER74" i="23"/>
  <c r="HG74" i="23"/>
  <c r="EQ74" i="23"/>
  <c r="HF74" i="23"/>
  <c r="CP196" i="21"/>
  <c r="CF63" i="21"/>
  <c r="EP74" i="23"/>
  <c r="HE74" i="23"/>
  <c r="EO74" i="23"/>
  <c r="HD74" i="23"/>
  <c r="EN74" i="23"/>
  <c r="HC74" i="23"/>
  <c r="EM74" i="23"/>
  <c r="HB74" i="23"/>
  <c r="EL74" i="23"/>
  <c r="HA74" i="23"/>
  <c r="EK74" i="23"/>
  <c r="GZ74" i="23"/>
  <c r="CO196" i="21"/>
  <c r="CE63" i="21"/>
  <c r="EJ74" i="23"/>
  <c r="GY74" i="23"/>
  <c r="EI74" i="23"/>
  <c r="GX74" i="23"/>
  <c r="EH74" i="23"/>
  <c r="GW74" i="23"/>
  <c r="EG74" i="23"/>
  <c r="GV74" i="23"/>
  <c r="EF74" i="23"/>
  <c r="GU74" i="23"/>
  <c r="EE74" i="23"/>
  <c r="GT74" i="23"/>
  <c r="DM65" i="22"/>
  <c r="EF66" i="22"/>
  <c r="BP74" i="23"/>
  <c r="GS74" i="23"/>
  <c r="DL65" i="22"/>
  <c r="EE66" i="22"/>
  <c r="BO74" i="23"/>
  <c r="GR74" i="23"/>
  <c r="ED66" i="22"/>
  <c r="BN74" i="23"/>
  <c r="GQ74" i="23"/>
  <c r="EC66" i="22"/>
  <c r="BM74" i="23"/>
  <c r="GP74" i="23"/>
  <c r="EB66" i="22"/>
  <c r="BL74" i="23"/>
  <c r="GO74" i="23"/>
  <c r="EA66" i="22"/>
  <c r="BK74" i="23"/>
  <c r="GN74" i="23"/>
  <c r="BA66" i="22"/>
  <c r="AL74" i="23"/>
  <c r="BG66" i="22"/>
  <c r="AX74" i="23"/>
  <c r="BJ74" i="23"/>
  <c r="DO65" i="22"/>
  <c r="DT65" i="22"/>
  <c r="EL66" i="22"/>
  <c r="CB74" i="23"/>
  <c r="GM74" i="23"/>
  <c r="DS65" i="22"/>
  <c r="DN65" i="22"/>
  <c r="EK66" i="22"/>
  <c r="CA74" i="23"/>
  <c r="AZ66" i="22"/>
  <c r="AK74" i="23"/>
  <c r="BF66" i="22"/>
  <c r="AW74" i="23"/>
  <c r="BI74" i="23"/>
  <c r="GL74" i="23"/>
  <c r="AY66" i="22"/>
  <c r="AJ74" i="23"/>
  <c r="BE66" i="22"/>
  <c r="AV74" i="23"/>
  <c r="BH74" i="23"/>
  <c r="EJ66" i="22"/>
  <c r="BZ74" i="23"/>
  <c r="GK74" i="23"/>
  <c r="EI66" i="22"/>
  <c r="BY74" i="23"/>
  <c r="AX66" i="22"/>
  <c r="AI74" i="23"/>
  <c r="BD66" i="22"/>
  <c r="AU74" i="23"/>
  <c r="BG74" i="23"/>
  <c r="GJ74" i="23"/>
  <c r="AW66" i="22"/>
  <c r="AH74" i="23"/>
  <c r="BC66" i="22"/>
  <c r="AT74" i="23"/>
  <c r="BF74" i="23"/>
  <c r="EH66" i="22"/>
  <c r="BX74" i="23"/>
  <c r="GI74" i="23"/>
  <c r="EG66" i="22"/>
  <c r="BW74" i="23"/>
  <c r="AV66" i="22"/>
  <c r="AG74" i="23"/>
  <c r="BB66" i="22"/>
  <c r="AS74" i="23"/>
  <c r="BE74" i="23"/>
  <c r="GH74" i="23"/>
  <c r="AF74" i="23"/>
  <c r="AR74" i="23"/>
  <c r="BD74" i="23"/>
  <c r="BV74" i="23"/>
  <c r="GG74" i="23"/>
  <c r="BU74" i="23"/>
  <c r="AE74" i="23"/>
  <c r="AQ74" i="23"/>
  <c r="BC74" i="23"/>
  <c r="GF74" i="23"/>
  <c r="AD74" i="23"/>
  <c r="AP74" i="23"/>
  <c r="BB74" i="23"/>
  <c r="BT74" i="23"/>
  <c r="GE74" i="23"/>
  <c r="BS74" i="23"/>
  <c r="AC74" i="23"/>
  <c r="AO74" i="23"/>
  <c r="BA74" i="23"/>
  <c r="GD74" i="23"/>
  <c r="AB74" i="23"/>
  <c r="AN74" i="23"/>
  <c r="AZ74" i="23"/>
  <c r="BR74" i="23"/>
  <c r="GC74" i="23"/>
  <c r="BQ74" i="23"/>
  <c r="AA74" i="23"/>
  <c r="AM74" i="23"/>
  <c r="AY74" i="23"/>
  <c r="GB74" i="23"/>
  <c r="AI66" i="22"/>
  <c r="N74" i="23"/>
  <c r="AO66" i="22"/>
  <c r="Z74" i="23"/>
  <c r="GA74" i="23"/>
  <c r="AH66" i="22"/>
  <c r="M74" i="23"/>
  <c r="AN66" i="22"/>
  <c r="Y74" i="23"/>
  <c r="FZ74" i="23"/>
  <c r="AG66" i="22"/>
  <c r="L74" i="23"/>
  <c r="AM66" i="22"/>
  <c r="X74" i="23"/>
  <c r="FY74" i="23"/>
  <c r="AF66" i="22"/>
  <c r="K74" i="23"/>
  <c r="AL66" i="22"/>
  <c r="W74" i="23"/>
  <c r="FX74" i="23"/>
  <c r="AE66" i="22"/>
  <c r="J74" i="23"/>
  <c r="AK66" i="22"/>
  <c r="V74" i="23"/>
  <c r="FW74" i="23"/>
  <c r="AD66" i="22"/>
  <c r="I74" i="23"/>
  <c r="AJ66" i="22"/>
  <c r="U74" i="23"/>
  <c r="FV74" i="23"/>
  <c r="H74" i="23"/>
  <c r="T74" i="23"/>
  <c r="FU74" i="23"/>
  <c r="G74" i="23"/>
  <c r="S74" i="23"/>
  <c r="FT74" i="23"/>
  <c r="F74" i="23"/>
  <c r="R74" i="23"/>
  <c r="FS74" i="23"/>
  <c r="E74" i="23"/>
  <c r="Q74" i="23"/>
  <c r="FR74" i="23"/>
  <c r="D74" i="23"/>
  <c r="P74" i="23"/>
  <c r="FQ74" i="23"/>
  <c r="C74" i="23"/>
  <c r="O74" i="23"/>
  <c r="FP74" i="23"/>
  <c r="F56" i="22"/>
  <c r="J56" i="22"/>
  <c r="CM56" i="22"/>
  <c r="CT56" i="22"/>
  <c r="CY56" i="22"/>
  <c r="FF56" i="22"/>
  <c r="FG56" i="22"/>
  <c r="FN56" i="22"/>
  <c r="FT56" i="22"/>
  <c r="GV65" i="22"/>
  <c r="DR73" i="23"/>
  <c r="IO73" i="23"/>
  <c r="FM56" i="22"/>
  <c r="FS56" i="22"/>
  <c r="GU65" i="22"/>
  <c r="DQ73" i="23"/>
  <c r="IN73" i="23"/>
  <c r="IM73" i="23"/>
  <c r="IL73" i="23"/>
  <c r="CX64" i="22"/>
  <c r="FC64" i="22"/>
  <c r="FX64" i="22"/>
  <c r="GR65" i="22"/>
  <c r="GT65" i="22"/>
  <c r="DN73" i="23"/>
  <c r="IK73" i="23"/>
  <c r="GS65" i="22"/>
  <c r="CW64" i="22"/>
  <c r="FB64" i="22"/>
  <c r="FV64" i="22"/>
  <c r="GQ65" i="22"/>
  <c r="DM73" i="23"/>
  <c r="IJ73" i="23"/>
  <c r="BS65" i="22"/>
  <c r="EU65" i="22"/>
  <c r="GH65" i="22"/>
  <c r="CN73" i="23"/>
  <c r="BY65" i="22"/>
  <c r="FA65" i="22"/>
  <c r="GN65" i="22"/>
  <c r="CZ73" i="23"/>
  <c r="DL73" i="23"/>
  <c r="HB65" i="22"/>
  <c r="ED73" i="23"/>
  <c r="II73" i="23"/>
  <c r="DK73" i="23"/>
  <c r="HA65" i="22"/>
  <c r="EC73" i="23"/>
  <c r="BR65" i="22"/>
  <c r="ET65" i="22"/>
  <c r="GG65" i="22"/>
  <c r="CM73" i="23"/>
  <c r="BX65" i="22"/>
  <c r="EZ65" i="22"/>
  <c r="GM65" i="22"/>
  <c r="CY73" i="23"/>
  <c r="IH73" i="23"/>
  <c r="BQ65" i="22"/>
  <c r="ES65" i="22"/>
  <c r="GF65" i="22"/>
  <c r="CL73" i="23"/>
  <c r="BW65" i="22"/>
  <c r="EY65" i="22"/>
  <c r="GL65" i="22"/>
  <c r="CX73" i="23"/>
  <c r="IG73" i="23"/>
  <c r="BP65" i="22"/>
  <c r="ER65" i="22"/>
  <c r="GE65" i="22"/>
  <c r="CK73" i="23"/>
  <c r="BV65" i="22"/>
  <c r="EX65" i="22"/>
  <c r="GK65" i="22"/>
  <c r="CW73" i="23"/>
  <c r="IF73" i="23"/>
  <c r="BO65" i="22"/>
  <c r="EQ65" i="22"/>
  <c r="GD65" i="22"/>
  <c r="CJ73" i="23"/>
  <c r="BU65" i="22"/>
  <c r="EW65" i="22"/>
  <c r="GJ65" i="22"/>
  <c r="CV73" i="23"/>
  <c r="DH73" i="23"/>
  <c r="DB65" i="22"/>
  <c r="FE65" i="22"/>
  <c r="GB65" i="22"/>
  <c r="GX65" i="22"/>
  <c r="GZ65" i="22"/>
  <c r="DZ73" i="23"/>
  <c r="IE73" i="23"/>
  <c r="DG73" i="23"/>
  <c r="DA65" i="22"/>
  <c r="FD65" i="22"/>
  <c r="FZ65" i="22"/>
  <c r="GW65" i="22"/>
  <c r="GY65" i="22"/>
  <c r="DY73" i="23"/>
  <c r="BN65" i="22"/>
  <c r="EP65" i="22"/>
  <c r="GC65" i="22"/>
  <c r="CI73" i="23"/>
  <c r="BT65" i="22"/>
  <c r="EV65" i="22"/>
  <c r="GI65" i="22"/>
  <c r="CU73" i="23"/>
  <c r="ID73" i="23"/>
  <c r="CH73" i="23"/>
  <c r="CT73" i="23"/>
  <c r="DF73" i="23"/>
  <c r="DX73" i="23"/>
  <c r="IC73" i="23"/>
  <c r="DE73" i="23"/>
  <c r="DW73" i="23"/>
  <c r="CG73" i="23"/>
  <c r="CS73" i="23"/>
  <c r="IB73" i="23"/>
  <c r="CF73" i="23"/>
  <c r="CR73" i="23"/>
  <c r="IA73" i="23"/>
  <c r="CE73" i="23"/>
  <c r="CQ73" i="23"/>
  <c r="HZ73" i="23"/>
  <c r="CD73" i="23"/>
  <c r="CP73" i="23"/>
  <c r="DB73" i="23"/>
  <c r="DT73" i="23"/>
  <c r="HY73" i="23"/>
  <c r="DA73" i="23"/>
  <c r="DS73" i="23"/>
  <c r="CC73" i="23"/>
  <c r="CO73" i="23"/>
  <c r="HX73" i="23"/>
  <c r="AC65" i="22"/>
  <c r="CJ65" i="22"/>
  <c r="CK65" i="22"/>
  <c r="CN135" i="21"/>
  <c r="CK183" i="21"/>
  <c r="CN195" i="21"/>
  <c r="CJ135" i="21"/>
  <c r="CJ195" i="21"/>
  <c r="CK135" i="21"/>
  <c r="CK195" i="21"/>
  <c r="CL135" i="21"/>
  <c r="CL195" i="21"/>
  <c r="CM135" i="21"/>
  <c r="CJ183" i="21"/>
  <c r="CM195" i="21"/>
  <c r="CS195" i="21"/>
  <c r="CI62" i="21"/>
  <c r="FH73" i="23"/>
  <c r="HW73" i="23"/>
  <c r="FG73" i="23"/>
  <c r="HV73" i="23"/>
  <c r="AB65" i="22"/>
  <c r="CH65" i="22"/>
  <c r="CI65" i="22"/>
  <c r="FF73" i="23"/>
  <c r="HU73" i="23"/>
  <c r="FE73" i="23"/>
  <c r="HT73" i="23"/>
  <c r="AA65" i="22"/>
  <c r="CF65" i="22"/>
  <c r="CG65" i="22"/>
  <c r="FD73" i="23"/>
  <c r="HS73" i="23"/>
  <c r="FC73" i="23"/>
  <c r="HR73" i="23"/>
  <c r="CR195" i="21"/>
  <c r="CH62" i="21"/>
  <c r="FB73" i="23"/>
  <c r="HQ73" i="23"/>
  <c r="FA73" i="23"/>
  <c r="HP73" i="23"/>
  <c r="EZ73" i="23"/>
  <c r="HO73" i="23"/>
  <c r="EY73" i="23"/>
  <c r="HN73" i="23"/>
  <c r="EX73" i="23"/>
  <c r="HM73" i="23"/>
  <c r="EW73" i="23"/>
  <c r="HL73" i="23"/>
  <c r="CQ195" i="21"/>
  <c r="CG62" i="21"/>
  <c r="EV73" i="23"/>
  <c r="HK73" i="23"/>
  <c r="EU73" i="23"/>
  <c r="HJ73" i="23"/>
  <c r="ET73" i="23"/>
  <c r="HI73" i="23"/>
  <c r="ES73" i="23"/>
  <c r="HH73" i="23"/>
  <c r="ER73" i="23"/>
  <c r="HG73" i="23"/>
  <c r="EQ73" i="23"/>
  <c r="HF73" i="23"/>
  <c r="CP195" i="21"/>
  <c r="CF62" i="21"/>
  <c r="EP73" i="23"/>
  <c r="HE73" i="23"/>
  <c r="EO73" i="23"/>
  <c r="HD73" i="23"/>
  <c r="EN73" i="23"/>
  <c r="HC73" i="23"/>
  <c r="EM73" i="23"/>
  <c r="HB73" i="23"/>
  <c r="EL73" i="23"/>
  <c r="HA73" i="23"/>
  <c r="EK73" i="23"/>
  <c r="GZ73" i="23"/>
  <c r="CO195" i="21"/>
  <c r="CE62" i="21"/>
  <c r="EJ73" i="23"/>
  <c r="GY73" i="23"/>
  <c r="EI73" i="23"/>
  <c r="GX73" i="23"/>
  <c r="EH73" i="23"/>
  <c r="GW73" i="23"/>
  <c r="EG73" i="23"/>
  <c r="GV73" i="23"/>
  <c r="EF73" i="23"/>
  <c r="GU73" i="23"/>
  <c r="EE73" i="23"/>
  <c r="GT73" i="23"/>
  <c r="DM64" i="22"/>
  <c r="EF65" i="22"/>
  <c r="BP73" i="23"/>
  <c r="GS73" i="23"/>
  <c r="DL64" i="22"/>
  <c r="EE65" i="22"/>
  <c r="BO73" i="23"/>
  <c r="GR73" i="23"/>
  <c r="ED65" i="22"/>
  <c r="BN73" i="23"/>
  <c r="GQ73" i="23"/>
  <c r="EC65" i="22"/>
  <c r="BM73" i="23"/>
  <c r="GP73" i="23"/>
  <c r="EB65" i="22"/>
  <c r="BL73" i="23"/>
  <c r="GO73" i="23"/>
  <c r="EA65" i="22"/>
  <c r="BK73" i="23"/>
  <c r="GN73" i="23"/>
  <c r="BA65" i="22"/>
  <c r="AL73" i="23"/>
  <c r="BG65" i="22"/>
  <c r="AX73" i="23"/>
  <c r="BJ73" i="23"/>
  <c r="DO64" i="22"/>
  <c r="DT64" i="22"/>
  <c r="EL65" i="22"/>
  <c r="CB73" i="23"/>
  <c r="GM73" i="23"/>
  <c r="DS64" i="22"/>
  <c r="DN64" i="22"/>
  <c r="EK65" i="22"/>
  <c r="CA73" i="23"/>
  <c r="AZ65" i="22"/>
  <c r="AK73" i="23"/>
  <c r="BF65" i="22"/>
  <c r="AW73" i="23"/>
  <c r="BI73" i="23"/>
  <c r="GL73" i="23"/>
  <c r="AY65" i="22"/>
  <c r="AJ73" i="23"/>
  <c r="BE65" i="22"/>
  <c r="AV73" i="23"/>
  <c r="BH73" i="23"/>
  <c r="EJ65" i="22"/>
  <c r="BZ73" i="23"/>
  <c r="GK73" i="23"/>
  <c r="EI65" i="22"/>
  <c r="BY73" i="23"/>
  <c r="AX65" i="22"/>
  <c r="AI73" i="23"/>
  <c r="BD65" i="22"/>
  <c r="AU73" i="23"/>
  <c r="BG73" i="23"/>
  <c r="GJ73" i="23"/>
  <c r="AW65" i="22"/>
  <c r="AH73" i="23"/>
  <c r="BC65" i="22"/>
  <c r="AT73" i="23"/>
  <c r="BF73" i="23"/>
  <c r="EH65" i="22"/>
  <c r="BX73" i="23"/>
  <c r="GI73" i="23"/>
  <c r="EG65" i="22"/>
  <c r="BW73" i="23"/>
  <c r="AV65" i="22"/>
  <c r="AG73" i="23"/>
  <c r="BB65" i="22"/>
  <c r="AS73" i="23"/>
  <c r="BE73" i="23"/>
  <c r="GH73" i="23"/>
  <c r="AF73" i="23"/>
  <c r="AR73" i="23"/>
  <c r="BD73" i="23"/>
  <c r="BV73" i="23"/>
  <c r="GG73" i="23"/>
  <c r="BU73" i="23"/>
  <c r="AE73" i="23"/>
  <c r="AQ73" i="23"/>
  <c r="BC73" i="23"/>
  <c r="GF73" i="23"/>
  <c r="AD73" i="23"/>
  <c r="AP73" i="23"/>
  <c r="BB73" i="23"/>
  <c r="BT73" i="23"/>
  <c r="GE73" i="23"/>
  <c r="BS73" i="23"/>
  <c r="AC73" i="23"/>
  <c r="AO73" i="23"/>
  <c r="BA73" i="23"/>
  <c r="GD73" i="23"/>
  <c r="AB73" i="23"/>
  <c r="AN73" i="23"/>
  <c r="AZ73" i="23"/>
  <c r="BR73" i="23"/>
  <c r="GC73" i="23"/>
  <c r="BQ73" i="23"/>
  <c r="AA73" i="23"/>
  <c r="AM73" i="23"/>
  <c r="AY73" i="23"/>
  <c r="GB73" i="23"/>
  <c r="AI65" i="22"/>
  <c r="N73" i="23"/>
  <c r="AO65" i="22"/>
  <c r="Z73" i="23"/>
  <c r="GA73" i="23"/>
  <c r="AH65" i="22"/>
  <c r="M73" i="23"/>
  <c r="AN65" i="22"/>
  <c r="Y73" i="23"/>
  <c r="FZ73" i="23"/>
  <c r="AG65" i="22"/>
  <c r="L73" i="23"/>
  <c r="AM65" i="22"/>
  <c r="X73" i="23"/>
  <c r="FY73" i="23"/>
  <c r="AF65" i="22"/>
  <c r="K73" i="23"/>
  <c r="AL65" i="22"/>
  <c r="W73" i="23"/>
  <c r="FX73" i="23"/>
  <c r="AE65" i="22"/>
  <c r="J73" i="23"/>
  <c r="AK65" i="22"/>
  <c r="V73" i="23"/>
  <c r="FW73" i="23"/>
  <c r="AD65" i="22"/>
  <c r="I73" i="23"/>
  <c r="AJ65" i="22"/>
  <c r="U73" i="23"/>
  <c r="FV73" i="23"/>
  <c r="H73" i="23"/>
  <c r="T73" i="23"/>
  <c r="FU73" i="23"/>
  <c r="G73" i="23"/>
  <c r="S73" i="23"/>
  <c r="FT73" i="23"/>
  <c r="F73" i="23"/>
  <c r="R73" i="23"/>
  <c r="FS73" i="23"/>
  <c r="E73" i="23"/>
  <c r="Q73" i="23"/>
  <c r="FR73" i="23"/>
  <c r="D73" i="23"/>
  <c r="P73" i="23"/>
  <c r="FQ73" i="23"/>
  <c r="C73" i="23"/>
  <c r="O73" i="23"/>
  <c r="FP73" i="23"/>
  <c r="F55" i="22"/>
  <c r="J55" i="22"/>
  <c r="CM55" i="22"/>
  <c r="CT55" i="22"/>
  <c r="CY55" i="22"/>
  <c r="FF55" i="22"/>
  <c r="FG55" i="22"/>
  <c r="FN55" i="22"/>
  <c r="FT55" i="22"/>
  <c r="GV64" i="22"/>
  <c r="DR72" i="23"/>
  <c r="IO72" i="23"/>
  <c r="FM55" i="22"/>
  <c r="FS55" i="22"/>
  <c r="GU64" i="22"/>
  <c r="DQ72" i="23"/>
  <c r="IN72" i="23"/>
  <c r="IM72" i="23"/>
  <c r="IL72" i="23"/>
  <c r="CX63" i="22"/>
  <c r="FC63" i="22"/>
  <c r="FX63" i="22"/>
  <c r="GR64" i="22"/>
  <c r="GT64" i="22"/>
  <c r="DN72" i="23"/>
  <c r="IK72" i="23"/>
  <c r="GS64" i="22"/>
  <c r="CW63" i="22"/>
  <c r="FB63" i="22"/>
  <c r="FV63" i="22"/>
  <c r="GQ64" i="22"/>
  <c r="DM72" i="23"/>
  <c r="IJ72" i="23"/>
  <c r="BS64" i="22"/>
  <c r="EU64" i="22"/>
  <c r="GH64" i="22"/>
  <c r="CN72" i="23"/>
  <c r="BY64" i="22"/>
  <c r="FA64" i="22"/>
  <c r="GN64" i="22"/>
  <c r="CZ72" i="23"/>
  <c r="DL72" i="23"/>
  <c r="HB64" i="22"/>
  <c r="ED72" i="23"/>
  <c r="II72" i="23"/>
  <c r="DK72" i="23"/>
  <c r="HA64" i="22"/>
  <c r="EC72" i="23"/>
  <c r="BR64" i="22"/>
  <c r="ET64" i="22"/>
  <c r="GG64" i="22"/>
  <c r="CM72" i="23"/>
  <c r="BX64" i="22"/>
  <c r="EZ64" i="22"/>
  <c r="GM64" i="22"/>
  <c r="CY72" i="23"/>
  <c r="IH72" i="23"/>
  <c r="BQ64" i="22"/>
  <c r="ES64" i="22"/>
  <c r="GF64" i="22"/>
  <c r="CL72" i="23"/>
  <c r="BW64" i="22"/>
  <c r="EY64" i="22"/>
  <c r="GL64" i="22"/>
  <c r="CX72" i="23"/>
  <c r="IG72" i="23"/>
  <c r="BP64" i="22"/>
  <c r="ER64" i="22"/>
  <c r="GE64" i="22"/>
  <c r="CK72" i="23"/>
  <c r="BV64" i="22"/>
  <c r="EX64" i="22"/>
  <c r="GK64" i="22"/>
  <c r="CW72" i="23"/>
  <c r="IF72" i="23"/>
  <c r="BO64" i="22"/>
  <c r="EQ64" i="22"/>
  <c r="GD64" i="22"/>
  <c r="CJ72" i="23"/>
  <c r="BU64" i="22"/>
  <c r="EW64" i="22"/>
  <c r="GJ64" i="22"/>
  <c r="CV72" i="23"/>
  <c r="DH72" i="23"/>
  <c r="DB64" i="22"/>
  <c r="FE64" i="22"/>
  <c r="GB64" i="22"/>
  <c r="GX64" i="22"/>
  <c r="GZ64" i="22"/>
  <c r="DZ72" i="23"/>
  <c r="IE72" i="23"/>
  <c r="DG72" i="23"/>
  <c r="DA64" i="22"/>
  <c r="FD64" i="22"/>
  <c r="FZ64" i="22"/>
  <c r="GW64" i="22"/>
  <c r="GY64" i="22"/>
  <c r="DY72" i="23"/>
  <c r="BN64" i="22"/>
  <c r="EP64" i="22"/>
  <c r="GC64" i="22"/>
  <c r="CI72" i="23"/>
  <c r="BT64" i="22"/>
  <c r="EV64" i="22"/>
  <c r="GI64" i="22"/>
  <c r="CU72" i="23"/>
  <c r="ID72" i="23"/>
  <c r="CH72" i="23"/>
  <c r="CT72" i="23"/>
  <c r="DF72" i="23"/>
  <c r="DX72" i="23"/>
  <c r="IC72" i="23"/>
  <c r="DE72" i="23"/>
  <c r="DW72" i="23"/>
  <c r="CG72" i="23"/>
  <c r="CS72" i="23"/>
  <c r="IB72" i="23"/>
  <c r="CF72" i="23"/>
  <c r="CR72" i="23"/>
  <c r="IA72" i="23"/>
  <c r="CE72" i="23"/>
  <c r="CQ72" i="23"/>
  <c r="HZ72" i="23"/>
  <c r="CD72" i="23"/>
  <c r="CP72" i="23"/>
  <c r="DB72" i="23"/>
  <c r="DT72" i="23"/>
  <c r="HY72" i="23"/>
  <c r="DA72" i="23"/>
  <c r="DS72" i="23"/>
  <c r="CC72" i="23"/>
  <c r="CO72" i="23"/>
  <c r="HX72" i="23"/>
  <c r="AC64" i="22"/>
  <c r="CJ64" i="22"/>
  <c r="CK64" i="22"/>
  <c r="CN134" i="21"/>
  <c r="CK182" i="21"/>
  <c r="CN194" i="21"/>
  <c r="CJ134" i="21"/>
  <c r="CJ194" i="21"/>
  <c r="CK134" i="21"/>
  <c r="CK194" i="21"/>
  <c r="CL134" i="21"/>
  <c r="CL194" i="21"/>
  <c r="CM134" i="21"/>
  <c r="CJ182" i="21"/>
  <c r="CM194" i="21"/>
  <c r="CS194" i="21"/>
  <c r="CI61" i="21"/>
  <c r="FH72" i="23"/>
  <c r="HW72" i="23"/>
  <c r="FG72" i="23"/>
  <c r="HV72" i="23"/>
  <c r="AB64" i="22"/>
  <c r="CH64" i="22"/>
  <c r="CI64" i="22"/>
  <c r="FF72" i="23"/>
  <c r="HU72" i="23"/>
  <c r="FE72" i="23"/>
  <c r="HT72" i="23"/>
  <c r="AA64" i="22"/>
  <c r="CF64" i="22"/>
  <c r="CG64" i="22"/>
  <c r="FD72" i="23"/>
  <c r="HS72" i="23"/>
  <c r="FC72" i="23"/>
  <c r="HR72" i="23"/>
  <c r="CR194" i="21"/>
  <c r="CH61" i="21"/>
  <c r="FB72" i="23"/>
  <c r="HQ72" i="23"/>
  <c r="FA72" i="23"/>
  <c r="HP72" i="23"/>
  <c r="EZ72" i="23"/>
  <c r="HO72" i="23"/>
  <c r="EY72" i="23"/>
  <c r="HN72" i="23"/>
  <c r="EX72" i="23"/>
  <c r="HM72" i="23"/>
  <c r="EW72" i="23"/>
  <c r="HL72" i="23"/>
  <c r="CQ194" i="21"/>
  <c r="CG61" i="21"/>
  <c r="EV72" i="23"/>
  <c r="HK72" i="23"/>
  <c r="EU72" i="23"/>
  <c r="HJ72" i="23"/>
  <c r="ET72" i="23"/>
  <c r="HI72" i="23"/>
  <c r="ES72" i="23"/>
  <c r="HH72" i="23"/>
  <c r="ER72" i="23"/>
  <c r="HG72" i="23"/>
  <c r="EQ72" i="23"/>
  <c r="HF72" i="23"/>
  <c r="CP194" i="21"/>
  <c r="CF61" i="21"/>
  <c r="EP72" i="23"/>
  <c r="HE72" i="23"/>
  <c r="EO72" i="23"/>
  <c r="HD72" i="23"/>
  <c r="EN72" i="23"/>
  <c r="HC72" i="23"/>
  <c r="EM72" i="23"/>
  <c r="HB72" i="23"/>
  <c r="EL72" i="23"/>
  <c r="HA72" i="23"/>
  <c r="EK72" i="23"/>
  <c r="GZ72" i="23"/>
  <c r="CO194" i="21"/>
  <c r="CE61" i="21"/>
  <c r="EJ72" i="23"/>
  <c r="GY72" i="23"/>
  <c r="EI72" i="23"/>
  <c r="GX72" i="23"/>
  <c r="EH72" i="23"/>
  <c r="GW72" i="23"/>
  <c r="EG72" i="23"/>
  <c r="GV72" i="23"/>
  <c r="EF72" i="23"/>
  <c r="GU72" i="23"/>
  <c r="EE72" i="23"/>
  <c r="GT72" i="23"/>
  <c r="DM63" i="22"/>
  <c r="EF64" i="22"/>
  <c r="BP72" i="23"/>
  <c r="GS72" i="23"/>
  <c r="DL63" i="22"/>
  <c r="EE64" i="22"/>
  <c r="BO72" i="23"/>
  <c r="GR72" i="23"/>
  <c r="ED64" i="22"/>
  <c r="BN72" i="23"/>
  <c r="GQ72" i="23"/>
  <c r="EC64" i="22"/>
  <c r="BM72" i="23"/>
  <c r="GP72" i="23"/>
  <c r="EB64" i="22"/>
  <c r="BL72" i="23"/>
  <c r="GO72" i="23"/>
  <c r="EA64" i="22"/>
  <c r="BK72" i="23"/>
  <c r="GN72" i="23"/>
  <c r="BA64" i="22"/>
  <c r="AL72" i="23"/>
  <c r="BG64" i="22"/>
  <c r="AX72" i="23"/>
  <c r="BJ72" i="23"/>
  <c r="DO63" i="22"/>
  <c r="DT63" i="22"/>
  <c r="EL64" i="22"/>
  <c r="CB72" i="23"/>
  <c r="GM72" i="23"/>
  <c r="DS63" i="22"/>
  <c r="DN63" i="22"/>
  <c r="EK64" i="22"/>
  <c r="CA72" i="23"/>
  <c r="AZ64" i="22"/>
  <c r="AK72" i="23"/>
  <c r="BF64" i="22"/>
  <c r="AW72" i="23"/>
  <c r="BI72" i="23"/>
  <c r="GL72" i="23"/>
  <c r="AY64" i="22"/>
  <c r="AJ72" i="23"/>
  <c r="BE64" i="22"/>
  <c r="AV72" i="23"/>
  <c r="BH72" i="23"/>
  <c r="EJ64" i="22"/>
  <c r="BZ72" i="23"/>
  <c r="GK72" i="23"/>
  <c r="EI64" i="22"/>
  <c r="BY72" i="23"/>
  <c r="AX64" i="22"/>
  <c r="AI72" i="23"/>
  <c r="BD64" i="22"/>
  <c r="AU72" i="23"/>
  <c r="BG72" i="23"/>
  <c r="GJ72" i="23"/>
  <c r="AW64" i="22"/>
  <c r="AH72" i="23"/>
  <c r="BC64" i="22"/>
  <c r="AT72" i="23"/>
  <c r="BF72" i="23"/>
  <c r="EH64" i="22"/>
  <c r="BX72" i="23"/>
  <c r="GI72" i="23"/>
  <c r="EG64" i="22"/>
  <c r="BW72" i="23"/>
  <c r="AV64" i="22"/>
  <c r="AG72" i="23"/>
  <c r="BB64" i="22"/>
  <c r="AS72" i="23"/>
  <c r="BE72" i="23"/>
  <c r="GH72" i="23"/>
  <c r="AF72" i="23"/>
  <c r="AR72" i="23"/>
  <c r="BD72" i="23"/>
  <c r="BV72" i="23"/>
  <c r="GG72" i="23"/>
  <c r="BU72" i="23"/>
  <c r="AE72" i="23"/>
  <c r="AQ72" i="23"/>
  <c r="BC72" i="23"/>
  <c r="GF72" i="23"/>
  <c r="AD72" i="23"/>
  <c r="AP72" i="23"/>
  <c r="BB72" i="23"/>
  <c r="BT72" i="23"/>
  <c r="GE72" i="23"/>
  <c r="BS72" i="23"/>
  <c r="AC72" i="23"/>
  <c r="AO72" i="23"/>
  <c r="BA72" i="23"/>
  <c r="GD72" i="23"/>
  <c r="AB72" i="23"/>
  <c r="AN72" i="23"/>
  <c r="AZ72" i="23"/>
  <c r="BR72" i="23"/>
  <c r="GC72" i="23"/>
  <c r="BQ72" i="23"/>
  <c r="AA72" i="23"/>
  <c r="AM72" i="23"/>
  <c r="AY72" i="23"/>
  <c r="GB72" i="23"/>
  <c r="AI64" i="22"/>
  <c r="N72" i="23"/>
  <c r="AO64" i="22"/>
  <c r="Z72" i="23"/>
  <c r="GA72" i="23"/>
  <c r="AH64" i="22"/>
  <c r="M72" i="23"/>
  <c r="AN64" i="22"/>
  <c r="Y72" i="23"/>
  <c r="FZ72" i="23"/>
  <c r="AG64" i="22"/>
  <c r="L72" i="23"/>
  <c r="AM64" i="22"/>
  <c r="X72" i="23"/>
  <c r="FY72" i="23"/>
  <c r="AF64" i="22"/>
  <c r="K72" i="23"/>
  <c r="AL64" i="22"/>
  <c r="W72" i="23"/>
  <c r="FX72" i="23"/>
  <c r="AE64" i="22"/>
  <c r="J72" i="23"/>
  <c r="AK64" i="22"/>
  <c r="V72" i="23"/>
  <c r="FW72" i="23"/>
  <c r="AD64" i="22"/>
  <c r="I72" i="23"/>
  <c r="AJ64" i="22"/>
  <c r="U72" i="23"/>
  <c r="FV72" i="23"/>
  <c r="H72" i="23"/>
  <c r="T72" i="23"/>
  <c r="FU72" i="23"/>
  <c r="G72" i="23"/>
  <c r="S72" i="23"/>
  <c r="FT72" i="23"/>
  <c r="F72" i="23"/>
  <c r="R72" i="23"/>
  <c r="FS72" i="23"/>
  <c r="E72" i="23"/>
  <c r="Q72" i="23"/>
  <c r="FR72" i="23"/>
  <c r="D72" i="23"/>
  <c r="P72" i="23"/>
  <c r="FQ72" i="23"/>
  <c r="C72" i="23"/>
  <c r="O72" i="23"/>
  <c r="FP72" i="23"/>
  <c r="F54" i="22"/>
  <c r="J54" i="22"/>
  <c r="CM54" i="22"/>
  <c r="CT54" i="22"/>
  <c r="CY54" i="22"/>
  <c r="FF54" i="22"/>
  <c r="FG54" i="22"/>
  <c r="FN54" i="22"/>
  <c r="FT54" i="22"/>
  <c r="GV63" i="22"/>
  <c r="DR71" i="23"/>
  <c r="IO71" i="23"/>
  <c r="FM54" i="22"/>
  <c r="FS54" i="22"/>
  <c r="GU63" i="22"/>
  <c r="DQ71" i="23"/>
  <c r="IN71" i="23"/>
  <c r="IM71" i="23"/>
  <c r="IL71" i="23"/>
  <c r="CX62" i="22"/>
  <c r="FC62" i="22"/>
  <c r="FX62" i="22"/>
  <c r="GR63" i="22"/>
  <c r="GT63" i="22"/>
  <c r="DN71" i="23"/>
  <c r="IK71" i="23"/>
  <c r="GS63" i="22"/>
  <c r="CW62" i="22"/>
  <c r="FB62" i="22"/>
  <c r="FV62" i="22"/>
  <c r="GQ63" i="22"/>
  <c r="DM71" i="23"/>
  <c r="IJ71" i="23"/>
  <c r="BS63" i="22"/>
  <c r="EU63" i="22"/>
  <c r="GH63" i="22"/>
  <c r="CN71" i="23"/>
  <c r="BY63" i="22"/>
  <c r="FA63" i="22"/>
  <c r="GN63" i="22"/>
  <c r="CZ71" i="23"/>
  <c r="DL71" i="23"/>
  <c r="HB63" i="22"/>
  <c r="ED71" i="23"/>
  <c r="II71" i="23"/>
  <c r="DK71" i="23"/>
  <c r="HA63" i="22"/>
  <c r="EC71" i="23"/>
  <c r="BR63" i="22"/>
  <c r="ET63" i="22"/>
  <c r="GG63" i="22"/>
  <c r="CM71" i="23"/>
  <c r="BX63" i="22"/>
  <c r="EZ63" i="22"/>
  <c r="GM63" i="22"/>
  <c r="CY71" i="23"/>
  <c r="IH71" i="23"/>
  <c r="BQ63" i="22"/>
  <c r="ES63" i="22"/>
  <c r="GF63" i="22"/>
  <c r="CL71" i="23"/>
  <c r="BW63" i="22"/>
  <c r="EY63" i="22"/>
  <c r="GL63" i="22"/>
  <c r="CX71" i="23"/>
  <c r="IG71" i="23"/>
  <c r="BP63" i="22"/>
  <c r="ER63" i="22"/>
  <c r="GE63" i="22"/>
  <c r="CK71" i="23"/>
  <c r="BV63" i="22"/>
  <c r="EX63" i="22"/>
  <c r="GK63" i="22"/>
  <c r="CW71" i="23"/>
  <c r="IF71" i="23"/>
  <c r="BO63" i="22"/>
  <c r="EQ63" i="22"/>
  <c r="GD63" i="22"/>
  <c r="CJ71" i="23"/>
  <c r="BU63" i="22"/>
  <c r="EW63" i="22"/>
  <c r="GJ63" i="22"/>
  <c r="CV71" i="23"/>
  <c r="DH71" i="23"/>
  <c r="DB63" i="22"/>
  <c r="FE63" i="22"/>
  <c r="GB63" i="22"/>
  <c r="GX63" i="22"/>
  <c r="GZ63" i="22"/>
  <c r="DZ71" i="23"/>
  <c r="IE71" i="23"/>
  <c r="DG71" i="23"/>
  <c r="DA63" i="22"/>
  <c r="FD63" i="22"/>
  <c r="FZ63" i="22"/>
  <c r="GW63" i="22"/>
  <c r="GY63" i="22"/>
  <c r="DY71" i="23"/>
  <c r="BN63" i="22"/>
  <c r="EP63" i="22"/>
  <c r="GC63" i="22"/>
  <c r="CI71" i="23"/>
  <c r="BT63" i="22"/>
  <c r="EV63" i="22"/>
  <c r="GI63" i="22"/>
  <c r="CU71" i="23"/>
  <c r="ID71" i="23"/>
  <c r="CH71" i="23"/>
  <c r="CT71" i="23"/>
  <c r="DF71" i="23"/>
  <c r="DX71" i="23"/>
  <c r="IC71" i="23"/>
  <c r="DE71" i="23"/>
  <c r="DW71" i="23"/>
  <c r="CG71" i="23"/>
  <c r="CS71" i="23"/>
  <c r="IB71" i="23"/>
  <c r="CF71" i="23"/>
  <c r="CR71" i="23"/>
  <c r="IA71" i="23"/>
  <c r="CE71" i="23"/>
  <c r="CQ71" i="23"/>
  <c r="HZ71" i="23"/>
  <c r="CD71" i="23"/>
  <c r="CP71" i="23"/>
  <c r="DB71" i="23"/>
  <c r="DT71" i="23"/>
  <c r="HY71" i="23"/>
  <c r="DA71" i="23"/>
  <c r="DS71" i="23"/>
  <c r="CC71" i="23"/>
  <c r="CO71" i="23"/>
  <c r="HX71" i="23"/>
  <c r="AC63" i="22"/>
  <c r="CJ63" i="22"/>
  <c r="CK63" i="22"/>
  <c r="CI60" i="21"/>
  <c r="FH71" i="23"/>
  <c r="HW71" i="23"/>
  <c r="FG71" i="23"/>
  <c r="HV71" i="23"/>
  <c r="AB63" i="22"/>
  <c r="CH63" i="22"/>
  <c r="CI63" i="22"/>
  <c r="FF71" i="23"/>
  <c r="HU71" i="23"/>
  <c r="FE71" i="23"/>
  <c r="HT71" i="23"/>
  <c r="AA63" i="22"/>
  <c r="CF63" i="22"/>
  <c r="CG63" i="22"/>
  <c r="FD71" i="23"/>
  <c r="HS71" i="23"/>
  <c r="FC71" i="23"/>
  <c r="HR71" i="23"/>
  <c r="CH60" i="21"/>
  <c r="FB71" i="23"/>
  <c r="HQ71" i="23"/>
  <c r="FA71" i="23"/>
  <c r="HP71" i="23"/>
  <c r="EZ71" i="23"/>
  <c r="HO71" i="23"/>
  <c r="EY71" i="23"/>
  <c r="HN71" i="23"/>
  <c r="EX71" i="23"/>
  <c r="HM71" i="23"/>
  <c r="EW71" i="23"/>
  <c r="HL71" i="23"/>
  <c r="CG60" i="21"/>
  <c r="EV71" i="23"/>
  <c r="HK71" i="23"/>
  <c r="EU71" i="23"/>
  <c r="HJ71" i="23"/>
  <c r="ET71" i="23"/>
  <c r="HI71" i="23"/>
  <c r="ES71" i="23"/>
  <c r="HH71" i="23"/>
  <c r="ER71" i="23"/>
  <c r="HG71" i="23"/>
  <c r="EQ71" i="23"/>
  <c r="HF71" i="23"/>
  <c r="CF60" i="21"/>
  <c r="EP71" i="23"/>
  <c r="HE71" i="23"/>
  <c r="EO71" i="23"/>
  <c r="HD71" i="23"/>
  <c r="EN71" i="23"/>
  <c r="HC71" i="23"/>
  <c r="EM71" i="23"/>
  <c r="HB71" i="23"/>
  <c r="EL71" i="23"/>
  <c r="HA71" i="23"/>
  <c r="EK71" i="23"/>
  <c r="GZ71" i="23"/>
  <c r="CE60" i="21"/>
  <c r="EJ71" i="23"/>
  <c r="GY71" i="23"/>
  <c r="EI71" i="23"/>
  <c r="GX71" i="23"/>
  <c r="EH71" i="23"/>
  <c r="GW71" i="23"/>
  <c r="EG71" i="23"/>
  <c r="GV71" i="23"/>
  <c r="EF71" i="23"/>
  <c r="GU71" i="23"/>
  <c r="EE71" i="23"/>
  <c r="GT71" i="23"/>
  <c r="DM62" i="22"/>
  <c r="EF63" i="22"/>
  <c r="BP71" i="23"/>
  <c r="GS71" i="23"/>
  <c r="DL62" i="22"/>
  <c r="EE63" i="22"/>
  <c r="BO71" i="23"/>
  <c r="GR71" i="23"/>
  <c r="ED63" i="22"/>
  <c r="BN71" i="23"/>
  <c r="GQ71" i="23"/>
  <c r="EC63" i="22"/>
  <c r="BM71" i="23"/>
  <c r="GP71" i="23"/>
  <c r="EB63" i="22"/>
  <c r="BL71" i="23"/>
  <c r="GO71" i="23"/>
  <c r="EA63" i="22"/>
  <c r="BK71" i="23"/>
  <c r="GN71" i="23"/>
  <c r="BA63" i="22"/>
  <c r="AL71" i="23"/>
  <c r="BG63" i="22"/>
  <c r="AX71" i="23"/>
  <c r="BJ71" i="23"/>
  <c r="DO62" i="22"/>
  <c r="DT62" i="22"/>
  <c r="EL63" i="22"/>
  <c r="CB71" i="23"/>
  <c r="GM71" i="23"/>
  <c r="DS62" i="22"/>
  <c r="DN62" i="22"/>
  <c r="EK63" i="22"/>
  <c r="CA71" i="23"/>
  <c r="AZ63" i="22"/>
  <c r="AK71" i="23"/>
  <c r="BF63" i="22"/>
  <c r="AW71" i="23"/>
  <c r="BI71" i="23"/>
  <c r="GL71" i="23"/>
  <c r="AY63" i="22"/>
  <c r="AJ71" i="23"/>
  <c r="BE63" i="22"/>
  <c r="AV71" i="23"/>
  <c r="BH71" i="23"/>
  <c r="EJ63" i="22"/>
  <c r="BZ71" i="23"/>
  <c r="GK71" i="23"/>
  <c r="EI63" i="22"/>
  <c r="BY71" i="23"/>
  <c r="AX63" i="22"/>
  <c r="AI71" i="23"/>
  <c r="BD63" i="22"/>
  <c r="AU71" i="23"/>
  <c r="BG71" i="23"/>
  <c r="GJ71" i="23"/>
  <c r="AW63" i="22"/>
  <c r="AH71" i="23"/>
  <c r="BC63" i="22"/>
  <c r="AT71" i="23"/>
  <c r="BF71" i="23"/>
  <c r="EH63" i="22"/>
  <c r="BX71" i="23"/>
  <c r="GI71" i="23"/>
  <c r="EG63" i="22"/>
  <c r="BW71" i="23"/>
  <c r="AV63" i="22"/>
  <c r="AG71" i="23"/>
  <c r="BB63" i="22"/>
  <c r="AS71" i="23"/>
  <c r="BE71" i="23"/>
  <c r="GH71" i="23"/>
  <c r="AF71" i="23"/>
  <c r="AR71" i="23"/>
  <c r="BD71" i="23"/>
  <c r="BV71" i="23"/>
  <c r="GG71" i="23"/>
  <c r="BU71" i="23"/>
  <c r="AE71" i="23"/>
  <c r="AQ71" i="23"/>
  <c r="BC71" i="23"/>
  <c r="GF71" i="23"/>
  <c r="AD71" i="23"/>
  <c r="AP71" i="23"/>
  <c r="BB71" i="23"/>
  <c r="BT71" i="23"/>
  <c r="GE71" i="23"/>
  <c r="BS71" i="23"/>
  <c r="AC71" i="23"/>
  <c r="AO71" i="23"/>
  <c r="BA71" i="23"/>
  <c r="GD71" i="23"/>
  <c r="AB71" i="23"/>
  <c r="AN71" i="23"/>
  <c r="AZ71" i="23"/>
  <c r="BR71" i="23"/>
  <c r="GC71" i="23"/>
  <c r="BQ71" i="23"/>
  <c r="AA71" i="23"/>
  <c r="AM71" i="23"/>
  <c r="AY71" i="23"/>
  <c r="GB71" i="23"/>
  <c r="AI63" i="22"/>
  <c r="N71" i="23"/>
  <c r="AO63" i="22"/>
  <c r="Z71" i="23"/>
  <c r="GA71" i="23"/>
  <c r="AH63" i="22"/>
  <c r="M71" i="23"/>
  <c r="AN63" i="22"/>
  <c r="Y71" i="23"/>
  <c r="FZ71" i="23"/>
  <c r="AG63" i="22"/>
  <c r="L71" i="23"/>
  <c r="AM63" i="22"/>
  <c r="X71" i="23"/>
  <c r="FY71" i="23"/>
  <c r="AF63" i="22"/>
  <c r="K71" i="23"/>
  <c r="AL63" i="22"/>
  <c r="W71" i="23"/>
  <c r="FX71" i="23"/>
  <c r="AE63" i="22"/>
  <c r="J71" i="23"/>
  <c r="AK63" i="22"/>
  <c r="V71" i="23"/>
  <c r="FW71" i="23"/>
  <c r="AD63" i="22"/>
  <c r="I71" i="23"/>
  <c r="AJ63" i="22"/>
  <c r="U71" i="23"/>
  <c r="FV71" i="23"/>
  <c r="H71" i="23"/>
  <c r="T71" i="23"/>
  <c r="FU71" i="23"/>
  <c r="G71" i="23"/>
  <c r="S71" i="23"/>
  <c r="FT71" i="23"/>
  <c r="F71" i="23"/>
  <c r="R71" i="23"/>
  <c r="FS71" i="23"/>
  <c r="E71" i="23"/>
  <c r="Q71" i="23"/>
  <c r="FR71" i="23"/>
  <c r="D71" i="23"/>
  <c r="P71" i="23"/>
  <c r="FQ71" i="23"/>
  <c r="C71" i="23"/>
  <c r="O71" i="23"/>
  <c r="FP71" i="23"/>
  <c r="F53" i="22"/>
  <c r="J53" i="22"/>
  <c r="CM53" i="22"/>
  <c r="CT53" i="22"/>
  <c r="CY53" i="22"/>
  <c r="FF53" i="22"/>
  <c r="FG53" i="22"/>
  <c r="FN53" i="22"/>
  <c r="FT53" i="22"/>
  <c r="GV62" i="22"/>
  <c r="DR70" i="23"/>
  <c r="IO70" i="23"/>
  <c r="FM53" i="22"/>
  <c r="FS53" i="22"/>
  <c r="GU62" i="22"/>
  <c r="DQ70" i="23"/>
  <c r="IN70" i="23"/>
  <c r="IM70" i="23"/>
  <c r="IL70" i="23"/>
  <c r="CX61" i="22"/>
  <c r="FC61" i="22"/>
  <c r="FX61" i="22"/>
  <c r="GR62" i="22"/>
  <c r="GT62" i="22"/>
  <c r="DN70" i="23"/>
  <c r="IK70" i="23"/>
  <c r="GS62" i="22"/>
  <c r="CW61" i="22"/>
  <c r="FB61" i="22"/>
  <c r="FV61" i="22"/>
  <c r="GQ62" i="22"/>
  <c r="DM70" i="23"/>
  <c r="IJ70" i="23"/>
  <c r="BS62" i="22"/>
  <c r="EU62" i="22"/>
  <c r="GH62" i="22"/>
  <c r="CN70" i="23"/>
  <c r="BY62" i="22"/>
  <c r="FA62" i="22"/>
  <c r="GN62" i="22"/>
  <c r="CZ70" i="23"/>
  <c r="DL70" i="23"/>
  <c r="HB62" i="22"/>
  <c r="ED70" i="23"/>
  <c r="II70" i="23"/>
  <c r="DK70" i="23"/>
  <c r="HA62" i="22"/>
  <c r="EC70" i="23"/>
  <c r="BR62" i="22"/>
  <c r="ET62" i="22"/>
  <c r="GG62" i="22"/>
  <c r="CM70" i="23"/>
  <c r="BX62" i="22"/>
  <c r="EZ62" i="22"/>
  <c r="GM62" i="22"/>
  <c r="CY70" i="23"/>
  <c r="IH70" i="23"/>
  <c r="BQ62" i="22"/>
  <c r="ES62" i="22"/>
  <c r="GF62" i="22"/>
  <c r="CL70" i="23"/>
  <c r="BW62" i="22"/>
  <c r="EY62" i="22"/>
  <c r="GL62" i="22"/>
  <c r="CX70" i="23"/>
  <c r="IG70" i="23"/>
  <c r="BP62" i="22"/>
  <c r="ER62" i="22"/>
  <c r="GE62" i="22"/>
  <c r="CK70" i="23"/>
  <c r="BV62" i="22"/>
  <c r="EX62" i="22"/>
  <c r="GK62" i="22"/>
  <c r="CW70" i="23"/>
  <c r="IF70" i="23"/>
  <c r="BO62" i="22"/>
  <c r="EQ62" i="22"/>
  <c r="GD62" i="22"/>
  <c r="CJ70" i="23"/>
  <c r="BU62" i="22"/>
  <c r="EW62" i="22"/>
  <c r="GJ62" i="22"/>
  <c r="CV70" i="23"/>
  <c r="DH70" i="23"/>
  <c r="DB62" i="22"/>
  <c r="FE62" i="22"/>
  <c r="GB62" i="22"/>
  <c r="GX62" i="22"/>
  <c r="GZ62" i="22"/>
  <c r="DZ70" i="23"/>
  <c r="IE70" i="23"/>
  <c r="DG70" i="23"/>
  <c r="DA62" i="22"/>
  <c r="FD62" i="22"/>
  <c r="FZ62" i="22"/>
  <c r="GW62" i="22"/>
  <c r="GY62" i="22"/>
  <c r="DY70" i="23"/>
  <c r="BN62" i="22"/>
  <c r="EP62" i="22"/>
  <c r="GC62" i="22"/>
  <c r="CI70" i="23"/>
  <c r="BT62" i="22"/>
  <c r="EV62" i="22"/>
  <c r="GI62" i="22"/>
  <c r="CU70" i="23"/>
  <c r="ID70" i="23"/>
  <c r="CH70" i="23"/>
  <c r="CT70" i="23"/>
  <c r="DF70" i="23"/>
  <c r="DX70" i="23"/>
  <c r="IC70" i="23"/>
  <c r="DE70" i="23"/>
  <c r="DW70" i="23"/>
  <c r="CG70" i="23"/>
  <c r="CS70" i="23"/>
  <c r="IB70" i="23"/>
  <c r="CF70" i="23"/>
  <c r="CR70" i="23"/>
  <c r="IA70" i="23"/>
  <c r="CE70" i="23"/>
  <c r="CQ70" i="23"/>
  <c r="HZ70" i="23"/>
  <c r="CD70" i="23"/>
  <c r="CP70" i="23"/>
  <c r="DB70" i="23"/>
  <c r="DT70" i="23"/>
  <c r="HY70" i="23"/>
  <c r="DA70" i="23"/>
  <c r="DS70" i="23"/>
  <c r="CC70" i="23"/>
  <c r="CO70" i="23"/>
  <c r="HX70" i="23"/>
  <c r="AC62" i="22"/>
  <c r="CJ62" i="22"/>
  <c r="CK62" i="22"/>
  <c r="CI59" i="21"/>
  <c r="FH70" i="23"/>
  <c r="HW70" i="23"/>
  <c r="FG70" i="23"/>
  <c r="HV70" i="23"/>
  <c r="AB62" i="22"/>
  <c r="CH62" i="22"/>
  <c r="CI62" i="22"/>
  <c r="FF70" i="23"/>
  <c r="HU70" i="23"/>
  <c r="FE70" i="23"/>
  <c r="HT70" i="23"/>
  <c r="AA62" i="22"/>
  <c r="CF62" i="22"/>
  <c r="CG62" i="22"/>
  <c r="FD70" i="23"/>
  <c r="HS70" i="23"/>
  <c r="FC70" i="23"/>
  <c r="HR70" i="23"/>
  <c r="CH59" i="21"/>
  <c r="FB70" i="23"/>
  <c r="HQ70" i="23"/>
  <c r="FA70" i="23"/>
  <c r="HP70" i="23"/>
  <c r="EZ70" i="23"/>
  <c r="HO70" i="23"/>
  <c r="EY70" i="23"/>
  <c r="HN70" i="23"/>
  <c r="EX70" i="23"/>
  <c r="HM70" i="23"/>
  <c r="EW70" i="23"/>
  <c r="HL70" i="23"/>
  <c r="CG59" i="21"/>
  <c r="EV70" i="23"/>
  <c r="HK70" i="23"/>
  <c r="EU70" i="23"/>
  <c r="HJ70" i="23"/>
  <c r="ET70" i="23"/>
  <c r="HI70" i="23"/>
  <c r="ES70" i="23"/>
  <c r="HH70" i="23"/>
  <c r="ER70" i="23"/>
  <c r="HG70" i="23"/>
  <c r="EQ70" i="23"/>
  <c r="HF70" i="23"/>
  <c r="CF59" i="21"/>
  <c r="EP70" i="23"/>
  <c r="HE70" i="23"/>
  <c r="EO70" i="23"/>
  <c r="HD70" i="23"/>
  <c r="EN70" i="23"/>
  <c r="HC70" i="23"/>
  <c r="EM70" i="23"/>
  <c r="HB70" i="23"/>
  <c r="EL70" i="23"/>
  <c r="HA70" i="23"/>
  <c r="EK70" i="23"/>
  <c r="GZ70" i="23"/>
  <c r="CE59" i="21"/>
  <c r="EJ70" i="23"/>
  <c r="GY70" i="23"/>
  <c r="EI70" i="23"/>
  <c r="GX70" i="23"/>
  <c r="EH70" i="23"/>
  <c r="GW70" i="23"/>
  <c r="EG70" i="23"/>
  <c r="GV70" i="23"/>
  <c r="EF70" i="23"/>
  <c r="GU70" i="23"/>
  <c r="EE70" i="23"/>
  <c r="GT70" i="23"/>
  <c r="DM61" i="22"/>
  <c r="EF62" i="22"/>
  <c r="BP70" i="23"/>
  <c r="GS70" i="23"/>
  <c r="DL61" i="22"/>
  <c r="EE62" i="22"/>
  <c r="BO70" i="23"/>
  <c r="GR70" i="23"/>
  <c r="ED62" i="22"/>
  <c r="BN70" i="23"/>
  <c r="GQ70" i="23"/>
  <c r="EC62" i="22"/>
  <c r="BM70" i="23"/>
  <c r="GP70" i="23"/>
  <c r="EB62" i="22"/>
  <c r="BL70" i="23"/>
  <c r="GO70" i="23"/>
  <c r="EA62" i="22"/>
  <c r="BK70" i="23"/>
  <c r="GN70" i="23"/>
  <c r="BA62" i="22"/>
  <c r="AL70" i="23"/>
  <c r="BG62" i="22"/>
  <c r="AX70" i="23"/>
  <c r="BJ70" i="23"/>
  <c r="DO61" i="22"/>
  <c r="DT61" i="22"/>
  <c r="EL62" i="22"/>
  <c r="CB70" i="23"/>
  <c r="GM70" i="23"/>
  <c r="DS61" i="22"/>
  <c r="DN61" i="22"/>
  <c r="EK62" i="22"/>
  <c r="CA70" i="23"/>
  <c r="AZ62" i="22"/>
  <c r="AK70" i="23"/>
  <c r="BF62" i="22"/>
  <c r="AW70" i="23"/>
  <c r="BI70" i="23"/>
  <c r="GL70" i="23"/>
  <c r="AY62" i="22"/>
  <c r="AJ70" i="23"/>
  <c r="BE62" i="22"/>
  <c r="AV70" i="23"/>
  <c r="BH70" i="23"/>
  <c r="EJ62" i="22"/>
  <c r="BZ70" i="23"/>
  <c r="GK70" i="23"/>
  <c r="EI62" i="22"/>
  <c r="BY70" i="23"/>
  <c r="AX62" i="22"/>
  <c r="AI70" i="23"/>
  <c r="BD62" i="22"/>
  <c r="AU70" i="23"/>
  <c r="BG70" i="23"/>
  <c r="GJ70" i="23"/>
  <c r="AW62" i="22"/>
  <c r="AH70" i="23"/>
  <c r="BC62" i="22"/>
  <c r="AT70" i="23"/>
  <c r="BF70" i="23"/>
  <c r="EH62" i="22"/>
  <c r="BX70" i="23"/>
  <c r="GI70" i="23"/>
  <c r="EG62" i="22"/>
  <c r="BW70" i="23"/>
  <c r="AV62" i="22"/>
  <c r="AG70" i="23"/>
  <c r="BB62" i="22"/>
  <c r="AS70" i="23"/>
  <c r="BE70" i="23"/>
  <c r="GH70" i="23"/>
  <c r="AF70" i="23"/>
  <c r="AR70" i="23"/>
  <c r="BD70" i="23"/>
  <c r="BV70" i="23"/>
  <c r="GG70" i="23"/>
  <c r="BU70" i="23"/>
  <c r="AE70" i="23"/>
  <c r="AQ70" i="23"/>
  <c r="BC70" i="23"/>
  <c r="GF70" i="23"/>
  <c r="AD70" i="23"/>
  <c r="AP70" i="23"/>
  <c r="BB70" i="23"/>
  <c r="BT70" i="23"/>
  <c r="GE70" i="23"/>
  <c r="BS70" i="23"/>
  <c r="AC70" i="23"/>
  <c r="AO70" i="23"/>
  <c r="BA70" i="23"/>
  <c r="GD70" i="23"/>
  <c r="AB70" i="23"/>
  <c r="AN70" i="23"/>
  <c r="AZ70" i="23"/>
  <c r="BR70" i="23"/>
  <c r="GC70" i="23"/>
  <c r="BQ70" i="23"/>
  <c r="AA70" i="23"/>
  <c r="AM70" i="23"/>
  <c r="AY70" i="23"/>
  <c r="GB70" i="23"/>
  <c r="AI62" i="22"/>
  <c r="N70" i="23"/>
  <c r="AO62" i="22"/>
  <c r="Z70" i="23"/>
  <c r="GA70" i="23"/>
  <c r="AH62" i="22"/>
  <c r="M70" i="23"/>
  <c r="AN62" i="22"/>
  <c r="Y70" i="23"/>
  <c r="FZ70" i="23"/>
  <c r="AG62" i="22"/>
  <c r="L70" i="23"/>
  <c r="AM62" i="22"/>
  <c r="X70" i="23"/>
  <c r="FY70" i="23"/>
  <c r="AF62" i="22"/>
  <c r="K70" i="23"/>
  <c r="AL62" i="22"/>
  <c r="W70" i="23"/>
  <c r="FX70" i="23"/>
  <c r="AE62" i="22"/>
  <c r="J70" i="23"/>
  <c r="AK62" i="22"/>
  <c r="V70" i="23"/>
  <c r="FW70" i="23"/>
  <c r="AD62" i="22"/>
  <c r="I70" i="23"/>
  <c r="AJ62" i="22"/>
  <c r="U70" i="23"/>
  <c r="FV70" i="23"/>
  <c r="H70" i="23"/>
  <c r="T70" i="23"/>
  <c r="FU70" i="23"/>
  <c r="G70" i="23"/>
  <c r="S70" i="23"/>
  <c r="FT70" i="23"/>
  <c r="F70" i="23"/>
  <c r="R70" i="23"/>
  <c r="FS70" i="23"/>
  <c r="E70" i="23"/>
  <c r="Q70" i="23"/>
  <c r="FR70" i="23"/>
  <c r="D70" i="23"/>
  <c r="P70" i="23"/>
  <c r="FQ70" i="23"/>
  <c r="C70" i="23"/>
  <c r="O70" i="23"/>
  <c r="FP70" i="23"/>
  <c r="F52" i="22"/>
  <c r="J52" i="22"/>
  <c r="CM52" i="22"/>
  <c r="CT52" i="22"/>
  <c r="CY52" i="22"/>
  <c r="FF52" i="22"/>
  <c r="FG52" i="22"/>
  <c r="FN52" i="22"/>
  <c r="FT52" i="22"/>
  <c r="GV61" i="22"/>
  <c r="DR69" i="23"/>
  <c r="IO69" i="23"/>
  <c r="FM52" i="22"/>
  <c r="FS52" i="22"/>
  <c r="GU61" i="22"/>
  <c r="DQ69" i="23"/>
  <c r="IN69" i="23"/>
  <c r="IM69" i="23"/>
  <c r="IL69" i="23"/>
  <c r="CX60" i="22"/>
  <c r="FC60" i="22"/>
  <c r="FX60" i="22"/>
  <c r="GR61" i="22"/>
  <c r="GT61" i="22"/>
  <c r="DN69" i="23"/>
  <c r="IK69" i="23"/>
  <c r="CW60" i="22"/>
  <c r="FB60" i="22"/>
  <c r="FV60" i="22"/>
  <c r="GQ61" i="22"/>
  <c r="GS61" i="22"/>
  <c r="DM69" i="23"/>
  <c r="IJ69" i="23"/>
  <c r="BS61" i="22"/>
  <c r="EU61" i="22"/>
  <c r="GH61" i="22"/>
  <c r="CN69" i="23"/>
  <c r="BY61" i="22"/>
  <c r="FA61" i="22"/>
  <c r="GN61" i="22"/>
  <c r="CZ69" i="23"/>
  <c r="DL69" i="23"/>
  <c r="HB61" i="22"/>
  <c r="ED69" i="23"/>
  <c r="II69" i="23"/>
  <c r="DK69" i="23"/>
  <c r="HA61" i="22"/>
  <c r="EC69" i="23"/>
  <c r="BR61" i="22"/>
  <c r="ET61" i="22"/>
  <c r="GG61" i="22"/>
  <c r="CM69" i="23"/>
  <c r="BX61" i="22"/>
  <c r="EZ61" i="22"/>
  <c r="GM61" i="22"/>
  <c r="CY69" i="23"/>
  <c r="IH69" i="23"/>
  <c r="BQ61" i="22"/>
  <c r="ES61" i="22"/>
  <c r="GF61" i="22"/>
  <c r="CL69" i="23"/>
  <c r="BW61" i="22"/>
  <c r="EY61" i="22"/>
  <c r="GL61" i="22"/>
  <c r="CX69" i="23"/>
  <c r="IG69" i="23"/>
  <c r="BP61" i="22"/>
  <c r="ER61" i="22"/>
  <c r="GE61" i="22"/>
  <c r="CK69" i="23"/>
  <c r="BV61" i="22"/>
  <c r="EX61" i="22"/>
  <c r="GK61" i="22"/>
  <c r="CW69" i="23"/>
  <c r="IF69" i="23"/>
  <c r="BO61" i="22"/>
  <c r="EQ61" i="22"/>
  <c r="GD61" i="22"/>
  <c r="CJ69" i="23"/>
  <c r="BU61" i="22"/>
  <c r="EW61" i="22"/>
  <c r="GJ61" i="22"/>
  <c r="CV69" i="23"/>
  <c r="DH69" i="23"/>
  <c r="DB61" i="22"/>
  <c r="FE61" i="22"/>
  <c r="GB61" i="22"/>
  <c r="GX61" i="22"/>
  <c r="GZ61" i="22"/>
  <c r="DZ69" i="23"/>
  <c r="IE69" i="23"/>
  <c r="DG69" i="23"/>
  <c r="DA61" i="22"/>
  <c r="FD61" i="22"/>
  <c r="FZ61" i="22"/>
  <c r="GW61" i="22"/>
  <c r="GY61" i="22"/>
  <c r="DY69" i="23"/>
  <c r="BN61" i="22"/>
  <c r="EP61" i="22"/>
  <c r="GC61" i="22"/>
  <c r="CI69" i="23"/>
  <c r="BT61" i="22"/>
  <c r="EV61" i="22"/>
  <c r="GI61" i="22"/>
  <c r="CU69" i="23"/>
  <c r="ID69" i="23"/>
  <c r="CH69" i="23"/>
  <c r="CT69" i="23"/>
  <c r="DF69" i="23"/>
  <c r="DX69" i="23"/>
  <c r="IC69" i="23"/>
  <c r="DE69" i="23"/>
  <c r="DW69" i="23"/>
  <c r="CG69" i="23"/>
  <c r="CS69" i="23"/>
  <c r="IB69" i="23"/>
  <c r="CF69" i="23"/>
  <c r="CR69" i="23"/>
  <c r="IA69" i="23"/>
  <c r="CE69" i="23"/>
  <c r="CQ69" i="23"/>
  <c r="HZ69" i="23"/>
  <c r="CD69" i="23"/>
  <c r="CP69" i="23"/>
  <c r="DB69" i="23"/>
  <c r="DT69" i="23"/>
  <c r="HY69" i="23"/>
  <c r="DA69" i="23"/>
  <c r="DS69" i="23"/>
  <c r="CC69" i="23"/>
  <c r="CO69" i="23"/>
  <c r="HX69" i="23"/>
  <c r="AC61" i="22"/>
  <c r="CJ61" i="22"/>
  <c r="CK61" i="22"/>
  <c r="CI58" i="21"/>
  <c r="FH69" i="23"/>
  <c r="HW69" i="23"/>
  <c r="FG69" i="23"/>
  <c r="HV69" i="23"/>
  <c r="AB61" i="22"/>
  <c r="CH61" i="22"/>
  <c r="CI61" i="22"/>
  <c r="FF69" i="23"/>
  <c r="HU69" i="23"/>
  <c r="FE69" i="23"/>
  <c r="HT69" i="23"/>
  <c r="AA61" i="22"/>
  <c r="CF61" i="22"/>
  <c r="CG61" i="22"/>
  <c r="FD69" i="23"/>
  <c r="HS69" i="23"/>
  <c r="FC69" i="23"/>
  <c r="HR69" i="23"/>
  <c r="CH58" i="21"/>
  <c r="FB69" i="23"/>
  <c r="HQ69" i="23"/>
  <c r="FA69" i="23"/>
  <c r="HP69" i="23"/>
  <c r="EZ69" i="23"/>
  <c r="HO69" i="23"/>
  <c r="EY69" i="23"/>
  <c r="HN69" i="23"/>
  <c r="EX69" i="23"/>
  <c r="HM69" i="23"/>
  <c r="EW69" i="23"/>
  <c r="HL69" i="23"/>
  <c r="CG58" i="21"/>
  <c r="EV69" i="23"/>
  <c r="HK69" i="23"/>
  <c r="EU69" i="23"/>
  <c r="HJ69" i="23"/>
  <c r="ET69" i="23"/>
  <c r="HI69" i="23"/>
  <c r="ES69" i="23"/>
  <c r="HH69" i="23"/>
  <c r="ER69" i="23"/>
  <c r="HG69" i="23"/>
  <c r="EQ69" i="23"/>
  <c r="HF69" i="23"/>
  <c r="CF58" i="21"/>
  <c r="EP69" i="23"/>
  <c r="HE69" i="23"/>
  <c r="EO69" i="23"/>
  <c r="HD69" i="23"/>
  <c r="EN69" i="23"/>
  <c r="HC69" i="23"/>
  <c r="EM69" i="23"/>
  <c r="HB69" i="23"/>
  <c r="EL69" i="23"/>
  <c r="HA69" i="23"/>
  <c r="EK69" i="23"/>
  <c r="GZ69" i="23"/>
  <c r="CE58" i="21"/>
  <c r="EJ69" i="23"/>
  <c r="GY69" i="23"/>
  <c r="EI69" i="23"/>
  <c r="GX69" i="23"/>
  <c r="EH69" i="23"/>
  <c r="GW69" i="23"/>
  <c r="EG69" i="23"/>
  <c r="GV69" i="23"/>
  <c r="EF69" i="23"/>
  <c r="GU69" i="23"/>
  <c r="EE69" i="23"/>
  <c r="GT69" i="23"/>
  <c r="DM60" i="22"/>
  <c r="EF61" i="22"/>
  <c r="BP69" i="23"/>
  <c r="GS69" i="23"/>
  <c r="DQ57" i="22"/>
  <c r="DQ60" i="22"/>
  <c r="DL60" i="22"/>
  <c r="EE61" i="22"/>
  <c r="BO69" i="23"/>
  <c r="GR69" i="23"/>
  <c r="ED61" i="22"/>
  <c r="BN69" i="23"/>
  <c r="GQ69" i="23"/>
  <c r="EC61" i="22"/>
  <c r="BM69" i="23"/>
  <c r="GP69" i="23"/>
  <c r="EB61" i="22"/>
  <c r="BL69" i="23"/>
  <c r="GO69" i="23"/>
  <c r="EA61" i="22"/>
  <c r="BK69" i="23"/>
  <c r="GN69" i="23"/>
  <c r="BA61" i="22"/>
  <c r="AL69" i="23"/>
  <c r="BG61" i="22"/>
  <c r="AX69" i="23"/>
  <c r="BJ69" i="23"/>
  <c r="DO60" i="22"/>
  <c r="DT60" i="22"/>
  <c r="EL61" i="22"/>
  <c r="CB69" i="23"/>
  <c r="GM69" i="23"/>
  <c r="BI69" i="23"/>
  <c r="DS60" i="22"/>
  <c r="DN60" i="22"/>
  <c r="EK61" i="22"/>
  <c r="CA69" i="23"/>
  <c r="AZ61" i="22"/>
  <c r="AK69" i="23"/>
  <c r="BF61" i="22"/>
  <c r="AW69" i="23"/>
  <c r="GL69" i="23"/>
  <c r="AY61" i="22"/>
  <c r="AJ69" i="23"/>
  <c r="BE61" i="22"/>
  <c r="AV69" i="23"/>
  <c r="BH69" i="23"/>
  <c r="EJ61" i="22"/>
  <c r="BZ69" i="23"/>
  <c r="GK69" i="23"/>
  <c r="BG69" i="23"/>
  <c r="EI61" i="22"/>
  <c r="BY69" i="23"/>
  <c r="AX61" i="22"/>
  <c r="AI69" i="23"/>
  <c r="BD61" i="22"/>
  <c r="AU69" i="23"/>
  <c r="GJ69" i="23"/>
  <c r="AW61" i="22"/>
  <c r="AH69" i="23"/>
  <c r="BC61" i="22"/>
  <c r="AT69" i="23"/>
  <c r="BF69" i="23"/>
  <c r="EH61" i="22"/>
  <c r="BX69" i="23"/>
  <c r="GI69" i="23"/>
  <c r="BE69" i="23"/>
  <c r="EG61" i="22"/>
  <c r="BW69" i="23"/>
  <c r="AV61" i="22"/>
  <c r="AG69" i="23"/>
  <c r="BB61" i="22"/>
  <c r="AS69" i="23"/>
  <c r="GH69" i="23"/>
  <c r="AF69" i="23"/>
  <c r="AR69" i="23"/>
  <c r="BD69" i="23"/>
  <c r="BV69" i="23"/>
  <c r="GG69" i="23"/>
  <c r="BC69" i="23"/>
  <c r="BU69" i="23"/>
  <c r="AE69" i="23"/>
  <c r="AQ69" i="23"/>
  <c r="GF69" i="23"/>
  <c r="AD69" i="23"/>
  <c r="AP69" i="23"/>
  <c r="BB69" i="23"/>
  <c r="BT69" i="23"/>
  <c r="GE69" i="23"/>
  <c r="BA69" i="23"/>
  <c r="BS69" i="23"/>
  <c r="AC69" i="23"/>
  <c r="AO69" i="23"/>
  <c r="GD69" i="23"/>
  <c r="AB69" i="23"/>
  <c r="AN69" i="23"/>
  <c r="AZ69" i="23"/>
  <c r="BR69" i="23"/>
  <c r="GC69" i="23"/>
  <c r="AY69" i="23"/>
  <c r="BQ69" i="23"/>
  <c r="AA69" i="23"/>
  <c r="AM69" i="23"/>
  <c r="GB69" i="23"/>
  <c r="AI61" i="22"/>
  <c r="N69" i="23"/>
  <c r="AO61" i="22"/>
  <c r="Z69" i="23"/>
  <c r="GA69" i="23"/>
  <c r="AH61" i="22"/>
  <c r="M69" i="23"/>
  <c r="AN61" i="22"/>
  <c r="Y69" i="23"/>
  <c r="FZ69" i="23"/>
  <c r="AG61" i="22"/>
  <c r="L69" i="23"/>
  <c r="AM61" i="22"/>
  <c r="X69" i="23"/>
  <c r="FY69" i="23"/>
  <c r="AF61" i="22"/>
  <c r="K69" i="23"/>
  <c r="AL61" i="22"/>
  <c r="W69" i="23"/>
  <c r="FX69" i="23"/>
  <c r="AE61" i="22"/>
  <c r="J69" i="23"/>
  <c r="AK61" i="22"/>
  <c r="V69" i="23"/>
  <c r="FW69" i="23"/>
  <c r="AD61" i="22"/>
  <c r="I69" i="23"/>
  <c r="AJ61" i="22"/>
  <c r="U69" i="23"/>
  <c r="FV69" i="23"/>
  <c r="H69" i="23"/>
  <c r="T69" i="23"/>
  <c r="FU69" i="23"/>
  <c r="G69" i="23"/>
  <c r="S69" i="23"/>
  <c r="FT69" i="23"/>
  <c r="F69" i="23"/>
  <c r="R69" i="23"/>
  <c r="FS69" i="23"/>
  <c r="E69" i="23"/>
  <c r="Q69" i="23"/>
  <c r="FR69" i="23"/>
  <c r="D69" i="23"/>
  <c r="P69" i="23"/>
  <c r="FQ69" i="23"/>
  <c r="C69" i="23"/>
  <c r="O69" i="23"/>
  <c r="FP69" i="23"/>
  <c r="F51" i="22"/>
  <c r="J51" i="22"/>
  <c r="CM51" i="22"/>
  <c r="CT51" i="22"/>
  <c r="CY51" i="22"/>
  <c r="FF51" i="22"/>
  <c r="FG51" i="22"/>
  <c r="FN51" i="22"/>
  <c r="FT51" i="22"/>
  <c r="GV60" i="22"/>
  <c r="DR68" i="23"/>
  <c r="IO68" i="23"/>
  <c r="FM51" i="22"/>
  <c r="FS51" i="22"/>
  <c r="GU60" i="22"/>
  <c r="DQ68" i="23"/>
  <c r="IN68" i="23"/>
  <c r="IM68" i="23"/>
  <c r="IL68" i="23"/>
  <c r="CX59" i="22"/>
  <c r="FC59" i="22"/>
  <c r="FX59" i="22"/>
  <c r="GR60" i="22"/>
  <c r="GT60" i="22"/>
  <c r="DN68" i="23"/>
  <c r="IK68" i="23"/>
  <c r="CW59" i="22"/>
  <c r="FB59" i="22"/>
  <c r="FV59" i="22"/>
  <c r="GQ60" i="22"/>
  <c r="GS60" i="22"/>
  <c r="DM68" i="23"/>
  <c r="IJ68" i="23"/>
  <c r="BS60" i="22"/>
  <c r="EU60" i="22"/>
  <c r="GH60" i="22"/>
  <c r="CN68" i="23"/>
  <c r="BY60" i="22"/>
  <c r="FA60" i="22"/>
  <c r="GN60" i="22"/>
  <c r="CZ68" i="23"/>
  <c r="DL68" i="23"/>
  <c r="HB60" i="22"/>
  <c r="ED68" i="23"/>
  <c r="II68" i="23"/>
  <c r="DK68" i="23"/>
  <c r="HA60" i="22"/>
  <c r="EC68" i="23"/>
  <c r="BR60" i="22"/>
  <c r="ET60" i="22"/>
  <c r="GG60" i="22"/>
  <c r="CM68" i="23"/>
  <c r="BX60" i="22"/>
  <c r="EZ60" i="22"/>
  <c r="GM60" i="22"/>
  <c r="CY68" i="23"/>
  <c r="IH68" i="23"/>
  <c r="BQ60" i="22"/>
  <c r="ES60" i="22"/>
  <c r="GF60" i="22"/>
  <c r="CL68" i="23"/>
  <c r="BW60" i="22"/>
  <c r="EY60" i="22"/>
  <c r="GL60" i="22"/>
  <c r="CX68" i="23"/>
  <c r="IG68" i="23"/>
  <c r="BP60" i="22"/>
  <c r="ER60" i="22"/>
  <c r="GE60" i="22"/>
  <c r="CK68" i="23"/>
  <c r="BV60" i="22"/>
  <c r="EX60" i="22"/>
  <c r="GK60" i="22"/>
  <c r="CW68" i="23"/>
  <c r="IF68" i="23"/>
  <c r="BO60" i="22"/>
  <c r="EQ60" i="22"/>
  <c r="GD60" i="22"/>
  <c r="CJ68" i="23"/>
  <c r="BU60" i="22"/>
  <c r="EW60" i="22"/>
  <c r="GJ60" i="22"/>
  <c r="CV68" i="23"/>
  <c r="DH68" i="23"/>
  <c r="DB60" i="22"/>
  <c r="FE60" i="22"/>
  <c r="GB60" i="22"/>
  <c r="GX60" i="22"/>
  <c r="GZ60" i="22"/>
  <c r="DZ68" i="23"/>
  <c r="IE68" i="23"/>
  <c r="DG68" i="23"/>
  <c r="DA60" i="22"/>
  <c r="FD60" i="22"/>
  <c r="FZ60" i="22"/>
  <c r="GW60" i="22"/>
  <c r="GY60" i="22"/>
  <c r="DY68" i="23"/>
  <c r="BN60" i="22"/>
  <c r="EP60" i="22"/>
  <c r="GC60" i="22"/>
  <c r="CI68" i="23"/>
  <c r="BT60" i="22"/>
  <c r="EV60" i="22"/>
  <c r="GI60" i="22"/>
  <c r="CU68" i="23"/>
  <c r="ID68" i="23"/>
  <c r="CH68" i="23"/>
  <c r="CT68" i="23"/>
  <c r="DF68" i="23"/>
  <c r="DX68" i="23"/>
  <c r="IC68" i="23"/>
  <c r="DE68" i="23"/>
  <c r="DW68" i="23"/>
  <c r="CG68" i="23"/>
  <c r="CS68" i="23"/>
  <c r="IB68" i="23"/>
  <c r="CF68" i="23"/>
  <c r="CR68" i="23"/>
  <c r="IA68" i="23"/>
  <c r="CE68" i="23"/>
  <c r="CQ68" i="23"/>
  <c r="HZ68" i="23"/>
  <c r="CD68" i="23"/>
  <c r="CP68" i="23"/>
  <c r="DB68" i="23"/>
  <c r="DT68" i="23"/>
  <c r="HY68" i="23"/>
  <c r="DA68" i="23"/>
  <c r="DS68" i="23"/>
  <c r="CC68" i="23"/>
  <c r="CO68" i="23"/>
  <c r="HX68" i="23"/>
  <c r="AC60" i="22"/>
  <c r="CJ60" i="22"/>
  <c r="CK60" i="22"/>
  <c r="CI57" i="21"/>
  <c r="FH68" i="23"/>
  <c r="HW68" i="23"/>
  <c r="FG68" i="23"/>
  <c r="HV68" i="23"/>
  <c r="AB60" i="22"/>
  <c r="CH60" i="22"/>
  <c r="CI60" i="22"/>
  <c r="FF68" i="23"/>
  <c r="HU68" i="23"/>
  <c r="FE68" i="23"/>
  <c r="HT68" i="23"/>
  <c r="AA60" i="22"/>
  <c r="CF60" i="22"/>
  <c r="CG60" i="22"/>
  <c r="FD68" i="23"/>
  <c r="HS68" i="23"/>
  <c r="FC68" i="23"/>
  <c r="HR68" i="23"/>
  <c r="CH57" i="21"/>
  <c r="FB68" i="23"/>
  <c r="HQ68" i="23"/>
  <c r="FA68" i="23"/>
  <c r="HP68" i="23"/>
  <c r="EZ68" i="23"/>
  <c r="HO68" i="23"/>
  <c r="EY68" i="23"/>
  <c r="HN68" i="23"/>
  <c r="EX68" i="23"/>
  <c r="HM68" i="23"/>
  <c r="EW68" i="23"/>
  <c r="HL68" i="23"/>
  <c r="CG57" i="21"/>
  <c r="EV68" i="23"/>
  <c r="HK68" i="23"/>
  <c r="EU68" i="23"/>
  <c r="HJ68" i="23"/>
  <c r="ET68" i="23"/>
  <c r="HI68" i="23"/>
  <c r="ES68" i="23"/>
  <c r="HH68" i="23"/>
  <c r="ER68" i="23"/>
  <c r="HG68" i="23"/>
  <c r="EQ68" i="23"/>
  <c r="HF68" i="23"/>
  <c r="CF57" i="21"/>
  <c r="EP68" i="23"/>
  <c r="HE68" i="23"/>
  <c r="EO68" i="23"/>
  <c r="HD68" i="23"/>
  <c r="EN68" i="23"/>
  <c r="HC68" i="23"/>
  <c r="EM68" i="23"/>
  <c r="HB68" i="23"/>
  <c r="EL68" i="23"/>
  <c r="HA68" i="23"/>
  <c r="EK68" i="23"/>
  <c r="GZ68" i="23"/>
  <c r="CE57" i="21"/>
  <c r="EJ68" i="23"/>
  <c r="GY68" i="23"/>
  <c r="EI68" i="23"/>
  <c r="GX68" i="23"/>
  <c r="EH68" i="23"/>
  <c r="GW68" i="23"/>
  <c r="EG68" i="23"/>
  <c r="GV68" i="23"/>
  <c r="EF68" i="23"/>
  <c r="GU68" i="23"/>
  <c r="EE68" i="23"/>
  <c r="GT68" i="23"/>
  <c r="DM59" i="22"/>
  <c r="EF60" i="22"/>
  <c r="BP68" i="23"/>
  <c r="GS68" i="23"/>
  <c r="DQ59" i="22"/>
  <c r="DL59" i="22"/>
  <c r="EE60" i="22"/>
  <c r="BO68" i="23"/>
  <c r="GR68" i="23"/>
  <c r="ED60" i="22"/>
  <c r="BN68" i="23"/>
  <c r="GQ68" i="23"/>
  <c r="EC60" i="22"/>
  <c r="BM68" i="23"/>
  <c r="GP68" i="23"/>
  <c r="EB60" i="22"/>
  <c r="BL68" i="23"/>
  <c r="GO68" i="23"/>
  <c r="EA60" i="22"/>
  <c r="BK68" i="23"/>
  <c r="GN68" i="23"/>
  <c r="BA60" i="22"/>
  <c r="AL68" i="23"/>
  <c r="BG60" i="22"/>
  <c r="AX68" i="23"/>
  <c r="BJ68" i="23"/>
  <c r="DO59" i="22"/>
  <c r="DT59" i="22"/>
  <c r="EL60" i="22"/>
  <c r="CB68" i="23"/>
  <c r="GM68" i="23"/>
  <c r="BI68" i="23"/>
  <c r="DS59" i="22"/>
  <c r="DN59" i="22"/>
  <c r="EK60" i="22"/>
  <c r="CA68" i="23"/>
  <c r="AZ60" i="22"/>
  <c r="AK68" i="23"/>
  <c r="BF60" i="22"/>
  <c r="AW68" i="23"/>
  <c r="GL68" i="23"/>
  <c r="AY60" i="22"/>
  <c r="AJ68" i="23"/>
  <c r="BE60" i="22"/>
  <c r="AV68" i="23"/>
  <c r="BH68" i="23"/>
  <c r="EJ60" i="22"/>
  <c r="BZ68" i="23"/>
  <c r="GK68" i="23"/>
  <c r="BG68" i="23"/>
  <c r="EI60" i="22"/>
  <c r="BY68" i="23"/>
  <c r="AX60" i="22"/>
  <c r="AI68" i="23"/>
  <c r="BD60" i="22"/>
  <c r="AU68" i="23"/>
  <c r="GJ68" i="23"/>
  <c r="AW60" i="22"/>
  <c r="AH68" i="23"/>
  <c r="BC60" i="22"/>
  <c r="AT68" i="23"/>
  <c r="BF68" i="23"/>
  <c r="EH60" i="22"/>
  <c r="BX68" i="23"/>
  <c r="GI68" i="23"/>
  <c r="BE68" i="23"/>
  <c r="EG60" i="22"/>
  <c r="BW68" i="23"/>
  <c r="AV60" i="22"/>
  <c r="AG68" i="23"/>
  <c r="BB60" i="22"/>
  <c r="AS68" i="23"/>
  <c r="GH68" i="23"/>
  <c r="AF68" i="23"/>
  <c r="AR68" i="23"/>
  <c r="BD68" i="23"/>
  <c r="BV68" i="23"/>
  <c r="GG68" i="23"/>
  <c r="BC68" i="23"/>
  <c r="BU68" i="23"/>
  <c r="AE68" i="23"/>
  <c r="AQ68" i="23"/>
  <c r="GF68" i="23"/>
  <c r="AD68" i="23"/>
  <c r="AP68" i="23"/>
  <c r="BB68" i="23"/>
  <c r="BT68" i="23"/>
  <c r="GE68" i="23"/>
  <c r="BA68" i="23"/>
  <c r="BS68" i="23"/>
  <c r="AC68" i="23"/>
  <c r="AO68" i="23"/>
  <c r="GD68" i="23"/>
  <c r="AB68" i="23"/>
  <c r="AN68" i="23"/>
  <c r="AZ68" i="23"/>
  <c r="BR68" i="23"/>
  <c r="GC68" i="23"/>
  <c r="AY68" i="23"/>
  <c r="BQ68" i="23"/>
  <c r="AA68" i="23"/>
  <c r="AM68" i="23"/>
  <c r="GB68" i="23"/>
  <c r="AI60" i="22"/>
  <c r="N68" i="23"/>
  <c r="AO60" i="22"/>
  <c r="Z68" i="23"/>
  <c r="GA68" i="23"/>
  <c r="AH60" i="22"/>
  <c r="M68" i="23"/>
  <c r="AN60" i="22"/>
  <c r="Y68" i="23"/>
  <c r="FZ68" i="23"/>
  <c r="AG60" i="22"/>
  <c r="L68" i="23"/>
  <c r="AM60" i="22"/>
  <c r="X68" i="23"/>
  <c r="FY68" i="23"/>
  <c r="AF60" i="22"/>
  <c r="K68" i="23"/>
  <c r="AL60" i="22"/>
  <c r="W68" i="23"/>
  <c r="FX68" i="23"/>
  <c r="AE60" i="22"/>
  <c r="J68" i="23"/>
  <c r="AK60" i="22"/>
  <c r="V68" i="23"/>
  <c r="FW68" i="23"/>
  <c r="AD60" i="22"/>
  <c r="I68" i="23"/>
  <c r="AJ60" i="22"/>
  <c r="U68" i="23"/>
  <c r="FV68" i="23"/>
  <c r="H68" i="23"/>
  <c r="T68" i="23"/>
  <c r="FU68" i="23"/>
  <c r="G68" i="23"/>
  <c r="S68" i="23"/>
  <c r="FT68" i="23"/>
  <c r="F68" i="23"/>
  <c r="R68" i="23"/>
  <c r="FS68" i="23"/>
  <c r="E68" i="23"/>
  <c r="Q68" i="23"/>
  <c r="FR68" i="23"/>
  <c r="D68" i="23"/>
  <c r="P68" i="23"/>
  <c r="FQ68" i="23"/>
  <c r="C68" i="23"/>
  <c r="O68" i="23"/>
  <c r="FP68" i="23"/>
  <c r="F50" i="22"/>
  <c r="J50" i="22"/>
  <c r="CM50" i="22"/>
  <c r="CT50" i="22"/>
  <c r="CY50" i="22"/>
  <c r="FF50" i="22"/>
  <c r="FG50" i="22"/>
  <c r="FN50" i="22"/>
  <c r="FT50" i="22"/>
  <c r="GV59" i="22"/>
  <c r="DR67" i="23"/>
  <c r="IO67" i="23"/>
  <c r="FM50" i="22"/>
  <c r="FS50" i="22"/>
  <c r="GU59" i="22"/>
  <c r="DQ67" i="23"/>
  <c r="IN67" i="23"/>
  <c r="IM67" i="23"/>
  <c r="IL67" i="23"/>
  <c r="CX58" i="22"/>
  <c r="FC58" i="22"/>
  <c r="FX58" i="22"/>
  <c r="GR59" i="22"/>
  <c r="GT59" i="22"/>
  <c r="DN67" i="23"/>
  <c r="IK67" i="23"/>
  <c r="CW58" i="22"/>
  <c r="FB58" i="22"/>
  <c r="FV58" i="22"/>
  <c r="GQ59" i="22"/>
  <c r="GS59" i="22"/>
  <c r="DM67" i="23"/>
  <c r="IJ67" i="23"/>
  <c r="BS59" i="22"/>
  <c r="EU59" i="22"/>
  <c r="GH59" i="22"/>
  <c r="CN67" i="23"/>
  <c r="BY59" i="22"/>
  <c r="FA59" i="22"/>
  <c r="GN59" i="22"/>
  <c r="CZ67" i="23"/>
  <c r="DL67" i="23"/>
  <c r="HB59" i="22"/>
  <c r="ED67" i="23"/>
  <c r="II67" i="23"/>
  <c r="DK67" i="23"/>
  <c r="HA59" i="22"/>
  <c r="EC67" i="23"/>
  <c r="BR59" i="22"/>
  <c r="ET59" i="22"/>
  <c r="GG59" i="22"/>
  <c r="CM67" i="23"/>
  <c r="BX59" i="22"/>
  <c r="EZ59" i="22"/>
  <c r="GM59" i="22"/>
  <c r="CY67" i="23"/>
  <c r="IH67" i="23"/>
  <c r="BQ59" i="22"/>
  <c r="ES59" i="22"/>
  <c r="GF59" i="22"/>
  <c r="CL67" i="23"/>
  <c r="BW59" i="22"/>
  <c r="EY59" i="22"/>
  <c r="GL59" i="22"/>
  <c r="CX67" i="23"/>
  <c r="IG67" i="23"/>
  <c r="BP59" i="22"/>
  <c r="ER59" i="22"/>
  <c r="GE59" i="22"/>
  <c r="CK67" i="23"/>
  <c r="BV59" i="22"/>
  <c r="EX59" i="22"/>
  <c r="GK59" i="22"/>
  <c r="CW67" i="23"/>
  <c r="IF67" i="23"/>
  <c r="BO59" i="22"/>
  <c r="EQ59" i="22"/>
  <c r="GD59" i="22"/>
  <c r="CJ67" i="23"/>
  <c r="BU59" i="22"/>
  <c r="EW59" i="22"/>
  <c r="GJ59" i="22"/>
  <c r="CV67" i="23"/>
  <c r="DH67" i="23"/>
  <c r="DB59" i="22"/>
  <c r="FE59" i="22"/>
  <c r="GB59" i="22"/>
  <c r="GX59" i="22"/>
  <c r="GZ59" i="22"/>
  <c r="DZ67" i="23"/>
  <c r="IE67" i="23"/>
  <c r="DG67" i="23"/>
  <c r="DA59" i="22"/>
  <c r="FD59" i="22"/>
  <c r="FZ59" i="22"/>
  <c r="GW59" i="22"/>
  <c r="GY59" i="22"/>
  <c r="DY67" i="23"/>
  <c r="BN59" i="22"/>
  <c r="EP59" i="22"/>
  <c r="GC59" i="22"/>
  <c r="CI67" i="23"/>
  <c r="BT59" i="22"/>
  <c r="EV59" i="22"/>
  <c r="GI59" i="22"/>
  <c r="CU67" i="23"/>
  <c r="ID67" i="23"/>
  <c r="CH67" i="23"/>
  <c r="CT67" i="23"/>
  <c r="DF67" i="23"/>
  <c r="DX67" i="23"/>
  <c r="IC67" i="23"/>
  <c r="DE67" i="23"/>
  <c r="DW67" i="23"/>
  <c r="CG67" i="23"/>
  <c r="CS67" i="23"/>
  <c r="IB67" i="23"/>
  <c r="CF67" i="23"/>
  <c r="CR67" i="23"/>
  <c r="IA67" i="23"/>
  <c r="CE67" i="23"/>
  <c r="CQ67" i="23"/>
  <c r="HZ67" i="23"/>
  <c r="CD67" i="23"/>
  <c r="CP67" i="23"/>
  <c r="DB67" i="23"/>
  <c r="DT67" i="23"/>
  <c r="HY67" i="23"/>
  <c r="DA67" i="23"/>
  <c r="DS67" i="23"/>
  <c r="CC67" i="23"/>
  <c r="CO67" i="23"/>
  <c r="HX67" i="23"/>
  <c r="AC59" i="22"/>
  <c r="CJ59" i="22"/>
  <c r="CK59" i="22"/>
  <c r="CI56" i="21"/>
  <c r="FH67" i="23"/>
  <c r="HW67" i="23"/>
  <c r="FG67" i="23"/>
  <c r="HV67" i="23"/>
  <c r="AB59" i="22"/>
  <c r="CH59" i="22"/>
  <c r="CI59" i="22"/>
  <c r="FF67" i="23"/>
  <c r="HU67" i="23"/>
  <c r="FE67" i="23"/>
  <c r="HT67" i="23"/>
  <c r="AA59" i="22"/>
  <c r="CF59" i="22"/>
  <c r="CG59" i="22"/>
  <c r="FD67" i="23"/>
  <c r="HS67" i="23"/>
  <c r="FC67" i="23"/>
  <c r="HR67" i="23"/>
  <c r="CH56" i="21"/>
  <c r="FB67" i="23"/>
  <c r="HQ67" i="23"/>
  <c r="FA67" i="23"/>
  <c r="HP67" i="23"/>
  <c r="EZ67" i="23"/>
  <c r="HO67" i="23"/>
  <c r="EY67" i="23"/>
  <c r="HN67" i="23"/>
  <c r="EX67" i="23"/>
  <c r="HM67" i="23"/>
  <c r="EW67" i="23"/>
  <c r="HL67" i="23"/>
  <c r="CG56" i="21"/>
  <c r="EV67" i="23"/>
  <c r="HK67" i="23"/>
  <c r="EU67" i="23"/>
  <c r="HJ67" i="23"/>
  <c r="ET67" i="23"/>
  <c r="HI67" i="23"/>
  <c r="ES67" i="23"/>
  <c r="HH67" i="23"/>
  <c r="ER67" i="23"/>
  <c r="HG67" i="23"/>
  <c r="EQ67" i="23"/>
  <c r="HF67" i="23"/>
  <c r="CF56" i="21"/>
  <c r="EP67" i="23"/>
  <c r="HE67" i="23"/>
  <c r="EO67" i="23"/>
  <c r="HD67" i="23"/>
  <c r="EN67" i="23"/>
  <c r="HC67" i="23"/>
  <c r="EM67" i="23"/>
  <c r="HB67" i="23"/>
  <c r="EL67" i="23"/>
  <c r="HA67" i="23"/>
  <c r="EK67" i="23"/>
  <c r="GZ67" i="23"/>
  <c r="CE56" i="21"/>
  <c r="EJ67" i="23"/>
  <c r="GY67" i="23"/>
  <c r="EI67" i="23"/>
  <c r="GX67" i="23"/>
  <c r="EH67" i="23"/>
  <c r="GW67" i="23"/>
  <c r="EG67" i="23"/>
  <c r="GV67" i="23"/>
  <c r="EF67" i="23"/>
  <c r="GU67" i="23"/>
  <c r="EE67" i="23"/>
  <c r="GT67" i="23"/>
  <c r="DM58" i="22"/>
  <c r="EF59" i="22"/>
  <c r="BP67" i="23"/>
  <c r="GS67" i="23"/>
  <c r="DQ58" i="22"/>
  <c r="DL58" i="22"/>
  <c r="EE59" i="22"/>
  <c r="BO67" i="23"/>
  <c r="GR67" i="23"/>
  <c r="ED59" i="22"/>
  <c r="BN67" i="23"/>
  <c r="GQ67" i="23"/>
  <c r="EC59" i="22"/>
  <c r="BM67" i="23"/>
  <c r="GP67" i="23"/>
  <c r="EB59" i="22"/>
  <c r="BL67" i="23"/>
  <c r="GO67" i="23"/>
  <c r="EA59" i="22"/>
  <c r="BK67" i="23"/>
  <c r="GN67" i="23"/>
  <c r="BA59" i="22"/>
  <c r="AL67" i="23"/>
  <c r="BG59" i="22"/>
  <c r="AX67" i="23"/>
  <c r="BJ67" i="23"/>
  <c r="DO58" i="22"/>
  <c r="DT58" i="22"/>
  <c r="EL59" i="22"/>
  <c r="CB67" i="23"/>
  <c r="GM67" i="23"/>
  <c r="BI67" i="23"/>
  <c r="DS58" i="22"/>
  <c r="DN58" i="22"/>
  <c r="EK59" i="22"/>
  <c r="CA67" i="23"/>
  <c r="AZ59" i="22"/>
  <c r="AK67" i="23"/>
  <c r="BF59" i="22"/>
  <c r="AW67" i="23"/>
  <c r="GL67" i="23"/>
  <c r="AY59" i="22"/>
  <c r="AJ67" i="23"/>
  <c r="BE59" i="22"/>
  <c r="AV67" i="23"/>
  <c r="BH67" i="23"/>
  <c r="EJ59" i="22"/>
  <c r="BZ67" i="23"/>
  <c r="GK67" i="23"/>
  <c r="BG67" i="23"/>
  <c r="EI59" i="22"/>
  <c r="BY67" i="23"/>
  <c r="AX59" i="22"/>
  <c r="AI67" i="23"/>
  <c r="BD59" i="22"/>
  <c r="AU67" i="23"/>
  <c r="GJ67" i="23"/>
  <c r="AW59" i="22"/>
  <c r="AH67" i="23"/>
  <c r="BC59" i="22"/>
  <c r="AT67" i="23"/>
  <c r="BF67" i="23"/>
  <c r="EH59" i="22"/>
  <c r="BX67" i="23"/>
  <c r="GI67" i="23"/>
  <c r="BE67" i="23"/>
  <c r="EG59" i="22"/>
  <c r="BW67" i="23"/>
  <c r="AV59" i="22"/>
  <c r="AG67" i="23"/>
  <c r="BB59" i="22"/>
  <c r="AS67" i="23"/>
  <c r="GH67" i="23"/>
  <c r="AF67" i="23"/>
  <c r="AR67" i="23"/>
  <c r="BD67" i="23"/>
  <c r="BV67" i="23"/>
  <c r="GG67" i="23"/>
  <c r="BC67" i="23"/>
  <c r="BU67" i="23"/>
  <c r="AE67" i="23"/>
  <c r="AQ67" i="23"/>
  <c r="GF67" i="23"/>
  <c r="AD67" i="23"/>
  <c r="AP67" i="23"/>
  <c r="BB67" i="23"/>
  <c r="BT67" i="23"/>
  <c r="GE67" i="23"/>
  <c r="BA67" i="23"/>
  <c r="BS67" i="23"/>
  <c r="AC67" i="23"/>
  <c r="AO67" i="23"/>
  <c r="GD67" i="23"/>
  <c r="AB67" i="23"/>
  <c r="AN67" i="23"/>
  <c r="AZ67" i="23"/>
  <c r="BR67" i="23"/>
  <c r="GC67" i="23"/>
  <c r="AY67" i="23"/>
  <c r="BQ67" i="23"/>
  <c r="AA67" i="23"/>
  <c r="AM67" i="23"/>
  <c r="GB67" i="23"/>
  <c r="AI59" i="22"/>
  <c r="N67" i="23"/>
  <c r="AO59" i="22"/>
  <c r="Z67" i="23"/>
  <c r="GA67" i="23"/>
  <c r="AH59" i="22"/>
  <c r="M67" i="23"/>
  <c r="AN59" i="22"/>
  <c r="Y67" i="23"/>
  <c r="FZ67" i="23"/>
  <c r="AG59" i="22"/>
  <c r="L67" i="23"/>
  <c r="AM59" i="22"/>
  <c r="X67" i="23"/>
  <c r="FY67" i="23"/>
  <c r="AF59" i="22"/>
  <c r="K67" i="23"/>
  <c r="AL59" i="22"/>
  <c r="W67" i="23"/>
  <c r="FX67" i="23"/>
  <c r="AE59" i="22"/>
  <c r="J67" i="23"/>
  <c r="AK59" i="22"/>
  <c r="V67" i="23"/>
  <c r="FW67" i="23"/>
  <c r="AD59" i="22"/>
  <c r="I67" i="23"/>
  <c r="AJ59" i="22"/>
  <c r="U67" i="23"/>
  <c r="FV67" i="23"/>
  <c r="H67" i="23"/>
  <c r="T67" i="23"/>
  <c r="FU67" i="23"/>
  <c r="G67" i="23"/>
  <c r="S67" i="23"/>
  <c r="FT67" i="23"/>
  <c r="F67" i="23"/>
  <c r="R67" i="23"/>
  <c r="FS67" i="23"/>
  <c r="E67" i="23"/>
  <c r="Q67" i="23"/>
  <c r="FR67" i="23"/>
  <c r="D67" i="23"/>
  <c r="P67" i="23"/>
  <c r="FQ67" i="23"/>
  <c r="C67" i="23"/>
  <c r="O67" i="23"/>
  <c r="FP67" i="23"/>
  <c r="F49" i="22"/>
  <c r="J49" i="22"/>
  <c r="CM49" i="22"/>
  <c r="CT49" i="22"/>
  <c r="CY49" i="22"/>
  <c r="FF49" i="22"/>
  <c r="FG49" i="22"/>
  <c r="FN49" i="22"/>
  <c r="FT49" i="22"/>
  <c r="GV58" i="22"/>
  <c r="DR66" i="23"/>
  <c r="IO66" i="23"/>
  <c r="FM49" i="22"/>
  <c r="FS49" i="22"/>
  <c r="GU58" i="22"/>
  <c r="DQ66" i="23"/>
  <c r="IN66" i="23"/>
  <c r="IM66" i="23"/>
  <c r="IL66" i="23"/>
  <c r="CW57" i="22"/>
  <c r="FB57" i="22"/>
  <c r="FC57" i="22"/>
  <c r="FX57" i="22"/>
  <c r="GR58" i="22"/>
  <c r="GT58" i="22"/>
  <c r="DN66" i="23"/>
  <c r="IK66" i="23"/>
  <c r="FV57" i="22"/>
  <c r="GQ58" i="22"/>
  <c r="GS58" i="22"/>
  <c r="DM66" i="23"/>
  <c r="IJ66" i="23"/>
  <c r="BS58" i="22"/>
  <c r="EU58" i="22"/>
  <c r="GH58" i="22"/>
  <c r="CN66" i="23"/>
  <c r="BY58" i="22"/>
  <c r="FA58" i="22"/>
  <c r="GN58" i="22"/>
  <c r="CZ66" i="23"/>
  <c r="DL66" i="23"/>
  <c r="HB58" i="22"/>
  <c r="ED66" i="23"/>
  <c r="II66" i="23"/>
  <c r="DK66" i="23"/>
  <c r="HA58" i="22"/>
  <c r="EC66" i="23"/>
  <c r="BR58" i="22"/>
  <c r="ET58" i="22"/>
  <c r="GG58" i="22"/>
  <c r="CM66" i="23"/>
  <c r="BX58" i="22"/>
  <c r="EZ58" i="22"/>
  <c r="GM58" i="22"/>
  <c r="CY66" i="23"/>
  <c r="IH66" i="23"/>
  <c r="BQ58" i="22"/>
  <c r="ES58" i="22"/>
  <c r="GF58" i="22"/>
  <c r="CL66" i="23"/>
  <c r="BW58" i="22"/>
  <c r="EY58" i="22"/>
  <c r="GL58" i="22"/>
  <c r="CX66" i="23"/>
  <c r="IG66" i="23"/>
  <c r="BP58" i="22"/>
  <c r="ER58" i="22"/>
  <c r="GE58" i="22"/>
  <c r="CK66" i="23"/>
  <c r="BV58" i="22"/>
  <c r="EX58" i="22"/>
  <c r="GK58" i="22"/>
  <c r="CW66" i="23"/>
  <c r="IF66" i="23"/>
  <c r="BO58" i="22"/>
  <c r="EQ58" i="22"/>
  <c r="GD58" i="22"/>
  <c r="CJ66" i="23"/>
  <c r="BU58" i="22"/>
  <c r="EW58" i="22"/>
  <c r="GJ58" i="22"/>
  <c r="CV66" i="23"/>
  <c r="DH66" i="23"/>
  <c r="DB58" i="22"/>
  <c r="FE58" i="22"/>
  <c r="GB58" i="22"/>
  <c r="GX58" i="22"/>
  <c r="GZ58" i="22"/>
  <c r="DZ66" i="23"/>
  <c r="IE66" i="23"/>
  <c r="DG66" i="23"/>
  <c r="DA58" i="22"/>
  <c r="FD58" i="22"/>
  <c r="FZ58" i="22"/>
  <c r="GW58" i="22"/>
  <c r="GY58" i="22"/>
  <c r="DY66" i="23"/>
  <c r="BN58" i="22"/>
  <c r="EP58" i="22"/>
  <c r="GC58" i="22"/>
  <c r="CI66" i="23"/>
  <c r="BT58" i="22"/>
  <c r="EV58" i="22"/>
  <c r="GI58" i="22"/>
  <c r="CU66" i="23"/>
  <c r="ID66" i="23"/>
  <c r="CH66" i="23"/>
  <c r="CT66" i="23"/>
  <c r="DF66" i="23"/>
  <c r="DX66" i="23"/>
  <c r="IC66" i="23"/>
  <c r="DE66" i="23"/>
  <c r="DW66" i="23"/>
  <c r="CG66" i="23"/>
  <c r="CS66" i="23"/>
  <c r="IB66" i="23"/>
  <c r="CF66" i="23"/>
  <c r="CR66" i="23"/>
  <c r="IA66" i="23"/>
  <c r="CE66" i="23"/>
  <c r="CQ66" i="23"/>
  <c r="HZ66" i="23"/>
  <c r="CD66" i="23"/>
  <c r="CP66" i="23"/>
  <c r="DB66" i="23"/>
  <c r="DT66" i="23"/>
  <c r="HY66" i="23"/>
  <c r="DA66" i="23"/>
  <c r="DS66" i="23"/>
  <c r="CC66" i="23"/>
  <c r="CO66" i="23"/>
  <c r="HX66" i="23"/>
  <c r="AC58" i="22"/>
  <c r="CJ58" i="22"/>
  <c r="CK58" i="22"/>
  <c r="CI55" i="21"/>
  <c r="FH66" i="23"/>
  <c r="HW66" i="23"/>
  <c r="FG66" i="23"/>
  <c r="HV66" i="23"/>
  <c r="AB58" i="22"/>
  <c r="CH58" i="22"/>
  <c r="CI58" i="22"/>
  <c r="FF66" i="23"/>
  <c r="HU66" i="23"/>
  <c r="FE66" i="23"/>
  <c r="HT66" i="23"/>
  <c r="AA58" i="22"/>
  <c r="CF58" i="22"/>
  <c r="CG58" i="22"/>
  <c r="FD66" i="23"/>
  <c r="HS66" i="23"/>
  <c r="FC66" i="23"/>
  <c r="HR66" i="23"/>
  <c r="CH55" i="21"/>
  <c r="FB66" i="23"/>
  <c r="HQ66" i="23"/>
  <c r="FA66" i="23"/>
  <c r="HP66" i="23"/>
  <c r="EZ66" i="23"/>
  <c r="HO66" i="23"/>
  <c r="EY66" i="23"/>
  <c r="HN66" i="23"/>
  <c r="EX66" i="23"/>
  <c r="HM66" i="23"/>
  <c r="EW66" i="23"/>
  <c r="HL66" i="23"/>
  <c r="CG55" i="21"/>
  <c r="EV66" i="23"/>
  <c r="HK66" i="23"/>
  <c r="EU66" i="23"/>
  <c r="HJ66" i="23"/>
  <c r="ET66" i="23"/>
  <c r="HI66" i="23"/>
  <c r="ES66" i="23"/>
  <c r="HH66" i="23"/>
  <c r="ER66" i="23"/>
  <c r="HG66" i="23"/>
  <c r="EQ66" i="23"/>
  <c r="HF66" i="23"/>
  <c r="CF55" i="21"/>
  <c r="EP66" i="23"/>
  <c r="HE66" i="23"/>
  <c r="EO66" i="23"/>
  <c r="HD66" i="23"/>
  <c r="EN66" i="23"/>
  <c r="HC66" i="23"/>
  <c r="EM66" i="23"/>
  <c r="HB66" i="23"/>
  <c r="EL66" i="23"/>
  <c r="HA66" i="23"/>
  <c r="EK66" i="23"/>
  <c r="GZ66" i="23"/>
  <c r="CE55" i="21"/>
  <c r="EJ66" i="23"/>
  <c r="GY66" i="23"/>
  <c r="EI66" i="23"/>
  <c r="GX66" i="23"/>
  <c r="EH66" i="23"/>
  <c r="GW66" i="23"/>
  <c r="EG66" i="23"/>
  <c r="GV66" i="23"/>
  <c r="EF66" i="23"/>
  <c r="GU66" i="23"/>
  <c r="EE66" i="23"/>
  <c r="GT66" i="23"/>
  <c r="DR57" i="22"/>
  <c r="EF58" i="22"/>
  <c r="BP66" i="23"/>
  <c r="GS66" i="23"/>
  <c r="EE58" i="22"/>
  <c r="BO66" i="23"/>
  <c r="GR66" i="23"/>
  <c r="ED58" i="22"/>
  <c r="BN66" i="23"/>
  <c r="GQ66" i="23"/>
  <c r="EC58" i="22"/>
  <c r="BM66" i="23"/>
  <c r="GP66" i="23"/>
  <c r="EB58" i="22"/>
  <c r="BL66" i="23"/>
  <c r="GO66" i="23"/>
  <c r="EA58" i="22"/>
  <c r="BK66" i="23"/>
  <c r="GN66" i="23"/>
  <c r="BA58" i="22"/>
  <c r="AL66" i="23"/>
  <c r="BG58" i="22"/>
  <c r="AX66" i="23"/>
  <c r="BJ66" i="23"/>
  <c r="DO57" i="22"/>
  <c r="DT57" i="22"/>
  <c r="EL58" i="22"/>
  <c r="CB66" i="23"/>
  <c r="GM66" i="23"/>
  <c r="BI66" i="23"/>
  <c r="DS57" i="22"/>
  <c r="DN57" i="22"/>
  <c r="EK58" i="22"/>
  <c r="CA66" i="23"/>
  <c r="AZ58" i="22"/>
  <c r="AK66" i="23"/>
  <c r="BF58" i="22"/>
  <c r="AW66" i="23"/>
  <c r="GL66" i="23"/>
  <c r="AY58" i="22"/>
  <c r="AJ66" i="23"/>
  <c r="BE58" i="22"/>
  <c r="AV66" i="23"/>
  <c r="BH66" i="23"/>
  <c r="EJ58" i="22"/>
  <c r="BZ66" i="23"/>
  <c r="GK66" i="23"/>
  <c r="BG66" i="23"/>
  <c r="EI58" i="22"/>
  <c r="BY66" i="23"/>
  <c r="AX58" i="22"/>
  <c r="AI66" i="23"/>
  <c r="BD58" i="22"/>
  <c r="AU66" i="23"/>
  <c r="GJ66" i="23"/>
  <c r="AW58" i="22"/>
  <c r="AH66" i="23"/>
  <c r="BC58" i="22"/>
  <c r="AT66" i="23"/>
  <c r="BF66" i="23"/>
  <c r="EH58" i="22"/>
  <c r="BX66" i="23"/>
  <c r="GI66" i="23"/>
  <c r="BE66" i="23"/>
  <c r="EG58" i="22"/>
  <c r="BW66" i="23"/>
  <c r="AV58" i="22"/>
  <c r="AG66" i="23"/>
  <c r="BB58" i="22"/>
  <c r="AS66" i="23"/>
  <c r="GH66" i="23"/>
  <c r="AF66" i="23"/>
  <c r="AR66" i="23"/>
  <c r="BD66" i="23"/>
  <c r="BV66" i="23"/>
  <c r="GG66" i="23"/>
  <c r="BC66" i="23"/>
  <c r="BU66" i="23"/>
  <c r="AE66" i="23"/>
  <c r="AQ66" i="23"/>
  <c r="GF66" i="23"/>
  <c r="AD66" i="23"/>
  <c r="AP66" i="23"/>
  <c r="BB66" i="23"/>
  <c r="BT66" i="23"/>
  <c r="GE66" i="23"/>
  <c r="BA66" i="23"/>
  <c r="BS66" i="23"/>
  <c r="AC66" i="23"/>
  <c r="AO66" i="23"/>
  <c r="GD66" i="23"/>
  <c r="AB66" i="23"/>
  <c r="AN66" i="23"/>
  <c r="AZ66" i="23"/>
  <c r="BR66" i="23"/>
  <c r="GC66" i="23"/>
  <c r="AY66" i="23"/>
  <c r="BQ66" i="23"/>
  <c r="AA66" i="23"/>
  <c r="AM66" i="23"/>
  <c r="GB66" i="23"/>
  <c r="AI58" i="22"/>
  <c r="N66" i="23"/>
  <c r="AO58" i="22"/>
  <c r="Z66" i="23"/>
  <c r="GA66" i="23"/>
  <c r="AH58" i="22"/>
  <c r="M66" i="23"/>
  <c r="AN58" i="22"/>
  <c r="Y66" i="23"/>
  <c r="FZ66" i="23"/>
  <c r="AG58" i="22"/>
  <c r="L66" i="23"/>
  <c r="AM58" i="22"/>
  <c r="X66" i="23"/>
  <c r="FY66" i="23"/>
  <c r="AF58" i="22"/>
  <c r="K66" i="23"/>
  <c r="AL58" i="22"/>
  <c r="W66" i="23"/>
  <c r="FX66" i="23"/>
  <c r="AE58" i="22"/>
  <c r="J66" i="23"/>
  <c r="AK58" i="22"/>
  <c r="V66" i="23"/>
  <c r="FW66" i="23"/>
  <c r="AD58" i="22"/>
  <c r="I66" i="23"/>
  <c r="AJ58" i="22"/>
  <c r="U66" i="23"/>
  <c r="FV66" i="23"/>
  <c r="H66" i="23"/>
  <c r="T66" i="23"/>
  <c r="FU66" i="23"/>
  <c r="G66" i="23"/>
  <c r="S66" i="23"/>
  <c r="FT66" i="23"/>
  <c r="F66" i="23"/>
  <c r="R66" i="23"/>
  <c r="FS66" i="23"/>
  <c r="E66" i="23"/>
  <c r="Q66" i="23"/>
  <c r="FR66" i="23"/>
  <c r="D66" i="23"/>
  <c r="P66" i="23"/>
  <c r="FQ66" i="23"/>
  <c r="C66" i="23"/>
  <c r="O66" i="23"/>
  <c r="FP66" i="23"/>
  <c r="F48" i="22"/>
  <c r="J48" i="22"/>
  <c r="CM48" i="22"/>
  <c r="CT48" i="22"/>
  <c r="CY48" i="22"/>
  <c r="FF48" i="22"/>
  <c r="FG48" i="22"/>
  <c r="FN48" i="22"/>
  <c r="FT48" i="22"/>
  <c r="GV57" i="22"/>
  <c r="DR65" i="23"/>
  <c r="IO65" i="23"/>
  <c r="FM48" i="22"/>
  <c r="FS48" i="22"/>
  <c r="GU57" i="22"/>
  <c r="DQ65" i="23"/>
  <c r="IN65" i="23"/>
  <c r="IM65" i="23"/>
  <c r="IL65" i="23"/>
  <c r="CW56" i="22"/>
  <c r="FB56" i="22"/>
  <c r="FC56" i="22"/>
  <c r="FX56" i="22"/>
  <c r="GR57" i="22"/>
  <c r="GT57" i="22"/>
  <c r="DN65" i="23"/>
  <c r="IK65" i="23"/>
  <c r="FV56" i="22"/>
  <c r="GQ57" i="22"/>
  <c r="GS57" i="22"/>
  <c r="DM65" i="23"/>
  <c r="IJ65" i="23"/>
  <c r="BR57" i="22"/>
  <c r="ET57" i="22"/>
  <c r="GH57" i="22"/>
  <c r="CN65" i="23"/>
  <c r="BY57" i="22"/>
  <c r="FA57" i="22"/>
  <c r="GN57" i="22"/>
  <c r="CZ65" i="23"/>
  <c r="DL65" i="23"/>
  <c r="HB57" i="22"/>
  <c r="ED65" i="23"/>
  <c r="II65" i="23"/>
  <c r="DK65" i="23"/>
  <c r="HA57" i="22"/>
  <c r="EC65" i="23"/>
  <c r="GG57" i="22"/>
  <c r="CM65" i="23"/>
  <c r="BX57" i="22"/>
  <c r="EZ57" i="22"/>
  <c r="GM57" i="22"/>
  <c r="CY65" i="23"/>
  <c r="IH65" i="23"/>
  <c r="BP57" i="22"/>
  <c r="ER57" i="22"/>
  <c r="GE57" i="22"/>
  <c r="GF57" i="22"/>
  <c r="CL65" i="23"/>
  <c r="BW57" i="22"/>
  <c r="EY57" i="22"/>
  <c r="GL57" i="22"/>
  <c r="CX65" i="23"/>
  <c r="IG65" i="23"/>
  <c r="CK65" i="23"/>
  <c r="BV57" i="22"/>
  <c r="EX57" i="22"/>
  <c r="GK57" i="22"/>
  <c r="CW65" i="23"/>
  <c r="IF65" i="23"/>
  <c r="BN57" i="22"/>
  <c r="EP57" i="22"/>
  <c r="GC57" i="22"/>
  <c r="GD57" i="22"/>
  <c r="CJ65" i="23"/>
  <c r="BU57" i="22"/>
  <c r="EW57" i="22"/>
  <c r="GJ57" i="22"/>
  <c r="CV65" i="23"/>
  <c r="DH65" i="23"/>
  <c r="DB57" i="22"/>
  <c r="FE57" i="22"/>
  <c r="GB57" i="22"/>
  <c r="GX57" i="22"/>
  <c r="GZ57" i="22"/>
  <c r="DZ65" i="23"/>
  <c r="IE65" i="23"/>
  <c r="DG65" i="23"/>
  <c r="DA57" i="22"/>
  <c r="FD57" i="22"/>
  <c r="FZ57" i="22"/>
  <c r="GW57" i="22"/>
  <c r="GY57" i="22"/>
  <c r="DY65" i="23"/>
  <c r="CI65" i="23"/>
  <c r="BT57" i="22"/>
  <c r="EV57" i="22"/>
  <c r="GI57" i="22"/>
  <c r="CU65" i="23"/>
  <c r="ID65" i="23"/>
  <c r="CH65" i="23"/>
  <c r="CT65" i="23"/>
  <c r="DF65" i="23"/>
  <c r="DX65" i="23"/>
  <c r="IC65" i="23"/>
  <c r="DE65" i="23"/>
  <c r="DW65" i="23"/>
  <c r="CG65" i="23"/>
  <c r="CS65" i="23"/>
  <c r="IB65" i="23"/>
  <c r="CF65" i="23"/>
  <c r="CR65" i="23"/>
  <c r="IA65" i="23"/>
  <c r="CE65" i="23"/>
  <c r="CQ65" i="23"/>
  <c r="HZ65" i="23"/>
  <c r="CD65" i="23"/>
  <c r="CP65" i="23"/>
  <c r="DB65" i="23"/>
  <c r="DT65" i="23"/>
  <c r="HY65" i="23"/>
  <c r="DA65" i="23"/>
  <c r="DS65" i="23"/>
  <c r="CC65" i="23"/>
  <c r="CO65" i="23"/>
  <c r="HX65" i="23"/>
  <c r="AC57" i="22"/>
  <c r="CJ57" i="22"/>
  <c r="CK57" i="22"/>
  <c r="CI54" i="21"/>
  <c r="FH65" i="23"/>
  <c r="HW65" i="23"/>
  <c r="FG65" i="23"/>
  <c r="HV65" i="23"/>
  <c r="AB57" i="22"/>
  <c r="CH57" i="22"/>
  <c r="CI57" i="22"/>
  <c r="FF65" i="23"/>
  <c r="HU65" i="23"/>
  <c r="FE65" i="23"/>
  <c r="HT65" i="23"/>
  <c r="AA57" i="22"/>
  <c r="CF57" i="22"/>
  <c r="CG57" i="22"/>
  <c r="FD65" i="23"/>
  <c r="HS65" i="23"/>
  <c r="FC65" i="23"/>
  <c r="HR65" i="23"/>
  <c r="CH54" i="21"/>
  <c r="FB65" i="23"/>
  <c r="HQ65" i="23"/>
  <c r="FA65" i="23"/>
  <c r="HP65" i="23"/>
  <c r="EZ65" i="23"/>
  <c r="HO65" i="23"/>
  <c r="EY65" i="23"/>
  <c r="HN65" i="23"/>
  <c r="EX65" i="23"/>
  <c r="HM65" i="23"/>
  <c r="EW65" i="23"/>
  <c r="HL65" i="23"/>
  <c r="CG54" i="21"/>
  <c r="EV65" i="23"/>
  <c r="HK65" i="23"/>
  <c r="EU65" i="23"/>
  <c r="HJ65" i="23"/>
  <c r="ET65" i="23"/>
  <c r="HI65" i="23"/>
  <c r="ES65" i="23"/>
  <c r="HH65" i="23"/>
  <c r="ER65" i="23"/>
  <c r="HG65" i="23"/>
  <c r="EQ65" i="23"/>
  <c r="HF65" i="23"/>
  <c r="CF54" i="21"/>
  <c r="EP65" i="23"/>
  <c r="HE65" i="23"/>
  <c r="EO65" i="23"/>
  <c r="HD65" i="23"/>
  <c r="EN65" i="23"/>
  <c r="HC65" i="23"/>
  <c r="EM65" i="23"/>
  <c r="HB65" i="23"/>
  <c r="EL65" i="23"/>
  <c r="HA65" i="23"/>
  <c r="EK65" i="23"/>
  <c r="GZ65" i="23"/>
  <c r="CE54" i="21"/>
  <c r="EJ65" i="23"/>
  <c r="GY65" i="23"/>
  <c r="EI65" i="23"/>
  <c r="GX65" i="23"/>
  <c r="EH65" i="23"/>
  <c r="GW65" i="23"/>
  <c r="EG65" i="23"/>
  <c r="GV65" i="23"/>
  <c r="EF65" i="23"/>
  <c r="GU65" i="23"/>
  <c r="EE65" i="23"/>
  <c r="GT65" i="23"/>
  <c r="DR56" i="22"/>
  <c r="EF57" i="22"/>
  <c r="BP65" i="23"/>
  <c r="GS65" i="23"/>
  <c r="DQ56" i="22"/>
  <c r="EE57" i="22"/>
  <c r="BO65" i="23"/>
  <c r="GR65" i="23"/>
  <c r="ED57" i="22"/>
  <c r="BN65" i="23"/>
  <c r="GQ65" i="23"/>
  <c r="EC57" i="22"/>
  <c r="BM65" i="23"/>
  <c r="GP65" i="23"/>
  <c r="EB57" i="22"/>
  <c r="BL65" i="23"/>
  <c r="GO65" i="23"/>
  <c r="EA57" i="22"/>
  <c r="BK65" i="23"/>
  <c r="GN65" i="23"/>
  <c r="AZ57" i="22"/>
  <c r="BA57" i="22"/>
  <c r="AL65" i="23"/>
  <c r="BG57" i="22"/>
  <c r="AX65" i="23"/>
  <c r="BJ65" i="23"/>
  <c r="EL57" i="22"/>
  <c r="CB65" i="23"/>
  <c r="GM65" i="23"/>
  <c r="BI65" i="23"/>
  <c r="EK57" i="22"/>
  <c r="CA65" i="23"/>
  <c r="AK65" i="23"/>
  <c r="BF57" i="22"/>
  <c r="AW65" i="23"/>
  <c r="GL65" i="23"/>
  <c r="AX57" i="22"/>
  <c r="AY57" i="22"/>
  <c r="AJ65" i="23"/>
  <c r="S141" i="22"/>
  <c r="BE57" i="22"/>
  <c r="AV65" i="23"/>
  <c r="BH65" i="23"/>
  <c r="EJ57" i="22"/>
  <c r="BZ65" i="23"/>
  <c r="GK65" i="23"/>
  <c r="BG65" i="23"/>
  <c r="EI57" i="22"/>
  <c r="BY65" i="23"/>
  <c r="AI65" i="23"/>
  <c r="BD57" i="22"/>
  <c r="AU65" i="23"/>
  <c r="GJ65" i="23"/>
  <c r="AV57" i="22"/>
  <c r="AW57" i="22"/>
  <c r="AH65" i="23"/>
  <c r="BC57" i="22"/>
  <c r="AT65" i="23"/>
  <c r="BF65" i="23"/>
  <c r="EH57" i="22"/>
  <c r="BX65" i="23"/>
  <c r="GI65" i="23"/>
  <c r="BE65" i="23"/>
  <c r="EG57" i="22"/>
  <c r="BW65" i="23"/>
  <c r="AG65" i="23"/>
  <c r="BB57" i="22"/>
  <c r="AS65" i="23"/>
  <c r="GH65" i="23"/>
  <c r="AF65" i="23"/>
  <c r="AR65" i="23"/>
  <c r="BD65" i="23"/>
  <c r="BV65" i="23"/>
  <c r="GG65" i="23"/>
  <c r="BC65" i="23"/>
  <c r="BU65" i="23"/>
  <c r="AE65" i="23"/>
  <c r="AQ65" i="23"/>
  <c r="GF65" i="23"/>
  <c r="AD65" i="23"/>
  <c r="AP65" i="23"/>
  <c r="BB65" i="23"/>
  <c r="BT65" i="23"/>
  <c r="GE65" i="23"/>
  <c r="BA65" i="23"/>
  <c r="BS65" i="23"/>
  <c r="AC65" i="23"/>
  <c r="AO65" i="23"/>
  <c r="GD65" i="23"/>
  <c r="AB65" i="23"/>
  <c r="AN65" i="23"/>
  <c r="AZ65" i="23"/>
  <c r="BR65" i="23"/>
  <c r="GC65" i="23"/>
  <c r="AY65" i="23"/>
  <c r="BQ65" i="23"/>
  <c r="AA65" i="23"/>
  <c r="AM65" i="23"/>
  <c r="GB65" i="23"/>
  <c r="AH57" i="22"/>
  <c r="AI57" i="22"/>
  <c r="N65" i="23"/>
  <c r="AO57" i="22"/>
  <c r="Z65" i="23"/>
  <c r="GA65" i="23"/>
  <c r="M65" i="23"/>
  <c r="AN57" i="22"/>
  <c r="Y65" i="23"/>
  <c r="FZ65" i="23"/>
  <c r="AF57" i="22"/>
  <c r="AG57" i="22"/>
  <c r="L65" i="23"/>
  <c r="AM57" i="22"/>
  <c r="X65" i="23"/>
  <c r="FY65" i="23"/>
  <c r="K65" i="23"/>
  <c r="AL57" i="22"/>
  <c r="W65" i="23"/>
  <c r="FX65" i="23"/>
  <c r="AD57" i="22"/>
  <c r="AE57" i="22"/>
  <c r="J65" i="23"/>
  <c r="AK57" i="22"/>
  <c r="V65" i="23"/>
  <c r="FW65" i="23"/>
  <c r="I65" i="23"/>
  <c r="AJ57" i="22"/>
  <c r="U65" i="23"/>
  <c r="FV65" i="23"/>
  <c r="H65" i="23"/>
  <c r="T65" i="23"/>
  <c r="FU65" i="23"/>
  <c r="G65" i="23"/>
  <c r="S65" i="23"/>
  <c r="FT65" i="23"/>
  <c r="F65" i="23"/>
  <c r="R65" i="23"/>
  <c r="FS65" i="23"/>
  <c r="E65" i="23"/>
  <c r="Q65" i="23"/>
  <c r="FR65" i="23"/>
  <c r="D65" i="23"/>
  <c r="P65" i="23"/>
  <c r="FQ65" i="23"/>
  <c r="C65" i="23"/>
  <c r="O65" i="23"/>
  <c r="FP65" i="23"/>
  <c r="F47" i="22"/>
  <c r="CM47" i="22"/>
  <c r="CT47" i="22"/>
  <c r="CY47" i="22"/>
  <c r="FF47" i="22"/>
  <c r="FG47" i="22"/>
  <c r="FN47" i="22"/>
  <c r="FT47" i="22"/>
  <c r="GV56" i="22"/>
  <c r="DR64" i="23"/>
  <c r="IO64" i="23"/>
  <c r="FM47" i="22"/>
  <c r="FS47" i="22"/>
  <c r="GU56" i="22"/>
  <c r="DQ64" i="23"/>
  <c r="IN64" i="23"/>
  <c r="IM64" i="23"/>
  <c r="IL64" i="23"/>
  <c r="CW55" i="22"/>
  <c r="FB55" i="22"/>
  <c r="FC55" i="22"/>
  <c r="FX55" i="22"/>
  <c r="GR56" i="22"/>
  <c r="GT56" i="22"/>
  <c r="DN64" i="23"/>
  <c r="IK64" i="23"/>
  <c r="FV55" i="22"/>
  <c r="GQ56" i="22"/>
  <c r="GS56" i="22"/>
  <c r="DM64" i="23"/>
  <c r="IJ64" i="23"/>
  <c r="BR56" i="22"/>
  <c r="ET56" i="22"/>
  <c r="GH56" i="22"/>
  <c r="CN64" i="23"/>
  <c r="CZ64" i="23"/>
  <c r="DL64" i="23"/>
  <c r="ED64" i="23"/>
  <c r="II64" i="23"/>
  <c r="DK64" i="23"/>
  <c r="GG56" i="22"/>
  <c r="CM64" i="23"/>
  <c r="CY64" i="23"/>
  <c r="EC64" i="23"/>
  <c r="IH64" i="23"/>
  <c r="BP56" i="22"/>
  <c r="ER56" i="22"/>
  <c r="GE56" i="22"/>
  <c r="GF56" i="22"/>
  <c r="CL64" i="23"/>
  <c r="CX64" i="23"/>
  <c r="IG64" i="23"/>
  <c r="CK64" i="23"/>
  <c r="CW64" i="23"/>
  <c r="IF64" i="23"/>
  <c r="BN56" i="22"/>
  <c r="EP56" i="22"/>
  <c r="GC56" i="22"/>
  <c r="GD56" i="22"/>
  <c r="CJ64" i="23"/>
  <c r="CV64" i="23"/>
  <c r="DH64" i="23"/>
  <c r="DZ64" i="23"/>
  <c r="IE64" i="23"/>
  <c r="DG64" i="23"/>
  <c r="CI64" i="23"/>
  <c r="CU64" i="23"/>
  <c r="DY64" i="23"/>
  <c r="ID64" i="23"/>
  <c r="CH64" i="23"/>
  <c r="CT64" i="23"/>
  <c r="DF64" i="23"/>
  <c r="DX64" i="23"/>
  <c r="IC64" i="23"/>
  <c r="DE64" i="23"/>
  <c r="CG64" i="23"/>
  <c r="CS64" i="23"/>
  <c r="DW64" i="23"/>
  <c r="IB64" i="23"/>
  <c r="CF64" i="23"/>
  <c r="CR64" i="23"/>
  <c r="IA64" i="23"/>
  <c r="CE64" i="23"/>
  <c r="CQ64" i="23"/>
  <c r="HZ64" i="23"/>
  <c r="CD64" i="23"/>
  <c r="CP64" i="23"/>
  <c r="DB64" i="23"/>
  <c r="DT64" i="23"/>
  <c r="HY64" i="23"/>
  <c r="DA64" i="23"/>
  <c r="CC64" i="23"/>
  <c r="CO64" i="23"/>
  <c r="DS64" i="23"/>
  <c r="HX64" i="23"/>
  <c r="AC56" i="22"/>
  <c r="CJ56" i="22"/>
  <c r="CK56" i="22"/>
  <c r="CI53" i="21"/>
  <c r="FH64" i="23"/>
  <c r="HW64" i="23"/>
  <c r="FG64" i="23"/>
  <c r="HV64" i="23"/>
  <c r="AB56" i="22"/>
  <c r="CH56" i="22"/>
  <c r="CI56" i="22"/>
  <c r="FF64" i="23"/>
  <c r="HU64" i="23"/>
  <c r="FE64" i="23"/>
  <c r="HT64" i="23"/>
  <c r="AA56" i="22"/>
  <c r="CF56" i="22"/>
  <c r="CG56" i="22"/>
  <c r="FD64" i="23"/>
  <c r="HS64" i="23"/>
  <c r="FC64" i="23"/>
  <c r="HR64" i="23"/>
  <c r="CH53" i="21"/>
  <c r="FB64" i="23"/>
  <c r="HQ64" i="23"/>
  <c r="FA64" i="23"/>
  <c r="HP64" i="23"/>
  <c r="EZ64" i="23"/>
  <c r="HO64" i="23"/>
  <c r="EY64" i="23"/>
  <c r="HN64" i="23"/>
  <c r="EX64" i="23"/>
  <c r="HM64" i="23"/>
  <c r="EW64" i="23"/>
  <c r="HL64" i="23"/>
  <c r="CG53" i="21"/>
  <c r="EV64" i="23"/>
  <c r="HK64" i="23"/>
  <c r="EU64" i="23"/>
  <c r="HJ64" i="23"/>
  <c r="ET64" i="23"/>
  <c r="HI64" i="23"/>
  <c r="ES64" i="23"/>
  <c r="HH64" i="23"/>
  <c r="ER64" i="23"/>
  <c r="HG64" i="23"/>
  <c r="EQ64" i="23"/>
  <c r="HF64" i="23"/>
  <c r="CF53" i="21"/>
  <c r="EP64" i="23"/>
  <c r="HE64" i="23"/>
  <c r="EO64" i="23"/>
  <c r="HD64" i="23"/>
  <c r="EN64" i="23"/>
  <c r="HC64" i="23"/>
  <c r="EM64" i="23"/>
  <c r="HB64" i="23"/>
  <c r="EL64" i="23"/>
  <c r="HA64" i="23"/>
  <c r="EK64" i="23"/>
  <c r="GZ64" i="23"/>
  <c r="CE53" i="21"/>
  <c r="EJ64" i="23"/>
  <c r="GY64" i="23"/>
  <c r="EI64" i="23"/>
  <c r="GX64" i="23"/>
  <c r="EH64" i="23"/>
  <c r="GW64" i="23"/>
  <c r="EG64" i="23"/>
  <c r="GV64" i="23"/>
  <c r="EF64" i="23"/>
  <c r="GU64" i="23"/>
  <c r="EE64" i="23"/>
  <c r="GT64" i="23"/>
  <c r="DL55" i="22"/>
  <c r="DR55" i="22"/>
  <c r="EF56" i="22"/>
  <c r="BP64" i="23"/>
  <c r="GS64" i="23"/>
  <c r="DQ55" i="22"/>
  <c r="EE56" i="22"/>
  <c r="BO64" i="23"/>
  <c r="GR64" i="23"/>
  <c r="ED56" i="22"/>
  <c r="BN64" i="23"/>
  <c r="GQ64" i="23"/>
  <c r="EC56" i="22"/>
  <c r="BM64" i="23"/>
  <c r="GP64" i="23"/>
  <c r="EB56" i="22"/>
  <c r="BL64" i="23"/>
  <c r="GO64" i="23"/>
  <c r="EA56" i="22"/>
  <c r="BK64" i="23"/>
  <c r="GN64" i="23"/>
  <c r="AZ56" i="22"/>
  <c r="BA56" i="22"/>
  <c r="AL64" i="23"/>
  <c r="AX64" i="23"/>
  <c r="BJ64" i="23"/>
  <c r="CB64" i="23"/>
  <c r="GM64" i="23"/>
  <c r="BI64" i="23"/>
  <c r="AK64" i="23"/>
  <c r="AW64" i="23"/>
  <c r="CA64" i="23"/>
  <c r="GL64" i="23"/>
  <c r="AX56" i="22"/>
  <c r="AY56" i="22"/>
  <c r="AJ64" i="23"/>
  <c r="AV64" i="23"/>
  <c r="BH64" i="23"/>
  <c r="BZ64" i="23"/>
  <c r="GK64" i="23"/>
  <c r="BG64" i="23"/>
  <c r="AI64" i="23"/>
  <c r="AU64" i="23"/>
  <c r="BY64" i="23"/>
  <c r="GJ64" i="23"/>
  <c r="AV56" i="22"/>
  <c r="AW56" i="22"/>
  <c r="AH64" i="23"/>
  <c r="AT64" i="23"/>
  <c r="BF64" i="23"/>
  <c r="BX64" i="23"/>
  <c r="GI64" i="23"/>
  <c r="BE64" i="23"/>
  <c r="AG64" i="23"/>
  <c r="AS64" i="23"/>
  <c r="BW64" i="23"/>
  <c r="GH64" i="23"/>
  <c r="AF64" i="23"/>
  <c r="AR64" i="23"/>
  <c r="BD64" i="23"/>
  <c r="BV64" i="23"/>
  <c r="GG64" i="23"/>
  <c r="BC64" i="23"/>
  <c r="AE64" i="23"/>
  <c r="AQ64" i="23"/>
  <c r="BU64" i="23"/>
  <c r="GF64" i="23"/>
  <c r="AD64" i="23"/>
  <c r="AP64" i="23"/>
  <c r="BB64" i="23"/>
  <c r="BT64" i="23"/>
  <c r="GE64" i="23"/>
  <c r="BA64" i="23"/>
  <c r="AC64" i="23"/>
  <c r="AO64" i="23"/>
  <c r="BS64" i="23"/>
  <c r="GD64" i="23"/>
  <c r="AB64" i="23"/>
  <c r="AN64" i="23"/>
  <c r="AZ64" i="23"/>
  <c r="BR64" i="23"/>
  <c r="GC64" i="23"/>
  <c r="AY64" i="23"/>
  <c r="AA64" i="23"/>
  <c r="AM64" i="23"/>
  <c r="BQ64" i="23"/>
  <c r="GB64" i="23"/>
  <c r="AH56" i="22"/>
  <c r="AI56" i="22"/>
  <c r="N64" i="23"/>
  <c r="Z64" i="23"/>
  <c r="GA64" i="23"/>
  <c r="M64" i="23"/>
  <c r="Y64" i="23"/>
  <c r="FZ64" i="23"/>
  <c r="AF56" i="22"/>
  <c r="AG56" i="22"/>
  <c r="L64" i="23"/>
  <c r="X64" i="23"/>
  <c r="FY64" i="23"/>
  <c r="K64" i="23"/>
  <c r="W64" i="23"/>
  <c r="FX64" i="23"/>
  <c r="AD56" i="22"/>
  <c r="AE56" i="22"/>
  <c r="J64" i="23"/>
  <c r="V64" i="23"/>
  <c r="FW64" i="23"/>
  <c r="I64" i="23"/>
  <c r="U64" i="23"/>
  <c r="FV64" i="23"/>
  <c r="H64" i="23"/>
  <c r="T64" i="23"/>
  <c r="FU64" i="23"/>
  <c r="G64" i="23"/>
  <c r="S64" i="23"/>
  <c r="FT64" i="23"/>
  <c r="F64" i="23"/>
  <c r="R64" i="23"/>
  <c r="FS64" i="23"/>
  <c r="E64" i="23"/>
  <c r="Q64" i="23"/>
  <c r="FR64" i="23"/>
  <c r="D64" i="23"/>
  <c r="P64" i="23"/>
  <c r="FQ64" i="23"/>
  <c r="C64" i="23"/>
  <c r="O64" i="23"/>
  <c r="FP64" i="23"/>
  <c r="F46" i="22"/>
  <c r="CM46" i="22"/>
  <c r="CT46" i="22"/>
  <c r="CY46" i="22"/>
  <c r="FF46" i="22"/>
  <c r="FG46" i="22"/>
  <c r="FN46" i="22"/>
  <c r="FT46" i="22"/>
  <c r="GV55" i="22"/>
  <c r="DR63" i="23"/>
  <c r="IO63" i="23"/>
  <c r="FM46" i="22"/>
  <c r="FS46" i="22"/>
  <c r="GU55" i="22"/>
  <c r="DQ63" i="23"/>
  <c r="IN63" i="23"/>
  <c r="IM63" i="23"/>
  <c r="IL63" i="23"/>
  <c r="CW54" i="22"/>
  <c r="FB54" i="22"/>
  <c r="FC54" i="22"/>
  <c r="FX54" i="22"/>
  <c r="GR55" i="22"/>
  <c r="GT55" i="22"/>
  <c r="DN63" i="23"/>
  <c r="IK63" i="23"/>
  <c r="FV54" i="22"/>
  <c r="GQ55" i="22"/>
  <c r="GS55" i="22"/>
  <c r="DM63" i="23"/>
  <c r="IJ63" i="23"/>
  <c r="BR55" i="22"/>
  <c r="ET55" i="22"/>
  <c r="GH55" i="22"/>
  <c r="CN63" i="23"/>
  <c r="CZ63" i="23"/>
  <c r="DL63" i="23"/>
  <c r="ED63" i="23"/>
  <c r="II63" i="23"/>
  <c r="DK63" i="23"/>
  <c r="GG55" i="22"/>
  <c r="CM63" i="23"/>
  <c r="CY63" i="23"/>
  <c r="EC63" i="23"/>
  <c r="IH63" i="23"/>
  <c r="BP55" i="22"/>
  <c r="ER55" i="22"/>
  <c r="GE55" i="22"/>
  <c r="GF55" i="22"/>
  <c r="CL63" i="23"/>
  <c r="CX63" i="23"/>
  <c r="IG63" i="23"/>
  <c r="CK63" i="23"/>
  <c r="CW63" i="23"/>
  <c r="IF63" i="23"/>
  <c r="BN55" i="22"/>
  <c r="EP55" i="22"/>
  <c r="GC55" i="22"/>
  <c r="GD55" i="22"/>
  <c r="CJ63" i="23"/>
  <c r="CV63" i="23"/>
  <c r="DH63" i="23"/>
  <c r="DZ63" i="23"/>
  <c r="IE63" i="23"/>
  <c r="DG63" i="23"/>
  <c r="CI63" i="23"/>
  <c r="CU63" i="23"/>
  <c r="DY63" i="23"/>
  <c r="ID63" i="23"/>
  <c r="CH63" i="23"/>
  <c r="CT63" i="23"/>
  <c r="DF63" i="23"/>
  <c r="DX63" i="23"/>
  <c r="IC63" i="23"/>
  <c r="DE63" i="23"/>
  <c r="CG63" i="23"/>
  <c r="CS63" i="23"/>
  <c r="DW63" i="23"/>
  <c r="IB63" i="23"/>
  <c r="CF63" i="23"/>
  <c r="CR63" i="23"/>
  <c r="IA63" i="23"/>
  <c r="CE63" i="23"/>
  <c r="CQ63" i="23"/>
  <c r="HZ63" i="23"/>
  <c r="CD63" i="23"/>
  <c r="CP63" i="23"/>
  <c r="DB63" i="23"/>
  <c r="DT63" i="23"/>
  <c r="HY63" i="23"/>
  <c r="DA63" i="23"/>
  <c r="CC63" i="23"/>
  <c r="CO63" i="23"/>
  <c r="DS63" i="23"/>
  <c r="HX63" i="23"/>
  <c r="AC55" i="22"/>
  <c r="CJ55" i="22"/>
  <c r="CK55" i="22"/>
  <c r="CI52" i="21"/>
  <c r="FH63" i="23"/>
  <c r="HW63" i="23"/>
  <c r="FG63" i="23"/>
  <c r="HV63" i="23"/>
  <c r="AB55" i="22"/>
  <c r="CH55" i="22"/>
  <c r="CI55" i="22"/>
  <c r="FF63" i="23"/>
  <c r="HU63" i="23"/>
  <c r="FE63" i="23"/>
  <c r="HT63" i="23"/>
  <c r="AA55" i="22"/>
  <c r="CF55" i="22"/>
  <c r="CG55" i="22"/>
  <c r="FD63" i="23"/>
  <c r="HS63" i="23"/>
  <c r="FC63" i="23"/>
  <c r="HR63" i="23"/>
  <c r="CH52" i="21"/>
  <c r="FB63" i="23"/>
  <c r="HQ63" i="23"/>
  <c r="FA63" i="23"/>
  <c r="HP63" i="23"/>
  <c r="EZ63" i="23"/>
  <c r="HO63" i="23"/>
  <c r="EY63" i="23"/>
  <c r="HN63" i="23"/>
  <c r="EX63" i="23"/>
  <c r="HM63" i="23"/>
  <c r="EW63" i="23"/>
  <c r="HL63" i="23"/>
  <c r="CG52" i="21"/>
  <c r="EV63" i="23"/>
  <c r="HK63" i="23"/>
  <c r="EU63" i="23"/>
  <c r="HJ63" i="23"/>
  <c r="ET63" i="23"/>
  <c r="HI63" i="23"/>
  <c r="ES63" i="23"/>
  <c r="HH63" i="23"/>
  <c r="ER63" i="23"/>
  <c r="HG63" i="23"/>
  <c r="EQ63" i="23"/>
  <c r="HF63" i="23"/>
  <c r="CF52" i="21"/>
  <c r="EP63" i="23"/>
  <c r="HE63" i="23"/>
  <c r="EO63" i="23"/>
  <c r="HD63" i="23"/>
  <c r="EN63" i="23"/>
  <c r="HC63" i="23"/>
  <c r="EM63" i="23"/>
  <c r="HB63" i="23"/>
  <c r="EL63" i="23"/>
  <c r="HA63" i="23"/>
  <c r="EK63" i="23"/>
  <c r="GZ63" i="23"/>
  <c r="CE52" i="21"/>
  <c r="EJ63" i="23"/>
  <c r="GY63" i="23"/>
  <c r="EI63" i="23"/>
  <c r="GX63" i="23"/>
  <c r="EH63" i="23"/>
  <c r="GW63" i="23"/>
  <c r="EG63" i="23"/>
  <c r="GV63" i="23"/>
  <c r="EF63" i="23"/>
  <c r="GU63" i="23"/>
  <c r="EE63" i="23"/>
  <c r="GT63" i="23"/>
  <c r="DL54" i="22"/>
  <c r="DR54" i="22"/>
  <c r="EF55" i="22"/>
  <c r="BP63" i="23"/>
  <c r="GS63" i="23"/>
  <c r="DQ54" i="22"/>
  <c r="EE55" i="22"/>
  <c r="BO63" i="23"/>
  <c r="GR63" i="23"/>
  <c r="ED55" i="22"/>
  <c r="BN63" i="23"/>
  <c r="GQ63" i="23"/>
  <c r="EC55" i="22"/>
  <c r="BM63" i="23"/>
  <c r="GP63" i="23"/>
  <c r="EB55" i="22"/>
  <c r="BL63" i="23"/>
  <c r="GO63" i="23"/>
  <c r="EA55" i="22"/>
  <c r="BK63" i="23"/>
  <c r="GN63" i="23"/>
  <c r="AZ55" i="22"/>
  <c r="BA55" i="22"/>
  <c r="AL63" i="23"/>
  <c r="AX63" i="23"/>
  <c r="BJ63" i="23"/>
  <c r="CB63" i="23"/>
  <c r="GM63" i="23"/>
  <c r="BI63" i="23"/>
  <c r="AK63" i="23"/>
  <c r="AW63" i="23"/>
  <c r="CA63" i="23"/>
  <c r="GL63" i="23"/>
  <c r="AX55" i="22"/>
  <c r="AY55" i="22"/>
  <c r="AJ63" i="23"/>
  <c r="AV63" i="23"/>
  <c r="BH63" i="23"/>
  <c r="BZ63" i="23"/>
  <c r="GK63" i="23"/>
  <c r="BG63" i="23"/>
  <c r="AI63" i="23"/>
  <c r="AU63" i="23"/>
  <c r="BY63" i="23"/>
  <c r="GJ63" i="23"/>
  <c r="AV55" i="22"/>
  <c r="AW55" i="22"/>
  <c r="AH63" i="23"/>
  <c r="AT63" i="23"/>
  <c r="BF63" i="23"/>
  <c r="BX63" i="23"/>
  <c r="GI63" i="23"/>
  <c r="BE63" i="23"/>
  <c r="AG63" i="23"/>
  <c r="AS63" i="23"/>
  <c r="BW63" i="23"/>
  <c r="GH63" i="23"/>
  <c r="AF63" i="23"/>
  <c r="AR63" i="23"/>
  <c r="BD63" i="23"/>
  <c r="BV63" i="23"/>
  <c r="GG63" i="23"/>
  <c r="BC63" i="23"/>
  <c r="AE63" i="23"/>
  <c r="AQ63" i="23"/>
  <c r="BU63" i="23"/>
  <c r="GF63" i="23"/>
  <c r="AD63" i="23"/>
  <c r="AP63" i="23"/>
  <c r="BB63" i="23"/>
  <c r="BT63" i="23"/>
  <c r="GE63" i="23"/>
  <c r="BA63" i="23"/>
  <c r="AC63" i="23"/>
  <c r="AO63" i="23"/>
  <c r="BS63" i="23"/>
  <c r="GD63" i="23"/>
  <c r="AB63" i="23"/>
  <c r="AN63" i="23"/>
  <c r="AZ63" i="23"/>
  <c r="BR63" i="23"/>
  <c r="GC63" i="23"/>
  <c r="AY63" i="23"/>
  <c r="AA63" i="23"/>
  <c r="AM63" i="23"/>
  <c r="BQ63" i="23"/>
  <c r="GB63" i="23"/>
  <c r="AH55" i="22"/>
  <c r="AI55" i="22"/>
  <c r="N63" i="23"/>
  <c r="Z63" i="23"/>
  <c r="GA63" i="23"/>
  <c r="M63" i="23"/>
  <c r="Y63" i="23"/>
  <c r="FZ63" i="23"/>
  <c r="AF55" i="22"/>
  <c r="AG55" i="22"/>
  <c r="L63" i="23"/>
  <c r="X63" i="23"/>
  <c r="FY63" i="23"/>
  <c r="K63" i="23"/>
  <c r="W63" i="23"/>
  <c r="FX63" i="23"/>
  <c r="AD55" i="22"/>
  <c r="AE55" i="22"/>
  <c r="J63" i="23"/>
  <c r="V63" i="23"/>
  <c r="FW63" i="23"/>
  <c r="I63" i="23"/>
  <c r="U63" i="23"/>
  <c r="FV63" i="23"/>
  <c r="H63" i="23"/>
  <c r="T63" i="23"/>
  <c r="FU63" i="23"/>
  <c r="G63" i="23"/>
  <c r="S63" i="23"/>
  <c r="FT63" i="23"/>
  <c r="F63" i="23"/>
  <c r="R63" i="23"/>
  <c r="FS63" i="23"/>
  <c r="E63" i="23"/>
  <c r="Q63" i="23"/>
  <c r="FR63" i="23"/>
  <c r="D63" i="23"/>
  <c r="P63" i="23"/>
  <c r="FQ63" i="23"/>
  <c r="C63" i="23"/>
  <c r="O63" i="23"/>
  <c r="FP63" i="23"/>
  <c r="F45" i="22"/>
  <c r="CM45" i="22"/>
  <c r="CT45" i="22"/>
  <c r="CY45" i="22"/>
  <c r="FF45" i="22"/>
  <c r="FG45" i="22"/>
  <c r="FN45" i="22"/>
  <c r="FT45" i="22"/>
  <c r="GV54" i="22"/>
  <c r="DR62" i="23"/>
  <c r="IO62" i="23"/>
  <c r="FM45" i="22"/>
  <c r="FS45" i="22"/>
  <c r="GU54" i="22"/>
  <c r="DQ62" i="23"/>
  <c r="IN62" i="23"/>
  <c r="IM62" i="23"/>
  <c r="IL62" i="23"/>
  <c r="CW53" i="22"/>
  <c r="FB53" i="22"/>
  <c r="FC53" i="22"/>
  <c r="FX53" i="22"/>
  <c r="GR54" i="22"/>
  <c r="GT54" i="22"/>
  <c r="DN62" i="23"/>
  <c r="IK62" i="23"/>
  <c r="FV53" i="22"/>
  <c r="GQ54" i="22"/>
  <c r="GS54" i="22"/>
  <c r="DM62" i="23"/>
  <c r="IJ62" i="23"/>
  <c r="BR54" i="22"/>
  <c r="ET54" i="22"/>
  <c r="GH54" i="22"/>
  <c r="CN62" i="23"/>
  <c r="CZ62" i="23"/>
  <c r="DL62" i="23"/>
  <c r="ED62" i="23"/>
  <c r="II62" i="23"/>
  <c r="DK62" i="23"/>
  <c r="GG54" i="22"/>
  <c r="CM62" i="23"/>
  <c r="CY62" i="23"/>
  <c r="EC62" i="23"/>
  <c r="IH62" i="23"/>
  <c r="BP54" i="22"/>
  <c r="ER54" i="22"/>
  <c r="GE54" i="22"/>
  <c r="GF54" i="22"/>
  <c r="CL62" i="23"/>
  <c r="CX62" i="23"/>
  <c r="IG62" i="23"/>
  <c r="CK62" i="23"/>
  <c r="CW62" i="23"/>
  <c r="IF62" i="23"/>
  <c r="BN54" i="22"/>
  <c r="EP54" i="22"/>
  <c r="GC54" i="22"/>
  <c r="GD54" i="22"/>
  <c r="CJ62" i="23"/>
  <c r="CV62" i="23"/>
  <c r="DH62" i="23"/>
  <c r="DZ62" i="23"/>
  <c r="IE62" i="23"/>
  <c r="DG62" i="23"/>
  <c r="CI62" i="23"/>
  <c r="CU62" i="23"/>
  <c r="DY62" i="23"/>
  <c r="ID62" i="23"/>
  <c r="CH62" i="23"/>
  <c r="CT62" i="23"/>
  <c r="DF62" i="23"/>
  <c r="DX62" i="23"/>
  <c r="IC62" i="23"/>
  <c r="DE62" i="23"/>
  <c r="CG62" i="23"/>
  <c r="CS62" i="23"/>
  <c r="DW62" i="23"/>
  <c r="IB62" i="23"/>
  <c r="CF62" i="23"/>
  <c r="CR62" i="23"/>
  <c r="IA62" i="23"/>
  <c r="CE62" i="23"/>
  <c r="CQ62" i="23"/>
  <c r="HZ62" i="23"/>
  <c r="CD62" i="23"/>
  <c r="CP62" i="23"/>
  <c r="DB62" i="23"/>
  <c r="DT62" i="23"/>
  <c r="HY62" i="23"/>
  <c r="DA62" i="23"/>
  <c r="CC62" i="23"/>
  <c r="CO62" i="23"/>
  <c r="DS62" i="23"/>
  <c r="HX62" i="23"/>
  <c r="AC54" i="22"/>
  <c r="CJ54" i="22"/>
  <c r="CK54" i="22"/>
  <c r="CI51" i="21"/>
  <c r="FH62" i="23"/>
  <c r="HW62" i="23"/>
  <c r="FG62" i="23"/>
  <c r="HV62" i="23"/>
  <c r="AB54" i="22"/>
  <c r="CH54" i="22"/>
  <c r="CI54" i="22"/>
  <c r="FF62" i="23"/>
  <c r="HU62" i="23"/>
  <c r="FE62" i="23"/>
  <c r="HT62" i="23"/>
  <c r="AA54" i="22"/>
  <c r="CF54" i="22"/>
  <c r="CG54" i="22"/>
  <c r="FD62" i="23"/>
  <c r="HS62" i="23"/>
  <c r="FC62" i="23"/>
  <c r="HR62" i="23"/>
  <c r="CH51" i="21"/>
  <c r="FB62" i="23"/>
  <c r="HQ62" i="23"/>
  <c r="FA62" i="23"/>
  <c r="HP62" i="23"/>
  <c r="EZ62" i="23"/>
  <c r="HO62" i="23"/>
  <c r="EY62" i="23"/>
  <c r="HN62" i="23"/>
  <c r="EX62" i="23"/>
  <c r="HM62" i="23"/>
  <c r="EW62" i="23"/>
  <c r="HL62" i="23"/>
  <c r="CG51" i="21"/>
  <c r="EV62" i="23"/>
  <c r="HK62" i="23"/>
  <c r="EU62" i="23"/>
  <c r="HJ62" i="23"/>
  <c r="ET62" i="23"/>
  <c r="HI62" i="23"/>
  <c r="ES62" i="23"/>
  <c r="HH62" i="23"/>
  <c r="ER62" i="23"/>
  <c r="HG62" i="23"/>
  <c r="EQ62" i="23"/>
  <c r="HF62" i="23"/>
  <c r="CF51" i="21"/>
  <c r="EP62" i="23"/>
  <c r="HE62" i="23"/>
  <c r="EO62" i="23"/>
  <c r="HD62" i="23"/>
  <c r="EN62" i="23"/>
  <c r="HC62" i="23"/>
  <c r="EM62" i="23"/>
  <c r="HB62" i="23"/>
  <c r="EL62" i="23"/>
  <c r="HA62" i="23"/>
  <c r="EK62" i="23"/>
  <c r="GZ62" i="23"/>
  <c r="CE51" i="21"/>
  <c r="EJ62" i="23"/>
  <c r="GY62" i="23"/>
  <c r="EI62" i="23"/>
  <c r="GX62" i="23"/>
  <c r="EH62" i="23"/>
  <c r="GW62" i="23"/>
  <c r="EG62" i="23"/>
  <c r="GV62" i="23"/>
  <c r="EF62" i="23"/>
  <c r="GU62" i="23"/>
  <c r="EE62" i="23"/>
  <c r="GT62" i="23"/>
  <c r="DL53" i="22"/>
  <c r="DR53" i="22"/>
  <c r="EF54" i="22"/>
  <c r="BP62" i="23"/>
  <c r="GS62" i="23"/>
  <c r="DQ53" i="22"/>
  <c r="EE54" i="22"/>
  <c r="BO62" i="23"/>
  <c r="GR62" i="23"/>
  <c r="ED54" i="22"/>
  <c r="BN62" i="23"/>
  <c r="GQ62" i="23"/>
  <c r="EC54" i="22"/>
  <c r="BM62" i="23"/>
  <c r="GP62" i="23"/>
  <c r="EB54" i="22"/>
  <c r="BL62" i="23"/>
  <c r="GO62" i="23"/>
  <c r="EA54" i="22"/>
  <c r="BK62" i="23"/>
  <c r="GN62" i="23"/>
  <c r="AZ54" i="22"/>
  <c r="BA54" i="22"/>
  <c r="AL62" i="23"/>
  <c r="AX62" i="23"/>
  <c r="BJ62" i="23"/>
  <c r="CB62" i="23"/>
  <c r="GM62" i="23"/>
  <c r="BI62" i="23"/>
  <c r="AK62" i="23"/>
  <c r="AW62" i="23"/>
  <c r="CA62" i="23"/>
  <c r="GL62" i="23"/>
  <c r="AX54" i="22"/>
  <c r="AY54" i="22"/>
  <c r="AJ62" i="23"/>
  <c r="AV62" i="23"/>
  <c r="BH62" i="23"/>
  <c r="BZ62" i="23"/>
  <c r="GK62" i="23"/>
  <c r="BG62" i="23"/>
  <c r="AI62" i="23"/>
  <c r="AU62" i="23"/>
  <c r="BY62" i="23"/>
  <c r="GJ62" i="23"/>
  <c r="AV54" i="22"/>
  <c r="AW54" i="22"/>
  <c r="AH62" i="23"/>
  <c r="AT62" i="23"/>
  <c r="BF62" i="23"/>
  <c r="BX62" i="23"/>
  <c r="GI62" i="23"/>
  <c r="BE62" i="23"/>
  <c r="AG62" i="23"/>
  <c r="AS62" i="23"/>
  <c r="BW62" i="23"/>
  <c r="GH62" i="23"/>
  <c r="AF62" i="23"/>
  <c r="AR62" i="23"/>
  <c r="BD62" i="23"/>
  <c r="BV62" i="23"/>
  <c r="GG62" i="23"/>
  <c r="BC62" i="23"/>
  <c r="AE62" i="23"/>
  <c r="AQ62" i="23"/>
  <c r="BU62" i="23"/>
  <c r="GF62" i="23"/>
  <c r="AD62" i="23"/>
  <c r="AP62" i="23"/>
  <c r="BB62" i="23"/>
  <c r="BT62" i="23"/>
  <c r="GE62" i="23"/>
  <c r="BA62" i="23"/>
  <c r="AC62" i="23"/>
  <c r="AO62" i="23"/>
  <c r="BS62" i="23"/>
  <c r="GD62" i="23"/>
  <c r="AB62" i="23"/>
  <c r="AN62" i="23"/>
  <c r="AZ62" i="23"/>
  <c r="BR62" i="23"/>
  <c r="GC62" i="23"/>
  <c r="AY62" i="23"/>
  <c r="AA62" i="23"/>
  <c r="AM62" i="23"/>
  <c r="BQ62" i="23"/>
  <c r="GB62" i="23"/>
  <c r="AH54" i="22"/>
  <c r="AI54" i="22"/>
  <c r="N62" i="23"/>
  <c r="Z62" i="23"/>
  <c r="GA62" i="23"/>
  <c r="M62" i="23"/>
  <c r="Y62" i="23"/>
  <c r="FZ62" i="23"/>
  <c r="AF54" i="22"/>
  <c r="AG54" i="22"/>
  <c r="L62" i="23"/>
  <c r="X62" i="23"/>
  <c r="FY62" i="23"/>
  <c r="K62" i="23"/>
  <c r="W62" i="23"/>
  <c r="FX62" i="23"/>
  <c r="AD54" i="22"/>
  <c r="AE54" i="22"/>
  <c r="J62" i="23"/>
  <c r="V62" i="23"/>
  <c r="FW62" i="23"/>
  <c r="I62" i="23"/>
  <c r="U62" i="23"/>
  <c r="FV62" i="23"/>
  <c r="H62" i="23"/>
  <c r="T62" i="23"/>
  <c r="FU62" i="23"/>
  <c r="G62" i="23"/>
  <c r="S62" i="23"/>
  <c r="FT62" i="23"/>
  <c r="F62" i="23"/>
  <c r="R62" i="23"/>
  <c r="FS62" i="23"/>
  <c r="E62" i="23"/>
  <c r="Q62" i="23"/>
  <c r="FR62" i="23"/>
  <c r="D62" i="23"/>
  <c r="P62" i="23"/>
  <c r="FQ62" i="23"/>
  <c r="C62" i="23"/>
  <c r="O62" i="23"/>
  <c r="FP62" i="23"/>
  <c r="F44" i="22"/>
  <c r="CM44" i="22"/>
  <c r="CT44" i="22"/>
  <c r="CY44" i="22"/>
  <c r="FF44" i="22"/>
  <c r="FG44" i="22"/>
  <c r="FN44" i="22"/>
  <c r="FT44" i="22"/>
  <c r="GV53" i="22"/>
  <c r="DR61" i="23"/>
  <c r="IO61" i="23"/>
  <c r="FM44" i="22"/>
  <c r="FS44" i="22"/>
  <c r="GU53" i="22"/>
  <c r="DQ61" i="23"/>
  <c r="IN61" i="23"/>
  <c r="IM61" i="23"/>
  <c r="IL61" i="23"/>
  <c r="CW52" i="22"/>
  <c r="FB52" i="22"/>
  <c r="FC52" i="22"/>
  <c r="FX52" i="22"/>
  <c r="GR53" i="22"/>
  <c r="GT53" i="22"/>
  <c r="DN61" i="23"/>
  <c r="IK61" i="23"/>
  <c r="FV52" i="22"/>
  <c r="GQ53" i="22"/>
  <c r="GS53" i="22"/>
  <c r="DM61" i="23"/>
  <c r="IJ61" i="23"/>
  <c r="BR53" i="22"/>
  <c r="ET53" i="22"/>
  <c r="GH53" i="22"/>
  <c r="CN61" i="23"/>
  <c r="CZ61" i="23"/>
  <c r="DL61" i="23"/>
  <c r="ED61" i="23"/>
  <c r="II61" i="23"/>
  <c r="DK61" i="23"/>
  <c r="GG53" i="22"/>
  <c r="CM61" i="23"/>
  <c r="CY61" i="23"/>
  <c r="EC61" i="23"/>
  <c r="IH61" i="23"/>
  <c r="BP53" i="22"/>
  <c r="ER53" i="22"/>
  <c r="GE53" i="22"/>
  <c r="GF53" i="22"/>
  <c r="CL61" i="23"/>
  <c r="CX61" i="23"/>
  <c r="IG61" i="23"/>
  <c r="CK61" i="23"/>
  <c r="CW61" i="23"/>
  <c r="IF61" i="23"/>
  <c r="BN53" i="22"/>
  <c r="EP53" i="22"/>
  <c r="GC53" i="22"/>
  <c r="GD53" i="22"/>
  <c r="CJ61" i="23"/>
  <c r="CV61" i="23"/>
  <c r="DH61" i="23"/>
  <c r="DZ61" i="23"/>
  <c r="IE61" i="23"/>
  <c r="DG61" i="23"/>
  <c r="CI61" i="23"/>
  <c r="CU61" i="23"/>
  <c r="DY61" i="23"/>
  <c r="ID61" i="23"/>
  <c r="CH61" i="23"/>
  <c r="CT61" i="23"/>
  <c r="DF61" i="23"/>
  <c r="DX61" i="23"/>
  <c r="IC61" i="23"/>
  <c r="DE61" i="23"/>
  <c r="CG61" i="23"/>
  <c r="CS61" i="23"/>
  <c r="DW61" i="23"/>
  <c r="IB61" i="23"/>
  <c r="CF61" i="23"/>
  <c r="CR61" i="23"/>
  <c r="IA61" i="23"/>
  <c r="CE61" i="23"/>
  <c r="CQ61" i="23"/>
  <c r="HZ61" i="23"/>
  <c r="CD61" i="23"/>
  <c r="CP61" i="23"/>
  <c r="DB61" i="23"/>
  <c r="DT61" i="23"/>
  <c r="HY61" i="23"/>
  <c r="DA61" i="23"/>
  <c r="CC61" i="23"/>
  <c r="CO61" i="23"/>
  <c r="DS61" i="23"/>
  <c r="HX61" i="23"/>
  <c r="AC53" i="22"/>
  <c r="CJ53" i="22"/>
  <c r="CK53" i="22"/>
  <c r="CI50" i="21"/>
  <c r="FH61" i="23"/>
  <c r="HW61" i="23"/>
  <c r="FG61" i="23"/>
  <c r="HV61" i="23"/>
  <c r="AB53" i="22"/>
  <c r="CH53" i="22"/>
  <c r="CI53" i="22"/>
  <c r="FF61" i="23"/>
  <c r="HU61" i="23"/>
  <c r="FE61" i="23"/>
  <c r="HT61" i="23"/>
  <c r="AA53" i="22"/>
  <c r="CF53" i="22"/>
  <c r="CG53" i="22"/>
  <c r="FD61" i="23"/>
  <c r="HS61" i="23"/>
  <c r="FC61" i="23"/>
  <c r="HR61" i="23"/>
  <c r="CH50" i="21"/>
  <c r="FB61" i="23"/>
  <c r="HQ61" i="23"/>
  <c r="FA61" i="23"/>
  <c r="HP61" i="23"/>
  <c r="EZ61" i="23"/>
  <c r="HO61" i="23"/>
  <c r="EY61" i="23"/>
  <c r="HN61" i="23"/>
  <c r="EX61" i="23"/>
  <c r="HM61" i="23"/>
  <c r="EW61" i="23"/>
  <c r="HL61" i="23"/>
  <c r="CG50" i="21"/>
  <c r="EV61" i="23"/>
  <c r="HK61" i="23"/>
  <c r="EU61" i="23"/>
  <c r="HJ61" i="23"/>
  <c r="ET61" i="23"/>
  <c r="HI61" i="23"/>
  <c r="ES61" i="23"/>
  <c r="HH61" i="23"/>
  <c r="ER61" i="23"/>
  <c r="HG61" i="23"/>
  <c r="EQ61" i="23"/>
  <c r="HF61" i="23"/>
  <c r="CF50" i="21"/>
  <c r="EP61" i="23"/>
  <c r="HE61" i="23"/>
  <c r="EO61" i="23"/>
  <c r="HD61" i="23"/>
  <c r="EN61" i="23"/>
  <c r="HC61" i="23"/>
  <c r="EM61" i="23"/>
  <c r="HB61" i="23"/>
  <c r="EL61" i="23"/>
  <c r="HA61" i="23"/>
  <c r="EK61" i="23"/>
  <c r="GZ61" i="23"/>
  <c r="CE50" i="21"/>
  <c r="EJ61" i="23"/>
  <c r="GY61" i="23"/>
  <c r="EI61" i="23"/>
  <c r="GX61" i="23"/>
  <c r="EH61" i="23"/>
  <c r="GW61" i="23"/>
  <c r="EG61" i="23"/>
  <c r="GV61" i="23"/>
  <c r="EF61" i="23"/>
  <c r="GU61" i="23"/>
  <c r="EE61" i="23"/>
  <c r="GT61" i="23"/>
  <c r="DL52" i="22"/>
  <c r="DR52" i="22"/>
  <c r="EF53" i="22"/>
  <c r="BP61" i="23"/>
  <c r="GS61" i="23"/>
  <c r="DQ52" i="22"/>
  <c r="EE53" i="22"/>
  <c r="BO61" i="23"/>
  <c r="GR61" i="23"/>
  <c r="ED53" i="22"/>
  <c r="BN61" i="23"/>
  <c r="GQ61" i="23"/>
  <c r="EC53" i="22"/>
  <c r="BM61" i="23"/>
  <c r="GP61" i="23"/>
  <c r="EB53" i="22"/>
  <c r="BL61" i="23"/>
  <c r="GO61" i="23"/>
  <c r="EA53" i="22"/>
  <c r="BK61" i="23"/>
  <c r="GN61" i="23"/>
  <c r="AZ53" i="22"/>
  <c r="BA53" i="22"/>
  <c r="AL61" i="23"/>
  <c r="AX61" i="23"/>
  <c r="BJ61" i="23"/>
  <c r="CB61" i="23"/>
  <c r="GM61" i="23"/>
  <c r="BI61" i="23"/>
  <c r="AK61" i="23"/>
  <c r="AW61" i="23"/>
  <c r="CA61" i="23"/>
  <c r="GL61" i="23"/>
  <c r="S53" i="22"/>
  <c r="AX53" i="22"/>
  <c r="AY53" i="22"/>
  <c r="AJ61" i="23"/>
  <c r="AV61" i="23"/>
  <c r="BH61" i="23"/>
  <c r="BZ61" i="23"/>
  <c r="GK61" i="23"/>
  <c r="BG61" i="23"/>
  <c r="AI61" i="23"/>
  <c r="AU61" i="23"/>
  <c r="BY61" i="23"/>
  <c r="GJ61" i="23"/>
  <c r="AV53" i="22"/>
  <c r="AW53" i="22"/>
  <c r="AH61" i="23"/>
  <c r="AT61" i="23"/>
  <c r="BF61" i="23"/>
  <c r="BX61" i="23"/>
  <c r="GI61" i="23"/>
  <c r="BE61" i="23"/>
  <c r="AG61" i="23"/>
  <c r="AS61" i="23"/>
  <c r="BW61" i="23"/>
  <c r="GH61" i="23"/>
  <c r="AF61" i="23"/>
  <c r="AR61" i="23"/>
  <c r="BD61" i="23"/>
  <c r="BV61" i="23"/>
  <c r="GG61" i="23"/>
  <c r="BC61" i="23"/>
  <c r="AE61" i="23"/>
  <c r="AQ61" i="23"/>
  <c r="BU61" i="23"/>
  <c r="GF61" i="23"/>
  <c r="AD61" i="23"/>
  <c r="AP61" i="23"/>
  <c r="BB61" i="23"/>
  <c r="BT61" i="23"/>
  <c r="GE61" i="23"/>
  <c r="BA61" i="23"/>
  <c r="AC61" i="23"/>
  <c r="AO61" i="23"/>
  <c r="BS61" i="23"/>
  <c r="GD61" i="23"/>
  <c r="AB61" i="23"/>
  <c r="AN61" i="23"/>
  <c r="AZ61" i="23"/>
  <c r="BR61" i="23"/>
  <c r="GC61" i="23"/>
  <c r="AY61" i="23"/>
  <c r="AA61" i="23"/>
  <c r="AM61" i="23"/>
  <c r="BQ61" i="23"/>
  <c r="GB61" i="23"/>
  <c r="AH53" i="22"/>
  <c r="AI53" i="22"/>
  <c r="N61" i="23"/>
  <c r="Z61" i="23"/>
  <c r="GA61" i="23"/>
  <c r="M61" i="23"/>
  <c r="Y61" i="23"/>
  <c r="FZ61" i="23"/>
  <c r="AF53" i="22"/>
  <c r="AG53" i="22"/>
  <c r="L61" i="23"/>
  <c r="X61" i="23"/>
  <c r="FY61" i="23"/>
  <c r="K61" i="23"/>
  <c r="W61" i="23"/>
  <c r="FX61" i="23"/>
  <c r="AD53" i="22"/>
  <c r="AE53" i="22"/>
  <c r="J61" i="23"/>
  <c r="V61" i="23"/>
  <c r="FW61" i="23"/>
  <c r="I61" i="23"/>
  <c r="U61" i="23"/>
  <c r="FV61" i="23"/>
  <c r="H61" i="23"/>
  <c r="T61" i="23"/>
  <c r="FU61" i="23"/>
  <c r="G61" i="23"/>
  <c r="S61" i="23"/>
  <c r="FT61" i="23"/>
  <c r="F61" i="23"/>
  <c r="R61" i="23"/>
  <c r="FS61" i="23"/>
  <c r="E61" i="23"/>
  <c r="Q61" i="23"/>
  <c r="FR61" i="23"/>
  <c r="D61" i="23"/>
  <c r="P61" i="23"/>
  <c r="FQ61" i="23"/>
  <c r="C61" i="23"/>
  <c r="O61" i="23"/>
  <c r="FP61" i="23"/>
  <c r="F43" i="22"/>
  <c r="CM43" i="22"/>
  <c r="CT43" i="22"/>
  <c r="CY43" i="22"/>
  <c r="FF43" i="22"/>
  <c r="FG43" i="22"/>
  <c r="FN43" i="22"/>
  <c r="FT43" i="22"/>
  <c r="GV52" i="22"/>
  <c r="DR60" i="23"/>
  <c r="IO60" i="23"/>
  <c r="FM43" i="22"/>
  <c r="FS43" i="22"/>
  <c r="GU52" i="22"/>
  <c r="DQ60" i="23"/>
  <c r="IN60" i="23"/>
  <c r="IM60" i="23"/>
  <c r="IL60" i="23"/>
  <c r="CW51" i="22"/>
  <c r="FB51" i="22"/>
  <c r="FC51" i="22"/>
  <c r="FX51" i="22"/>
  <c r="GR52" i="22"/>
  <c r="GT52" i="22"/>
  <c r="DN60" i="23"/>
  <c r="IK60" i="23"/>
  <c r="FV51" i="22"/>
  <c r="GQ52" i="22"/>
  <c r="GS52" i="22"/>
  <c r="DM60" i="23"/>
  <c r="IJ60" i="23"/>
  <c r="BR52" i="22"/>
  <c r="ET52" i="22"/>
  <c r="GH52" i="22"/>
  <c r="CN60" i="23"/>
  <c r="CZ60" i="23"/>
  <c r="DL60" i="23"/>
  <c r="ED60" i="23"/>
  <c r="II60" i="23"/>
  <c r="DK60" i="23"/>
  <c r="GG52" i="22"/>
  <c r="CM60" i="23"/>
  <c r="CY60" i="23"/>
  <c r="EC60" i="23"/>
  <c r="IH60" i="23"/>
  <c r="BP52" i="22"/>
  <c r="ER52" i="22"/>
  <c r="GE52" i="22"/>
  <c r="GF52" i="22"/>
  <c r="CL60" i="23"/>
  <c r="CX60" i="23"/>
  <c r="IG60" i="23"/>
  <c r="CK60" i="23"/>
  <c r="CW60" i="23"/>
  <c r="IF60" i="23"/>
  <c r="BN52" i="22"/>
  <c r="EP52" i="22"/>
  <c r="GC52" i="22"/>
  <c r="GD52" i="22"/>
  <c r="CJ60" i="23"/>
  <c r="CV60" i="23"/>
  <c r="DH60" i="23"/>
  <c r="DZ60" i="23"/>
  <c r="IE60" i="23"/>
  <c r="DG60" i="23"/>
  <c r="CI60" i="23"/>
  <c r="CU60" i="23"/>
  <c r="DY60" i="23"/>
  <c r="ID60" i="23"/>
  <c r="CH60" i="23"/>
  <c r="CT60" i="23"/>
  <c r="DF60" i="23"/>
  <c r="DX60" i="23"/>
  <c r="IC60" i="23"/>
  <c r="DE60" i="23"/>
  <c r="CG60" i="23"/>
  <c r="CS60" i="23"/>
  <c r="DW60" i="23"/>
  <c r="IB60" i="23"/>
  <c r="CF60" i="23"/>
  <c r="CR60" i="23"/>
  <c r="IA60" i="23"/>
  <c r="CE60" i="23"/>
  <c r="CQ60" i="23"/>
  <c r="HZ60" i="23"/>
  <c r="CD60" i="23"/>
  <c r="CP60" i="23"/>
  <c r="DB60" i="23"/>
  <c r="DT60" i="23"/>
  <c r="HY60" i="23"/>
  <c r="DA60" i="23"/>
  <c r="CC60" i="23"/>
  <c r="CO60" i="23"/>
  <c r="DS60" i="23"/>
  <c r="HX60" i="23"/>
  <c r="AC52" i="22"/>
  <c r="CJ52" i="22"/>
  <c r="CK52" i="22"/>
  <c r="CI49" i="21"/>
  <c r="FH60" i="23"/>
  <c r="HW60" i="23"/>
  <c r="FG60" i="23"/>
  <c r="HV60" i="23"/>
  <c r="AB52" i="22"/>
  <c r="CH52" i="22"/>
  <c r="CI52" i="22"/>
  <c r="FF60" i="23"/>
  <c r="HU60" i="23"/>
  <c r="FE60" i="23"/>
  <c r="HT60" i="23"/>
  <c r="AA52" i="22"/>
  <c r="CF52" i="22"/>
  <c r="CG52" i="22"/>
  <c r="FD60" i="23"/>
  <c r="HS60" i="23"/>
  <c r="FC60" i="23"/>
  <c r="HR60" i="23"/>
  <c r="CH49" i="21"/>
  <c r="FB60" i="23"/>
  <c r="HQ60" i="23"/>
  <c r="FA60" i="23"/>
  <c r="HP60" i="23"/>
  <c r="EZ60" i="23"/>
  <c r="HO60" i="23"/>
  <c r="EY60" i="23"/>
  <c r="HN60" i="23"/>
  <c r="EX60" i="23"/>
  <c r="HM60" i="23"/>
  <c r="EW60" i="23"/>
  <c r="HL60" i="23"/>
  <c r="CG49" i="21"/>
  <c r="EV60" i="23"/>
  <c r="HK60" i="23"/>
  <c r="EU60" i="23"/>
  <c r="HJ60" i="23"/>
  <c r="ET60" i="23"/>
  <c r="HI60" i="23"/>
  <c r="ES60" i="23"/>
  <c r="HH60" i="23"/>
  <c r="ER60" i="23"/>
  <c r="HG60" i="23"/>
  <c r="EQ60" i="23"/>
  <c r="HF60" i="23"/>
  <c r="CF49" i="21"/>
  <c r="EP60" i="23"/>
  <c r="HE60" i="23"/>
  <c r="EO60" i="23"/>
  <c r="HD60" i="23"/>
  <c r="EN60" i="23"/>
  <c r="HC60" i="23"/>
  <c r="EM60" i="23"/>
  <c r="HB60" i="23"/>
  <c r="EL60" i="23"/>
  <c r="HA60" i="23"/>
  <c r="EK60" i="23"/>
  <c r="GZ60" i="23"/>
  <c r="CE49" i="21"/>
  <c r="EJ60" i="23"/>
  <c r="GY60" i="23"/>
  <c r="EI60" i="23"/>
  <c r="GX60" i="23"/>
  <c r="EH60" i="23"/>
  <c r="GW60" i="23"/>
  <c r="EG60" i="23"/>
  <c r="GV60" i="23"/>
  <c r="EF60" i="23"/>
  <c r="GU60" i="23"/>
  <c r="EE60" i="23"/>
  <c r="GT60" i="23"/>
  <c r="DL51" i="22"/>
  <c r="DR51" i="22"/>
  <c r="EF52" i="22"/>
  <c r="BP60" i="23"/>
  <c r="GS60" i="23"/>
  <c r="DQ51" i="22"/>
  <c r="EE52" i="22"/>
  <c r="BO60" i="23"/>
  <c r="GR60" i="23"/>
  <c r="ED52" i="22"/>
  <c r="BN60" i="23"/>
  <c r="GQ60" i="23"/>
  <c r="EC52" i="22"/>
  <c r="BM60" i="23"/>
  <c r="GP60" i="23"/>
  <c r="EB52" i="22"/>
  <c r="BL60" i="23"/>
  <c r="GO60" i="23"/>
  <c r="EA52" i="22"/>
  <c r="BK60" i="23"/>
  <c r="GN60" i="23"/>
  <c r="AZ52" i="22"/>
  <c r="BA52" i="22"/>
  <c r="AL60" i="23"/>
  <c r="AX60" i="23"/>
  <c r="BJ60" i="23"/>
  <c r="CB60" i="23"/>
  <c r="GM60" i="23"/>
  <c r="BI60" i="23"/>
  <c r="AK60" i="23"/>
  <c r="AW60" i="23"/>
  <c r="CA60" i="23"/>
  <c r="GL60" i="23"/>
  <c r="S52" i="22"/>
  <c r="AX52" i="22"/>
  <c r="AY52" i="22"/>
  <c r="AJ60" i="23"/>
  <c r="AV60" i="23"/>
  <c r="BH60" i="23"/>
  <c r="BZ60" i="23"/>
  <c r="GK60" i="23"/>
  <c r="BG60" i="23"/>
  <c r="AI60" i="23"/>
  <c r="AU60" i="23"/>
  <c r="BY60" i="23"/>
  <c r="GJ60" i="23"/>
  <c r="AV52" i="22"/>
  <c r="AW52" i="22"/>
  <c r="AH60" i="23"/>
  <c r="AT60" i="23"/>
  <c r="BF60" i="23"/>
  <c r="BX60" i="23"/>
  <c r="GI60" i="23"/>
  <c r="BE60" i="23"/>
  <c r="AG60" i="23"/>
  <c r="AS60" i="23"/>
  <c r="BW60" i="23"/>
  <c r="GH60" i="23"/>
  <c r="AF60" i="23"/>
  <c r="AR60" i="23"/>
  <c r="BD60" i="23"/>
  <c r="BV60" i="23"/>
  <c r="GG60" i="23"/>
  <c r="BC60" i="23"/>
  <c r="AE60" i="23"/>
  <c r="AQ60" i="23"/>
  <c r="BU60" i="23"/>
  <c r="GF60" i="23"/>
  <c r="AD60" i="23"/>
  <c r="AP60" i="23"/>
  <c r="BB60" i="23"/>
  <c r="BT60" i="23"/>
  <c r="GE60" i="23"/>
  <c r="BA60" i="23"/>
  <c r="AC60" i="23"/>
  <c r="AO60" i="23"/>
  <c r="BS60" i="23"/>
  <c r="GD60" i="23"/>
  <c r="AB60" i="23"/>
  <c r="AN60" i="23"/>
  <c r="AZ60" i="23"/>
  <c r="BR60" i="23"/>
  <c r="GC60" i="23"/>
  <c r="AY60" i="23"/>
  <c r="AA60" i="23"/>
  <c r="AM60" i="23"/>
  <c r="BQ60" i="23"/>
  <c r="GB60" i="23"/>
  <c r="AH52" i="22"/>
  <c r="AI52" i="22"/>
  <c r="N60" i="23"/>
  <c r="Z60" i="23"/>
  <c r="GA60" i="23"/>
  <c r="M60" i="23"/>
  <c r="Y60" i="23"/>
  <c r="FZ60" i="23"/>
  <c r="AF52" i="22"/>
  <c r="AG52" i="22"/>
  <c r="L60" i="23"/>
  <c r="X60" i="23"/>
  <c r="FY60" i="23"/>
  <c r="K60" i="23"/>
  <c r="W60" i="23"/>
  <c r="FX60" i="23"/>
  <c r="AD52" i="22"/>
  <c r="AE52" i="22"/>
  <c r="J60" i="23"/>
  <c r="V60" i="23"/>
  <c r="FW60" i="23"/>
  <c r="I60" i="23"/>
  <c r="U60" i="23"/>
  <c r="FV60" i="23"/>
  <c r="H60" i="23"/>
  <c r="T60" i="23"/>
  <c r="FU60" i="23"/>
  <c r="G60" i="23"/>
  <c r="S60" i="23"/>
  <c r="FT60" i="23"/>
  <c r="F60" i="23"/>
  <c r="R60" i="23"/>
  <c r="FS60" i="23"/>
  <c r="E60" i="23"/>
  <c r="Q60" i="23"/>
  <c r="FR60" i="23"/>
  <c r="D60" i="23"/>
  <c r="P60" i="23"/>
  <c r="FQ60" i="23"/>
  <c r="C60" i="23"/>
  <c r="O60" i="23"/>
  <c r="FP60" i="23"/>
  <c r="F42" i="22"/>
  <c r="CM42" i="22"/>
  <c r="CT42" i="22"/>
  <c r="CY42" i="22"/>
  <c r="FF42" i="22"/>
  <c r="FG42" i="22"/>
  <c r="FN42" i="22"/>
  <c r="FT42" i="22"/>
  <c r="GV51" i="22"/>
  <c r="DR59" i="23"/>
  <c r="IO59" i="23"/>
  <c r="FM42" i="22"/>
  <c r="FS42" i="22"/>
  <c r="GU51" i="22"/>
  <c r="DQ59" i="23"/>
  <c r="IN59" i="23"/>
  <c r="IM59" i="23"/>
  <c r="IL59" i="23"/>
  <c r="CW50" i="22"/>
  <c r="FB50" i="22"/>
  <c r="FC50" i="22"/>
  <c r="FX50" i="22"/>
  <c r="GR51" i="22"/>
  <c r="GT51" i="22"/>
  <c r="DN59" i="23"/>
  <c r="IK59" i="23"/>
  <c r="FV50" i="22"/>
  <c r="GQ51" i="22"/>
  <c r="GS51" i="22"/>
  <c r="DM59" i="23"/>
  <c r="IJ59" i="23"/>
  <c r="BR51" i="22"/>
  <c r="ET51" i="22"/>
  <c r="GH51" i="22"/>
  <c r="CN59" i="23"/>
  <c r="CZ59" i="23"/>
  <c r="DL59" i="23"/>
  <c r="ED59" i="23"/>
  <c r="II59" i="23"/>
  <c r="DK59" i="23"/>
  <c r="GG51" i="22"/>
  <c r="CM59" i="23"/>
  <c r="CY59" i="23"/>
  <c r="EC59" i="23"/>
  <c r="IH59" i="23"/>
  <c r="BP51" i="22"/>
  <c r="ER51" i="22"/>
  <c r="GE51" i="22"/>
  <c r="GF51" i="22"/>
  <c r="CL59" i="23"/>
  <c r="CX59" i="23"/>
  <c r="IG59" i="23"/>
  <c r="CK59" i="23"/>
  <c r="CW59" i="23"/>
  <c r="IF59" i="23"/>
  <c r="BN51" i="22"/>
  <c r="EP51" i="22"/>
  <c r="GC51" i="22"/>
  <c r="GD51" i="22"/>
  <c r="CJ59" i="23"/>
  <c r="CV59" i="23"/>
  <c r="DH59" i="23"/>
  <c r="DZ59" i="23"/>
  <c r="IE59" i="23"/>
  <c r="DG59" i="23"/>
  <c r="CI59" i="23"/>
  <c r="CU59" i="23"/>
  <c r="DY59" i="23"/>
  <c r="ID59" i="23"/>
  <c r="CH59" i="23"/>
  <c r="CT59" i="23"/>
  <c r="DF59" i="23"/>
  <c r="DX59" i="23"/>
  <c r="IC59" i="23"/>
  <c r="DE59" i="23"/>
  <c r="CG59" i="23"/>
  <c r="CS59" i="23"/>
  <c r="DW59" i="23"/>
  <c r="IB59" i="23"/>
  <c r="CF59" i="23"/>
  <c r="CR59" i="23"/>
  <c r="IA59" i="23"/>
  <c r="CE59" i="23"/>
  <c r="CQ59" i="23"/>
  <c r="HZ59" i="23"/>
  <c r="CD59" i="23"/>
  <c r="CP59" i="23"/>
  <c r="DB59" i="23"/>
  <c r="DT59" i="23"/>
  <c r="HY59" i="23"/>
  <c r="DA59" i="23"/>
  <c r="CC59" i="23"/>
  <c r="CO59" i="23"/>
  <c r="DS59" i="23"/>
  <c r="HX59" i="23"/>
  <c r="AC51" i="22"/>
  <c r="CJ51" i="22"/>
  <c r="CK51" i="22"/>
  <c r="CI48" i="21"/>
  <c r="FH59" i="23"/>
  <c r="HW59" i="23"/>
  <c r="FG59" i="23"/>
  <c r="HV59" i="23"/>
  <c r="AB51" i="22"/>
  <c r="CH51" i="22"/>
  <c r="CI51" i="22"/>
  <c r="FF59" i="23"/>
  <c r="HU59" i="23"/>
  <c r="FE59" i="23"/>
  <c r="HT59" i="23"/>
  <c r="AA51" i="22"/>
  <c r="CF51" i="22"/>
  <c r="CG51" i="22"/>
  <c r="FD59" i="23"/>
  <c r="HS59" i="23"/>
  <c r="FC59" i="23"/>
  <c r="HR59" i="23"/>
  <c r="CH48" i="21"/>
  <c r="FB59" i="23"/>
  <c r="HQ59" i="23"/>
  <c r="FA59" i="23"/>
  <c r="HP59" i="23"/>
  <c r="EZ59" i="23"/>
  <c r="HO59" i="23"/>
  <c r="EY59" i="23"/>
  <c r="HN59" i="23"/>
  <c r="EX59" i="23"/>
  <c r="HM59" i="23"/>
  <c r="EW59" i="23"/>
  <c r="HL59" i="23"/>
  <c r="CG48" i="21"/>
  <c r="EV59" i="23"/>
  <c r="HK59" i="23"/>
  <c r="EU59" i="23"/>
  <c r="HJ59" i="23"/>
  <c r="ET59" i="23"/>
  <c r="HI59" i="23"/>
  <c r="ES59" i="23"/>
  <c r="HH59" i="23"/>
  <c r="ER59" i="23"/>
  <c r="HG59" i="23"/>
  <c r="EQ59" i="23"/>
  <c r="HF59" i="23"/>
  <c r="CF48" i="21"/>
  <c r="EP59" i="23"/>
  <c r="HE59" i="23"/>
  <c r="EO59" i="23"/>
  <c r="HD59" i="23"/>
  <c r="EN59" i="23"/>
  <c r="HC59" i="23"/>
  <c r="EM59" i="23"/>
  <c r="HB59" i="23"/>
  <c r="EL59" i="23"/>
  <c r="HA59" i="23"/>
  <c r="EK59" i="23"/>
  <c r="GZ59" i="23"/>
  <c r="CE48" i="21"/>
  <c r="EJ59" i="23"/>
  <c r="GY59" i="23"/>
  <c r="EI59" i="23"/>
  <c r="GX59" i="23"/>
  <c r="EH59" i="23"/>
  <c r="GW59" i="23"/>
  <c r="EG59" i="23"/>
  <c r="GV59" i="23"/>
  <c r="EF59" i="23"/>
  <c r="GU59" i="23"/>
  <c r="EE59" i="23"/>
  <c r="GT59" i="23"/>
  <c r="DL50" i="22"/>
  <c r="DR50" i="22"/>
  <c r="EF51" i="22"/>
  <c r="BP59" i="23"/>
  <c r="GS59" i="23"/>
  <c r="DQ50" i="22"/>
  <c r="EE51" i="22"/>
  <c r="BO59" i="23"/>
  <c r="GR59" i="23"/>
  <c r="ED51" i="22"/>
  <c r="BN59" i="23"/>
  <c r="GQ59" i="23"/>
  <c r="EC51" i="22"/>
  <c r="BM59" i="23"/>
  <c r="GP59" i="23"/>
  <c r="EB51" i="22"/>
  <c r="BL59" i="23"/>
  <c r="GO59" i="23"/>
  <c r="EA51" i="22"/>
  <c r="BK59" i="23"/>
  <c r="GN59" i="23"/>
  <c r="AZ51" i="22"/>
  <c r="BA51" i="22"/>
  <c r="AL59" i="23"/>
  <c r="AX59" i="23"/>
  <c r="BJ59" i="23"/>
  <c r="CB59" i="23"/>
  <c r="GM59" i="23"/>
  <c r="BI59" i="23"/>
  <c r="AK59" i="23"/>
  <c r="AW59" i="23"/>
  <c r="CA59" i="23"/>
  <c r="GL59" i="23"/>
  <c r="S51" i="22"/>
  <c r="AX51" i="22"/>
  <c r="AY51" i="22"/>
  <c r="AJ59" i="23"/>
  <c r="AV59" i="23"/>
  <c r="BH59" i="23"/>
  <c r="BZ59" i="23"/>
  <c r="GK59" i="23"/>
  <c r="BG59" i="23"/>
  <c r="AI59" i="23"/>
  <c r="AU59" i="23"/>
  <c r="BY59" i="23"/>
  <c r="GJ59" i="23"/>
  <c r="AV51" i="22"/>
  <c r="AW51" i="22"/>
  <c r="AH59" i="23"/>
  <c r="AT59" i="23"/>
  <c r="BF59" i="23"/>
  <c r="BX59" i="23"/>
  <c r="GI59" i="23"/>
  <c r="BE59" i="23"/>
  <c r="AG59" i="23"/>
  <c r="AS59" i="23"/>
  <c r="BW59" i="23"/>
  <c r="GH59" i="23"/>
  <c r="AF59" i="23"/>
  <c r="AR59" i="23"/>
  <c r="BD59" i="23"/>
  <c r="BV59" i="23"/>
  <c r="GG59" i="23"/>
  <c r="BC59" i="23"/>
  <c r="AE59" i="23"/>
  <c r="AQ59" i="23"/>
  <c r="BU59" i="23"/>
  <c r="GF59" i="23"/>
  <c r="AD59" i="23"/>
  <c r="AP59" i="23"/>
  <c r="BB59" i="23"/>
  <c r="BT59" i="23"/>
  <c r="GE59" i="23"/>
  <c r="BA59" i="23"/>
  <c r="AC59" i="23"/>
  <c r="AO59" i="23"/>
  <c r="BS59" i="23"/>
  <c r="GD59" i="23"/>
  <c r="AB59" i="23"/>
  <c r="AN59" i="23"/>
  <c r="AZ59" i="23"/>
  <c r="BR59" i="23"/>
  <c r="GC59" i="23"/>
  <c r="AY59" i="23"/>
  <c r="AA59" i="23"/>
  <c r="AM59" i="23"/>
  <c r="BQ59" i="23"/>
  <c r="GB59" i="23"/>
  <c r="AH51" i="22"/>
  <c r="AI51" i="22"/>
  <c r="N59" i="23"/>
  <c r="Z59" i="23"/>
  <c r="GA59" i="23"/>
  <c r="M59" i="23"/>
  <c r="Y59" i="23"/>
  <c r="FZ59" i="23"/>
  <c r="AF51" i="22"/>
  <c r="AG51" i="22"/>
  <c r="L59" i="23"/>
  <c r="X59" i="23"/>
  <c r="FY59" i="23"/>
  <c r="K59" i="23"/>
  <c r="W59" i="23"/>
  <c r="FX59" i="23"/>
  <c r="AD51" i="22"/>
  <c r="AE51" i="22"/>
  <c r="J59" i="23"/>
  <c r="V59" i="23"/>
  <c r="FW59" i="23"/>
  <c r="I59" i="23"/>
  <c r="U59" i="23"/>
  <c r="FV59" i="23"/>
  <c r="H59" i="23"/>
  <c r="T59" i="23"/>
  <c r="FU59" i="23"/>
  <c r="G59" i="23"/>
  <c r="S59" i="23"/>
  <c r="FT59" i="23"/>
  <c r="F59" i="23"/>
  <c r="R59" i="23"/>
  <c r="FS59" i="23"/>
  <c r="E59" i="23"/>
  <c r="Q59" i="23"/>
  <c r="FR59" i="23"/>
  <c r="D59" i="23"/>
  <c r="P59" i="23"/>
  <c r="FQ59" i="23"/>
  <c r="C59" i="23"/>
  <c r="O59" i="23"/>
  <c r="FP59" i="23"/>
  <c r="F41" i="22"/>
  <c r="CM41" i="22"/>
  <c r="CT41" i="22"/>
  <c r="CY41" i="22"/>
  <c r="FF41" i="22"/>
  <c r="FG41" i="22"/>
  <c r="FN41" i="22"/>
  <c r="FT41" i="22"/>
  <c r="GV50" i="22"/>
  <c r="DR58" i="23"/>
  <c r="IO58" i="23"/>
  <c r="FM41" i="22"/>
  <c r="FS41" i="22"/>
  <c r="GU50" i="22"/>
  <c r="DQ58" i="23"/>
  <c r="IN58" i="23"/>
  <c r="IM58" i="23"/>
  <c r="IL58" i="23"/>
  <c r="CW49" i="22"/>
  <c r="FB49" i="22"/>
  <c r="FC49" i="22"/>
  <c r="FX49" i="22"/>
  <c r="GR50" i="22"/>
  <c r="GT50" i="22"/>
  <c r="DN58" i="23"/>
  <c r="IK58" i="23"/>
  <c r="FV49" i="22"/>
  <c r="GQ50" i="22"/>
  <c r="GS50" i="22"/>
  <c r="DM58" i="23"/>
  <c r="IJ58" i="23"/>
  <c r="BR50" i="22"/>
  <c r="ET50" i="22"/>
  <c r="GH50" i="22"/>
  <c r="CN58" i="23"/>
  <c r="CZ58" i="23"/>
  <c r="DL58" i="23"/>
  <c r="ED58" i="23"/>
  <c r="II58" i="23"/>
  <c r="DK58" i="23"/>
  <c r="GG50" i="22"/>
  <c r="CM58" i="23"/>
  <c r="CY58" i="23"/>
  <c r="EC58" i="23"/>
  <c r="IH58" i="23"/>
  <c r="BP50" i="22"/>
  <c r="ER50" i="22"/>
  <c r="GE50" i="22"/>
  <c r="GF50" i="22"/>
  <c r="CL58" i="23"/>
  <c r="CX58" i="23"/>
  <c r="IG58" i="23"/>
  <c r="CK58" i="23"/>
  <c r="CW58" i="23"/>
  <c r="IF58" i="23"/>
  <c r="BN50" i="22"/>
  <c r="EP50" i="22"/>
  <c r="GC50" i="22"/>
  <c r="GD50" i="22"/>
  <c r="CJ58" i="23"/>
  <c r="CV58" i="23"/>
  <c r="DH58" i="23"/>
  <c r="DZ58" i="23"/>
  <c r="IE58" i="23"/>
  <c r="DG58" i="23"/>
  <c r="CI58" i="23"/>
  <c r="CU58" i="23"/>
  <c r="DY58" i="23"/>
  <c r="ID58" i="23"/>
  <c r="CH58" i="23"/>
  <c r="CT58" i="23"/>
  <c r="DF58" i="23"/>
  <c r="DX58" i="23"/>
  <c r="IC58" i="23"/>
  <c r="DE58" i="23"/>
  <c r="CG58" i="23"/>
  <c r="CS58" i="23"/>
  <c r="DW58" i="23"/>
  <c r="IB58" i="23"/>
  <c r="CF58" i="23"/>
  <c r="CR58" i="23"/>
  <c r="IA58" i="23"/>
  <c r="CE58" i="23"/>
  <c r="CQ58" i="23"/>
  <c r="HZ58" i="23"/>
  <c r="CD58" i="23"/>
  <c r="CP58" i="23"/>
  <c r="DB58" i="23"/>
  <c r="DT58" i="23"/>
  <c r="HY58" i="23"/>
  <c r="DA58" i="23"/>
  <c r="CC58" i="23"/>
  <c r="CO58" i="23"/>
  <c r="DS58" i="23"/>
  <c r="HX58" i="23"/>
  <c r="AC50" i="22"/>
  <c r="CJ50" i="22"/>
  <c r="CK50" i="22"/>
  <c r="CI47" i="21"/>
  <c r="FH58" i="23"/>
  <c r="HW58" i="23"/>
  <c r="FG58" i="23"/>
  <c r="HV58" i="23"/>
  <c r="AB50" i="22"/>
  <c r="CH50" i="22"/>
  <c r="CI50" i="22"/>
  <c r="FF58" i="23"/>
  <c r="HU58" i="23"/>
  <c r="FE58" i="23"/>
  <c r="HT58" i="23"/>
  <c r="AA50" i="22"/>
  <c r="CF50" i="22"/>
  <c r="CG50" i="22"/>
  <c r="FD58" i="23"/>
  <c r="HS58" i="23"/>
  <c r="FC58" i="23"/>
  <c r="HR58" i="23"/>
  <c r="CH47" i="21"/>
  <c r="FB58" i="23"/>
  <c r="HQ58" i="23"/>
  <c r="FA58" i="23"/>
  <c r="HP58" i="23"/>
  <c r="EZ58" i="23"/>
  <c r="HO58" i="23"/>
  <c r="EY58" i="23"/>
  <c r="HN58" i="23"/>
  <c r="EX58" i="23"/>
  <c r="HM58" i="23"/>
  <c r="EW58" i="23"/>
  <c r="HL58" i="23"/>
  <c r="CG47" i="21"/>
  <c r="EV58" i="23"/>
  <c r="HK58" i="23"/>
  <c r="EU58" i="23"/>
  <c r="HJ58" i="23"/>
  <c r="ET58" i="23"/>
  <c r="HI58" i="23"/>
  <c r="ES58" i="23"/>
  <c r="HH58" i="23"/>
  <c r="ER58" i="23"/>
  <c r="HG58" i="23"/>
  <c r="EQ58" i="23"/>
  <c r="HF58" i="23"/>
  <c r="CF47" i="21"/>
  <c r="EP58" i="23"/>
  <c r="HE58" i="23"/>
  <c r="EO58" i="23"/>
  <c r="HD58" i="23"/>
  <c r="EN58" i="23"/>
  <c r="HC58" i="23"/>
  <c r="EM58" i="23"/>
  <c r="HB58" i="23"/>
  <c r="EL58" i="23"/>
  <c r="HA58" i="23"/>
  <c r="EK58" i="23"/>
  <c r="GZ58" i="23"/>
  <c r="CE47" i="21"/>
  <c r="EJ58" i="23"/>
  <c r="GY58" i="23"/>
  <c r="EI58" i="23"/>
  <c r="GX58" i="23"/>
  <c r="EH58" i="23"/>
  <c r="GW58" i="23"/>
  <c r="EG58" i="23"/>
  <c r="GV58" i="23"/>
  <c r="EF58" i="23"/>
  <c r="GU58" i="23"/>
  <c r="EE58" i="23"/>
  <c r="GT58" i="23"/>
  <c r="DL49" i="22"/>
  <c r="DR49" i="22"/>
  <c r="EF50" i="22"/>
  <c r="BP58" i="23"/>
  <c r="GS58" i="23"/>
  <c r="DQ49" i="22"/>
  <c r="EE50" i="22"/>
  <c r="BO58" i="23"/>
  <c r="GR58" i="23"/>
  <c r="ED50" i="22"/>
  <c r="BN58" i="23"/>
  <c r="GQ58" i="23"/>
  <c r="EC50" i="22"/>
  <c r="BM58" i="23"/>
  <c r="GP58" i="23"/>
  <c r="EB50" i="22"/>
  <c r="BL58" i="23"/>
  <c r="GO58" i="23"/>
  <c r="EA50" i="22"/>
  <c r="BK58" i="23"/>
  <c r="GN58" i="23"/>
  <c r="AZ50" i="22"/>
  <c r="BA50" i="22"/>
  <c r="AL58" i="23"/>
  <c r="AX58" i="23"/>
  <c r="BJ58" i="23"/>
  <c r="CB58" i="23"/>
  <c r="GM58" i="23"/>
  <c r="BI58" i="23"/>
  <c r="AK58" i="23"/>
  <c r="AW58" i="23"/>
  <c r="CA58" i="23"/>
  <c r="GL58" i="23"/>
  <c r="S50" i="22"/>
  <c r="AX50" i="22"/>
  <c r="AY50" i="22"/>
  <c r="AJ58" i="23"/>
  <c r="AV58" i="23"/>
  <c r="BH58" i="23"/>
  <c r="BZ58" i="23"/>
  <c r="GK58" i="23"/>
  <c r="BG58" i="23"/>
  <c r="AI58" i="23"/>
  <c r="AU58" i="23"/>
  <c r="BY58" i="23"/>
  <c r="GJ58" i="23"/>
  <c r="AV50" i="22"/>
  <c r="AW50" i="22"/>
  <c r="AH58" i="23"/>
  <c r="AT58" i="23"/>
  <c r="BF58" i="23"/>
  <c r="BX58" i="23"/>
  <c r="GI58" i="23"/>
  <c r="BE58" i="23"/>
  <c r="AG58" i="23"/>
  <c r="AS58" i="23"/>
  <c r="BW58" i="23"/>
  <c r="GH58" i="23"/>
  <c r="AF58" i="23"/>
  <c r="AR58" i="23"/>
  <c r="BD58" i="23"/>
  <c r="BV58" i="23"/>
  <c r="GG58" i="23"/>
  <c r="BC58" i="23"/>
  <c r="AE58" i="23"/>
  <c r="AQ58" i="23"/>
  <c r="BU58" i="23"/>
  <c r="GF58" i="23"/>
  <c r="AD58" i="23"/>
  <c r="AP58" i="23"/>
  <c r="BB58" i="23"/>
  <c r="BT58" i="23"/>
  <c r="GE58" i="23"/>
  <c r="BA58" i="23"/>
  <c r="AC58" i="23"/>
  <c r="AO58" i="23"/>
  <c r="BS58" i="23"/>
  <c r="GD58" i="23"/>
  <c r="AB58" i="23"/>
  <c r="AN58" i="23"/>
  <c r="AZ58" i="23"/>
  <c r="BR58" i="23"/>
  <c r="GC58" i="23"/>
  <c r="AY58" i="23"/>
  <c r="AA58" i="23"/>
  <c r="AM58" i="23"/>
  <c r="BQ58" i="23"/>
  <c r="GB58" i="23"/>
  <c r="AH50" i="22"/>
  <c r="AI50" i="22"/>
  <c r="N58" i="23"/>
  <c r="Z58" i="23"/>
  <c r="GA58" i="23"/>
  <c r="M58" i="23"/>
  <c r="Y58" i="23"/>
  <c r="FZ58" i="23"/>
  <c r="AF50" i="22"/>
  <c r="AG50" i="22"/>
  <c r="L58" i="23"/>
  <c r="X58" i="23"/>
  <c r="FY58" i="23"/>
  <c r="K58" i="23"/>
  <c r="W58" i="23"/>
  <c r="FX58" i="23"/>
  <c r="AD50" i="22"/>
  <c r="AE50" i="22"/>
  <c r="J58" i="23"/>
  <c r="V58" i="23"/>
  <c r="FW58" i="23"/>
  <c r="I58" i="23"/>
  <c r="U58" i="23"/>
  <c r="FV58" i="23"/>
  <c r="H58" i="23"/>
  <c r="T58" i="23"/>
  <c r="FU58" i="23"/>
  <c r="G58" i="23"/>
  <c r="S58" i="23"/>
  <c r="FT58" i="23"/>
  <c r="F58" i="23"/>
  <c r="R58" i="23"/>
  <c r="FS58" i="23"/>
  <c r="E58" i="23"/>
  <c r="Q58" i="23"/>
  <c r="FR58" i="23"/>
  <c r="D58" i="23"/>
  <c r="P58" i="23"/>
  <c r="FQ58" i="23"/>
  <c r="C58" i="23"/>
  <c r="O58" i="23"/>
  <c r="FP58" i="23"/>
  <c r="F40" i="22"/>
  <c r="CM40" i="22"/>
  <c r="CT40" i="22"/>
  <c r="CY40" i="22"/>
  <c r="FF40" i="22"/>
  <c r="FG40" i="22"/>
  <c r="FN40" i="22"/>
  <c r="FT40" i="22"/>
  <c r="GV49" i="22"/>
  <c r="DR57" i="23"/>
  <c r="IO57" i="23"/>
  <c r="FM40" i="22"/>
  <c r="FS40" i="22"/>
  <c r="GU49" i="22"/>
  <c r="DQ57" i="23"/>
  <c r="IN57" i="23"/>
  <c r="IM57" i="23"/>
  <c r="IL57" i="23"/>
  <c r="CW48" i="22"/>
  <c r="FB48" i="22"/>
  <c r="FC48" i="22"/>
  <c r="FX48" i="22"/>
  <c r="GR49" i="22"/>
  <c r="GT49" i="22"/>
  <c r="DN57" i="23"/>
  <c r="IK57" i="23"/>
  <c r="FV48" i="22"/>
  <c r="GQ49" i="22"/>
  <c r="GS49" i="22"/>
  <c r="DM57" i="23"/>
  <c r="IJ57" i="23"/>
  <c r="BR49" i="22"/>
  <c r="ET49" i="22"/>
  <c r="GH49" i="22"/>
  <c r="CN57" i="23"/>
  <c r="CZ57" i="23"/>
  <c r="DL57" i="23"/>
  <c r="ED57" i="23"/>
  <c r="II57" i="23"/>
  <c r="DK57" i="23"/>
  <c r="GG49" i="22"/>
  <c r="CM57" i="23"/>
  <c r="CY57" i="23"/>
  <c r="EC57" i="23"/>
  <c r="IH57" i="23"/>
  <c r="BP49" i="22"/>
  <c r="ER49" i="22"/>
  <c r="GE49" i="22"/>
  <c r="GF49" i="22"/>
  <c r="CL57" i="23"/>
  <c r="CX57" i="23"/>
  <c r="IG57" i="23"/>
  <c r="CK57" i="23"/>
  <c r="CW57" i="23"/>
  <c r="IF57" i="23"/>
  <c r="BN49" i="22"/>
  <c r="EP49" i="22"/>
  <c r="GC49" i="22"/>
  <c r="GD49" i="22"/>
  <c r="CJ57" i="23"/>
  <c r="CV57" i="23"/>
  <c r="DH57" i="23"/>
  <c r="DZ57" i="23"/>
  <c r="IE57" i="23"/>
  <c r="DG57" i="23"/>
  <c r="CI57" i="23"/>
  <c r="CU57" i="23"/>
  <c r="DY57" i="23"/>
  <c r="ID57" i="23"/>
  <c r="CH57" i="23"/>
  <c r="CT57" i="23"/>
  <c r="DF57" i="23"/>
  <c r="DX57" i="23"/>
  <c r="IC57" i="23"/>
  <c r="DE57" i="23"/>
  <c r="CG57" i="23"/>
  <c r="CS57" i="23"/>
  <c r="DW57" i="23"/>
  <c r="IB57" i="23"/>
  <c r="CF57" i="23"/>
  <c r="CR57" i="23"/>
  <c r="IA57" i="23"/>
  <c r="CE57" i="23"/>
  <c r="CQ57" i="23"/>
  <c r="HZ57" i="23"/>
  <c r="CD57" i="23"/>
  <c r="CP57" i="23"/>
  <c r="DB57" i="23"/>
  <c r="DT57" i="23"/>
  <c r="HY57" i="23"/>
  <c r="DA57" i="23"/>
  <c r="CC57" i="23"/>
  <c r="CO57" i="23"/>
  <c r="DS57" i="23"/>
  <c r="HX57" i="23"/>
  <c r="AC49" i="22"/>
  <c r="CJ49" i="22"/>
  <c r="CK49" i="22"/>
  <c r="CI46" i="21"/>
  <c r="FH57" i="23"/>
  <c r="HW57" i="23"/>
  <c r="FG57" i="23"/>
  <c r="HV57" i="23"/>
  <c r="AB49" i="22"/>
  <c r="CH49" i="22"/>
  <c r="CI49" i="22"/>
  <c r="FF57" i="23"/>
  <c r="HU57" i="23"/>
  <c r="FE57" i="23"/>
  <c r="HT57" i="23"/>
  <c r="AA49" i="22"/>
  <c r="CF49" i="22"/>
  <c r="CG49" i="22"/>
  <c r="FD57" i="23"/>
  <c r="HS57" i="23"/>
  <c r="FC57" i="23"/>
  <c r="HR57" i="23"/>
  <c r="CH46" i="21"/>
  <c r="FB57" i="23"/>
  <c r="HQ57" i="23"/>
  <c r="FA57" i="23"/>
  <c r="HP57" i="23"/>
  <c r="EZ57" i="23"/>
  <c r="HO57" i="23"/>
  <c r="EY57" i="23"/>
  <c r="HN57" i="23"/>
  <c r="EX57" i="23"/>
  <c r="HM57" i="23"/>
  <c r="EW57" i="23"/>
  <c r="HL57" i="23"/>
  <c r="CG46" i="21"/>
  <c r="EV57" i="23"/>
  <c r="HK57" i="23"/>
  <c r="EU57" i="23"/>
  <c r="HJ57" i="23"/>
  <c r="ET57" i="23"/>
  <c r="HI57" i="23"/>
  <c r="ES57" i="23"/>
  <c r="HH57" i="23"/>
  <c r="ER57" i="23"/>
  <c r="HG57" i="23"/>
  <c r="EQ57" i="23"/>
  <c r="HF57" i="23"/>
  <c r="CF46" i="21"/>
  <c r="EP57" i="23"/>
  <c r="HE57" i="23"/>
  <c r="EO57" i="23"/>
  <c r="HD57" i="23"/>
  <c r="EN57" i="23"/>
  <c r="HC57" i="23"/>
  <c r="EM57" i="23"/>
  <c r="HB57" i="23"/>
  <c r="EL57" i="23"/>
  <c r="HA57" i="23"/>
  <c r="EK57" i="23"/>
  <c r="GZ57" i="23"/>
  <c r="CE46" i="21"/>
  <c r="EJ57" i="23"/>
  <c r="GY57" i="23"/>
  <c r="EI57" i="23"/>
  <c r="GX57" i="23"/>
  <c r="EH57" i="23"/>
  <c r="GW57" i="23"/>
  <c r="EG57" i="23"/>
  <c r="GV57" i="23"/>
  <c r="EF57" i="23"/>
  <c r="GU57" i="23"/>
  <c r="EE57" i="23"/>
  <c r="GT57" i="23"/>
  <c r="DL48" i="22"/>
  <c r="DR48" i="22"/>
  <c r="EF49" i="22"/>
  <c r="BP57" i="23"/>
  <c r="GS57" i="23"/>
  <c r="DQ48" i="22"/>
  <c r="EE49" i="22"/>
  <c r="BO57" i="23"/>
  <c r="GR57" i="23"/>
  <c r="ED49" i="22"/>
  <c r="BN57" i="23"/>
  <c r="GQ57" i="23"/>
  <c r="EC49" i="22"/>
  <c r="BM57" i="23"/>
  <c r="GP57" i="23"/>
  <c r="EB49" i="22"/>
  <c r="BL57" i="23"/>
  <c r="GO57" i="23"/>
  <c r="EA49" i="22"/>
  <c r="BK57" i="23"/>
  <c r="GN57" i="23"/>
  <c r="AZ49" i="22"/>
  <c r="BA49" i="22"/>
  <c r="AL57" i="23"/>
  <c r="AX57" i="23"/>
  <c r="BJ57" i="23"/>
  <c r="CB57" i="23"/>
  <c r="GM57" i="23"/>
  <c r="BI57" i="23"/>
  <c r="AK57" i="23"/>
  <c r="AW57" i="23"/>
  <c r="CA57" i="23"/>
  <c r="GL57" i="23"/>
  <c r="S49" i="22"/>
  <c r="AX49" i="22"/>
  <c r="AY49" i="22"/>
  <c r="AJ57" i="23"/>
  <c r="AV57" i="23"/>
  <c r="BH57" i="23"/>
  <c r="BZ57" i="23"/>
  <c r="GK57" i="23"/>
  <c r="BG57" i="23"/>
  <c r="AI57" i="23"/>
  <c r="AU57" i="23"/>
  <c r="BY57" i="23"/>
  <c r="GJ57" i="23"/>
  <c r="AV49" i="22"/>
  <c r="AW49" i="22"/>
  <c r="AH57" i="23"/>
  <c r="AT57" i="23"/>
  <c r="BF57" i="23"/>
  <c r="BX57" i="23"/>
  <c r="GI57" i="23"/>
  <c r="BE57" i="23"/>
  <c r="AG57" i="23"/>
  <c r="AS57" i="23"/>
  <c r="BW57" i="23"/>
  <c r="GH57" i="23"/>
  <c r="AF57" i="23"/>
  <c r="AR57" i="23"/>
  <c r="BD57" i="23"/>
  <c r="BV57" i="23"/>
  <c r="GG57" i="23"/>
  <c r="BC57" i="23"/>
  <c r="AE57" i="23"/>
  <c r="AQ57" i="23"/>
  <c r="BU57" i="23"/>
  <c r="GF57" i="23"/>
  <c r="AD57" i="23"/>
  <c r="AP57" i="23"/>
  <c r="BB57" i="23"/>
  <c r="BT57" i="23"/>
  <c r="GE57" i="23"/>
  <c r="BA57" i="23"/>
  <c r="AC57" i="23"/>
  <c r="AO57" i="23"/>
  <c r="BS57" i="23"/>
  <c r="GD57" i="23"/>
  <c r="AB57" i="23"/>
  <c r="AN57" i="23"/>
  <c r="AZ57" i="23"/>
  <c r="BR57" i="23"/>
  <c r="GC57" i="23"/>
  <c r="AY57" i="23"/>
  <c r="AA57" i="23"/>
  <c r="AM57" i="23"/>
  <c r="BQ57" i="23"/>
  <c r="GB57" i="23"/>
  <c r="AH49" i="22"/>
  <c r="AI49" i="22"/>
  <c r="N57" i="23"/>
  <c r="Z57" i="23"/>
  <c r="GA57" i="23"/>
  <c r="M57" i="23"/>
  <c r="Y57" i="23"/>
  <c r="FZ57" i="23"/>
  <c r="AF49" i="22"/>
  <c r="AG49" i="22"/>
  <c r="L57" i="23"/>
  <c r="X57" i="23"/>
  <c r="FY57" i="23"/>
  <c r="K57" i="23"/>
  <c r="W57" i="23"/>
  <c r="FX57" i="23"/>
  <c r="AD49" i="22"/>
  <c r="AE49" i="22"/>
  <c r="J57" i="23"/>
  <c r="V57" i="23"/>
  <c r="FW57" i="23"/>
  <c r="I57" i="23"/>
  <c r="U57" i="23"/>
  <c r="FV57" i="23"/>
  <c r="H57" i="23"/>
  <c r="T57" i="23"/>
  <c r="FU57" i="23"/>
  <c r="G57" i="23"/>
  <c r="S57" i="23"/>
  <c r="FT57" i="23"/>
  <c r="F57" i="23"/>
  <c r="R57" i="23"/>
  <c r="FS57" i="23"/>
  <c r="E57" i="23"/>
  <c r="Q57" i="23"/>
  <c r="FR57" i="23"/>
  <c r="D57" i="23"/>
  <c r="P57" i="23"/>
  <c r="FQ57" i="23"/>
  <c r="C57" i="23"/>
  <c r="O57" i="23"/>
  <c r="FP57" i="23"/>
  <c r="F39" i="22"/>
  <c r="CM39" i="22"/>
  <c r="CT39" i="22"/>
  <c r="CY39" i="22"/>
  <c r="FF39" i="22"/>
  <c r="FG39" i="22"/>
  <c r="FN39" i="22"/>
  <c r="FT39" i="22"/>
  <c r="GV48" i="22"/>
  <c r="DR56" i="23"/>
  <c r="IO56" i="23"/>
  <c r="FM39" i="22"/>
  <c r="FS39" i="22"/>
  <c r="GU48" i="22"/>
  <c r="DQ56" i="23"/>
  <c r="IN56" i="23"/>
  <c r="IM56" i="23"/>
  <c r="IL56" i="23"/>
  <c r="CW47" i="22"/>
  <c r="FB47" i="22"/>
  <c r="FC47" i="22"/>
  <c r="FX47" i="22"/>
  <c r="GR48" i="22"/>
  <c r="GT48" i="22"/>
  <c r="DN56" i="23"/>
  <c r="IK56" i="23"/>
  <c r="FV47" i="22"/>
  <c r="GQ48" i="22"/>
  <c r="GS48" i="22"/>
  <c r="DM56" i="23"/>
  <c r="IJ56" i="23"/>
  <c r="BR48" i="22"/>
  <c r="ET48" i="22"/>
  <c r="GH48" i="22"/>
  <c r="CN56" i="23"/>
  <c r="CZ56" i="23"/>
  <c r="DL56" i="23"/>
  <c r="ED56" i="23"/>
  <c r="II56" i="23"/>
  <c r="DK56" i="23"/>
  <c r="GG48" i="22"/>
  <c r="CM56" i="23"/>
  <c r="CY56" i="23"/>
  <c r="EC56" i="23"/>
  <c r="IH56" i="23"/>
  <c r="BP48" i="22"/>
  <c r="ER48" i="22"/>
  <c r="GE48" i="22"/>
  <c r="GF48" i="22"/>
  <c r="CL56" i="23"/>
  <c r="CX56" i="23"/>
  <c r="IG56" i="23"/>
  <c r="CK56" i="23"/>
  <c r="CW56" i="23"/>
  <c r="IF56" i="23"/>
  <c r="BN48" i="22"/>
  <c r="EP48" i="22"/>
  <c r="GC48" i="22"/>
  <c r="GD48" i="22"/>
  <c r="CJ56" i="23"/>
  <c r="CV56" i="23"/>
  <c r="DH56" i="23"/>
  <c r="DZ56" i="23"/>
  <c r="IE56" i="23"/>
  <c r="DG56" i="23"/>
  <c r="CI56" i="23"/>
  <c r="CU56" i="23"/>
  <c r="DY56" i="23"/>
  <c r="ID56" i="23"/>
  <c r="CH56" i="23"/>
  <c r="CT56" i="23"/>
  <c r="DF56" i="23"/>
  <c r="DX56" i="23"/>
  <c r="IC56" i="23"/>
  <c r="DE56" i="23"/>
  <c r="CG56" i="23"/>
  <c r="CS56" i="23"/>
  <c r="DW56" i="23"/>
  <c r="IB56" i="23"/>
  <c r="CF56" i="23"/>
  <c r="CR56" i="23"/>
  <c r="IA56" i="23"/>
  <c r="CE56" i="23"/>
  <c r="CQ56" i="23"/>
  <c r="HZ56" i="23"/>
  <c r="CD56" i="23"/>
  <c r="CP56" i="23"/>
  <c r="DB56" i="23"/>
  <c r="DT56" i="23"/>
  <c r="HY56" i="23"/>
  <c r="DA56" i="23"/>
  <c r="CC56" i="23"/>
  <c r="CO56" i="23"/>
  <c r="DS56" i="23"/>
  <c r="HX56" i="23"/>
  <c r="AC48" i="22"/>
  <c r="CJ48" i="22"/>
  <c r="CK48" i="22"/>
  <c r="CI45" i="21"/>
  <c r="FH56" i="23"/>
  <c r="HW56" i="23"/>
  <c r="FG56" i="23"/>
  <c r="HV56" i="23"/>
  <c r="AB48" i="22"/>
  <c r="CH48" i="22"/>
  <c r="CI48" i="22"/>
  <c r="FF56" i="23"/>
  <c r="HU56" i="23"/>
  <c r="FE56" i="23"/>
  <c r="HT56" i="23"/>
  <c r="AA48" i="22"/>
  <c r="CF48" i="22"/>
  <c r="CG48" i="22"/>
  <c r="FD56" i="23"/>
  <c r="HS56" i="23"/>
  <c r="FC56" i="23"/>
  <c r="HR56" i="23"/>
  <c r="CH45" i="21"/>
  <c r="FB56" i="23"/>
  <c r="HQ56" i="23"/>
  <c r="FA56" i="23"/>
  <c r="HP56" i="23"/>
  <c r="EZ56" i="23"/>
  <c r="HO56" i="23"/>
  <c r="EY56" i="23"/>
  <c r="HN56" i="23"/>
  <c r="EX56" i="23"/>
  <c r="HM56" i="23"/>
  <c r="EW56" i="23"/>
  <c r="HL56" i="23"/>
  <c r="CG45" i="21"/>
  <c r="EV56" i="23"/>
  <c r="HK56" i="23"/>
  <c r="EU56" i="23"/>
  <c r="HJ56" i="23"/>
  <c r="ET56" i="23"/>
  <c r="HI56" i="23"/>
  <c r="ES56" i="23"/>
  <c r="HH56" i="23"/>
  <c r="ER56" i="23"/>
  <c r="HG56" i="23"/>
  <c r="EQ56" i="23"/>
  <c r="HF56" i="23"/>
  <c r="CF45" i="21"/>
  <c r="EP56" i="23"/>
  <c r="HE56" i="23"/>
  <c r="EO56" i="23"/>
  <c r="HD56" i="23"/>
  <c r="EN56" i="23"/>
  <c r="HC56" i="23"/>
  <c r="EM56" i="23"/>
  <c r="HB56" i="23"/>
  <c r="EL56" i="23"/>
  <c r="HA56" i="23"/>
  <c r="EK56" i="23"/>
  <c r="GZ56" i="23"/>
  <c r="CE45" i="21"/>
  <c r="EJ56" i="23"/>
  <c r="GY56" i="23"/>
  <c r="EI56" i="23"/>
  <c r="GX56" i="23"/>
  <c r="EH56" i="23"/>
  <c r="GW56" i="23"/>
  <c r="EG56" i="23"/>
  <c r="GV56" i="23"/>
  <c r="EF56" i="23"/>
  <c r="GU56" i="23"/>
  <c r="EE56" i="23"/>
  <c r="GT56" i="23"/>
  <c r="DL47" i="22"/>
  <c r="DR47" i="22"/>
  <c r="EF48" i="22"/>
  <c r="BP56" i="23"/>
  <c r="GS56" i="23"/>
  <c r="DQ47" i="22"/>
  <c r="EE48" i="22"/>
  <c r="BO56" i="23"/>
  <c r="GR56" i="23"/>
  <c r="ED48" i="22"/>
  <c r="BN56" i="23"/>
  <c r="GQ56" i="23"/>
  <c r="EC48" i="22"/>
  <c r="BM56" i="23"/>
  <c r="GP56" i="23"/>
  <c r="EB48" i="22"/>
  <c r="BL56" i="23"/>
  <c r="GO56" i="23"/>
  <c r="EA48" i="22"/>
  <c r="BK56" i="23"/>
  <c r="GN56" i="23"/>
  <c r="AZ48" i="22"/>
  <c r="BA48" i="22"/>
  <c r="AL56" i="23"/>
  <c r="AX56" i="23"/>
  <c r="BJ56" i="23"/>
  <c r="CB56" i="23"/>
  <c r="GM56" i="23"/>
  <c r="BI56" i="23"/>
  <c r="AK56" i="23"/>
  <c r="AW56" i="23"/>
  <c r="CA56" i="23"/>
  <c r="GL56" i="23"/>
  <c r="S48" i="22"/>
  <c r="AX48" i="22"/>
  <c r="AY48" i="22"/>
  <c r="AJ56" i="23"/>
  <c r="AV56" i="23"/>
  <c r="BH56" i="23"/>
  <c r="BZ56" i="23"/>
  <c r="GK56" i="23"/>
  <c r="BG56" i="23"/>
  <c r="AI56" i="23"/>
  <c r="AU56" i="23"/>
  <c r="BY56" i="23"/>
  <c r="GJ56" i="23"/>
  <c r="AV48" i="22"/>
  <c r="AW48" i="22"/>
  <c r="AH56" i="23"/>
  <c r="AT56" i="23"/>
  <c r="BF56" i="23"/>
  <c r="BX56" i="23"/>
  <c r="GI56" i="23"/>
  <c r="BE56" i="23"/>
  <c r="AG56" i="23"/>
  <c r="AS56" i="23"/>
  <c r="BW56" i="23"/>
  <c r="GH56" i="23"/>
  <c r="AF56" i="23"/>
  <c r="AR56" i="23"/>
  <c r="BD56" i="23"/>
  <c r="BV56" i="23"/>
  <c r="GG56" i="23"/>
  <c r="BC56" i="23"/>
  <c r="AE56" i="23"/>
  <c r="AQ56" i="23"/>
  <c r="BU56" i="23"/>
  <c r="GF56" i="23"/>
  <c r="AD56" i="23"/>
  <c r="AP56" i="23"/>
  <c r="BB56" i="23"/>
  <c r="BT56" i="23"/>
  <c r="GE56" i="23"/>
  <c r="BA56" i="23"/>
  <c r="AC56" i="23"/>
  <c r="AO56" i="23"/>
  <c r="BS56" i="23"/>
  <c r="GD56" i="23"/>
  <c r="AB56" i="23"/>
  <c r="AN56" i="23"/>
  <c r="AZ56" i="23"/>
  <c r="BR56" i="23"/>
  <c r="GC56" i="23"/>
  <c r="AY56" i="23"/>
  <c r="AA56" i="23"/>
  <c r="AM56" i="23"/>
  <c r="BQ56" i="23"/>
  <c r="GB56" i="23"/>
  <c r="AH48" i="22"/>
  <c r="AI48" i="22"/>
  <c r="N56" i="23"/>
  <c r="Z56" i="23"/>
  <c r="GA56" i="23"/>
  <c r="M56" i="23"/>
  <c r="Y56" i="23"/>
  <c r="FZ56" i="23"/>
  <c r="AF48" i="22"/>
  <c r="AG48" i="22"/>
  <c r="L56" i="23"/>
  <c r="X56" i="23"/>
  <c r="FY56" i="23"/>
  <c r="K56" i="23"/>
  <c r="W56" i="23"/>
  <c r="FX56" i="23"/>
  <c r="AD48" i="22"/>
  <c r="AE48" i="22"/>
  <c r="J56" i="23"/>
  <c r="V56" i="23"/>
  <c r="FW56" i="23"/>
  <c r="I56" i="23"/>
  <c r="U56" i="23"/>
  <c r="FV56" i="23"/>
  <c r="H56" i="23"/>
  <c r="T56" i="23"/>
  <c r="FU56" i="23"/>
  <c r="G56" i="23"/>
  <c r="S56" i="23"/>
  <c r="FT56" i="23"/>
  <c r="F56" i="23"/>
  <c r="R56" i="23"/>
  <c r="FS56" i="23"/>
  <c r="E56" i="23"/>
  <c r="Q56" i="23"/>
  <c r="FR56" i="23"/>
  <c r="D56" i="23"/>
  <c r="P56" i="23"/>
  <c r="FQ56" i="23"/>
  <c r="C56" i="23"/>
  <c r="O56" i="23"/>
  <c r="FP56" i="23"/>
  <c r="F38" i="22"/>
  <c r="CM38" i="22"/>
  <c r="CT38" i="22"/>
  <c r="CY38" i="22"/>
  <c r="FF38" i="22"/>
  <c r="FG38" i="22"/>
  <c r="FN38" i="22"/>
  <c r="FT38" i="22"/>
  <c r="GV47" i="22"/>
  <c r="DR55" i="23"/>
  <c r="IO55" i="23"/>
  <c r="FM38" i="22"/>
  <c r="FS38" i="22"/>
  <c r="GU47" i="22"/>
  <c r="DQ55" i="23"/>
  <c r="IN55" i="23"/>
  <c r="IM55" i="23"/>
  <c r="IL55" i="23"/>
  <c r="CW46" i="22"/>
  <c r="FB46" i="22"/>
  <c r="FC46" i="22"/>
  <c r="FX46" i="22"/>
  <c r="GR47" i="22"/>
  <c r="GT47" i="22"/>
  <c r="DN55" i="23"/>
  <c r="IK55" i="23"/>
  <c r="FV46" i="22"/>
  <c r="GQ47" i="22"/>
  <c r="GS47" i="22"/>
  <c r="DM55" i="23"/>
  <c r="IJ55" i="23"/>
  <c r="BR47" i="22"/>
  <c r="ET47" i="22"/>
  <c r="GH47" i="22"/>
  <c r="CN55" i="23"/>
  <c r="CZ55" i="23"/>
  <c r="DL55" i="23"/>
  <c r="ED55" i="23"/>
  <c r="II55" i="23"/>
  <c r="DK55" i="23"/>
  <c r="GG47" i="22"/>
  <c r="CM55" i="23"/>
  <c r="CY55" i="23"/>
  <c r="EC55" i="23"/>
  <c r="IH55" i="23"/>
  <c r="BP47" i="22"/>
  <c r="ER47" i="22"/>
  <c r="GE47" i="22"/>
  <c r="GF47" i="22"/>
  <c r="CL55" i="23"/>
  <c r="CX55" i="23"/>
  <c r="IG55" i="23"/>
  <c r="CK55" i="23"/>
  <c r="CW55" i="23"/>
  <c r="IF55" i="23"/>
  <c r="BN47" i="22"/>
  <c r="EP47" i="22"/>
  <c r="GC47" i="22"/>
  <c r="GD47" i="22"/>
  <c r="CJ55" i="23"/>
  <c r="CV55" i="23"/>
  <c r="DH55" i="23"/>
  <c r="DZ55" i="23"/>
  <c r="IE55" i="23"/>
  <c r="DG55" i="23"/>
  <c r="CI55" i="23"/>
  <c r="CU55" i="23"/>
  <c r="DY55" i="23"/>
  <c r="ID55" i="23"/>
  <c r="CH55" i="23"/>
  <c r="CT55" i="23"/>
  <c r="DF55" i="23"/>
  <c r="DX55" i="23"/>
  <c r="IC55" i="23"/>
  <c r="DE55" i="23"/>
  <c r="CG55" i="23"/>
  <c r="CS55" i="23"/>
  <c r="DW55" i="23"/>
  <c r="IB55" i="23"/>
  <c r="CF55" i="23"/>
  <c r="CR55" i="23"/>
  <c r="IA55" i="23"/>
  <c r="CE55" i="23"/>
  <c r="CQ55" i="23"/>
  <c r="HZ55" i="23"/>
  <c r="CD55" i="23"/>
  <c r="CP55" i="23"/>
  <c r="DB55" i="23"/>
  <c r="DT55" i="23"/>
  <c r="HY55" i="23"/>
  <c r="DA55" i="23"/>
  <c r="CC55" i="23"/>
  <c r="CO55" i="23"/>
  <c r="DS55" i="23"/>
  <c r="HX55" i="23"/>
  <c r="AC47" i="22"/>
  <c r="CJ47" i="22"/>
  <c r="CK47" i="22"/>
  <c r="CI44" i="21"/>
  <c r="FH55" i="23"/>
  <c r="HW55" i="23"/>
  <c r="FG55" i="23"/>
  <c r="HV55" i="23"/>
  <c r="AB47" i="22"/>
  <c r="CH47" i="22"/>
  <c r="CI47" i="22"/>
  <c r="FF55" i="23"/>
  <c r="HU55" i="23"/>
  <c r="FE55" i="23"/>
  <c r="HT55" i="23"/>
  <c r="AA47" i="22"/>
  <c r="CF47" i="22"/>
  <c r="CG47" i="22"/>
  <c r="FD55" i="23"/>
  <c r="HS55" i="23"/>
  <c r="FC55" i="23"/>
  <c r="HR55" i="23"/>
  <c r="CH44" i="21"/>
  <c r="FB55" i="23"/>
  <c r="HQ55" i="23"/>
  <c r="FA55" i="23"/>
  <c r="HP55" i="23"/>
  <c r="EZ55" i="23"/>
  <c r="HO55" i="23"/>
  <c r="EY55" i="23"/>
  <c r="HN55" i="23"/>
  <c r="EX55" i="23"/>
  <c r="HM55" i="23"/>
  <c r="EW55" i="23"/>
  <c r="HL55" i="23"/>
  <c r="CG44" i="21"/>
  <c r="EV55" i="23"/>
  <c r="HK55" i="23"/>
  <c r="EU55" i="23"/>
  <c r="HJ55" i="23"/>
  <c r="ET55" i="23"/>
  <c r="HI55" i="23"/>
  <c r="ES55" i="23"/>
  <c r="HH55" i="23"/>
  <c r="ER55" i="23"/>
  <c r="HG55" i="23"/>
  <c r="EQ55" i="23"/>
  <c r="HF55" i="23"/>
  <c r="CF44" i="21"/>
  <c r="EP55" i="23"/>
  <c r="HE55" i="23"/>
  <c r="EO55" i="23"/>
  <c r="HD55" i="23"/>
  <c r="EN55" i="23"/>
  <c r="HC55" i="23"/>
  <c r="EM55" i="23"/>
  <c r="HB55" i="23"/>
  <c r="EL55" i="23"/>
  <c r="HA55" i="23"/>
  <c r="EK55" i="23"/>
  <c r="GZ55" i="23"/>
  <c r="CE44" i="21"/>
  <c r="EJ55" i="23"/>
  <c r="GY55" i="23"/>
  <c r="EI55" i="23"/>
  <c r="GX55" i="23"/>
  <c r="EH55" i="23"/>
  <c r="GW55" i="23"/>
  <c r="EG55" i="23"/>
  <c r="GV55" i="23"/>
  <c r="EF55" i="23"/>
  <c r="GU55" i="23"/>
  <c r="EE55" i="23"/>
  <c r="GT55" i="23"/>
  <c r="DL46" i="22"/>
  <c r="DR46" i="22"/>
  <c r="EF47" i="22"/>
  <c r="BP55" i="23"/>
  <c r="GS55" i="23"/>
  <c r="DQ46" i="22"/>
  <c r="EE47" i="22"/>
  <c r="BO55" i="23"/>
  <c r="GR55" i="23"/>
  <c r="ED47" i="22"/>
  <c r="BN55" i="23"/>
  <c r="GQ55" i="23"/>
  <c r="EC47" i="22"/>
  <c r="BM55" i="23"/>
  <c r="GP55" i="23"/>
  <c r="EB47" i="22"/>
  <c r="BL55" i="23"/>
  <c r="GO55" i="23"/>
  <c r="EA47" i="22"/>
  <c r="BK55" i="23"/>
  <c r="GN55" i="23"/>
  <c r="AZ47" i="22"/>
  <c r="BA47" i="22"/>
  <c r="AL55" i="23"/>
  <c r="AX55" i="23"/>
  <c r="BJ55" i="23"/>
  <c r="CB55" i="23"/>
  <c r="GM55" i="23"/>
  <c r="BI55" i="23"/>
  <c r="AK55" i="23"/>
  <c r="AW55" i="23"/>
  <c r="CA55" i="23"/>
  <c r="GL55" i="23"/>
  <c r="S47" i="22"/>
  <c r="AX47" i="22"/>
  <c r="AY47" i="22"/>
  <c r="AJ55" i="23"/>
  <c r="AV55" i="23"/>
  <c r="BH55" i="23"/>
  <c r="BZ55" i="23"/>
  <c r="GK55" i="23"/>
  <c r="BG55" i="23"/>
  <c r="AI55" i="23"/>
  <c r="AU55" i="23"/>
  <c r="BY55" i="23"/>
  <c r="GJ55" i="23"/>
  <c r="AV47" i="22"/>
  <c r="AW47" i="22"/>
  <c r="AH55" i="23"/>
  <c r="AT55" i="23"/>
  <c r="BF55" i="23"/>
  <c r="BX55" i="23"/>
  <c r="GI55" i="23"/>
  <c r="BE55" i="23"/>
  <c r="AG55" i="23"/>
  <c r="AS55" i="23"/>
  <c r="BW55" i="23"/>
  <c r="GH55" i="23"/>
  <c r="AF55" i="23"/>
  <c r="AR55" i="23"/>
  <c r="BD55" i="23"/>
  <c r="BV55" i="23"/>
  <c r="GG55" i="23"/>
  <c r="BC55" i="23"/>
  <c r="AE55" i="23"/>
  <c r="AQ55" i="23"/>
  <c r="BU55" i="23"/>
  <c r="GF55" i="23"/>
  <c r="AD55" i="23"/>
  <c r="AP55" i="23"/>
  <c r="BB55" i="23"/>
  <c r="BT55" i="23"/>
  <c r="GE55" i="23"/>
  <c r="BA55" i="23"/>
  <c r="AC55" i="23"/>
  <c r="AO55" i="23"/>
  <c r="BS55" i="23"/>
  <c r="GD55" i="23"/>
  <c r="AB55" i="23"/>
  <c r="AN55" i="23"/>
  <c r="AZ55" i="23"/>
  <c r="BR55" i="23"/>
  <c r="GC55" i="23"/>
  <c r="AY55" i="23"/>
  <c r="AA55" i="23"/>
  <c r="AM55" i="23"/>
  <c r="BQ55" i="23"/>
  <c r="GB55" i="23"/>
  <c r="AH47" i="22"/>
  <c r="AI47" i="22"/>
  <c r="N55" i="23"/>
  <c r="Z55" i="23"/>
  <c r="GA55" i="23"/>
  <c r="M55" i="23"/>
  <c r="Y55" i="23"/>
  <c r="FZ55" i="23"/>
  <c r="AF47" i="22"/>
  <c r="AG47" i="22"/>
  <c r="L55" i="23"/>
  <c r="X55" i="23"/>
  <c r="FY55" i="23"/>
  <c r="K55" i="23"/>
  <c r="W55" i="23"/>
  <c r="FX55" i="23"/>
  <c r="AD47" i="22"/>
  <c r="AE47" i="22"/>
  <c r="J55" i="23"/>
  <c r="V55" i="23"/>
  <c r="FW55" i="23"/>
  <c r="I55" i="23"/>
  <c r="U55" i="23"/>
  <c r="FV55" i="23"/>
  <c r="H55" i="23"/>
  <c r="T55" i="23"/>
  <c r="FU55" i="23"/>
  <c r="G55" i="23"/>
  <c r="S55" i="23"/>
  <c r="FT55" i="23"/>
  <c r="F55" i="23"/>
  <c r="R55" i="23"/>
  <c r="FS55" i="23"/>
  <c r="E55" i="23"/>
  <c r="Q55" i="23"/>
  <c r="FR55" i="23"/>
  <c r="D55" i="23"/>
  <c r="P55" i="23"/>
  <c r="FQ55" i="23"/>
  <c r="C55" i="23"/>
  <c r="O55" i="23"/>
  <c r="FP55" i="23"/>
  <c r="F37" i="22"/>
  <c r="CM37" i="22"/>
  <c r="CT37" i="22"/>
  <c r="CY37" i="22"/>
  <c r="FF37" i="22"/>
  <c r="FG37" i="22"/>
  <c r="FN37" i="22"/>
  <c r="FT37" i="22"/>
  <c r="GV46" i="22"/>
  <c r="DR54" i="23"/>
  <c r="IO54" i="23"/>
  <c r="FM37" i="22"/>
  <c r="FS37" i="22"/>
  <c r="GU46" i="22"/>
  <c r="DQ54" i="23"/>
  <c r="IN54" i="23"/>
  <c r="IM54" i="23"/>
  <c r="IL54" i="23"/>
  <c r="CW45" i="22"/>
  <c r="FB45" i="22"/>
  <c r="FC45" i="22"/>
  <c r="FX45" i="22"/>
  <c r="GR46" i="22"/>
  <c r="GT46" i="22"/>
  <c r="DN54" i="23"/>
  <c r="IK54" i="23"/>
  <c r="FV45" i="22"/>
  <c r="GQ46" i="22"/>
  <c r="GS46" i="22"/>
  <c r="DM54" i="23"/>
  <c r="IJ54" i="23"/>
  <c r="BR46" i="22"/>
  <c r="ET46" i="22"/>
  <c r="GH46" i="22"/>
  <c r="CN54" i="23"/>
  <c r="CZ54" i="23"/>
  <c r="DL54" i="23"/>
  <c r="ED54" i="23"/>
  <c r="II54" i="23"/>
  <c r="DK54" i="23"/>
  <c r="GG46" i="22"/>
  <c r="CM54" i="23"/>
  <c r="CY54" i="23"/>
  <c r="EC54" i="23"/>
  <c r="IH54" i="23"/>
  <c r="BP46" i="22"/>
  <c r="ER46" i="22"/>
  <c r="GE46" i="22"/>
  <c r="GF46" i="22"/>
  <c r="CL54" i="23"/>
  <c r="CX54" i="23"/>
  <c r="IG54" i="23"/>
  <c r="CK54" i="23"/>
  <c r="CW54" i="23"/>
  <c r="IF54" i="23"/>
  <c r="BN46" i="22"/>
  <c r="EP46" i="22"/>
  <c r="GC46" i="22"/>
  <c r="GD46" i="22"/>
  <c r="CJ54" i="23"/>
  <c r="CV54" i="23"/>
  <c r="DH54" i="23"/>
  <c r="DZ54" i="23"/>
  <c r="IE54" i="23"/>
  <c r="DG54" i="23"/>
  <c r="CI54" i="23"/>
  <c r="CU54" i="23"/>
  <c r="DY54" i="23"/>
  <c r="ID54" i="23"/>
  <c r="CH54" i="23"/>
  <c r="CT54" i="23"/>
  <c r="DF54" i="23"/>
  <c r="DX54" i="23"/>
  <c r="IC54" i="23"/>
  <c r="DE54" i="23"/>
  <c r="CG54" i="23"/>
  <c r="CS54" i="23"/>
  <c r="DW54" i="23"/>
  <c r="IB54" i="23"/>
  <c r="CF54" i="23"/>
  <c r="CR54" i="23"/>
  <c r="IA54" i="23"/>
  <c r="CE54" i="23"/>
  <c r="CQ54" i="23"/>
  <c r="HZ54" i="23"/>
  <c r="CD54" i="23"/>
  <c r="CP54" i="23"/>
  <c r="DB54" i="23"/>
  <c r="DT54" i="23"/>
  <c r="HY54" i="23"/>
  <c r="DA54" i="23"/>
  <c r="CC54" i="23"/>
  <c r="CO54" i="23"/>
  <c r="DS54" i="23"/>
  <c r="HX54" i="23"/>
  <c r="AC46" i="22"/>
  <c r="CJ46" i="22"/>
  <c r="CK46" i="22"/>
  <c r="CI43" i="21"/>
  <c r="FH54" i="23"/>
  <c r="HW54" i="23"/>
  <c r="FG54" i="23"/>
  <c r="HV54" i="23"/>
  <c r="AB46" i="22"/>
  <c r="CH46" i="22"/>
  <c r="CI46" i="22"/>
  <c r="FF54" i="23"/>
  <c r="HU54" i="23"/>
  <c r="FE54" i="23"/>
  <c r="HT54" i="23"/>
  <c r="AA46" i="22"/>
  <c r="CF46" i="22"/>
  <c r="CG46" i="22"/>
  <c r="FD54" i="23"/>
  <c r="HS54" i="23"/>
  <c r="FC54" i="23"/>
  <c r="HR54" i="23"/>
  <c r="CH43" i="21"/>
  <c r="FB54" i="23"/>
  <c r="HQ54" i="23"/>
  <c r="FA54" i="23"/>
  <c r="HP54" i="23"/>
  <c r="EZ54" i="23"/>
  <c r="HO54" i="23"/>
  <c r="EY54" i="23"/>
  <c r="HN54" i="23"/>
  <c r="EX54" i="23"/>
  <c r="HM54" i="23"/>
  <c r="EW54" i="23"/>
  <c r="HL54" i="23"/>
  <c r="CG43" i="21"/>
  <c r="EV54" i="23"/>
  <c r="HK54" i="23"/>
  <c r="EU54" i="23"/>
  <c r="HJ54" i="23"/>
  <c r="ET54" i="23"/>
  <c r="HI54" i="23"/>
  <c r="ES54" i="23"/>
  <c r="HH54" i="23"/>
  <c r="ER54" i="23"/>
  <c r="HG54" i="23"/>
  <c r="EQ54" i="23"/>
  <c r="HF54" i="23"/>
  <c r="CF43" i="21"/>
  <c r="EP54" i="23"/>
  <c r="HE54" i="23"/>
  <c r="EO54" i="23"/>
  <c r="HD54" i="23"/>
  <c r="EN54" i="23"/>
  <c r="HC54" i="23"/>
  <c r="EM54" i="23"/>
  <c r="HB54" i="23"/>
  <c r="EL54" i="23"/>
  <c r="HA54" i="23"/>
  <c r="EK54" i="23"/>
  <c r="GZ54" i="23"/>
  <c r="CE43" i="21"/>
  <c r="EJ54" i="23"/>
  <c r="GY54" i="23"/>
  <c r="EI54" i="23"/>
  <c r="GX54" i="23"/>
  <c r="EH54" i="23"/>
  <c r="GW54" i="23"/>
  <c r="EG54" i="23"/>
  <c r="GV54" i="23"/>
  <c r="EF54" i="23"/>
  <c r="GU54" i="23"/>
  <c r="EE54" i="23"/>
  <c r="GT54" i="23"/>
  <c r="DL45" i="22"/>
  <c r="DR45" i="22"/>
  <c r="EF46" i="22"/>
  <c r="BP54" i="23"/>
  <c r="GS54" i="23"/>
  <c r="DQ45" i="22"/>
  <c r="EE46" i="22"/>
  <c r="BO54" i="23"/>
  <c r="GR54" i="23"/>
  <c r="ED46" i="22"/>
  <c r="BN54" i="23"/>
  <c r="GQ54" i="23"/>
  <c r="EC46" i="22"/>
  <c r="BM54" i="23"/>
  <c r="GP54" i="23"/>
  <c r="EB46" i="22"/>
  <c r="BL54" i="23"/>
  <c r="GO54" i="23"/>
  <c r="EA46" i="22"/>
  <c r="BK54" i="23"/>
  <c r="GN54" i="23"/>
  <c r="AZ46" i="22"/>
  <c r="BA46" i="22"/>
  <c r="AL54" i="23"/>
  <c r="AX54" i="23"/>
  <c r="BJ54" i="23"/>
  <c r="CB54" i="23"/>
  <c r="GM54" i="23"/>
  <c r="BI54" i="23"/>
  <c r="AK54" i="23"/>
  <c r="AW54" i="23"/>
  <c r="CA54" i="23"/>
  <c r="GL54" i="23"/>
  <c r="S46" i="22"/>
  <c r="AX46" i="22"/>
  <c r="AY46" i="22"/>
  <c r="AJ54" i="23"/>
  <c r="AV54" i="23"/>
  <c r="BH54" i="23"/>
  <c r="BZ54" i="23"/>
  <c r="GK54" i="23"/>
  <c r="BG54" i="23"/>
  <c r="AI54" i="23"/>
  <c r="AU54" i="23"/>
  <c r="BY54" i="23"/>
  <c r="GJ54" i="23"/>
  <c r="AV46" i="22"/>
  <c r="AW46" i="22"/>
  <c r="AH54" i="23"/>
  <c r="AT54" i="23"/>
  <c r="BF54" i="23"/>
  <c r="BX54" i="23"/>
  <c r="GI54" i="23"/>
  <c r="BE54" i="23"/>
  <c r="AG54" i="23"/>
  <c r="AS54" i="23"/>
  <c r="BW54" i="23"/>
  <c r="GH54" i="23"/>
  <c r="AF54" i="23"/>
  <c r="AR54" i="23"/>
  <c r="BD54" i="23"/>
  <c r="BV54" i="23"/>
  <c r="GG54" i="23"/>
  <c r="BC54" i="23"/>
  <c r="AE54" i="23"/>
  <c r="AQ54" i="23"/>
  <c r="BU54" i="23"/>
  <c r="GF54" i="23"/>
  <c r="AD54" i="23"/>
  <c r="AP54" i="23"/>
  <c r="BB54" i="23"/>
  <c r="BT54" i="23"/>
  <c r="GE54" i="23"/>
  <c r="BA54" i="23"/>
  <c r="AC54" i="23"/>
  <c r="AO54" i="23"/>
  <c r="BS54" i="23"/>
  <c r="GD54" i="23"/>
  <c r="AB54" i="23"/>
  <c r="AN54" i="23"/>
  <c r="AZ54" i="23"/>
  <c r="BR54" i="23"/>
  <c r="GC54" i="23"/>
  <c r="AY54" i="23"/>
  <c r="AA54" i="23"/>
  <c r="AM54" i="23"/>
  <c r="BQ54" i="23"/>
  <c r="GB54" i="23"/>
  <c r="AH46" i="22"/>
  <c r="AI46" i="22"/>
  <c r="N54" i="23"/>
  <c r="Z54" i="23"/>
  <c r="GA54" i="23"/>
  <c r="M54" i="23"/>
  <c r="Y54" i="23"/>
  <c r="FZ54" i="23"/>
  <c r="AF46" i="22"/>
  <c r="AG46" i="22"/>
  <c r="L54" i="23"/>
  <c r="X54" i="23"/>
  <c r="FY54" i="23"/>
  <c r="K54" i="23"/>
  <c r="W54" i="23"/>
  <c r="FX54" i="23"/>
  <c r="AD46" i="22"/>
  <c r="AE46" i="22"/>
  <c r="J54" i="23"/>
  <c r="V54" i="23"/>
  <c r="FW54" i="23"/>
  <c r="I54" i="23"/>
  <c r="U54" i="23"/>
  <c r="FV54" i="23"/>
  <c r="H54" i="23"/>
  <c r="T54" i="23"/>
  <c r="FU54" i="23"/>
  <c r="G54" i="23"/>
  <c r="S54" i="23"/>
  <c r="FT54" i="23"/>
  <c r="F54" i="23"/>
  <c r="R54" i="23"/>
  <c r="FS54" i="23"/>
  <c r="E54" i="23"/>
  <c r="Q54" i="23"/>
  <c r="FR54" i="23"/>
  <c r="D54" i="23"/>
  <c r="P54" i="23"/>
  <c r="FQ54" i="23"/>
  <c r="C54" i="23"/>
  <c r="O54" i="23"/>
  <c r="FP54" i="23"/>
  <c r="F36" i="22"/>
  <c r="CM36" i="22"/>
  <c r="CT36" i="22"/>
  <c r="CY36" i="22"/>
  <c r="FF36" i="22"/>
  <c r="FG36" i="22"/>
  <c r="FN36" i="22"/>
  <c r="FT36" i="22"/>
  <c r="GV45" i="22"/>
  <c r="DR53" i="23"/>
  <c r="IO53" i="23"/>
  <c r="FM36" i="22"/>
  <c r="FS36" i="22"/>
  <c r="GU45" i="22"/>
  <c r="DQ53" i="23"/>
  <c r="IN53" i="23"/>
  <c r="IM53" i="23"/>
  <c r="IL53" i="23"/>
  <c r="CW44" i="22"/>
  <c r="FB44" i="22"/>
  <c r="FC44" i="22"/>
  <c r="FX44" i="22"/>
  <c r="GR45" i="22"/>
  <c r="GT45" i="22"/>
  <c r="DN53" i="23"/>
  <c r="IK53" i="23"/>
  <c r="FV44" i="22"/>
  <c r="GQ45" i="22"/>
  <c r="GS45" i="22"/>
  <c r="DM53" i="23"/>
  <c r="IJ53" i="23"/>
  <c r="BR45" i="22"/>
  <c r="ET45" i="22"/>
  <c r="GH45" i="22"/>
  <c r="CN53" i="23"/>
  <c r="CZ53" i="23"/>
  <c r="DL53" i="23"/>
  <c r="ED53" i="23"/>
  <c r="II53" i="23"/>
  <c r="DK53" i="23"/>
  <c r="GG45" i="22"/>
  <c r="CM53" i="23"/>
  <c r="CY53" i="23"/>
  <c r="EC53" i="23"/>
  <c r="IH53" i="23"/>
  <c r="BP45" i="22"/>
  <c r="ER45" i="22"/>
  <c r="GE45" i="22"/>
  <c r="GF45" i="22"/>
  <c r="CL53" i="23"/>
  <c r="CX53" i="23"/>
  <c r="IG53" i="23"/>
  <c r="CK53" i="23"/>
  <c r="CW53" i="23"/>
  <c r="IF53" i="23"/>
  <c r="BN45" i="22"/>
  <c r="EP45" i="22"/>
  <c r="GC45" i="22"/>
  <c r="GD45" i="22"/>
  <c r="CJ53" i="23"/>
  <c r="CV53" i="23"/>
  <c r="DH53" i="23"/>
  <c r="DZ53" i="23"/>
  <c r="IE53" i="23"/>
  <c r="DG53" i="23"/>
  <c r="CI53" i="23"/>
  <c r="CU53" i="23"/>
  <c r="DY53" i="23"/>
  <c r="ID53" i="23"/>
  <c r="CH53" i="23"/>
  <c r="CT53" i="23"/>
  <c r="DF53" i="23"/>
  <c r="DX53" i="23"/>
  <c r="IC53" i="23"/>
  <c r="DE53" i="23"/>
  <c r="CG53" i="23"/>
  <c r="CS53" i="23"/>
  <c r="DW53" i="23"/>
  <c r="IB53" i="23"/>
  <c r="CF53" i="23"/>
  <c r="CR53" i="23"/>
  <c r="IA53" i="23"/>
  <c r="CE53" i="23"/>
  <c r="CQ53" i="23"/>
  <c r="HZ53" i="23"/>
  <c r="CD53" i="23"/>
  <c r="CP53" i="23"/>
  <c r="DB53" i="23"/>
  <c r="DT53" i="23"/>
  <c r="HY53" i="23"/>
  <c r="DA53" i="23"/>
  <c r="CC53" i="23"/>
  <c r="CO53" i="23"/>
  <c r="DS53" i="23"/>
  <c r="HX53" i="23"/>
  <c r="AC45" i="22"/>
  <c r="CJ45" i="22"/>
  <c r="CK45" i="22"/>
  <c r="CI42" i="21"/>
  <c r="FH53" i="23"/>
  <c r="HW53" i="23"/>
  <c r="FG53" i="23"/>
  <c r="HV53" i="23"/>
  <c r="AB45" i="22"/>
  <c r="CH45" i="22"/>
  <c r="CI45" i="22"/>
  <c r="FF53" i="23"/>
  <c r="HU53" i="23"/>
  <c r="FE53" i="23"/>
  <c r="HT53" i="23"/>
  <c r="AA45" i="22"/>
  <c r="CF45" i="22"/>
  <c r="CG45" i="22"/>
  <c r="FD53" i="23"/>
  <c r="HS53" i="23"/>
  <c r="FC53" i="23"/>
  <c r="HR53" i="23"/>
  <c r="CH42" i="21"/>
  <c r="FB53" i="23"/>
  <c r="HQ53" i="23"/>
  <c r="FA53" i="23"/>
  <c r="HP53" i="23"/>
  <c r="EZ53" i="23"/>
  <c r="HO53" i="23"/>
  <c r="EY53" i="23"/>
  <c r="HN53" i="23"/>
  <c r="EX53" i="23"/>
  <c r="HM53" i="23"/>
  <c r="EW53" i="23"/>
  <c r="HL53" i="23"/>
  <c r="CG42" i="21"/>
  <c r="EV53" i="23"/>
  <c r="HK53" i="23"/>
  <c r="EU53" i="23"/>
  <c r="HJ53" i="23"/>
  <c r="ET53" i="23"/>
  <c r="HI53" i="23"/>
  <c r="ES53" i="23"/>
  <c r="HH53" i="23"/>
  <c r="ER53" i="23"/>
  <c r="HG53" i="23"/>
  <c r="EQ53" i="23"/>
  <c r="HF53" i="23"/>
  <c r="CF42" i="21"/>
  <c r="EP53" i="23"/>
  <c r="HE53" i="23"/>
  <c r="EO53" i="23"/>
  <c r="HD53" i="23"/>
  <c r="EN53" i="23"/>
  <c r="HC53" i="23"/>
  <c r="EM53" i="23"/>
  <c r="HB53" i="23"/>
  <c r="EL53" i="23"/>
  <c r="HA53" i="23"/>
  <c r="EK53" i="23"/>
  <c r="GZ53" i="23"/>
  <c r="CE42" i="21"/>
  <c r="EJ53" i="23"/>
  <c r="GY53" i="23"/>
  <c r="EI53" i="23"/>
  <c r="GX53" i="23"/>
  <c r="EH53" i="23"/>
  <c r="GW53" i="23"/>
  <c r="EG53" i="23"/>
  <c r="GV53" i="23"/>
  <c r="EF53" i="23"/>
  <c r="GU53" i="23"/>
  <c r="EE53" i="23"/>
  <c r="GT53" i="23"/>
  <c r="DL44" i="22"/>
  <c r="DR44" i="22"/>
  <c r="EF45" i="22"/>
  <c r="BP53" i="23"/>
  <c r="GS53" i="23"/>
  <c r="DQ44" i="22"/>
  <c r="EE45" i="22"/>
  <c r="BO53" i="23"/>
  <c r="GR53" i="23"/>
  <c r="ED45" i="22"/>
  <c r="BN53" i="23"/>
  <c r="GQ53" i="23"/>
  <c r="EC45" i="22"/>
  <c r="BM53" i="23"/>
  <c r="GP53" i="23"/>
  <c r="EB45" i="22"/>
  <c r="BL53" i="23"/>
  <c r="GO53" i="23"/>
  <c r="EA45" i="22"/>
  <c r="BK53" i="23"/>
  <c r="GN53" i="23"/>
  <c r="AZ45" i="22"/>
  <c r="BA45" i="22"/>
  <c r="AL53" i="23"/>
  <c r="AX53" i="23"/>
  <c r="BJ53" i="23"/>
  <c r="CB53" i="23"/>
  <c r="GM53" i="23"/>
  <c r="BI53" i="23"/>
  <c r="AK53" i="23"/>
  <c r="AW53" i="23"/>
  <c r="CA53" i="23"/>
  <c r="GL53" i="23"/>
  <c r="S45" i="22"/>
  <c r="AX45" i="22"/>
  <c r="AY45" i="22"/>
  <c r="AJ53" i="23"/>
  <c r="AV53" i="23"/>
  <c r="BH53" i="23"/>
  <c r="BZ53" i="23"/>
  <c r="GK53" i="23"/>
  <c r="BG53" i="23"/>
  <c r="AI53" i="23"/>
  <c r="AU53" i="23"/>
  <c r="BY53" i="23"/>
  <c r="GJ53" i="23"/>
  <c r="AV45" i="22"/>
  <c r="AW45" i="22"/>
  <c r="AH53" i="23"/>
  <c r="AT53" i="23"/>
  <c r="BF53" i="23"/>
  <c r="BX53" i="23"/>
  <c r="GI53" i="23"/>
  <c r="BE53" i="23"/>
  <c r="AG53" i="23"/>
  <c r="AS53" i="23"/>
  <c r="BW53" i="23"/>
  <c r="GH53" i="23"/>
  <c r="AF53" i="23"/>
  <c r="AR53" i="23"/>
  <c r="BD53" i="23"/>
  <c r="BV53" i="23"/>
  <c r="GG53" i="23"/>
  <c r="BC53" i="23"/>
  <c r="AE53" i="23"/>
  <c r="AQ53" i="23"/>
  <c r="BU53" i="23"/>
  <c r="GF53" i="23"/>
  <c r="AD53" i="23"/>
  <c r="AP53" i="23"/>
  <c r="BB53" i="23"/>
  <c r="BT53" i="23"/>
  <c r="GE53" i="23"/>
  <c r="BA53" i="23"/>
  <c r="AC53" i="23"/>
  <c r="AO53" i="23"/>
  <c r="BS53" i="23"/>
  <c r="GD53" i="23"/>
  <c r="AB53" i="23"/>
  <c r="AN53" i="23"/>
  <c r="AZ53" i="23"/>
  <c r="BR53" i="23"/>
  <c r="GC53" i="23"/>
  <c r="AY53" i="23"/>
  <c r="AA53" i="23"/>
  <c r="AM53" i="23"/>
  <c r="BQ53" i="23"/>
  <c r="GB53" i="23"/>
  <c r="AH45" i="22"/>
  <c r="AI45" i="22"/>
  <c r="N53" i="23"/>
  <c r="Z53" i="23"/>
  <c r="GA53" i="23"/>
  <c r="M53" i="23"/>
  <c r="Y53" i="23"/>
  <c r="FZ53" i="23"/>
  <c r="AF45" i="22"/>
  <c r="AG45" i="22"/>
  <c r="L53" i="23"/>
  <c r="X53" i="23"/>
  <c r="FY53" i="23"/>
  <c r="K53" i="23"/>
  <c r="W53" i="23"/>
  <c r="FX53" i="23"/>
  <c r="AD45" i="22"/>
  <c r="AE45" i="22"/>
  <c r="J53" i="23"/>
  <c r="V53" i="23"/>
  <c r="FW53" i="23"/>
  <c r="I53" i="23"/>
  <c r="U53" i="23"/>
  <c r="FV53" i="23"/>
  <c r="H53" i="23"/>
  <c r="T53" i="23"/>
  <c r="FU53" i="23"/>
  <c r="G53" i="23"/>
  <c r="S53" i="23"/>
  <c r="FT53" i="23"/>
  <c r="F53" i="23"/>
  <c r="R53" i="23"/>
  <c r="FS53" i="23"/>
  <c r="E53" i="23"/>
  <c r="Q53" i="23"/>
  <c r="FR53" i="23"/>
  <c r="D53" i="23"/>
  <c r="P53" i="23"/>
  <c r="FQ53" i="23"/>
  <c r="C53" i="23"/>
  <c r="O53" i="23"/>
  <c r="FP53" i="23"/>
  <c r="F35" i="22"/>
  <c r="CM35" i="22"/>
  <c r="CT35" i="22"/>
  <c r="CY35" i="22"/>
  <c r="FF35" i="22"/>
  <c r="FG35" i="22"/>
  <c r="FN35" i="22"/>
  <c r="FT35" i="22"/>
  <c r="GV44" i="22"/>
  <c r="DR52" i="23"/>
  <c r="IO52" i="23"/>
  <c r="FM35" i="22"/>
  <c r="FS35" i="22"/>
  <c r="GU44" i="22"/>
  <c r="DQ52" i="23"/>
  <c r="IN52" i="23"/>
  <c r="IM52" i="23"/>
  <c r="IL52" i="23"/>
  <c r="CW43" i="22"/>
  <c r="FB43" i="22"/>
  <c r="FC43" i="22"/>
  <c r="FX43" i="22"/>
  <c r="GR44" i="22"/>
  <c r="GT44" i="22"/>
  <c r="DN52" i="23"/>
  <c r="IK52" i="23"/>
  <c r="FV43" i="22"/>
  <c r="GQ44" i="22"/>
  <c r="GS44" i="22"/>
  <c r="DM52" i="23"/>
  <c r="IJ52" i="23"/>
  <c r="BR44" i="22"/>
  <c r="ET44" i="22"/>
  <c r="GH44" i="22"/>
  <c r="CN52" i="23"/>
  <c r="CZ52" i="23"/>
  <c r="DL52" i="23"/>
  <c r="ED52" i="23"/>
  <c r="II52" i="23"/>
  <c r="DK52" i="23"/>
  <c r="GG44" i="22"/>
  <c r="CM52" i="23"/>
  <c r="CY52" i="23"/>
  <c r="EC52" i="23"/>
  <c r="IH52" i="23"/>
  <c r="BP44" i="22"/>
  <c r="ER44" i="22"/>
  <c r="GE44" i="22"/>
  <c r="GF44" i="22"/>
  <c r="CL52" i="23"/>
  <c r="CX52" i="23"/>
  <c r="IG52" i="23"/>
  <c r="CK52" i="23"/>
  <c r="CW52" i="23"/>
  <c r="IF52" i="23"/>
  <c r="BN44" i="22"/>
  <c r="EP44" i="22"/>
  <c r="GC44" i="22"/>
  <c r="GD44" i="22"/>
  <c r="CJ52" i="23"/>
  <c r="CV52" i="23"/>
  <c r="DH52" i="23"/>
  <c r="DZ52" i="23"/>
  <c r="IE52" i="23"/>
  <c r="DG52" i="23"/>
  <c r="CI52" i="23"/>
  <c r="CU52" i="23"/>
  <c r="DY52" i="23"/>
  <c r="ID52" i="23"/>
  <c r="CH52" i="23"/>
  <c r="CT52" i="23"/>
  <c r="DF52" i="23"/>
  <c r="DX52" i="23"/>
  <c r="IC52" i="23"/>
  <c r="DE52" i="23"/>
  <c r="CG52" i="23"/>
  <c r="CS52" i="23"/>
  <c r="DW52" i="23"/>
  <c r="IB52" i="23"/>
  <c r="CF52" i="23"/>
  <c r="CR52" i="23"/>
  <c r="IA52" i="23"/>
  <c r="CE52" i="23"/>
  <c r="CQ52" i="23"/>
  <c r="HZ52" i="23"/>
  <c r="CD52" i="23"/>
  <c r="CP52" i="23"/>
  <c r="DB52" i="23"/>
  <c r="DT52" i="23"/>
  <c r="HY52" i="23"/>
  <c r="DA52" i="23"/>
  <c r="CC52" i="23"/>
  <c r="CO52" i="23"/>
  <c r="DS52" i="23"/>
  <c r="HX52" i="23"/>
  <c r="AC44" i="22"/>
  <c r="CJ44" i="22"/>
  <c r="CK44" i="22"/>
  <c r="CI41" i="21"/>
  <c r="FH52" i="23"/>
  <c r="HW52" i="23"/>
  <c r="FG52" i="23"/>
  <c r="HV52" i="23"/>
  <c r="AB44" i="22"/>
  <c r="CH44" i="22"/>
  <c r="CI44" i="22"/>
  <c r="FF52" i="23"/>
  <c r="HU52" i="23"/>
  <c r="FE52" i="23"/>
  <c r="HT52" i="23"/>
  <c r="AA44" i="22"/>
  <c r="CF44" i="22"/>
  <c r="CG44" i="22"/>
  <c r="FD52" i="23"/>
  <c r="HS52" i="23"/>
  <c r="FC52" i="23"/>
  <c r="HR52" i="23"/>
  <c r="CH41" i="21"/>
  <c r="FB52" i="23"/>
  <c r="HQ52" i="23"/>
  <c r="FA52" i="23"/>
  <c r="HP52" i="23"/>
  <c r="EZ52" i="23"/>
  <c r="HO52" i="23"/>
  <c r="EY52" i="23"/>
  <c r="HN52" i="23"/>
  <c r="EX52" i="23"/>
  <c r="HM52" i="23"/>
  <c r="EW52" i="23"/>
  <c r="HL52" i="23"/>
  <c r="CG41" i="21"/>
  <c r="EV52" i="23"/>
  <c r="HK52" i="23"/>
  <c r="EU52" i="23"/>
  <c r="HJ52" i="23"/>
  <c r="ET52" i="23"/>
  <c r="HI52" i="23"/>
  <c r="ES52" i="23"/>
  <c r="HH52" i="23"/>
  <c r="ER52" i="23"/>
  <c r="HG52" i="23"/>
  <c r="EQ52" i="23"/>
  <c r="HF52" i="23"/>
  <c r="CF41" i="21"/>
  <c r="EP52" i="23"/>
  <c r="HE52" i="23"/>
  <c r="EO52" i="23"/>
  <c r="HD52" i="23"/>
  <c r="EN52" i="23"/>
  <c r="HC52" i="23"/>
  <c r="EM52" i="23"/>
  <c r="HB52" i="23"/>
  <c r="EL52" i="23"/>
  <c r="HA52" i="23"/>
  <c r="EK52" i="23"/>
  <c r="GZ52" i="23"/>
  <c r="CE41" i="21"/>
  <c r="EJ52" i="23"/>
  <c r="GY52" i="23"/>
  <c r="EI52" i="23"/>
  <c r="GX52" i="23"/>
  <c r="EH52" i="23"/>
  <c r="GW52" i="23"/>
  <c r="EG52" i="23"/>
  <c r="GV52" i="23"/>
  <c r="EF52" i="23"/>
  <c r="GU52" i="23"/>
  <c r="EE52" i="23"/>
  <c r="GT52" i="23"/>
  <c r="DL43" i="22"/>
  <c r="DR43" i="22"/>
  <c r="EF44" i="22"/>
  <c r="BP52" i="23"/>
  <c r="GS52" i="23"/>
  <c r="DQ43" i="22"/>
  <c r="EE44" i="22"/>
  <c r="BO52" i="23"/>
  <c r="GR52" i="23"/>
  <c r="ED44" i="22"/>
  <c r="BN52" i="23"/>
  <c r="GQ52" i="23"/>
  <c r="EC44" i="22"/>
  <c r="BM52" i="23"/>
  <c r="GP52" i="23"/>
  <c r="EB44" i="22"/>
  <c r="BL52" i="23"/>
  <c r="GO52" i="23"/>
  <c r="EA44" i="22"/>
  <c r="BK52" i="23"/>
  <c r="GN52" i="23"/>
  <c r="AZ44" i="22"/>
  <c r="BA44" i="22"/>
  <c r="AL52" i="23"/>
  <c r="AX52" i="23"/>
  <c r="BJ52" i="23"/>
  <c r="CB52" i="23"/>
  <c r="GM52" i="23"/>
  <c r="BI52" i="23"/>
  <c r="AK52" i="23"/>
  <c r="AW52" i="23"/>
  <c r="CA52" i="23"/>
  <c r="GL52" i="23"/>
  <c r="S44" i="22"/>
  <c r="AX44" i="22"/>
  <c r="AY44" i="22"/>
  <c r="AJ52" i="23"/>
  <c r="AV52" i="23"/>
  <c r="BH52" i="23"/>
  <c r="BZ52" i="23"/>
  <c r="GK52" i="23"/>
  <c r="BG52" i="23"/>
  <c r="AI52" i="23"/>
  <c r="AU52" i="23"/>
  <c r="BY52" i="23"/>
  <c r="GJ52" i="23"/>
  <c r="AV44" i="22"/>
  <c r="AW44" i="22"/>
  <c r="AH52" i="23"/>
  <c r="AT52" i="23"/>
  <c r="BF52" i="23"/>
  <c r="BX52" i="23"/>
  <c r="GI52" i="23"/>
  <c r="BE52" i="23"/>
  <c r="AG52" i="23"/>
  <c r="AS52" i="23"/>
  <c r="BW52" i="23"/>
  <c r="GH52" i="23"/>
  <c r="AF52" i="23"/>
  <c r="AR52" i="23"/>
  <c r="BD52" i="23"/>
  <c r="BV52" i="23"/>
  <c r="GG52" i="23"/>
  <c r="BC52" i="23"/>
  <c r="AE52" i="23"/>
  <c r="AQ52" i="23"/>
  <c r="BU52" i="23"/>
  <c r="GF52" i="23"/>
  <c r="AD52" i="23"/>
  <c r="AP52" i="23"/>
  <c r="BB52" i="23"/>
  <c r="BT52" i="23"/>
  <c r="GE52" i="23"/>
  <c r="BA52" i="23"/>
  <c r="AC52" i="23"/>
  <c r="AO52" i="23"/>
  <c r="BS52" i="23"/>
  <c r="GD52" i="23"/>
  <c r="AB52" i="23"/>
  <c r="AN52" i="23"/>
  <c r="AZ52" i="23"/>
  <c r="BR52" i="23"/>
  <c r="GC52" i="23"/>
  <c r="AY52" i="23"/>
  <c r="AA52" i="23"/>
  <c r="AM52" i="23"/>
  <c r="BQ52" i="23"/>
  <c r="GB52" i="23"/>
  <c r="AH44" i="22"/>
  <c r="AI44" i="22"/>
  <c r="N52" i="23"/>
  <c r="Z52" i="23"/>
  <c r="GA52" i="23"/>
  <c r="M52" i="23"/>
  <c r="Y52" i="23"/>
  <c r="FZ52" i="23"/>
  <c r="AF44" i="22"/>
  <c r="AG44" i="22"/>
  <c r="L52" i="23"/>
  <c r="X52" i="23"/>
  <c r="FY52" i="23"/>
  <c r="K52" i="23"/>
  <c r="W52" i="23"/>
  <c r="FX52" i="23"/>
  <c r="AD44" i="22"/>
  <c r="AE44" i="22"/>
  <c r="J52" i="23"/>
  <c r="V52" i="23"/>
  <c r="FW52" i="23"/>
  <c r="I52" i="23"/>
  <c r="U52" i="23"/>
  <c r="FV52" i="23"/>
  <c r="H52" i="23"/>
  <c r="T52" i="23"/>
  <c r="FU52" i="23"/>
  <c r="G52" i="23"/>
  <c r="S52" i="23"/>
  <c r="FT52" i="23"/>
  <c r="F52" i="23"/>
  <c r="R52" i="23"/>
  <c r="FS52" i="23"/>
  <c r="E52" i="23"/>
  <c r="Q52" i="23"/>
  <c r="FR52" i="23"/>
  <c r="D52" i="23"/>
  <c r="P52" i="23"/>
  <c r="FQ52" i="23"/>
  <c r="C52" i="23"/>
  <c r="O52" i="23"/>
  <c r="FP52" i="23"/>
  <c r="F34" i="22"/>
  <c r="CM34" i="22"/>
  <c r="CT34" i="22"/>
  <c r="CY34" i="22"/>
  <c r="FF34" i="22"/>
  <c r="FG34" i="22"/>
  <c r="FN34" i="22"/>
  <c r="FT34" i="22"/>
  <c r="GV43" i="22"/>
  <c r="DR51" i="23"/>
  <c r="IO51" i="23"/>
  <c r="FM34" i="22"/>
  <c r="FS34" i="22"/>
  <c r="GU43" i="22"/>
  <c r="DQ51" i="23"/>
  <c r="IN51" i="23"/>
  <c r="IM51" i="23"/>
  <c r="IL51" i="23"/>
  <c r="CW42" i="22"/>
  <c r="FB42" i="22"/>
  <c r="FC42" i="22"/>
  <c r="FX42" i="22"/>
  <c r="GR43" i="22"/>
  <c r="GT43" i="22"/>
  <c r="DN51" i="23"/>
  <c r="IK51" i="23"/>
  <c r="FV42" i="22"/>
  <c r="GQ43" i="22"/>
  <c r="GS43" i="22"/>
  <c r="DM51" i="23"/>
  <c r="IJ51" i="23"/>
  <c r="BR43" i="22"/>
  <c r="ET43" i="22"/>
  <c r="GH43" i="22"/>
  <c r="CN51" i="23"/>
  <c r="CZ51" i="23"/>
  <c r="DL51" i="23"/>
  <c r="ED51" i="23"/>
  <c r="II51" i="23"/>
  <c r="DK51" i="23"/>
  <c r="GG43" i="22"/>
  <c r="CM51" i="23"/>
  <c r="CY51" i="23"/>
  <c r="EC51" i="23"/>
  <c r="IH51" i="23"/>
  <c r="BP43" i="22"/>
  <c r="ER43" i="22"/>
  <c r="GE43" i="22"/>
  <c r="GF43" i="22"/>
  <c r="CL51" i="23"/>
  <c r="CX51" i="23"/>
  <c r="IG51" i="23"/>
  <c r="CK51" i="23"/>
  <c r="CW51" i="23"/>
  <c r="IF51" i="23"/>
  <c r="BN43" i="22"/>
  <c r="EP43" i="22"/>
  <c r="GC43" i="22"/>
  <c r="GD43" i="22"/>
  <c r="CJ51" i="23"/>
  <c r="CV51" i="23"/>
  <c r="DH51" i="23"/>
  <c r="DZ51" i="23"/>
  <c r="IE51" i="23"/>
  <c r="DG51" i="23"/>
  <c r="CI51" i="23"/>
  <c r="CU51" i="23"/>
  <c r="DY51" i="23"/>
  <c r="ID51" i="23"/>
  <c r="CH51" i="23"/>
  <c r="CT51" i="23"/>
  <c r="DF51" i="23"/>
  <c r="DX51" i="23"/>
  <c r="IC51" i="23"/>
  <c r="DE51" i="23"/>
  <c r="CG51" i="23"/>
  <c r="CS51" i="23"/>
  <c r="DW51" i="23"/>
  <c r="IB51" i="23"/>
  <c r="CF51" i="23"/>
  <c r="CR51" i="23"/>
  <c r="IA51" i="23"/>
  <c r="CE51" i="23"/>
  <c r="CQ51" i="23"/>
  <c r="HZ51" i="23"/>
  <c r="CD51" i="23"/>
  <c r="CP51" i="23"/>
  <c r="DB51" i="23"/>
  <c r="DT51" i="23"/>
  <c r="HY51" i="23"/>
  <c r="DA51" i="23"/>
  <c r="CC51" i="23"/>
  <c r="CO51" i="23"/>
  <c r="DS51" i="23"/>
  <c r="HX51" i="23"/>
  <c r="AC43" i="22"/>
  <c r="CJ43" i="22"/>
  <c r="CK43" i="22"/>
  <c r="CI40" i="21"/>
  <c r="FH51" i="23"/>
  <c r="HW51" i="23"/>
  <c r="FG51" i="23"/>
  <c r="HV51" i="23"/>
  <c r="AB43" i="22"/>
  <c r="CH43" i="22"/>
  <c r="CI43" i="22"/>
  <c r="FF51" i="23"/>
  <c r="HU51" i="23"/>
  <c r="FE51" i="23"/>
  <c r="HT51" i="23"/>
  <c r="AA43" i="22"/>
  <c r="CF43" i="22"/>
  <c r="CG43" i="22"/>
  <c r="FD51" i="23"/>
  <c r="HS51" i="23"/>
  <c r="FC51" i="23"/>
  <c r="HR51" i="23"/>
  <c r="CH40" i="21"/>
  <c r="FB51" i="23"/>
  <c r="HQ51" i="23"/>
  <c r="FA51" i="23"/>
  <c r="HP51" i="23"/>
  <c r="EZ51" i="23"/>
  <c r="HO51" i="23"/>
  <c r="EY51" i="23"/>
  <c r="HN51" i="23"/>
  <c r="EX51" i="23"/>
  <c r="HM51" i="23"/>
  <c r="EW51" i="23"/>
  <c r="HL51" i="23"/>
  <c r="CG40" i="21"/>
  <c r="EV51" i="23"/>
  <c r="HK51" i="23"/>
  <c r="EU51" i="23"/>
  <c r="HJ51" i="23"/>
  <c r="ET51" i="23"/>
  <c r="HI51" i="23"/>
  <c r="ES51" i="23"/>
  <c r="HH51" i="23"/>
  <c r="ER51" i="23"/>
  <c r="HG51" i="23"/>
  <c r="EQ51" i="23"/>
  <c r="HF51" i="23"/>
  <c r="CF40" i="21"/>
  <c r="EP51" i="23"/>
  <c r="HE51" i="23"/>
  <c r="EO51" i="23"/>
  <c r="HD51" i="23"/>
  <c r="EN51" i="23"/>
  <c r="HC51" i="23"/>
  <c r="EM51" i="23"/>
  <c r="HB51" i="23"/>
  <c r="EL51" i="23"/>
  <c r="HA51" i="23"/>
  <c r="EK51" i="23"/>
  <c r="GZ51" i="23"/>
  <c r="CE40" i="21"/>
  <c r="EJ51" i="23"/>
  <c r="GY51" i="23"/>
  <c r="EI51" i="23"/>
  <c r="GX51" i="23"/>
  <c r="EH51" i="23"/>
  <c r="GW51" i="23"/>
  <c r="EG51" i="23"/>
  <c r="GV51" i="23"/>
  <c r="EF51" i="23"/>
  <c r="GU51" i="23"/>
  <c r="EE51" i="23"/>
  <c r="GT51" i="23"/>
  <c r="DL42" i="22"/>
  <c r="DR42" i="22"/>
  <c r="EF43" i="22"/>
  <c r="BP51" i="23"/>
  <c r="GS51" i="23"/>
  <c r="DQ42" i="22"/>
  <c r="EE43" i="22"/>
  <c r="BO51" i="23"/>
  <c r="GR51" i="23"/>
  <c r="ED43" i="22"/>
  <c r="BN51" i="23"/>
  <c r="GQ51" i="23"/>
  <c r="EC43" i="22"/>
  <c r="BM51" i="23"/>
  <c r="GP51" i="23"/>
  <c r="EB43" i="22"/>
  <c r="BL51" i="23"/>
  <c r="GO51" i="23"/>
  <c r="EA43" i="22"/>
  <c r="BK51" i="23"/>
  <c r="GN51" i="23"/>
  <c r="AZ43" i="22"/>
  <c r="BA43" i="22"/>
  <c r="AL51" i="23"/>
  <c r="AX51" i="23"/>
  <c r="BJ51" i="23"/>
  <c r="CB51" i="23"/>
  <c r="GM51" i="23"/>
  <c r="BI51" i="23"/>
  <c r="AK51" i="23"/>
  <c r="AW51" i="23"/>
  <c r="CA51" i="23"/>
  <c r="GL51" i="23"/>
  <c r="S43" i="22"/>
  <c r="AX43" i="22"/>
  <c r="AY43" i="22"/>
  <c r="AJ51" i="23"/>
  <c r="AV51" i="23"/>
  <c r="BH51" i="23"/>
  <c r="BZ51" i="23"/>
  <c r="GK51" i="23"/>
  <c r="BG51" i="23"/>
  <c r="AI51" i="23"/>
  <c r="AU51" i="23"/>
  <c r="BY51" i="23"/>
  <c r="GJ51" i="23"/>
  <c r="AV43" i="22"/>
  <c r="AW43" i="22"/>
  <c r="AH51" i="23"/>
  <c r="AT51" i="23"/>
  <c r="BF51" i="23"/>
  <c r="BX51" i="23"/>
  <c r="GI51" i="23"/>
  <c r="BE51" i="23"/>
  <c r="AG51" i="23"/>
  <c r="AS51" i="23"/>
  <c r="BW51" i="23"/>
  <c r="GH51" i="23"/>
  <c r="AF51" i="23"/>
  <c r="AR51" i="23"/>
  <c r="BD51" i="23"/>
  <c r="BV51" i="23"/>
  <c r="GG51" i="23"/>
  <c r="BC51" i="23"/>
  <c r="AE51" i="23"/>
  <c r="AQ51" i="23"/>
  <c r="BU51" i="23"/>
  <c r="GF51" i="23"/>
  <c r="AD51" i="23"/>
  <c r="AP51" i="23"/>
  <c r="BB51" i="23"/>
  <c r="BT51" i="23"/>
  <c r="GE51" i="23"/>
  <c r="BA51" i="23"/>
  <c r="AC51" i="23"/>
  <c r="AO51" i="23"/>
  <c r="BS51" i="23"/>
  <c r="GD51" i="23"/>
  <c r="AB51" i="23"/>
  <c r="AN51" i="23"/>
  <c r="AZ51" i="23"/>
  <c r="BR51" i="23"/>
  <c r="GC51" i="23"/>
  <c r="AY51" i="23"/>
  <c r="AA51" i="23"/>
  <c r="AM51" i="23"/>
  <c r="BQ51" i="23"/>
  <c r="GB51" i="23"/>
  <c r="AH43" i="22"/>
  <c r="AI43" i="22"/>
  <c r="N51" i="23"/>
  <c r="Z51" i="23"/>
  <c r="GA51" i="23"/>
  <c r="M51" i="23"/>
  <c r="Y51" i="23"/>
  <c r="FZ51" i="23"/>
  <c r="AF43" i="22"/>
  <c r="AG43" i="22"/>
  <c r="L51" i="23"/>
  <c r="X51" i="23"/>
  <c r="FY51" i="23"/>
  <c r="K51" i="23"/>
  <c r="W51" i="23"/>
  <c r="FX51" i="23"/>
  <c r="AD43" i="22"/>
  <c r="AE43" i="22"/>
  <c r="J51" i="23"/>
  <c r="V51" i="23"/>
  <c r="FW51" i="23"/>
  <c r="I51" i="23"/>
  <c r="U51" i="23"/>
  <c r="FV51" i="23"/>
  <c r="H51" i="23"/>
  <c r="T51" i="23"/>
  <c r="FU51" i="23"/>
  <c r="G51" i="23"/>
  <c r="S51" i="23"/>
  <c r="FT51" i="23"/>
  <c r="F51" i="23"/>
  <c r="R51" i="23"/>
  <c r="FS51" i="23"/>
  <c r="E51" i="23"/>
  <c r="Q51" i="23"/>
  <c r="FR51" i="23"/>
  <c r="D51" i="23"/>
  <c r="P51" i="23"/>
  <c r="FQ51" i="23"/>
  <c r="C51" i="23"/>
  <c r="O51" i="23"/>
  <c r="FP51" i="23"/>
  <c r="F33" i="22"/>
  <c r="CM33" i="22"/>
  <c r="CT33" i="22"/>
  <c r="CY33" i="22"/>
  <c r="FF33" i="22"/>
  <c r="FG33" i="22"/>
  <c r="FN33" i="22"/>
  <c r="FT33" i="22"/>
  <c r="GV42" i="22"/>
  <c r="DR50" i="23"/>
  <c r="IO50" i="23"/>
  <c r="FM33" i="22"/>
  <c r="FS33" i="22"/>
  <c r="GU42" i="22"/>
  <c r="DQ50" i="23"/>
  <c r="IN50" i="23"/>
  <c r="IM50" i="23"/>
  <c r="IL50" i="23"/>
  <c r="CW41" i="22"/>
  <c r="FB41" i="22"/>
  <c r="FC41" i="22"/>
  <c r="FX41" i="22"/>
  <c r="GR42" i="22"/>
  <c r="GT42" i="22"/>
  <c r="DN50" i="23"/>
  <c r="IK50" i="23"/>
  <c r="FV41" i="22"/>
  <c r="GQ42" i="22"/>
  <c r="GS42" i="22"/>
  <c r="DM50" i="23"/>
  <c r="IJ50" i="23"/>
  <c r="BR42" i="22"/>
  <c r="ET42" i="22"/>
  <c r="GH42" i="22"/>
  <c r="CN50" i="23"/>
  <c r="CZ50" i="23"/>
  <c r="DL50" i="23"/>
  <c r="ED50" i="23"/>
  <c r="II50" i="23"/>
  <c r="DK50" i="23"/>
  <c r="GG42" i="22"/>
  <c r="CM50" i="23"/>
  <c r="CY50" i="23"/>
  <c r="EC50" i="23"/>
  <c r="IH50" i="23"/>
  <c r="BP42" i="22"/>
  <c r="ER42" i="22"/>
  <c r="GE42" i="22"/>
  <c r="GF42" i="22"/>
  <c r="CL50" i="23"/>
  <c r="CX50" i="23"/>
  <c r="IG50" i="23"/>
  <c r="CK50" i="23"/>
  <c r="CW50" i="23"/>
  <c r="IF50" i="23"/>
  <c r="BN42" i="22"/>
  <c r="EP42" i="22"/>
  <c r="GC42" i="22"/>
  <c r="GD42" i="22"/>
  <c r="CJ50" i="23"/>
  <c r="CV50" i="23"/>
  <c r="DH50" i="23"/>
  <c r="DZ50" i="23"/>
  <c r="IE50" i="23"/>
  <c r="DG50" i="23"/>
  <c r="CI50" i="23"/>
  <c r="CU50" i="23"/>
  <c r="DY50" i="23"/>
  <c r="ID50" i="23"/>
  <c r="CH50" i="23"/>
  <c r="CT50" i="23"/>
  <c r="DF50" i="23"/>
  <c r="DX50" i="23"/>
  <c r="IC50" i="23"/>
  <c r="DE50" i="23"/>
  <c r="CG50" i="23"/>
  <c r="CS50" i="23"/>
  <c r="DW50" i="23"/>
  <c r="IB50" i="23"/>
  <c r="CF50" i="23"/>
  <c r="CR50" i="23"/>
  <c r="IA50" i="23"/>
  <c r="CE50" i="23"/>
  <c r="CQ50" i="23"/>
  <c r="HZ50" i="23"/>
  <c r="CD50" i="23"/>
  <c r="CP50" i="23"/>
  <c r="DB50" i="23"/>
  <c r="DT50" i="23"/>
  <c r="HY50" i="23"/>
  <c r="DA50" i="23"/>
  <c r="CC50" i="23"/>
  <c r="CO50" i="23"/>
  <c r="DS50" i="23"/>
  <c r="HX50" i="23"/>
  <c r="AC42" i="22"/>
  <c r="CJ42" i="22"/>
  <c r="CK42" i="22"/>
  <c r="CI39" i="21"/>
  <c r="FH50" i="23"/>
  <c r="HW50" i="23"/>
  <c r="FG50" i="23"/>
  <c r="HV50" i="23"/>
  <c r="AB42" i="22"/>
  <c r="CH42" i="22"/>
  <c r="CI42" i="22"/>
  <c r="FF50" i="23"/>
  <c r="HU50" i="23"/>
  <c r="FE50" i="23"/>
  <c r="HT50" i="23"/>
  <c r="AA42" i="22"/>
  <c r="CF42" i="22"/>
  <c r="CG42" i="22"/>
  <c r="FD50" i="23"/>
  <c r="HS50" i="23"/>
  <c r="FC50" i="23"/>
  <c r="HR50" i="23"/>
  <c r="CH39" i="21"/>
  <c r="FB50" i="23"/>
  <c r="HQ50" i="23"/>
  <c r="FA50" i="23"/>
  <c r="HP50" i="23"/>
  <c r="EZ50" i="23"/>
  <c r="HO50" i="23"/>
  <c r="EY50" i="23"/>
  <c r="HN50" i="23"/>
  <c r="EX50" i="23"/>
  <c r="HM50" i="23"/>
  <c r="EW50" i="23"/>
  <c r="HL50" i="23"/>
  <c r="CG39" i="21"/>
  <c r="EV50" i="23"/>
  <c r="HK50" i="23"/>
  <c r="EU50" i="23"/>
  <c r="HJ50" i="23"/>
  <c r="ET50" i="23"/>
  <c r="HI50" i="23"/>
  <c r="ES50" i="23"/>
  <c r="HH50" i="23"/>
  <c r="ER50" i="23"/>
  <c r="HG50" i="23"/>
  <c r="EQ50" i="23"/>
  <c r="HF50" i="23"/>
  <c r="CF39" i="21"/>
  <c r="EP50" i="23"/>
  <c r="HE50" i="23"/>
  <c r="EO50" i="23"/>
  <c r="HD50" i="23"/>
  <c r="EN50" i="23"/>
  <c r="HC50" i="23"/>
  <c r="EM50" i="23"/>
  <c r="HB50" i="23"/>
  <c r="EL50" i="23"/>
  <c r="HA50" i="23"/>
  <c r="EK50" i="23"/>
  <c r="GZ50" i="23"/>
  <c r="CE39" i="21"/>
  <c r="EJ50" i="23"/>
  <c r="GY50" i="23"/>
  <c r="EI50" i="23"/>
  <c r="GX50" i="23"/>
  <c r="EH50" i="23"/>
  <c r="GW50" i="23"/>
  <c r="EG50" i="23"/>
  <c r="GV50" i="23"/>
  <c r="EF50" i="23"/>
  <c r="GU50" i="23"/>
  <c r="EE50" i="23"/>
  <c r="GT50" i="23"/>
  <c r="DL41" i="22"/>
  <c r="DR41" i="22"/>
  <c r="EF42" i="22"/>
  <c r="BP50" i="23"/>
  <c r="GS50" i="23"/>
  <c r="DQ41" i="22"/>
  <c r="EE42" i="22"/>
  <c r="BO50" i="23"/>
  <c r="GR50" i="23"/>
  <c r="ED42" i="22"/>
  <c r="BN50" i="23"/>
  <c r="GQ50" i="23"/>
  <c r="EC42" i="22"/>
  <c r="BM50" i="23"/>
  <c r="GP50" i="23"/>
  <c r="EB42" i="22"/>
  <c r="BL50" i="23"/>
  <c r="GO50" i="23"/>
  <c r="EA42" i="22"/>
  <c r="BK50" i="23"/>
  <c r="GN50" i="23"/>
  <c r="AZ42" i="22"/>
  <c r="BA42" i="22"/>
  <c r="AL50" i="23"/>
  <c r="AX50" i="23"/>
  <c r="BJ50" i="23"/>
  <c r="CB50" i="23"/>
  <c r="GM50" i="23"/>
  <c r="BI50" i="23"/>
  <c r="AK50" i="23"/>
  <c r="AW50" i="23"/>
  <c r="CA50" i="23"/>
  <c r="GL50" i="23"/>
  <c r="S42" i="22"/>
  <c r="AX42" i="22"/>
  <c r="AY42" i="22"/>
  <c r="AJ50" i="23"/>
  <c r="AV50" i="23"/>
  <c r="BH50" i="23"/>
  <c r="BZ50" i="23"/>
  <c r="GK50" i="23"/>
  <c r="BG50" i="23"/>
  <c r="AI50" i="23"/>
  <c r="AU50" i="23"/>
  <c r="BY50" i="23"/>
  <c r="GJ50" i="23"/>
  <c r="AV42" i="22"/>
  <c r="AW42" i="22"/>
  <c r="AH50" i="23"/>
  <c r="AT50" i="23"/>
  <c r="BF50" i="23"/>
  <c r="BX50" i="23"/>
  <c r="GI50" i="23"/>
  <c r="BE50" i="23"/>
  <c r="AG50" i="23"/>
  <c r="AS50" i="23"/>
  <c r="BW50" i="23"/>
  <c r="GH50" i="23"/>
  <c r="AF50" i="23"/>
  <c r="AR50" i="23"/>
  <c r="BD50" i="23"/>
  <c r="BV50" i="23"/>
  <c r="GG50" i="23"/>
  <c r="BC50" i="23"/>
  <c r="AE50" i="23"/>
  <c r="AQ50" i="23"/>
  <c r="BU50" i="23"/>
  <c r="GF50" i="23"/>
  <c r="AD50" i="23"/>
  <c r="AP50" i="23"/>
  <c r="BB50" i="23"/>
  <c r="BT50" i="23"/>
  <c r="GE50" i="23"/>
  <c r="BA50" i="23"/>
  <c r="AC50" i="23"/>
  <c r="AO50" i="23"/>
  <c r="BS50" i="23"/>
  <c r="GD50" i="23"/>
  <c r="AB50" i="23"/>
  <c r="AN50" i="23"/>
  <c r="AZ50" i="23"/>
  <c r="BR50" i="23"/>
  <c r="GC50" i="23"/>
  <c r="AY50" i="23"/>
  <c r="AA50" i="23"/>
  <c r="AM50" i="23"/>
  <c r="BQ50" i="23"/>
  <c r="GB50" i="23"/>
  <c r="AH42" i="22"/>
  <c r="AI42" i="22"/>
  <c r="N50" i="23"/>
  <c r="Z50" i="23"/>
  <c r="GA50" i="23"/>
  <c r="M50" i="23"/>
  <c r="Y50" i="23"/>
  <c r="FZ50" i="23"/>
  <c r="AF42" i="22"/>
  <c r="AG42" i="22"/>
  <c r="L50" i="23"/>
  <c r="X50" i="23"/>
  <c r="FY50" i="23"/>
  <c r="K50" i="23"/>
  <c r="W50" i="23"/>
  <c r="FX50" i="23"/>
  <c r="AD42" i="22"/>
  <c r="AE42" i="22"/>
  <c r="J50" i="23"/>
  <c r="V50" i="23"/>
  <c r="FW50" i="23"/>
  <c r="I50" i="23"/>
  <c r="U50" i="23"/>
  <c r="FV50" i="23"/>
  <c r="H50" i="23"/>
  <c r="T50" i="23"/>
  <c r="FU50" i="23"/>
  <c r="G50" i="23"/>
  <c r="S50" i="23"/>
  <c r="FT50" i="23"/>
  <c r="F50" i="23"/>
  <c r="R50" i="23"/>
  <c r="FS50" i="23"/>
  <c r="E50" i="23"/>
  <c r="Q50" i="23"/>
  <c r="FR50" i="23"/>
  <c r="D50" i="23"/>
  <c r="P50" i="23"/>
  <c r="FQ50" i="23"/>
  <c r="C50" i="23"/>
  <c r="O50" i="23"/>
  <c r="FP50" i="23"/>
  <c r="F32" i="22"/>
  <c r="CM32" i="22"/>
  <c r="CT32" i="22"/>
  <c r="CY32" i="22"/>
  <c r="FF32" i="22"/>
  <c r="FG32" i="22"/>
  <c r="FN32" i="22"/>
  <c r="FT32" i="22"/>
  <c r="GV41" i="22"/>
  <c r="DR49" i="23"/>
  <c r="IO49" i="23"/>
  <c r="FM32" i="22"/>
  <c r="FS32" i="22"/>
  <c r="GU41" i="22"/>
  <c r="DQ49" i="23"/>
  <c r="IN49" i="23"/>
  <c r="IM49" i="23"/>
  <c r="IL49" i="23"/>
  <c r="CW40" i="22"/>
  <c r="FB40" i="22"/>
  <c r="FC40" i="22"/>
  <c r="FX40" i="22"/>
  <c r="GR41" i="22"/>
  <c r="GT41" i="22"/>
  <c r="DN49" i="23"/>
  <c r="IK49" i="23"/>
  <c r="FV40" i="22"/>
  <c r="GQ41" i="22"/>
  <c r="GS41" i="22"/>
  <c r="DM49" i="23"/>
  <c r="IJ49" i="23"/>
  <c r="BR41" i="22"/>
  <c r="ET41" i="22"/>
  <c r="GH41" i="22"/>
  <c r="CN49" i="23"/>
  <c r="CZ49" i="23"/>
  <c r="DL49" i="23"/>
  <c r="ED49" i="23"/>
  <c r="II49" i="23"/>
  <c r="DK49" i="23"/>
  <c r="GG41" i="22"/>
  <c r="CM49" i="23"/>
  <c r="CY49" i="23"/>
  <c r="EC49" i="23"/>
  <c r="IH49" i="23"/>
  <c r="BP41" i="22"/>
  <c r="ER41" i="22"/>
  <c r="GE41" i="22"/>
  <c r="GF41" i="22"/>
  <c r="CL49" i="23"/>
  <c r="CX49" i="23"/>
  <c r="IG49" i="23"/>
  <c r="CK49" i="23"/>
  <c r="CW49" i="23"/>
  <c r="IF49" i="23"/>
  <c r="BN41" i="22"/>
  <c r="EP41" i="22"/>
  <c r="GC41" i="22"/>
  <c r="GD41" i="22"/>
  <c r="CJ49" i="23"/>
  <c r="CV49" i="23"/>
  <c r="DH49" i="23"/>
  <c r="DZ49" i="23"/>
  <c r="IE49" i="23"/>
  <c r="DG49" i="23"/>
  <c r="CI49" i="23"/>
  <c r="CU49" i="23"/>
  <c r="DY49" i="23"/>
  <c r="ID49" i="23"/>
  <c r="CH49" i="23"/>
  <c r="CT49" i="23"/>
  <c r="DF49" i="23"/>
  <c r="DX49" i="23"/>
  <c r="IC49" i="23"/>
  <c r="DE49" i="23"/>
  <c r="CG49" i="23"/>
  <c r="CS49" i="23"/>
  <c r="DW49" i="23"/>
  <c r="IB49" i="23"/>
  <c r="CF49" i="23"/>
  <c r="CR49" i="23"/>
  <c r="IA49" i="23"/>
  <c r="CE49" i="23"/>
  <c r="CQ49" i="23"/>
  <c r="HZ49" i="23"/>
  <c r="CD49" i="23"/>
  <c r="CP49" i="23"/>
  <c r="DB49" i="23"/>
  <c r="DT49" i="23"/>
  <c r="HY49" i="23"/>
  <c r="DA49" i="23"/>
  <c r="CC49" i="23"/>
  <c r="CO49" i="23"/>
  <c r="DS49" i="23"/>
  <c r="HX49" i="23"/>
  <c r="AC41" i="22"/>
  <c r="CJ41" i="22"/>
  <c r="CK41" i="22"/>
  <c r="CI38" i="21"/>
  <c r="FH49" i="23"/>
  <c r="HW49" i="23"/>
  <c r="FG49" i="23"/>
  <c r="HV49" i="23"/>
  <c r="AB41" i="22"/>
  <c r="CH41" i="22"/>
  <c r="CI41" i="22"/>
  <c r="FF49" i="23"/>
  <c r="HU49" i="23"/>
  <c r="FE49" i="23"/>
  <c r="HT49" i="23"/>
  <c r="AA41" i="22"/>
  <c r="CF41" i="22"/>
  <c r="CG41" i="22"/>
  <c r="FD49" i="23"/>
  <c r="HS49" i="23"/>
  <c r="FC49" i="23"/>
  <c r="HR49" i="23"/>
  <c r="CH38" i="21"/>
  <c r="FB49" i="23"/>
  <c r="HQ49" i="23"/>
  <c r="FA49" i="23"/>
  <c r="HP49" i="23"/>
  <c r="EZ49" i="23"/>
  <c r="HO49" i="23"/>
  <c r="EY49" i="23"/>
  <c r="HN49" i="23"/>
  <c r="EX49" i="23"/>
  <c r="HM49" i="23"/>
  <c r="EW49" i="23"/>
  <c r="HL49" i="23"/>
  <c r="CG38" i="21"/>
  <c r="EV49" i="23"/>
  <c r="HK49" i="23"/>
  <c r="EU49" i="23"/>
  <c r="HJ49" i="23"/>
  <c r="ET49" i="23"/>
  <c r="HI49" i="23"/>
  <c r="ES49" i="23"/>
  <c r="HH49" i="23"/>
  <c r="ER49" i="23"/>
  <c r="HG49" i="23"/>
  <c r="EQ49" i="23"/>
  <c r="HF49" i="23"/>
  <c r="CF38" i="21"/>
  <c r="EP49" i="23"/>
  <c r="HE49" i="23"/>
  <c r="EO49" i="23"/>
  <c r="HD49" i="23"/>
  <c r="EN49" i="23"/>
  <c r="HC49" i="23"/>
  <c r="EM49" i="23"/>
  <c r="HB49" i="23"/>
  <c r="EL49" i="23"/>
  <c r="HA49" i="23"/>
  <c r="EK49" i="23"/>
  <c r="GZ49" i="23"/>
  <c r="CE38" i="21"/>
  <c r="EJ49" i="23"/>
  <c r="GY49" i="23"/>
  <c r="EI49" i="23"/>
  <c r="GX49" i="23"/>
  <c r="EH49" i="23"/>
  <c r="GW49" i="23"/>
  <c r="EG49" i="23"/>
  <c r="GV49" i="23"/>
  <c r="EF49" i="23"/>
  <c r="GU49" i="23"/>
  <c r="EE49" i="23"/>
  <c r="GT49" i="23"/>
  <c r="DL40" i="22"/>
  <c r="DR40" i="22"/>
  <c r="EF41" i="22"/>
  <c r="BP49" i="23"/>
  <c r="GS49" i="23"/>
  <c r="DQ40" i="22"/>
  <c r="EE41" i="22"/>
  <c r="BO49" i="23"/>
  <c r="GR49" i="23"/>
  <c r="ED41" i="22"/>
  <c r="BN49" i="23"/>
  <c r="GQ49" i="23"/>
  <c r="EC41" i="22"/>
  <c r="BM49" i="23"/>
  <c r="GP49" i="23"/>
  <c r="EB41" i="22"/>
  <c r="BL49" i="23"/>
  <c r="GO49" i="23"/>
  <c r="EA41" i="22"/>
  <c r="BK49" i="23"/>
  <c r="GN49" i="23"/>
  <c r="AZ41" i="22"/>
  <c r="BA41" i="22"/>
  <c r="AL49" i="23"/>
  <c r="AX49" i="23"/>
  <c r="BJ49" i="23"/>
  <c r="CB49" i="23"/>
  <c r="GM49" i="23"/>
  <c r="BI49" i="23"/>
  <c r="AK49" i="23"/>
  <c r="AW49" i="23"/>
  <c r="CA49" i="23"/>
  <c r="GL49" i="23"/>
  <c r="S41" i="22"/>
  <c r="AX41" i="22"/>
  <c r="AY41" i="22"/>
  <c r="AJ49" i="23"/>
  <c r="AV49" i="23"/>
  <c r="BH49" i="23"/>
  <c r="BZ49" i="23"/>
  <c r="GK49" i="23"/>
  <c r="BG49" i="23"/>
  <c r="AI49" i="23"/>
  <c r="AU49" i="23"/>
  <c r="BY49" i="23"/>
  <c r="GJ49" i="23"/>
  <c r="AV41" i="22"/>
  <c r="AW41" i="22"/>
  <c r="AH49" i="23"/>
  <c r="AT49" i="23"/>
  <c r="BF49" i="23"/>
  <c r="BX49" i="23"/>
  <c r="GI49" i="23"/>
  <c r="BE49" i="23"/>
  <c r="AG49" i="23"/>
  <c r="AS49" i="23"/>
  <c r="BW49" i="23"/>
  <c r="GH49" i="23"/>
  <c r="AF49" i="23"/>
  <c r="AR49" i="23"/>
  <c r="BD49" i="23"/>
  <c r="BV49" i="23"/>
  <c r="GG49" i="23"/>
  <c r="BC49" i="23"/>
  <c r="AE49" i="23"/>
  <c r="AQ49" i="23"/>
  <c r="BU49" i="23"/>
  <c r="GF49" i="23"/>
  <c r="AD49" i="23"/>
  <c r="AP49" i="23"/>
  <c r="BB49" i="23"/>
  <c r="BT49" i="23"/>
  <c r="GE49" i="23"/>
  <c r="BA49" i="23"/>
  <c r="AC49" i="23"/>
  <c r="AO49" i="23"/>
  <c r="BS49" i="23"/>
  <c r="GD49" i="23"/>
  <c r="AB49" i="23"/>
  <c r="AN49" i="23"/>
  <c r="AZ49" i="23"/>
  <c r="BR49" i="23"/>
  <c r="GC49" i="23"/>
  <c r="AY49" i="23"/>
  <c r="AA49" i="23"/>
  <c r="AM49" i="23"/>
  <c r="BQ49" i="23"/>
  <c r="GB49" i="23"/>
  <c r="AH41" i="22"/>
  <c r="AI41" i="22"/>
  <c r="N49" i="23"/>
  <c r="Z49" i="23"/>
  <c r="GA49" i="23"/>
  <c r="M49" i="23"/>
  <c r="Y49" i="23"/>
  <c r="FZ49" i="23"/>
  <c r="AF41" i="22"/>
  <c r="AG41" i="22"/>
  <c r="L49" i="23"/>
  <c r="X49" i="23"/>
  <c r="FY49" i="23"/>
  <c r="K49" i="23"/>
  <c r="W49" i="23"/>
  <c r="FX49" i="23"/>
  <c r="AD41" i="22"/>
  <c r="AE41" i="22"/>
  <c r="J49" i="23"/>
  <c r="V49" i="23"/>
  <c r="FW49" i="23"/>
  <c r="I49" i="23"/>
  <c r="U49" i="23"/>
  <c r="FV49" i="23"/>
  <c r="H49" i="23"/>
  <c r="T49" i="23"/>
  <c r="FU49" i="23"/>
  <c r="G49" i="23"/>
  <c r="S49" i="23"/>
  <c r="FT49" i="23"/>
  <c r="F49" i="23"/>
  <c r="R49" i="23"/>
  <c r="FS49" i="23"/>
  <c r="E49" i="23"/>
  <c r="Q49" i="23"/>
  <c r="FR49" i="23"/>
  <c r="D49" i="23"/>
  <c r="P49" i="23"/>
  <c r="FQ49" i="23"/>
  <c r="C49" i="23"/>
  <c r="O49" i="23"/>
  <c r="FP49" i="23"/>
  <c r="F31" i="22"/>
  <c r="CM31" i="22"/>
  <c r="CT31" i="22"/>
  <c r="CY31" i="22"/>
  <c r="FF31" i="22"/>
  <c r="FG31" i="22"/>
  <c r="FN31" i="22"/>
  <c r="FT31" i="22"/>
  <c r="GV40" i="22"/>
  <c r="DR48" i="23"/>
  <c r="IO48" i="23"/>
  <c r="FM31" i="22"/>
  <c r="FS31" i="22"/>
  <c r="GU40" i="22"/>
  <c r="DQ48" i="23"/>
  <c r="IN48" i="23"/>
  <c r="IM48" i="23"/>
  <c r="IL48" i="23"/>
  <c r="CW39" i="22"/>
  <c r="FB39" i="22"/>
  <c r="FC39" i="22"/>
  <c r="FX39" i="22"/>
  <c r="GR40" i="22"/>
  <c r="GT40" i="22"/>
  <c r="DN48" i="23"/>
  <c r="IK48" i="23"/>
  <c r="FV39" i="22"/>
  <c r="GQ40" i="22"/>
  <c r="GS40" i="22"/>
  <c r="DM48" i="23"/>
  <c r="IJ48" i="23"/>
  <c r="BR40" i="22"/>
  <c r="ET40" i="22"/>
  <c r="GH40" i="22"/>
  <c r="CN48" i="23"/>
  <c r="CZ48" i="23"/>
  <c r="DL48" i="23"/>
  <c r="ED48" i="23"/>
  <c r="II48" i="23"/>
  <c r="DK48" i="23"/>
  <c r="GG40" i="22"/>
  <c r="CM48" i="23"/>
  <c r="CY48" i="23"/>
  <c r="EC48" i="23"/>
  <c r="IH48" i="23"/>
  <c r="BP40" i="22"/>
  <c r="ER40" i="22"/>
  <c r="GE40" i="22"/>
  <c r="GF40" i="22"/>
  <c r="CL48" i="23"/>
  <c r="CX48" i="23"/>
  <c r="IG48" i="23"/>
  <c r="CK48" i="23"/>
  <c r="CW48" i="23"/>
  <c r="IF48" i="23"/>
  <c r="BN40" i="22"/>
  <c r="EP40" i="22"/>
  <c r="GC40" i="22"/>
  <c r="GD40" i="22"/>
  <c r="CJ48" i="23"/>
  <c r="CV48" i="23"/>
  <c r="DH48" i="23"/>
  <c r="DZ48" i="23"/>
  <c r="IE48" i="23"/>
  <c r="DG48" i="23"/>
  <c r="CI48" i="23"/>
  <c r="CU48" i="23"/>
  <c r="DY48" i="23"/>
  <c r="ID48" i="23"/>
  <c r="CH48" i="23"/>
  <c r="CT48" i="23"/>
  <c r="DF48" i="23"/>
  <c r="DX48" i="23"/>
  <c r="IC48" i="23"/>
  <c r="DE48" i="23"/>
  <c r="CG48" i="23"/>
  <c r="CS48" i="23"/>
  <c r="DW48" i="23"/>
  <c r="IB48" i="23"/>
  <c r="CF48" i="23"/>
  <c r="CR48" i="23"/>
  <c r="IA48" i="23"/>
  <c r="CE48" i="23"/>
  <c r="CQ48" i="23"/>
  <c r="HZ48" i="23"/>
  <c r="CD48" i="23"/>
  <c r="CP48" i="23"/>
  <c r="DB48" i="23"/>
  <c r="DT48" i="23"/>
  <c r="HY48" i="23"/>
  <c r="DA48" i="23"/>
  <c r="CC48" i="23"/>
  <c r="CO48" i="23"/>
  <c r="DS48" i="23"/>
  <c r="HX48" i="23"/>
  <c r="AC40" i="22"/>
  <c r="CJ40" i="22"/>
  <c r="CK40" i="22"/>
  <c r="CI37" i="21"/>
  <c r="FH48" i="23"/>
  <c r="HW48" i="23"/>
  <c r="FG48" i="23"/>
  <c r="HV48" i="23"/>
  <c r="AB40" i="22"/>
  <c r="CH40" i="22"/>
  <c r="CI40" i="22"/>
  <c r="FF48" i="23"/>
  <c r="HU48" i="23"/>
  <c r="FE48" i="23"/>
  <c r="HT48" i="23"/>
  <c r="AA40" i="22"/>
  <c r="CF40" i="22"/>
  <c r="CG40" i="22"/>
  <c r="FD48" i="23"/>
  <c r="HS48" i="23"/>
  <c r="FC48" i="23"/>
  <c r="HR48" i="23"/>
  <c r="CH37" i="21"/>
  <c r="FB48" i="23"/>
  <c r="HQ48" i="23"/>
  <c r="FA48" i="23"/>
  <c r="HP48" i="23"/>
  <c r="EZ48" i="23"/>
  <c r="HO48" i="23"/>
  <c r="EY48" i="23"/>
  <c r="HN48" i="23"/>
  <c r="EX48" i="23"/>
  <c r="HM48" i="23"/>
  <c r="EW48" i="23"/>
  <c r="HL48" i="23"/>
  <c r="CG37" i="21"/>
  <c r="EV48" i="23"/>
  <c r="HK48" i="23"/>
  <c r="EU48" i="23"/>
  <c r="HJ48" i="23"/>
  <c r="ET48" i="23"/>
  <c r="HI48" i="23"/>
  <c r="ES48" i="23"/>
  <c r="HH48" i="23"/>
  <c r="ER48" i="23"/>
  <c r="HG48" i="23"/>
  <c r="EQ48" i="23"/>
  <c r="HF48" i="23"/>
  <c r="CF37" i="21"/>
  <c r="EP48" i="23"/>
  <c r="HE48" i="23"/>
  <c r="EO48" i="23"/>
  <c r="HD48" i="23"/>
  <c r="EN48" i="23"/>
  <c r="HC48" i="23"/>
  <c r="EM48" i="23"/>
  <c r="HB48" i="23"/>
  <c r="EL48" i="23"/>
  <c r="HA48" i="23"/>
  <c r="EK48" i="23"/>
  <c r="GZ48" i="23"/>
  <c r="CE37" i="21"/>
  <c r="EJ48" i="23"/>
  <c r="GY48" i="23"/>
  <c r="EI48" i="23"/>
  <c r="GX48" i="23"/>
  <c r="EH48" i="23"/>
  <c r="GW48" i="23"/>
  <c r="EG48" i="23"/>
  <c r="GV48" i="23"/>
  <c r="EF48" i="23"/>
  <c r="GU48" i="23"/>
  <c r="EE48" i="23"/>
  <c r="GT48" i="23"/>
  <c r="DL39" i="22"/>
  <c r="DR39" i="22"/>
  <c r="EF40" i="22"/>
  <c r="BP48" i="23"/>
  <c r="GS48" i="23"/>
  <c r="DQ39" i="22"/>
  <c r="EE40" i="22"/>
  <c r="BO48" i="23"/>
  <c r="GR48" i="23"/>
  <c r="ED40" i="22"/>
  <c r="BN48" i="23"/>
  <c r="GQ48" i="23"/>
  <c r="EC40" i="22"/>
  <c r="BM48" i="23"/>
  <c r="GP48" i="23"/>
  <c r="EB40" i="22"/>
  <c r="BL48" i="23"/>
  <c r="GO48" i="23"/>
  <c r="EA40" i="22"/>
  <c r="BK48" i="23"/>
  <c r="GN48" i="23"/>
  <c r="AZ40" i="22"/>
  <c r="BA40" i="22"/>
  <c r="AL48" i="23"/>
  <c r="AX48" i="23"/>
  <c r="BJ48" i="23"/>
  <c r="CB48" i="23"/>
  <c r="GM48" i="23"/>
  <c r="BI48" i="23"/>
  <c r="AK48" i="23"/>
  <c r="AW48" i="23"/>
  <c r="CA48" i="23"/>
  <c r="GL48" i="23"/>
  <c r="S40" i="22"/>
  <c r="AX40" i="22"/>
  <c r="AY40" i="22"/>
  <c r="AJ48" i="23"/>
  <c r="AV48" i="23"/>
  <c r="BH48" i="23"/>
  <c r="BZ48" i="23"/>
  <c r="GK48" i="23"/>
  <c r="BG48" i="23"/>
  <c r="AI48" i="23"/>
  <c r="AU48" i="23"/>
  <c r="BY48" i="23"/>
  <c r="GJ48" i="23"/>
  <c r="AV40" i="22"/>
  <c r="AW40" i="22"/>
  <c r="AH48" i="23"/>
  <c r="AT48" i="23"/>
  <c r="BF48" i="23"/>
  <c r="BX48" i="23"/>
  <c r="GI48" i="23"/>
  <c r="BE48" i="23"/>
  <c r="AG48" i="23"/>
  <c r="AS48" i="23"/>
  <c r="BW48" i="23"/>
  <c r="GH48" i="23"/>
  <c r="AF48" i="23"/>
  <c r="AR48" i="23"/>
  <c r="BD48" i="23"/>
  <c r="BV48" i="23"/>
  <c r="GG48" i="23"/>
  <c r="BC48" i="23"/>
  <c r="AE48" i="23"/>
  <c r="AQ48" i="23"/>
  <c r="BU48" i="23"/>
  <c r="GF48" i="23"/>
  <c r="AD48" i="23"/>
  <c r="AP48" i="23"/>
  <c r="BB48" i="23"/>
  <c r="BT48" i="23"/>
  <c r="GE48" i="23"/>
  <c r="BA48" i="23"/>
  <c r="AC48" i="23"/>
  <c r="AO48" i="23"/>
  <c r="BS48" i="23"/>
  <c r="GD48" i="23"/>
  <c r="AB48" i="23"/>
  <c r="AN48" i="23"/>
  <c r="AZ48" i="23"/>
  <c r="BR48" i="23"/>
  <c r="GC48" i="23"/>
  <c r="AY48" i="23"/>
  <c r="AA48" i="23"/>
  <c r="AM48" i="23"/>
  <c r="BQ48" i="23"/>
  <c r="GB48" i="23"/>
  <c r="AH40" i="22"/>
  <c r="AI40" i="22"/>
  <c r="N48" i="23"/>
  <c r="Z48" i="23"/>
  <c r="GA48" i="23"/>
  <c r="M48" i="23"/>
  <c r="Y48" i="23"/>
  <c r="FZ48" i="23"/>
  <c r="AF40" i="22"/>
  <c r="AG40" i="22"/>
  <c r="L48" i="23"/>
  <c r="X48" i="23"/>
  <c r="FY48" i="23"/>
  <c r="K48" i="23"/>
  <c r="W48" i="23"/>
  <c r="FX48" i="23"/>
  <c r="AD40" i="22"/>
  <c r="AE40" i="22"/>
  <c r="J48" i="23"/>
  <c r="V48" i="23"/>
  <c r="FW48" i="23"/>
  <c r="I48" i="23"/>
  <c r="U48" i="23"/>
  <c r="FV48" i="23"/>
  <c r="H48" i="23"/>
  <c r="T48" i="23"/>
  <c r="FU48" i="23"/>
  <c r="G48" i="23"/>
  <c r="S48" i="23"/>
  <c r="FT48" i="23"/>
  <c r="F48" i="23"/>
  <c r="R48" i="23"/>
  <c r="FS48" i="23"/>
  <c r="E48" i="23"/>
  <c r="Q48" i="23"/>
  <c r="FR48" i="23"/>
  <c r="D48" i="23"/>
  <c r="P48" i="23"/>
  <c r="FQ48" i="23"/>
  <c r="C48" i="23"/>
  <c r="O48" i="23"/>
  <c r="FP48" i="23"/>
  <c r="F30" i="22"/>
  <c r="CM30" i="22"/>
  <c r="CT30" i="22"/>
  <c r="CY30" i="22"/>
  <c r="FF30" i="22"/>
  <c r="FG30" i="22"/>
  <c r="FN30" i="22"/>
  <c r="FT30" i="22"/>
  <c r="GV39" i="22"/>
  <c r="DR47" i="23"/>
  <c r="IO47" i="23"/>
  <c r="FM30" i="22"/>
  <c r="FS30" i="22"/>
  <c r="GU39" i="22"/>
  <c r="DQ47" i="23"/>
  <c r="IN47" i="23"/>
  <c r="IM47" i="23"/>
  <c r="IL47" i="23"/>
  <c r="CW38" i="22"/>
  <c r="FB38" i="22"/>
  <c r="FC38" i="22"/>
  <c r="FX38" i="22"/>
  <c r="GR39" i="22"/>
  <c r="GT39" i="22"/>
  <c r="DN47" i="23"/>
  <c r="IK47" i="23"/>
  <c r="FV38" i="22"/>
  <c r="GQ39" i="22"/>
  <c r="GS39" i="22"/>
  <c r="DM47" i="23"/>
  <c r="IJ47" i="23"/>
  <c r="BR39" i="22"/>
  <c r="ET39" i="22"/>
  <c r="GH39" i="22"/>
  <c r="CN47" i="23"/>
  <c r="CZ47" i="23"/>
  <c r="DL47" i="23"/>
  <c r="ED47" i="23"/>
  <c r="II47" i="23"/>
  <c r="DK47" i="23"/>
  <c r="GG39" i="22"/>
  <c r="CM47" i="23"/>
  <c r="CY47" i="23"/>
  <c r="EC47" i="23"/>
  <c r="IH47" i="23"/>
  <c r="BP39" i="22"/>
  <c r="ER39" i="22"/>
  <c r="GE39" i="22"/>
  <c r="GF39" i="22"/>
  <c r="CL47" i="23"/>
  <c r="CX47" i="23"/>
  <c r="IG47" i="23"/>
  <c r="CK47" i="23"/>
  <c r="CW47" i="23"/>
  <c r="IF47" i="23"/>
  <c r="BN39" i="22"/>
  <c r="EP39" i="22"/>
  <c r="GC39" i="22"/>
  <c r="GD39" i="22"/>
  <c r="CJ47" i="23"/>
  <c r="CV47" i="23"/>
  <c r="DH47" i="23"/>
  <c r="DZ47" i="23"/>
  <c r="IE47" i="23"/>
  <c r="DG47" i="23"/>
  <c r="CI47" i="23"/>
  <c r="CU47" i="23"/>
  <c r="DY47" i="23"/>
  <c r="ID47" i="23"/>
  <c r="CH47" i="23"/>
  <c r="CT47" i="23"/>
  <c r="DF47" i="23"/>
  <c r="DX47" i="23"/>
  <c r="IC47" i="23"/>
  <c r="DE47" i="23"/>
  <c r="CG47" i="23"/>
  <c r="CS47" i="23"/>
  <c r="DW47" i="23"/>
  <c r="IB47" i="23"/>
  <c r="CF47" i="23"/>
  <c r="CR47" i="23"/>
  <c r="IA47" i="23"/>
  <c r="CE47" i="23"/>
  <c r="CQ47" i="23"/>
  <c r="HZ47" i="23"/>
  <c r="CD47" i="23"/>
  <c r="CP47" i="23"/>
  <c r="DB47" i="23"/>
  <c r="DT47" i="23"/>
  <c r="HY47" i="23"/>
  <c r="DA47" i="23"/>
  <c r="CC47" i="23"/>
  <c r="CO47" i="23"/>
  <c r="DS47" i="23"/>
  <c r="HX47" i="23"/>
  <c r="AC39" i="22"/>
  <c r="CJ39" i="22"/>
  <c r="CK39" i="22"/>
  <c r="CI36" i="21"/>
  <c r="FH47" i="23"/>
  <c r="HW47" i="23"/>
  <c r="FG47" i="23"/>
  <c r="HV47" i="23"/>
  <c r="AB39" i="22"/>
  <c r="CH39" i="22"/>
  <c r="CI39" i="22"/>
  <c r="FF47" i="23"/>
  <c r="HU47" i="23"/>
  <c r="FE47" i="23"/>
  <c r="HT47" i="23"/>
  <c r="AA39" i="22"/>
  <c r="CF39" i="22"/>
  <c r="CG39" i="22"/>
  <c r="FD47" i="23"/>
  <c r="HS47" i="23"/>
  <c r="FC47" i="23"/>
  <c r="HR47" i="23"/>
  <c r="CH36" i="21"/>
  <c r="FB47" i="23"/>
  <c r="HQ47" i="23"/>
  <c r="FA47" i="23"/>
  <c r="HP47" i="23"/>
  <c r="EZ47" i="23"/>
  <c r="HO47" i="23"/>
  <c r="EY47" i="23"/>
  <c r="HN47" i="23"/>
  <c r="EX47" i="23"/>
  <c r="HM47" i="23"/>
  <c r="EW47" i="23"/>
  <c r="HL47" i="23"/>
  <c r="CG36" i="21"/>
  <c r="EV47" i="23"/>
  <c r="HK47" i="23"/>
  <c r="EU47" i="23"/>
  <c r="HJ47" i="23"/>
  <c r="ET47" i="23"/>
  <c r="HI47" i="23"/>
  <c r="ES47" i="23"/>
  <c r="HH47" i="23"/>
  <c r="ER47" i="23"/>
  <c r="HG47" i="23"/>
  <c r="EQ47" i="23"/>
  <c r="HF47" i="23"/>
  <c r="CF36" i="21"/>
  <c r="EP47" i="23"/>
  <c r="HE47" i="23"/>
  <c r="EO47" i="23"/>
  <c r="HD47" i="23"/>
  <c r="EN47" i="23"/>
  <c r="HC47" i="23"/>
  <c r="EM47" i="23"/>
  <c r="HB47" i="23"/>
  <c r="EL47" i="23"/>
  <c r="HA47" i="23"/>
  <c r="EK47" i="23"/>
  <c r="GZ47" i="23"/>
  <c r="CE36" i="21"/>
  <c r="EJ47" i="23"/>
  <c r="GY47" i="23"/>
  <c r="EI47" i="23"/>
  <c r="GX47" i="23"/>
  <c r="EH47" i="23"/>
  <c r="GW47" i="23"/>
  <c r="EG47" i="23"/>
  <c r="GV47" i="23"/>
  <c r="EF47" i="23"/>
  <c r="GU47" i="23"/>
  <c r="EE47" i="23"/>
  <c r="GT47" i="23"/>
  <c r="DL38" i="22"/>
  <c r="DR38" i="22"/>
  <c r="EF39" i="22"/>
  <c r="BP47" i="23"/>
  <c r="GS47" i="23"/>
  <c r="DQ38" i="22"/>
  <c r="EE39" i="22"/>
  <c r="BO47" i="23"/>
  <c r="GR47" i="23"/>
  <c r="ED39" i="22"/>
  <c r="BN47" i="23"/>
  <c r="GQ47" i="23"/>
  <c r="EC39" i="22"/>
  <c r="BM47" i="23"/>
  <c r="GP47" i="23"/>
  <c r="EB39" i="22"/>
  <c r="BL47" i="23"/>
  <c r="GO47" i="23"/>
  <c r="EA39" i="22"/>
  <c r="BK47" i="23"/>
  <c r="GN47" i="23"/>
  <c r="AZ39" i="22"/>
  <c r="BA39" i="22"/>
  <c r="AL47" i="23"/>
  <c r="AX47" i="23"/>
  <c r="BJ47" i="23"/>
  <c r="CB47" i="23"/>
  <c r="GM47" i="23"/>
  <c r="BI47" i="23"/>
  <c r="AK47" i="23"/>
  <c r="AW47" i="23"/>
  <c r="CA47" i="23"/>
  <c r="GL47" i="23"/>
  <c r="S39" i="22"/>
  <c r="AX39" i="22"/>
  <c r="AY39" i="22"/>
  <c r="AJ47" i="23"/>
  <c r="AV47" i="23"/>
  <c r="BH47" i="23"/>
  <c r="BZ47" i="23"/>
  <c r="GK47" i="23"/>
  <c r="BG47" i="23"/>
  <c r="AI47" i="23"/>
  <c r="AU47" i="23"/>
  <c r="BY47" i="23"/>
  <c r="GJ47" i="23"/>
  <c r="AV39" i="22"/>
  <c r="AW39" i="22"/>
  <c r="AH47" i="23"/>
  <c r="AT47" i="23"/>
  <c r="BF47" i="23"/>
  <c r="BX47" i="23"/>
  <c r="GI47" i="23"/>
  <c r="BE47" i="23"/>
  <c r="AG47" i="23"/>
  <c r="AS47" i="23"/>
  <c r="BW47" i="23"/>
  <c r="GH47" i="23"/>
  <c r="AF47" i="23"/>
  <c r="AR47" i="23"/>
  <c r="BD47" i="23"/>
  <c r="BV47" i="23"/>
  <c r="GG47" i="23"/>
  <c r="BC47" i="23"/>
  <c r="AE47" i="23"/>
  <c r="AQ47" i="23"/>
  <c r="BU47" i="23"/>
  <c r="GF47" i="23"/>
  <c r="AD47" i="23"/>
  <c r="AP47" i="23"/>
  <c r="BB47" i="23"/>
  <c r="BT47" i="23"/>
  <c r="GE47" i="23"/>
  <c r="BA47" i="23"/>
  <c r="AC47" i="23"/>
  <c r="AO47" i="23"/>
  <c r="BS47" i="23"/>
  <c r="GD47" i="23"/>
  <c r="AB47" i="23"/>
  <c r="AN47" i="23"/>
  <c r="AZ47" i="23"/>
  <c r="BR47" i="23"/>
  <c r="GC47" i="23"/>
  <c r="AY47" i="23"/>
  <c r="AA47" i="23"/>
  <c r="AM47" i="23"/>
  <c r="BQ47" i="23"/>
  <c r="GB47" i="23"/>
  <c r="AH39" i="22"/>
  <c r="AI39" i="22"/>
  <c r="N47" i="23"/>
  <c r="Z47" i="23"/>
  <c r="GA47" i="23"/>
  <c r="M47" i="23"/>
  <c r="Y47" i="23"/>
  <c r="FZ47" i="23"/>
  <c r="AF39" i="22"/>
  <c r="AG39" i="22"/>
  <c r="L47" i="23"/>
  <c r="X47" i="23"/>
  <c r="FY47" i="23"/>
  <c r="K47" i="23"/>
  <c r="W47" i="23"/>
  <c r="FX47" i="23"/>
  <c r="AD39" i="22"/>
  <c r="AE39" i="22"/>
  <c r="J47" i="23"/>
  <c r="V47" i="23"/>
  <c r="FW47" i="23"/>
  <c r="I47" i="23"/>
  <c r="U47" i="23"/>
  <c r="FV47" i="23"/>
  <c r="H47" i="23"/>
  <c r="T47" i="23"/>
  <c r="FU47" i="23"/>
  <c r="G47" i="23"/>
  <c r="S47" i="23"/>
  <c r="FT47" i="23"/>
  <c r="F47" i="23"/>
  <c r="R47" i="23"/>
  <c r="FS47" i="23"/>
  <c r="E47" i="23"/>
  <c r="Q47" i="23"/>
  <c r="FR47" i="23"/>
  <c r="D47" i="23"/>
  <c r="P47" i="23"/>
  <c r="FQ47" i="23"/>
  <c r="C47" i="23"/>
  <c r="O47" i="23"/>
  <c r="FP47" i="23"/>
  <c r="F29" i="22"/>
  <c r="CM29" i="22"/>
  <c r="CT29" i="22"/>
  <c r="CY29" i="22"/>
  <c r="FF29" i="22"/>
  <c r="FG29" i="22"/>
  <c r="FN29" i="22"/>
  <c r="FT29" i="22"/>
  <c r="GV38" i="22"/>
  <c r="DR46" i="23"/>
  <c r="IO46" i="23"/>
  <c r="FM29" i="22"/>
  <c r="FS29" i="22"/>
  <c r="GU38" i="22"/>
  <c r="DQ46" i="23"/>
  <c r="IN46" i="23"/>
  <c r="IM46" i="23"/>
  <c r="IL46" i="23"/>
  <c r="CW37" i="22"/>
  <c r="FB37" i="22"/>
  <c r="FC37" i="22"/>
  <c r="FX37" i="22"/>
  <c r="GR38" i="22"/>
  <c r="GT38" i="22"/>
  <c r="DN46" i="23"/>
  <c r="IK46" i="23"/>
  <c r="FV37" i="22"/>
  <c r="GQ38" i="22"/>
  <c r="GS38" i="22"/>
  <c r="DM46" i="23"/>
  <c r="IJ46" i="23"/>
  <c r="BR38" i="22"/>
  <c r="ET38" i="22"/>
  <c r="GH38" i="22"/>
  <c r="CN46" i="23"/>
  <c r="CZ46" i="23"/>
  <c r="DL46" i="23"/>
  <c r="ED46" i="23"/>
  <c r="II46" i="23"/>
  <c r="DK46" i="23"/>
  <c r="GG38" i="22"/>
  <c r="CM46" i="23"/>
  <c r="CY46" i="23"/>
  <c r="EC46" i="23"/>
  <c r="IH46" i="23"/>
  <c r="BP38" i="22"/>
  <c r="ER38" i="22"/>
  <c r="GE38" i="22"/>
  <c r="GF38" i="22"/>
  <c r="CL46" i="23"/>
  <c r="CX46" i="23"/>
  <c r="IG46" i="23"/>
  <c r="CK46" i="23"/>
  <c r="CW46" i="23"/>
  <c r="IF46" i="23"/>
  <c r="BN38" i="22"/>
  <c r="EP38" i="22"/>
  <c r="GC38" i="22"/>
  <c r="GD38" i="22"/>
  <c r="CJ46" i="23"/>
  <c r="CV46" i="23"/>
  <c r="DH46" i="23"/>
  <c r="DZ46" i="23"/>
  <c r="IE46" i="23"/>
  <c r="DG46" i="23"/>
  <c r="CI46" i="23"/>
  <c r="CU46" i="23"/>
  <c r="DY46" i="23"/>
  <c r="ID46" i="23"/>
  <c r="CH46" i="23"/>
  <c r="CT46" i="23"/>
  <c r="DF46" i="23"/>
  <c r="DX46" i="23"/>
  <c r="IC46" i="23"/>
  <c r="DE46" i="23"/>
  <c r="CG46" i="23"/>
  <c r="CS46" i="23"/>
  <c r="DW46" i="23"/>
  <c r="IB46" i="23"/>
  <c r="CF46" i="23"/>
  <c r="CR46" i="23"/>
  <c r="IA46" i="23"/>
  <c r="CE46" i="23"/>
  <c r="CQ46" i="23"/>
  <c r="HZ46" i="23"/>
  <c r="CD46" i="23"/>
  <c r="CP46" i="23"/>
  <c r="DB46" i="23"/>
  <c r="DT46" i="23"/>
  <c r="HY46" i="23"/>
  <c r="DA46" i="23"/>
  <c r="CC46" i="23"/>
  <c r="CO46" i="23"/>
  <c r="DS46" i="23"/>
  <c r="HX46" i="23"/>
  <c r="AC38" i="22"/>
  <c r="CJ38" i="22"/>
  <c r="CK38" i="22"/>
  <c r="CI35" i="21"/>
  <c r="FH46" i="23"/>
  <c r="HW46" i="23"/>
  <c r="FG46" i="23"/>
  <c r="HV46" i="23"/>
  <c r="AB38" i="22"/>
  <c r="CH38" i="22"/>
  <c r="CI38" i="22"/>
  <c r="FF46" i="23"/>
  <c r="HU46" i="23"/>
  <c r="FE46" i="23"/>
  <c r="HT46" i="23"/>
  <c r="AA38" i="22"/>
  <c r="CF38" i="22"/>
  <c r="CG38" i="22"/>
  <c r="FD46" i="23"/>
  <c r="HS46" i="23"/>
  <c r="FC46" i="23"/>
  <c r="HR46" i="23"/>
  <c r="CH35" i="21"/>
  <c r="FB46" i="23"/>
  <c r="HQ46" i="23"/>
  <c r="FA46" i="23"/>
  <c r="HP46" i="23"/>
  <c r="EZ46" i="23"/>
  <c r="HO46" i="23"/>
  <c r="EY46" i="23"/>
  <c r="HN46" i="23"/>
  <c r="EX46" i="23"/>
  <c r="HM46" i="23"/>
  <c r="EW46" i="23"/>
  <c r="HL46" i="23"/>
  <c r="CG35" i="21"/>
  <c r="EV46" i="23"/>
  <c r="HK46" i="23"/>
  <c r="EU46" i="23"/>
  <c r="HJ46" i="23"/>
  <c r="ET46" i="23"/>
  <c r="HI46" i="23"/>
  <c r="ES46" i="23"/>
  <c r="HH46" i="23"/>
  <c r="ER46" i="23"/>
  <c r="HG46" i="23"/>
  <c r="EQ46" i="23"/>
  <c r="HF46" i="23"/>
  <c r="CF35" i="21"/>
  <c r="EP46" i="23"/>
  <c r="HE46" i="23"/>
  <c r="EO46" i="23"/>
  <c r="HD46" i="23"/>
  <c r="EN46" i="23"/>
  <c r="HC46" i="23"/>
  <c r="EM46" i="23"/>
  <c r="HB46" i="23"/>
  <c r="EL46" i="23"/>
  <c r="HA46" i="23"/>
  <c r="EK46" i="23"/>
  <c r="GZ46" i="23"/>
  <c r="CE35" i="21"/>
  <c r="EJ46" i="23"/>
  <c r="GY46" i="23"/>
  <c r="EI46" i="23"/>
  <c r="GX46" i="23"/>
  <c r="EH46" i="23"/>
  <c r="GW46" i="23"/>
  <c r="EG46" i="23"/>
  <c r="GV46" i="23"/>
  <c r="EF46" i="23"/>
  <c r="GU46" i="23"/>
  <c r="EE46" i="23"/>
  <c r="GT46" i="23"/>
  <c r="DL37" i="22"/>
  <c r="DR37" i="22"/>
  <c r="EF38" i="22"/>
  <c r="BP46" i="23"/>
  <c r="GS46" i="23"/>
  <c r="DQ37" i="22"/>
  <c r="EE38" i="22"/>
  <c r="BO46" i="23"/>
  <c r="GR46" i="23"/>
  <c r="ED38" i="22"/>
  <c r="BN46" i="23"/>
  <c r="GQ46" i="23"/>
  <c r="EC38" i="22"/>
  <c r="BM46" i="23"/>
  <c r="GP46" i="23"/>
  <c r="EB38" i="22"/>
  <c r="BL46" i="23"/>
  <c r="GO46" i="23"/>
  <c r="EA38" i="22"/>
  <c r="BK46" i="23"/>
  <c r="GN46" i="23"/>
  <c r="AZ38" i="22"/>
  <c r="BA38" i="22"/>
  <c r="AL46" i="23"/>
  <c r="AX46" i="23"/>
  <c r="BJ46" i="23"/>
  <c r="CB46" i="23"/>
  <c r="GM46" i="23"/>
  <c r="BI46" i="23"/>
  <c r="AK46" i="23"/>
  <c r="AW46" i="23"/>
  <c r="CA46" i="23"/>
  <c r="GL46" i="23"/>
  <c r="S38" i="22"/>
  <c r="AX38" i="22"/>
  <c r="AY38" i="22"/>
  <c r="AJ46" i="23"/>
  <c r="AV46" i="23"/>
  <c r="BH46" i="23"/>
  <c r="BZ46" i="23"/>
  <c r="GK46" i="23"/>
  <c r="BG46" i="23"/>
  <c r="AI46" i="23"/>
  <c r="AU46" i="23"/>
  <c r="BY46" i="23"/>
  <c r="GJ46" i="23"/>
  <c r="AV38" i="22"/>
  <c r="AW38" i="22"/>
  <c r="AH46" i="23"/>
  <c r="AT46" i="23"/>
  <c r="BF46" i="23"/>
  <c r="BX46" i="23"/>
  <c r="GI46" i="23"/>
  <c r="BE46" i="23"/>
  <c r="AG46" i="23"/>
  <c r="AS46" i="23"/>
  <c r="BW46" i="23"/>
  <c r="GH46" i="23"/>
  <c r="AF46" i="23"/>
  <c r="AR46" i="23"/>
  <c r="BD46" i="23"/>
  <c r="BV46" i="23"/>
  <c r="GG46" i="23"/>
  <c r="BC46" i="23"/>
  <c r="AE46" i="23"/>
  <c r="AQ46" i="23"/>
  <c r="BU46" i="23"/>
  <c r="GF46" i="23"/>
  <c r="AD46" i="23"/>
  <c r="AP46" i="23"/>
  <c r="BB46" i="23"/>
  <c r="BT46" i="23"/>
  <c r="GE46" i="23"/>
  <c r="BA46" i="23"/>
  <c r="AC46" i="23"/>
  <c r="AO46" i="23"/>
  <c r="BS46" i="23"/>
  <c r="GD46" i="23"/>
  <c r="AB46" i="23"/>
  <c r="AN46" i="23"/>
  <c r="AZ46" i="23"/>
  <c r="BR46" i="23"/>
  <c r="GC46" i="23"/>
  <c r="AY46" i="23"/>
  <c r="AA46" i="23"/>
  <c r="AM46" i="23"/>
  <c r="BQ46" i="23"/>
  <c r="GB46" i="23"/>
  <c r="AH38" i="22"/>
  <c r="AI38" i="22"/>
  <c r="N46" i="23"/>
  <c r="Z46" i="23"/>
  <c r="GA46" i="23"/>
  <c r="M46" i="23"/>
  <c r="Y46" i="23"/>
  <c r="FZ46" i="23"/>
  <c r="AF38" i="22"/>
  <c r="AG38" i="22"/>
  <c r="L46" i="23"/>
  <c r="X46" i="23"/>
  <c r="FY46" i="23"/>
  <c r="K46" i="23"/>
  <c r="W46" i="23"/>
  <c r="FX46" i="23"/>
  <c r="AD38" i="22"/>
  <c r="AE38" i="22"/>
  <c r="J46" i="23"/>
  <c r="V46" i="23"/>
  <c r="FW46" i="23"/>
  <c r="I46" i="23"/>
  <c r="U46" i="23"/>
  <c r="FV46" i="23"/>
  <c r="H46" i="23"/>
  <c r="T46" i="23"/>
  <c r="FU46" i="23"/>
  <c r="G46" i="23"/>
  <c r="S46" i="23"/>
  <c r="FT46" i="23"/>
  <c r="F46" i="23"/>
  <c r="R46" i="23"/>
  <c r="FS46" i="23"/>
  <c r="E46" i="23"/>
  <c r="Q46" i="23"/>
  <c r="FR46" i="23"/>
  <c r="D46" i="23"/>
  <c r="P46" i="23"/>
  <c r="FQ46" i="23"/>
  <c r="C46" i="23"/>
  <c r="O46" i="23"/>
  <c r="FP46" i="23"/>
  <c r="F28" i="22"/>
  <c r="CM28" i="22"/>
  <c r="CT28" i="22"/>
  <c r="CY28" i="22"/>
  <c r="FF28" i="22"/>
  <c r="FG28" i="22"/>
  <c r="FN28" i="22"/>
  <c r="FT28" i="22"/>
  <c r="GV37" i="22"/>
  <c r="DR45" i="23"/>
  <c r="IO45" i="23"/>
  <c r="FM28" i="22"/>
  <c r="FS28" i="22"/>
  <c r="GU37" i="22"/>
  <c r="DQ45" i="23"/>
  <c r="IN45" i="23"/>
  <c r="IM45" i="23"/>
  <c r="IL45" i="23"/>
  <c r="CW36" i="22"/>
  <c r="FB36" i="22"/>
  <c r="FC36" i="22"/>
  <c r="FX36" i="22"/>
  <c r="GR37" i="22"/>
  <c r="GT37" i="22"/>
  <c r="DN45" i="23"/>
  <c r="IK45" i="23"/>
  <c r="FV36" i="22"/>
  <c r="GQ37" i="22"/>
  <c r="GS37" i="22"/>
  <c r="DM45" i="23"/>
  <c r="IJ45" i="23"/>
  <c r="BR37" i="22"/>
  <c r="ET37" i="22"/>
  <c r="GH37" i="22"/>
  <c r="CN45" i="23"/>
  <c r="CZ45" i="23"/>
  <c r="DL45" i="23"/>
  <c r="ED45" i="23"/>
  <c r="II45" i="23"/>
  <c r="DK45" i="23"/>
  <c r="GG37" i="22"/>
  <c r="CM45" i="23"/>
  <c r="CY45" i="23"/>
  <c r="EC45" i="23"/>
  <c r="IH45" i="23"/>
  <c r="BP37" i="22"/>
  <c r="ER37" i="22"/>
  <c r="GE37" i="22"/>
  <c r="GF37" i="22"/>
  <c r="CL45" i="23"/>
  <c r="CX45" i="23"/>
  <c r="IG45" i="23"/>
  <c r="CK45" i="23"/>
  <c r="CW45" i="23"/>
  <c r="IF45" i="23"/>
  <c r="BN37" i="22"/>
  <c r="EP37" i="22"/>
  <c r="GC37" i="22"/>
  <c r="GD37" i="22"/>
  <c r="CJ45" i="23"/>
  <c r="CV45" i="23"/>
  <c r="DH45" i="23"/>
  <c r="DZ45" i="23"/>
  <c r="IE45" i="23"/>
  <c r="DG45" i="23"/>
  <c r="CI45" i="23"/>
  <c r="CU45" i="23"/>
  <c r="DY45" i="23"/>
  <c r="ID45" i="23"/>
  <c r="CH45" i="23"/>
  <c r="CT45" i="23"/>
  <c r="DF45" i="23"/>
  <c r="DX45" i="23"/>
  <c r="IC45" i="23"/>
  <c r="DE45" i="23"/>
  <c r="CG45" i="23"/>
  <c r="CS45" i="23"/>
  <c r="DW45" i="23"/>
  <c r="IB45" i="23"/>
  <c r="CF45" i="23"/>
  <c r="CR45" i="23"/>
  <c r="IA45" i="23"/>
  <c r="CE45" i="23"/>
  <c r="CQ45" i="23"/>
  <c r="HZ45" i="23"/>
  <c r="CD45" i="23"/>
  <c r="CP45" i="23"/>
  <c r="DB45" i="23"/>
  <c r="DT45" i="23"/>
  <c r="HY45" i="23"/>
  <c r="DA45" i="23"/>
  <c r="CC45" i="23"/>
  <c r="CO45" i="23"/>
  <c r="DS45" i="23"/>
  <c r="HX45" i="23"/>
  <c r="AC37" i="22"/>
  <c r="CJ37" i="22"/>
  <c r="CK37" i="22"/>
  <c r="CI34" i="21"/>
  <c r="FH45" i="23"/>
  <c r="HW45" i="23"/>
  <c r="FG45" i="23"/>
  <c r="HV45" i="23"/>
  <c r="AB37" i="22"/>
  <c r="CH37" i="22"/>
  <c r="CI37" i="22"/>
  <c r="FF45" i="23"/>
  <c r="HU45" i="23"/>
  <c r="FE45" i="23"/>
  <c r="HT45" i="23"/>
  <c r="AA37" i="22"/>
  <c r="CF37" i="22"/>
  <c r="CG37" i="22"/>
  <c r="FD45" i="23"/>
  <c r="HS45" i="23"/>
  <c r="FC45" i="23"/>
  <c r="HR45" i="23"/>
  <c r="CH34" i="21"/>
  <c r="FB45" i="23"/>
  <c r="HQ45" i="23"/>
  <c r="FA45" i="23"/>
  <c r="HP45" i="23"/>
  <c r="EZ45" i="23"/>
  <c r="HO45" i="23"/>
  <c r="EY45" i="23"/>
  <c r="HN45" i="23"/>
  <c r="EX45" i="23"/>
  <c r="HM45" i="23"/>
  <c r="EW45" i="23"/>
  <c r="HL45" i="23"/>
  <c r="CG34" i="21"/>
  <c r="EV45" i="23"/>
  <c r="HK45" i="23"/>
  <c r="EU45" i="23"/>
  <c r="HJ45" i="23"/>
  <c r="ET45" i="23"/>
  <c r="HI45" i="23"/>
  <c r="ES45" i="23"/>
  <c r="HH45" i="23"/>
  <c r="ER45" i="23"/>
  <c r="HG45" i="23"/>
  <c r="EQ45" i="23"/>
  <c r="HF45" i="23"/>
  <c r="CF34" i="21"/>
  <c r="EP45" i="23"/>
  <c r="HE45" i="23"/>
  <c r="EO45" i="23"/>
  <c r="HD45" i="23"/>
  <c r="EN45" i="23"/>
  <c r="HC45" i="23"/>
  <c r="EM45" i="23"/>
  <c r="HB45" i="23"/>
  <c r="EL45" i="23"/>
  <c r="HA45" i="23"/>
  <c r="EK45" i="23"/>
  <c r="GZ45" i="23"/>
  <c r="CE34" i="21"/>
  <c r="EJ45" i="23"/>
  <c r="GY45" i="23"/>
  <c r="EI45" i="23"/>
  <c r="GX45" i="23"/>
  <c r="EH45" i="23"/>
  <c r="GW45" i="23"/>
  <c r="EG45" i="23"/>
  <c r="GV45" i="23"/>
  <c r="EF45" i="23"/>
  <c r="GU45" i="23"/>
  <c r="EE45" i="23"/>
  <c r="GT45" i="23"/>
  <c r="DL36" i="22"/>
  <c r="DR36" i="22"/>
  <c r="EF37" i="22"/>
  <c r="BP45" i="23"/>
  <c r="GS45" i="23"/>
  <c r="DQ36" i="22"/>
  <c r="EE37" i="22"/>
  <c r="BO45" i="23"/>
  <c r="GR45" i="23"/>
  <c r="ED37" i="22"/>
  <c r="BN45" i="23"/>
  <c r="GQ45" i="23"/>
  <c r="EC37" i="22"/>
  <c r="BM45" i="23"/>
  <c r="GP45" i="23"/>
  <c r="EB37" i="22"/>
  <c r="BL45" i="23"/>
  <c r="GO45" i="23"/>
  <c r="EA37" i="22"/>
  <c r="BK45" i="23"/>
  <c r="GN45" i="23"/>
  <c r="AZ37" i="22"/>
  <c r="BA37" i="22"/>
  <c r="AL45" i="23"/>
  <c r="AX45" i="23"/>
  <c r="BJ45" i="23"/>
  <c r="CB45" i="23"/>
  <c r="GM45" i="23"/>
  <c r="BI45" i="23"/>
  <c r="AK45" i="23"/>
  <c r="AW45" i="23"/>
  <c r="CA45" i="23"/>
  <c r="GL45" i="23"/>
  <c r="S37" i="22"/>
  <c r="AX37" i="22"/>
  <c r="AY37" i="22"/>
  <c r="AJ45" i="23"/>
  <c r="AV45" i="23"/>
  <c r="BH45" i="23"/>
  <c r="BZ45" i="23"/>
  <c r="GK45" i="23"/>
  <c r="BG45" i="23"/>
  <c r="AI45" i="23"/>
  <c r="AU45" i="23"/>
  <c r="BY45" i="23"/>
  <c r="GJ45" i="23"/>
  <c r="AV37" i="22"/>
  <c r="AW37" i="22"/>
  <c r="AH45" i="23"/>
  <c r="AT45" i="23"/>
  <c r="BF45" i="23"/>
  <c r="BX45" i="23"/>
  <c r="GI45" i="23"/>
  <c r="BE45" i="23"/>
  <c r="AG45" i="23"/>
  <c r="AS45" i="23"/>
  <c r="BW45" i="23"/>
  <c r="GH45" i="23"/>
  <c r="AF45" i="23"/>
  <c r="AR45" i="23"/>
  <c r="BD45" i="23"/>
  <c r="BV45" i="23"/>
  <c r="GG45" i="23"/>
  <c r="BC45" i="23"/>
  <c r="AE45" i="23"/>
  <c r="AQ45" i="23"/>
  <c r="BU45" i="23"/>
  <c r="GF45" i="23"/>
  <c r="AD45" i="23"/>
  <c r="AP45" i="23"/>
  <c r="BB45" i="23"/>
  <c r="BT45" i="23"/>
  <c r="GE45" i="23"/>
  <c r="BA45" i="23"/>
  <c r="AC45" i="23"/>
  <c r="AO45" i="23"/>
  <c r="BS45" i="23"/>
  <c r="GD45" i="23"/>
  <c r="AB45" i="23"/>
  <c r="AN45" i="23"/>
  <c r="AZ45" i="23"/>
  <c r="BR45" i="23"/>
  <c r="GC45" i="23"/>
  <c r="AY45" i="23"/>
  <c r="AA45" i="23"/>
  <c r="AM45" i="23"/>
  <c r="BQ45" i="23"/>
  <c r="GB45" i="23"/>
  <c r="AH37" i="22"/>
  <c r="AI37" i="22"/>
  <c r="N45" i="23"/>
  <c r="Z45" i="23"/>
  <c r="GA45" i="23"/>
  <c r="M45" i="23"/>
  <c r="Y45" i="23"/>
  <c r="FZ45" i="23"/>
  <c r="AF37" i="22"/>
  <c r="AG37" i="22"/>
  <c r="L45" i="23"/>
  <c r="X45" i="23"/>
  <c r="FY45" i="23"/>
  <c r="K45" i="23"/>
  <c r="W45" i="23"/>
  <c r="FX45" i="23"/>
  <c r="AD37" i="22"/>
  <c r="AE37" i="22"/>
  <c r="J45" i="23"/>
  <c r="V45" i="23"/>
  <c r="FW45" i="23"/>
  <c r="I45" i="23"/>
  <c r="U45" i="23"/>
  <c r="FV45" i="23"/>
  <c r="H45" i="23"/>
  <c r="T45" i="23"/>
  <c r="FU45" i="23"/>
  <c r="G45" i="23"/>
  <c r="S45" i="23"/>
  <c r="FT45" i="23"/>
  <c r="F45" i="23"/>
  <c r="R45" i="23"/>
  <c r="FS45" i="23"/>
  <c r="E45" i="23"/>
  <c r="Q45" i="23"/>
  <c r="FR45" i="23"/>
  <c r="D45" i="23"/>
  <c r="P45" i="23"/>
  <c r="FQ45" i="23"/>
  <c r="C45" i="23"/>
  <c r="O45" i="23"/>
  <c r="FP45" i="23"/>
  <c r="F27" i="22"/>
  <c r="CM27" i="22"/>
  <c r="CT27" i="22"/>
  <c r="CY27" i="22"/>
  <c r="FF27" i="22"/>
  <c r="FG27" i="22"/>
  <c r="FN27" i="22"/>
  <c r="FT27" i="22"/>
  <c r="GV36" i="22"/>
  <c r="DR44" i="23"/>
  <c r="IO44" i="23"/>
  <c r="FM27" i="22"/>
  <c r="FS27" i="22"/>
  <c r="GU36" i="22"/>
  <c r="DQ44" i="23"/>
  <c r="IN44" i="23"/>
  <c r="IM44" i="23"/>
  <c r="IL44" i="23"/>
  <c r="CW35" i="22"/>
  <c r="FB35" i="22"/>
  <c r="FC35" i="22"/>
  <c r="FX35" i="22"/>
  <c r="GR36" i="22"/>
  <c r="GT36" i="22"/>
  <c r="DN44" i="23"/>
  <c r="IK44" i="23"/>
  <c r="FV35" i="22"/>
  <c r="GQ36" i="22"/>
  <c r="GS36" i="22"/>
  <c r="DM44" i="23"/>
  <c r="IJ44" i="23"/>
  <c r="BR36" i="22"/>
  <c r="ET36" i="22"/>
  <c r="GH36" i="22"/>
  <c r="CN44" i="23"/>
  <c r="CZ44" i="23"/>
  <c r="DL44" i="23"/>
  <c r="ED44" i="23"/>
  <c r="II44" i="23"/>
  <c r="DK44" i="23"/>
  <c r="GG36" i="22"/>
  <c r="CM44" i="23"/>
  <c r="CY44" i="23"/>
  <c r="EC44" i="23"/>
  <c r="IH44" i="23"/>
  <c r="BP36" i="22"/>
  <c r="ER36" i="22"/>
  <c r="GE36" i="22"/>
  <c r="GF36" i="22"/>
  <c r="CL44" i="23"/>
  <c r="CX44" i="23"/>
  <c r="IG44" i="23"/>
  <c r="CK44" i="23"/>
  <c r="CW44" i="23"/>
  <c r="IF44" i="23"/>
  <c r="BN36" i="22"/>
  <c r="EP36" i="22"/>
  <c r="GC36" i="22"/>
  <c r="GD36" i="22"/>
  <c r="CJ44" i="23"/>
  <c r="CV44" i="23"/>
  <c r="DH44" i="23"/>
  <c r="DZ44" i="23"/>
  <c r="IE44" i="23"/>
  <c r="DG44" i="23"/>
  <c r="CI44" i="23"/>
  <c r="CU44" i="23"/>
  <c r="DY44" i="23"/>
  <c r="ID44" i="23"/>
  <c r="CH44" i="23"/>
  <c r="CT44" i="23"/>
  <c r="DF44" i="23"/>
  <c r="DX44" i="23"/>
  <c r="IC44" i="23"/>
  <c r="DE44" i="23"/>
  <c r="CG44" i="23"/>
  <c r="CS44" i="23"/>
  <c r="DW44" i="23"/>
  <c r="IB44" i="23"/>
  <c r="CF44" i="23"/>
  <c r="CR44" i="23"/>
  <c r="IA44" i="23"/>
  <c r="CE44" i="23"/>
  <c r="CQ44" i="23"/>
  <c r="HZ44" i="23"/>
  <c r="CD44" i="23"/>
  <c r="CP44" i="23"/>
  <c r="DB44" i="23"/>
  <c r="DT44" i="23"/>
  <c r="HY44" i="23"/>
  <c r="DA44" i="23"/>
  <c r="CC44" i="23"/>
  <c r="CO44" i="23"/>
  <c r="DS44" i="23"/>
  <c r="HX44" i="23"/>
  <c r="AC36" i="22"/>
  <c r="CJ36" i="22"/>
  <c r="CK36" i="22"/>
  <c r="CI33" i="21"/>
  <c r="FH44" i="23"/>
  <c r="HW44" i="23"/>
  <c r="FG44" i="23"/>
  <c r="HV44" i="23"/>
  <c r="AB36" i="22"/>
  <c r="CH36" i="22"/>
  <c r="CI36" i="22"/>
  <c r="FF44" i="23"/>
  <c r="HU44" i="23"/>
  <c r="FE44" i="23"/>
  <c r="HT44" i="23"/>
  <c r="AA36" i="22"/>
  <c r="CF36" i="22"/>
  <c r="CG36" i="22"/>
  <c r="FD44" i="23"/>
  <c r="HS44" i="23"/>
  <c r="FC44" i="23"/>
  <c r="HR44" i="23"/>
  <c r="CH33" i="21"/>
  <c r="FB44" i="23"/>
  <c r="HQ44" i="23"/>
  <c r="FA44" i="23"/>
  <c r="HP44" i="23"/>
  <c r="EZ44" i="23"/>
  <c r="HO44" i="23"/>
  <c r="EY44" i="23"/>
  <c r="HN44" i="23"/>
  <c r="EX44" i="23"/>
  <c r="HM44" i="23"/>
  <c r="EW44" i="23"/>
  <c r="HL44" i="23"/>
  <c r="CG33" i="21"/>
  <c r="EV44" i="23"/>
  <c r="HK44" i="23"/>
  <c r="EU44" i="23"/>
  <c r="HJ44" i="23"/>
  <c r="ET44" i="23"/>
  <c r="HI44" i="23"/>
  <c r="ES44" i="23"/>
  <c r="HH44" i="23"/>
  <c r="ER44" i="23"/>
  <c r="HG44" i="23"/>
  <c r="EQ44" i="23"/>
  <c r="HF44" i="23"/>
  <c r="CF33" i="21"/>
  <c r="EP44" i="23"/>
  <c r="HE44" i="23"/>
  <c r="EO44" i="23"/>
  <c r="HD44" i="23"/>
  <c r="EN44" i="23"/>
  <c r="HC44" i="23"/>
  <c r="EM44" i="23"/>
  <c r="HB44" i="23"/>
  <c r="EL44" i="23"/>
  <c r="HA44" i="23"/>
  <c r="EK44" i="23"/>
  <c r="GZ44" i="23"/>
  <c r="CE33" i="21"/>
  <c r="EJ44" i="23"/>
  <c r="GY44" i="23"/>
  <c r="EI44" i="23"/>
  <c r="GX44" i="23"/>
  <c r="EH44" i="23"/>
  <c r="GW44" i="23"/>
  <c r="EG44" i="23"/>
  <c r="GV44" i="23"/>
  <c r="EF44" i="23"/>
  <c r="GU44" i="23"/>
  <c r="EE44" i="23"/>
  <c r="GT44" i="23"/>
  <c r="DL35" i="22"/>
  <c r="DR35" i="22"/>
  <c r="EF36" i="22"/>
  <c r="BP44" i="23"/>
  <c r="GS44" i="23"/>
  <c r="DQ35" i="22"/>
  <c r="EE36" i="22"/>
  <c r="BO44" i="23"/>
  <c r="GR44" i="23"/>
  <c r="ED36" i="22"/>
  <c r="BN44" i="23"/>
  <c r="GQ44" i="23"/>
  <c r="EC36" i="22"/>
  <c r="BM44" i="23"/>
  <c r="GP44" i="23"/>
  <c r="EB36" i="22"/>
  <c r="BL44" i="23"/>
  <c r="GO44" i="23"/>
  <c r="EA36" i="22"/>
  <c r="BK44" i="23"/>
  <c r="GN44" i="23"/>
  <c r="AZ36" i="22"/>
  <c r="BA36" i="22"/>
  <c r="AL44" i="23"/>
  <c r="AX44" i="23"/>
  <c r="BJ44" i="23"/>
  <c r="CB44" i="23"/>
  <c r="GM44" i="23"/>
  <c r="BI44" i="23"/>
  <c r="AK44" i="23"/>
  <c r="AW44" i="23"/>
  <c r="CA44" i="23"/>
  <c r="GL44" i="23"/>
  <c r="S36" i="22"/>
  <c r="AX36" i="22"/>
  <c r="AY36" i="22"/>
  <c r="AJ44" i="23"/>
  <c r="AV44" i="23"/>
  <c r="BH44" i="23"/>
  <c r="BZ44" i="23"/>
  <c r="GK44" i="23"/>
  <c r="BG44" i="23"/>
  <c r="AI44" i="23"/>
  <c r="AU44" i="23"/>
  <c r="BY44" i="23"/>
  <c r="GJ44" i="23"/>
  <c r="AV36" i="22"/>
  <c r="AW36" i="22"/>
  <c r="AH44" i="23"/>
  <c r="AT44" i="23"/>
  <c r="BF44" i="23"/>
  <c r="BX44" i="23"/>
  <c r="GI44" i="23"/>
  <c r="BE44" i="23"/>
  <c r="AG44" i="23"/>
  <c r="AS44" i="23"/>
  <c r="BW44" i="23"/>
  <c r="GH44" i="23"/>
  <c r="AF44" i="23"/>
  <c r="AR44" i="23"/>
  <c r="BD44" i="23"/>
  <c r="BV44" i="23"/>
  <c r="GG44" i="23"/>
  <c r="BC44" i="23"/>
  <c r="AE44" i="23"/>
  <c r="AQ44" i="23"/>
  <c r="BU44" i="23"/>
  <c r="GF44" i="23"/>
  <c r="AD44" i="23"/>
  <c r="AP44" i="23"/>
  <c r="BB44" i="23"/>
  <c r="BT44" i="23"/>
  <c r="GE44" i="23"/>
  <c r="BA44" i="23"/>
  <c r="AC44" i="23"/>
  <c r="AO44" i="23"/>
  <c r="BS44" i="23"/>
  <c r="GD44" i="23"/>
  <c r="AB44" i="23"/>
  <c r="AN44" i="23"/>
  <c r="AZ44" i="23"/>
  <c r="BR44" i="23"/>
  <c r="GC44" i="23"/>
  <c r="AY44" i="23"/>
  <c r="AA44" i="23"/>
  <c r="AM44" i="23"/>
  <c r="BQ44" i="23"/>
  <c r="GB44" i="23"/>
  <c r="AH36" i="22"/>
  <c r="AI36" i="22"/>
  <c r="N44" i="23"/>
  <c r="Z44" i="23"/>
  <c r="GA44" i="23"/>
  <c r="M44" i="23"/>
  <c r="Y44" i="23"/>
  <c r="FZ44" i="23"/>
  <c r="AF36" i="22"/>
  <c r="AG36" i="22"/>
  <c r="L44" i="23"/>
  <c r="X44" i="23"/>
  <c r="FY44" i="23"/>
  <c r="K44" i="23"/>
  <c r="W44" i="23"/>
  <c r="FX44" i="23"/>
  <c r="AD36" i="22"/>
  <c r="AE36" i="22"/>
  <c r="J44" i="23"/>
  <c r="V44" i="23"/>
  <c r="FW44" i="23"/>
  <c r="I44" i="23"/>
  <c r="U44" i="23"/>
  <c r="FV44" i="23"/>
  <c r="H44" i="23"/>
  <c r="T44" i="23"/>
  <c r="FU44" i="23"/>
  <c r="G44" i="23"/>
  <c r="S44" i="23"/>
  <c r="FT44" i="23"/>
  <c r="F44" i="23"/>
  <c r="R44" i="23"/>
  <c r="FS44" i="23"/>
  <c r="E44" i="23"/>
  <c r="Q44" i="23"/>
  <c r="FR44" i="23"/>
  <c r="D44" i="23"/>
  <c r="P44" i="23"/>
  <c r="FQ44" i="23"/>
  <c r="C44" i="23"/>
  <c r="O44" i="23"/>
  <c r="FP44" i="23"/>
  <c r="F26" i="22"/>
  <c r="CM26" i="22"/>
  <c r="CT26" i="22"/>
  <c r="CY26" i="22"/>
  <c r="FF26" i="22"/>
  <c r="FG26" i="22"/>
  <c r="FN26" i="22"/>
  <c r="FT26" i="22"/>
  <c r="GV35" i="22"/>
  <c r="DR43" i="23"/>
  <c r="IO43" i="23"/>
  <c r="FM26" i="22"/>
  <c r="FS26" i="22"/>
  <c r="GU35" i="22"/>
  <c r="DQ43" i="23"/>
  <c r="IN43" i="23"/>
  <c r="IM43" i="23"/>
  <c r="IL43" i="23"/>
  <c r="CW34" i="22"/>
  <c r="FB34" i="22"/>
  <c r="FC34" i="22"/>
  <c r="FX34" i="22"/>
  <c r="GR35" i="22"/>
  <c r="GT35" i="22"/>
  <c r="DN43" i="23"/>
  <c r="IK43" i="23"/>
  <c r="FV34" i="22"/>
  <c r="GQ35" i="22"/>
  <c r="GS35" i="22"/>
  <c r="DM43" i="23"/>
  <c r="IJ43" i="23"/>
  <c r="BR35" i="22"/>
  <c r="ET35" i="22"/>
  <c r="GH35" i="22"/>
  <c r="CN43" i="23"/>
  <c r="CZ43" i="23"/>
  <c r="DL43" i="23"/>
  <c r="ED43" i="23"/>
  <c r="II43" i="23"/>
  <c r="DK43" i="23"/>
  <c r="GG35" i="22"/>
  <c r="CM43" i="23"/>
  <c r="CY43" i="23"/>
  <c r="EC43" i="23"/>
  <c r="IH43" i="23"/>
  <c r="BP35" i="22"/>
  <c r="ER35" i="22"/>
  <c r="GE35" i="22"/>
  <c r="GF35" i="22"/>
  <c r="CL43" i="23"/>
  <c r="CX43" i="23"/>
  <c r="IG43" i="23"/>
  <c r="CK43" i="23"/>
  <c r="CW43" i="23"/>
  <c r="IF43" i="23"/>
  <c r="BN35" i="22"/>
  <c r="EP35" i="22"/>
  <c r="GC35" i="22"/>
  <c r="GD35" i="22"/>
  <c r="CJ43" i="23"/>
  <c r="CV43" i="23"/>
  <c r="DH43" i="23"/>
  <c r="DZ43" i="23"/>
  <c r="IE43" i="23"/>
  <c r="DG43" i="23"/>
  <c r="CI43" i="23"/>
  <c r="CU43" i="23"/>
  <c r="DY43" i="23"/>
  <c r="ID43" i="23"/>
  <c r="CH43" i="23"/>
  <c r="CT43" i="23"/>
  <c r="DF43" i="23"/>
  <c r="DX43" i="23"/>
  <c r="IC43" i="23"/>
  <c r="DE43" i="23"/>
  <c r="CG43" i="23"/>
  <c r="CS43" i="23"/>
  <c r="DW43" i="23"/>
  <c r="IB43" i="23"/>
  <c r="CF43" i="23"/>
  <c r="CR43" i="23"/>
  <c r="IA43" i="23"/>
  <c r="CE43" i="23"/>
  <c r="CQ43" i="23"/>
  <c r="HZ43" i="23"/>
  <c r="CD43" i="23"/>
  <c r="CP43" i="23"/>
  <c r="DB43" i="23"/>
  <c r="DT43" i="23"/>
  <c r="HY43" i="23"/>
  <c r="DA43" i="23"/>
  <c r="CC43" i="23"/>
  <c r="CO43" i="23"/>
  <c r="DS43" i="23"/>
  <c r="HX43" i="23"/>
  <c r="AC35" i="22"/>
  <c r="CJ35" i="22"/>
  <c r="CK35" i="22"/>
  <c r="CI32" i="21"/>
  <c r="FH43" i="23"/>
  <c r="HW43" i="23"/>
  <c r="FG43" i="23"/>
  <c r="HV43" i="23"/>
  <c r="AB35" i="22"/>
  <c r="CH35" i="22"/>
  <c r="CI35" i="22"/>
  <c r="FF43" i="23"/>
  <c r="HU43" i="23"/>
  <c r="FE43" i="23"/>
  <c r="HT43" i="23"/>
  <c r="AA35" i="22"/>
  <c r="CF35" i="22"/>
  <c r="CG35" i="22"/>
  <c r="FD43" i="23"/>
  <c r="HS43" i="23"/>
  <c r="FC43" i="23"/>
  <c r="HR43" i="23"/>
  <c r="CH32" i="21"/>
  <c r="FB43" i="23"/>
  <c r="HQ43" i="23"/>
  <c r="FA43" i="23"/>
  <c r="HP43" i="23"/>
  <c r="EZ43" i="23"/>
  <c r="HO43" i="23"/>
  <c r="EY43" i="23"/>
  <c r="HN43" i="23"/>
  <c r="EX43" i="23"/>
  <c r="HM43" i="23"/>
  <c r="EW43" i="23"/>
  <c r="HL43" i="23"/>
  <c r="CG32" i="21"/>
  <c r="EV43" i="23"/>
  <c r="HK43" i="23"/>
  <c r="EU43" i="23"/>
  <c r="HJ43" i="23"/>
  <c r="ET43" i="23"/>
  <c r="HI43" i="23"/>
  <c r="ES43" i="23"/>
  <c r="HH43" i="23"/>
  <c r="ER43" i="23"/>
  <c r="HG43" i="23"/>
  <c r="EQ43" i="23"/>
  <c r="HF43" i="23"/>
  <c r="CF32" i="21"/>
  <c r="EP43" i="23"/>
  <c r="HE43" i="23"/>
  <c r="EO43" i="23"/>
  <c r="HD43" i="23"/>
  <c r="EN43" i="23"/>
  <c r="HC43" i="23"/>
  <c r="EM43" i="23"/>
  <c r="HB43" i="23"/>
  <c r="EL43" i="23"/>
  <c r="HA43" i="23"/>
  <c r="EK43" i="23"/>
  <c r="GZ43" i="23"/>
  <c r="CE32" i="21"/>
  <c r="EJ43" i="23"/>
  <c r="GY43" i="23"/>
  <c r="EI43" i="23"/>
  <c r="GX43" i="23"/>
  <c r="EH43" i="23"/>
  <c r="GW43" i="23"/>
  <c r="EG43" i="23"/>
  <c r="GV43" i="23"/>
  <c r="EF43" i="23"/>
  <c r="GU43" i="23"/>
  <c r="EE43" i="23"/>
  <c r="GT43" i="23"/>
  <c r="DL34" i="22"/>
  <c r="DR34" i="22"/>
  <c r="EF35" i="22"/>
  <c r="BP43" i="23"/>
  <c r="GS43" i="23"/>
  <c r="DQ34" i="22"/>
  <c r="EE35" i="22"/>
  <c r="BO43" i="23"/>
  <c r="GR43" i="23"/>
  <c r="ED35" i="22"/>
  <c r="BN43" i="23"/>
  <c r="GQ43" i="23"/>
  <c r="EC35" i="22"/>
  <c r="BM43" i="23"/>
  <c r="GP43" i="23"/>
  <c r="EB35" i="22"/>
  <c r="BL43" i="23"/>
  <c r="GO43" i="23"/>
  <c r="EA35" i="22"/>
  <c r="BK43" i="23"/>
  <c r="GN43" i="23"/>
  <c r="AZ35" i="22"/>
  <c r="BA35" i="22"/>
  <c r="AL43" i="23"/>
  <c r="AX43" i="23"/>
  <c r="BJ43" i="23"/>
  <c r="CB43" i="23"/>
  <c r="GM43" i="23"/>
  <c r="BI43" i="23"/>
  <c r="AK43" i="23"/>
  <c r="AW43" i="23"/>
  <c r="CA43" i="23"/>
  <c r="GL43" i="23"/>
  <c r="S35" i="22"/>
  <c r="AX35" i="22"/>
  <c r="AY35" i="22"/>
  <c r="AJ43" i="23"/>
  <c r="AV43" i="23"/>
  <c r="BH43" i="23"/>
  <c r="BZ43" i="23"/>
  <c r="GK43" i="23"/>
  <c r="BG43" i="23"/>
  <c r="AI43" i="23"/>
  <c r="AU43" i="23"/>
  <c r="BY43" i="23"/>
  <c r="GJ43" i="23"/>
  <c r="AV35" i="22"/>
  <c r="AW35" i="22"/>
  <c r="AH43" i="23"/>
  <c r="AT43" i="23"/>
  <c r="BF43" i="23"/>
  <c r="BX43" i="23"/>
  <c r="GI43" i="23"/>
  <c r="BE43" i="23"/>
  <c r="AG43" i="23"/>
  <c r="AS43" i="23"/>
  <c r="BW43" i="23"/>
  <c r="GH43" i="23"/>
  <c r="AF43" i="23"/>
  <c r="AR43" i="23"/>
  <c r="BD43" i="23"/>
  <c r="BV43" i="23"/>
  <c r="GG43" i="23"/>
  <c r="BC43" i="23"/>
  <c r="AE43" i="23"/>
  <c r="AQ43" i="23"/>
  <c r="BU43" i="23"/>
  <c r="GF43" i="23"/>
  <c r="AD43" i="23"/>
  <c r="AP43" i="23"/>
  <c r="BB43" i="23"/>
  <c r="BT43" i="23"/>
  <c r="GE43" i="23"/>
  <c r="BA43" i="23"/>
  <c r="AC43" i="23"/>
  <c r="AO43" i="23"/>
  <c r="BS43" i="23"/>
  <c r="GD43" i="23"/>
  <c r="AB43" i="23"/>
  <c r="AN43" i="23"/>
  <c r="AZ43" i="23"/>
  <c r="BR43" i="23"/>
  <c r="GC43" i="23"/>
  <c r="AY43" i="23"/>
  <c r="AA43" i="23"/>
  <c r="AM43" i="23"/>
  <c r="BQ43" i="23"/>
  <c r="GB43" i="23"/>
  <c r="AH35" i="22"/>
  <c r="AI35" i="22"/>
  <c r="N43" i="23"/>
  <c r="Z43" i="23"/>
  <c r="GA43" i="23"/>
  <c r="M43" i="23"/>
  <c r="Y43" i="23"/>
  <c r="FZ43" i="23"/>
  <c r="AF35" i="22"/>
  <c r="AG35" i="22"/>
  <c r="L43" i="23"/>
  <c r="X43" i="23"/>
  <c r="FY43" i="23"/>
  <c r="K43" i="23"/>
  <c r="W43" i="23"/>
  <c r="FX43" i="23"/>
  <c r="AD35" i="22"/>
  <c r="AE35" i="22"/>
  <c r="J43" i="23"/>
  <c r="V43" i="23"/>
  <c r="FW43" i="23"/>
  <c r="I43" i="23"/>
  <c r="U43" i="23"/>
  <c r="FV43" i="23"/>
  <c r="H43" i="23"/>
  <c r="T43" i="23"/>
  <c r="FU43" i="23"/>
  <c r="G43" i="23"/>
  <c r="S43" i="23"/>
  <c r="FT43" i="23"/>
  <c r="F43" i="23"/>
  <c r="R43" i="23"/>
  <c r="FS43" i="23"/>
  <c r="E43" i="23"/>
  <c r="Q43" i="23"/>
  <c r="FR43" i="23"/>
  <c r="D43" i="23"/>
  <c r="P43" i="23"/>
  <c r="FQ43" i="23"/>
  <c r="C43" i="23"/>
  <c r="O43" i="23"/>
  <c r="FP43" i="23"/>
  <c r="F25" i="22"/>
  <c r="CM25" i="22"/>
  <c r="CT25" i="22"/>
  <c r="CY25" i="22"/>
  <c r="FF25" i="22"/>
  <c r="FG25" i="22"/>
  <c r="FN25" i="22"/>
  <c r="FT25" i="22"/>
  <c r="GV34" i="22"/>
  <c r="DR42" i="23"/>
  <c r="IO42" i="23"/>
  <c r="FM25" i="22"/>
  <c r="FS25" i="22"/>
  <c r="GU34" i="22"/>
  <c r="DQ42" i="23"/>
  <c r="IN42" i="23"/>
  <c r="IM42" i="23"/>
  <c r="IL42" i="23"/>
  <c r="CW33" i="22"/>
  <c r="FB33" i="22"/>
  <c r="FC33" i="22"/>
  <c r="FX33" i="22"/>
  <c r="GR34" i="22"/>
  <c r="GT34" i="22"/>
  <c r="DN42" i="23"/>
  <c r="IK42" i="23"/>
  <c r="FV33" i="22"/>
  <c r="GQ34" i="22"/>
  <c r="GS34" i="22"/>
  <c r="DM42" i="23"/>
  <c r="IJ42" i="23"/>
  <c r="BR34" i="22"/>
  <c r="ET34" i="22"/>
  <c r="GH34" i="22"/>
  <c r="CN42" i="23"/>
  <c r="CZ42" i="23"/>
  <c r="DL42" i="23"/>
  <c r="ED42" i="23"/>
  <c r="II42" i="23"/>
  <c r="DK42" i="23"/>
  <c r="GG34" i="22"/>
  <c r="CM42" i="23"/>
  <c r="CY42" i="23"/>
  <c r="EC42" i="23"/>
  <c r="IH42" i="23"/>
  <c r="BP34" i="22"/>
  <c r="ER34" i="22"/>
  <c r="GE34" i="22"/>
  <c r="GF34" i="22"/>
  <c r="CL42" i="23"/>
  <c r="CX42" i="23"/>
  <c r="IG42" i="23"/>
  <c r="CK42" i="23"/>
  <c r="CW42" i="23"/>
  <c r="IF42" i="23"/>
  <c r="BN34" i="22"/>
  <c r="EP34" i="22"/>
  <c r="GC34" i="22"/>
  <c r="GD34" i="22"/>
  <c r="CJ42" i="23"/>
  <c r="CV42" i="23"/>
  <c r="DH42" i="23"/>
  <c r="DZ42" i="23"/>
  <c r="IE42" i="23"/>
  <c r="DG42" i="23"/>
  <c r="CI42" i="23"/>
  <c r="CU42" i="23"/>
  <c r="DY42" i="23"/>
  <c r="ID42" i="23"/>
  <c r="CH42" i="23"/>
  <c r="CT42" i="23"/>
  <c r="DF42" i="23"/>
  <c r="DX42" i="23"/>
  <c r="IC42" i="23"/>
  <c r="DE42" i="23"/>
  <c r="CG42" i="23"/>
  <c r="CS42" i="23"/>
  <c r="DW42" i="23"/>
  <c r="IB42" i="23"/>
  <c r="CF42" i="23"/>
  <c r="CR42" i="23"/>
  <c r="IA42" i="23"/>
  <c r="CE42" i="23"/>
  <c r="CQ42" i="23"/>
  <c r="HZ42" i="23"/>
  <c r="CD42" i="23"/>
  <c r="CP42" i="23"/>
  <c r="DB42" i="23"/>
  <c r="DT42" i="23"/>
  <c r="HY42" i="23"/>
  <c r="DA42" i="23"/>
  <c r="CC42" i="23"/>
  <c r="CO42" i="23"/>
  <c r="DS42" i="23"/>
  <c r="HX42" i="23"/>
  <c r="AC34" i="22"/>
  <c r="CJ34" i="22"/>
  <c r="CK34" i="22"/>
  <c r="CI31" i="21"/>
  <c r="FH42" i="23"/>
  <c r="HW42" i="23"/>
  <c r="FG42" i="23"/>
  <c r="HV42" i="23"/>
  <c r="AB34" i="22"/>
  <c r="CH34" i="22"/>
  <c r="CI34" i="22"/>
  <c r="FF42" i="23"/>
  <c r="HU42" i="23"/>
  <c r="FE42" i="23"/>
  <c r="HT42" i="23"/>
  <c r="AA34" i="22"/>
  <c r="CF34" i="22"/>
  <c r="CG34" i="22"/>
  <c r="FD42" i="23"/>
  <c r="HS42" i="23"/>
  <c r="FC42" i="23"/>
  <c r="HR42" i="23"/>
  <c r="CH31" i="21"/>
  <c r="FB42" i="23"/>
  <c r="HQ42" i="23"/>
  <c r="FA42" i="23"/>
  <c r="HP42" i="23"/>
  <c r="EZ42" i="23"/>
  <c r="HO42" i="23"/>
  <c r="EY42" i="23"/>
  <c r="HN42" i="23"/>
  <c r="EX42" i="23"/>
  <c r="HM42" i="23"/>
  <c r="EW42" i="23"/>
  <c r="HL42" i="23"/>
  <c r="CG31" i="21"/>
  <c r="EV42" i="23"/>
  <c r="HK42" i="23"/>
  <c r="EU42" i="23"/>
  <c r="HJ42" i="23"/>
  <c r="ET42" i="23"/>
  <c r="HI42" i="23"/>
  <c r="ES42" i="23"/>
  <c r="HH42" i="23"/>
  <c r="ER42" i="23"/>
  <c r="HG42" i="23"/>
  <c r="EQ42" i="23"/>
  <c r="HF42" i="23"/>
  <c r="CF31" i="21"/>
  <c r="EP42" i="23"/>
  <c r="HE42" i="23"/>
  <c r="EO42" i="23"/>
  <c r="HD42" i="23"/>
  <c r="EN42" i="23"/>
  <c r="HC42" i="23"/>
  <c r="EM42" i="23"/>
  <c r="HB42" i="23"/>
  <c r="EL42" i="23"/>
  <c r="HA42" i="23"/>
  <c r="EK42" i="23"/>
  <c r="GZ42" i="23"/>
  <c r="CE31" i="21"/>
  <c r="EJ42" i="23"/>
  <c r="GY42" i="23"/>
  <c r="EI42" i="23"/>
  <c r="GX42" i="23"/>
  <c r="EH42" i="23"/>
  <c r="GW42" i="23"/>
  <c r="EG42" i="23"/>
  <c r="GV42" i="23"/>
  <c r="EF42" i="23"/>
  <c r="GU42" i="23"/>
  <c r="EE42" i="23"/>
  <c r="GT42" i="23"/>
  <c r="DL33" i="22"/>
  <c r="DR33" i="22"/>
  <c r="EF34" i="22"/>
  <c r="BP42" i="23"/>
  <c r="GS42" i="23"/>
  <c r="DQ33" i="22"/>
  <c r="EE34" i="22"/>
  <c r="BO42" i="23"/>
  <c r="GR42" i="23"/>
  <c r="ED34" i="22"/>
  <c r="BN42" i="23"/>
  <c r="GQ42" i="23"/>
  <c r="EC34" i="22"/>
  <c r="BM42" i="23"/>
  <c r="GP42" i="23"/>
  <c r="EB34" i="22"/>
  <c r="BL42" i="23"/>
  <c r="GO42" i="23"/>
  <c r="EA34" i="22"/>
  <c r="BK42" i="23"/>
  <c r="GN42" i="23"/>
  <c r="AZ34" i="22"/>
  <c r="BA34" i="22"/>
  <c r="AL42" i="23"/>
  <c r="AX42" i="23"/>
  <c r="BJ42" i="23"/>
  <c r="CB42" i="23"/>
  <c r="GM42" i="23"/>
  <c r="BI42" i="23"/>
  <c r="AK42" i="23"/>
  <c r="AW42" i="23"/>
  <c r="CA42" i="23"/>
  <c r="GL42" i="23"/>
  <c r="S34" i="22"/>
  <c r="AX34" i="22"/>
  <c r="AY34" i="22"/>
  <c r="AJ42" i="23"/>
  <c r="AV42" i="23"/>
  <c r="BH42" i="23"/>
  <c r="BZ42" i="23"/>
  <c r="GK42" i="23"/>
  <c r="BG42" i="23"/>
  <c r="AI42" i="23"/>
  <c r="AU42" i="23"/>
  <c r="BY42" i="23"/>
  <c r="GJ42" i="23"/>
  <c r="AV34" i="22"/>
  <c r="AW34" i="22"/>
  <c r="AH42" i="23"/>
  <c r="AT42" i="23"/>
  <c r="BF42" i="23"/>
  <c r="BX42" i="23"/>
  <c r="GI42" i="23"/>
  <c r="BE42" i="23"/>
  <c r="AG42" i="23"/>
  <c r="AS42" i="23"/>
  <c r="BW42" i="23"/>
  <c r="GH42" i="23"/>
  <c r="AF42" i="23"/>
  <c r="AR42" i="23"/>
  <c r="BD42" i="23"/>
  <c r="BV42" i="23"/>
  <c r="GG42" i="23"/>
  <c r="BC42" i="23"/>
  <c r="AE42" i="23"/>
  <c r="AQ42" i="23"/>
  <c r="BU42" i="23"/>
  <c r="GF42" i="23"/>
  <c r="AD42" i="23"/>
  <c r="AP42" i="23"/>
  <c r="BB42" i="23"/>
  <c r="BT42" i="23"/>
  <c r="GE42" i="23"/>
  <c r="BA42" i="23"/>
  <c r="AC42" i="23"/>
  <c r="AO42" i="23"/>
  <c r="BS42" i="23"/>
  <c r="GD42" i="23"/>
  <c r="AB42" i="23"/>
  <c r="AN42" i="23"/>
  <c r="AZ42" i="23"/>
  <c r="BR42" i="23"/>
  <c r="GC42" i="23"/>
  <c r="AY42" i="23"/>
  <c r="AA42" i="23"/>
  <c r="AM42" i="23"/>
  <c r="BQ42" i="23"/>
  <c r="GB42" i="23"/>
  <c r="AH34" i="22"/>
  <c r="AI34" i="22"/>
  <c r="N42" i="23"/>
  <c r="Z42" i="23"/>
  <c r="GA42" i="23"/>
  <c r="M42" i="23"/>
  <c r="Y42" i="23"/>
  <c r="FZ42" i="23"/>
  <c r="AF34" i="22"/>
  <c r="AG34" i="22"/>
  <c r="L42" i="23"/>
  <c r="X42" i="23"/>
  <c r="FY42" i="23"/>
  <c r="K42" i="23"/>
  <c r="W42" i="23"/>
  <c r="FX42" i="23"/>
  <c r="AD34" i="22"/>
  <c r="AE34" i="22"/>
  <c r="J42" i="23"/>
  <c r="V42" i="23"/>
  <c r="FW42" i="23"/>
  <c r="I42" i="23"/>
  <c r="U42" i="23"/>
  <c r="FV42" i="23"/>
  <c r="H42" i="23"/>
  <c r="T42" i="23"/>
  <c r="FU42" i="23"/>
  <c r="G42" i="23"/>
  <c r="S42" i="23"/>
  <c r="FT42" i="23"/>
  <c r="F42" i="23"/>
  <c r="R42" i="23"/>
  <c r="FS42" i="23"/>
  <c r="E42" i="23"/>
  <c r="Q42" i="23"/>
  <c r="FR42" i="23"/>
  <c r="D42" i="23"/>
  <c r="P42" i="23"/>
  <c r="FQ42" i="23"/>
  <c r="C42" i="23"/>
  <c r="O42" i="23"/>
  <c r="FP42" i="23"/>
  <c r="F24" i="22"/>
  <c r="CM24" i="22"/>
  <c r="CT24" i="22"/>
  <c r="CY24" i="22"/>
  <c r="FF24" i="22"/>
  <c r="FG24" i="22"/>
  <c r="FN24" i="22"/>
  <c r="FT24" i="22"/>
  <c r="GV33" i="22"/>
  <c r="DR41" i="23"/>
  <c r="IO41" i="23"/>
  <c r="FM24" i="22"/>
  <c r="FS24" i="22"/>
  <c r="GU33" i="22"/>
  <c r="DQ41" i="23"/>
  <c r="IN41" i="23"/>
  <c r="IM41" i="23"/>
  <c r="IL41" i="23"/>
  <c r="CW32" i="22"/>
  <c r="FB32" i="22"/>
  <c r="FC32" i="22"/>
  <c r="FX32" i="22"/>
  <c r="GR33" i="22"/>
  <c r="GT33" i="22"/>
  <c r="DN41" i="23"/>
  <c r="IK41" i="23"/>
  <c r="FV32" i="22"/>
  <c r="GQ33" i="22"/>
  <c r="GS33" i="22"/>
  <c r="DM41" i="23"/>
  <c r="IJ41" i="23"/>
  <c r="BR33" i="22"/>
  <c r="ET33" i="22"/>
  <c r="GH33" i="22"/>
  <c r="CN41" i="23"/>
  <c r="CZ41" i="23"/>
  <c r="DL41" i="23"/>
  <c r="ED41" i="23"/>
  <c r="II41" i="23"/>
  <c r="DK41" i="23"/>
  <c r="GG33" i="22"/>
  <c r="CM41" i="23"/>
  <c r="CY41" i="23"/>
  <c r="EC41" i="23"/>
  <c r="IH41" i="23"/>
  <c r="BP33" i="22"/>
  <c r="ER33" i="22"/>
  <c r="GE33" i="22"/>
  <c r="GF33" i="22"/>
  <c r="CL41" i="23"/>
  <c r="CX41" i="23"/>
  <c r="IG41" i="23"/>
  <c r="CK41" i="23"/>
  <c r="CW41" i="23"/>
  <c r="IF41" i="23"/>
  <c r="BN33" i="22"/>
  <c r="EP33" i="22"/>
  <c r="GC33" i="22"/>
  <c r="GD33" i="22"/>
  <c r="CJ41" i="23"/>
  <c r="CV41" i="23"/>
  <c r="DH41" i="23"/>
  <c r="DZ41" i="23"/>
  <c r="IE41" i="23"/>
  <c r="DG41" i="23"/>
  <c r="CI41" i="23"/>
  <c r="CU41" i="23"/>
  <c r="DY41" i="23"/>
  <c r="ID41" i="23"/>
  <c r="CH41" i="23"/>
  <c r="CT41" i="23"/>
  <c r="DF41" i="23"/>
  <c r="DX41" i="23"/>
  <c r="IC41" i="23"/>
  <c r="DE41" i="23"/>
  <c r="CG41" i="23"/>
  <c r="CS41" i="23"/>
  <c r="DW41" i="23"/>
  <c r="IB41" i="23"/>
  <c r="CF41" i="23"/>
  <c r="CR41" i="23"/>
  <c r="IA41" i="23"/>
  <c r="CE41" i="23"/>
  <c r="CQ41" i="23"/>
  <c r="HZ41" i="23"/>
  <c r="CD41" i="23"/>
  <c r="CP41" i="23"/>
  <c r="DB41" i="23"/>
  <c r="DT41" i="23"/>
  <c r="HY41" i="23"/>
  <c r="DA41" i="23"/>
  <c r="CC41" i="23"/>
  <c r="CO41" i="23"/>
  <c r="DS41" i="23"/>
  <c r="HX41" i="23"/>
  <c r="AC33" i="22"/>
  <c r="CJ33" i="22"/>
  <c r="CK33" i="22"/>
  <c r="CI30" i="21"/>
  <c r="FH41" i="23"/>
  <c r="HW41" i="23"/>
  <c r="FG41" i="23"/>
  <c r="HV41" i="23"/>
  <c r="AB33" i="22"/>
  <c r="CH33" i="22"/>
  <c r="CI33" i="22"/>
  <c r="FF41" i="23"/>
  <c r="HU41" i="23"/>
  <c r="FE41" i="23"/>
  <c r="HT41" i="23"/>
  <c r="AA33" i="22"/>
  <c r="CF33" i="22"/>
  <c r="CG33" i="22"/>
  <c r="FD41" i="23"/>
  <c r="HS41" i="23"/>
  <c r="FC41" i="23"/>
  <c r="HR41" i="23"/>
  <c r="CH30" i="21"/>
  <c r="FB41" i="23"/>
  <c r="HQ41" i="23"/>
  <c r="FA41" i="23"/>
  <c r="HP41" i="23"/>
  <c r="EZ41" i="23"/>
  <c r="HO41" i="23"/>
  <c r="EY41" i="23"/>
  <c r="HN41" i="23"/>
  <c r="EX41" i="23"/>
  <c r="HM41" i="23"/>
  <c r="EW41" i="23"/>
  <c r="HL41" i="23"/>
  <c r="CG30" i="21"/>
  <c r="EV41" i="23"/>
  <c r="HK41" i="23"/>
  <c r="EU41" i="23"/>
  <c r="HJ41" i="23"/>
  <c r="ET41" i="23"/>
  <c r="HI41" i="23"/>
  <c r="ES41" i="23"/>
  <c r="HH41" i="23"/>
  <c r="ER41" i="23"/>
  <c r="HG41" i="23"/>
  <c r="EQ41" i="23"/>
  <c r="HF41" i="23"/>
  <c r="CF30" i="21"/>
  <c r="EP41" i="23"/>
  <c r="HE41" i="23"/>
  <c r="EO41" i="23"/>
  <c r="HD41" i="23"/>
  <c r="EN41" i="23"/>
  <c r="HC41" i="23"/>
  <c r="EM41" i="23"/>
  <c r="HB41" i="23"/>
  <c r="EL41" i="23"/>
  <c r="HA41" i="23"/>
  <c r="EK41" i="23"/>
  <c r="GZ41" i="23"/>
  <c r="CE30" i="21"/>
  <c r="EJ41" i="23"/>
  <c r="GY41" i="23"/>
  <c r="EI41" i="23"/>
  <c r="GX41" i="23"/>
  <c r="EH41" i="23"/>
  <c r="GW41" i="23"/>
  <c r="EG41" i="23"/>
  <c r="GV41" i="23"/>
  <c r="EF41" i="23"/>
  <c r="GU41" i="23"/>
  <c r="EE41" i="23"/>
  <c r="GT41" i="23"/>
  <c r="DL32" i="22"/>
  <c r="DR32" i="22"/>
  <c r="EF33" i="22"/>
  <c r="BP41" i="23"/>
  <c r="GS41" i="23"/>
  <c r="DQ32" i="22"/>
  <c r="EE33" i="22"/>
  <c r="BO41" i="23"/>
  <c r="GR41" i="23"/>
  <c r="ED33" i="22"/>
  <c r="BN41" i="23"/>
  <c r="GQ41" i="23"/>
  <c r="EC33" i="22"/>
  <c r="BM41" i="23"/>
  <c r="GP41" i="23"/>
  <c r="EB33" i="22"/>
  <c r="BL41" i="23"/>
  <c r="GO41" i="23"/>
  <c r="EA33" i="22"/>
  <c r="BK41" i="23"/>
  <c r="GN41" i="23"/>
  <c r="AZ33" i="22"/>
  <c r="BA33" i="22"/>
  <c r="AL41" i="23"/>
  <c r="AX41" i="23"/>
  <c r="BJ41" i="23"/>
  <c r="CB41" i="23"/>
  <c r="GM41" i="23"/>
  <c r="BI41" i="23"/>
  <c r="AK41" i="23"/>
  <c r="AW41" i="23"/>
  <c r="CA41" i="23"/>
  <c r="GL41" i="23"/>
  <c r="S33" i="22"/>
  <c r="AX33" i="22"/>
  <c r="AY33" i="22"/>
  <c r="AJ41" i="23"/>
  <c r="AV41" i="23"/>
  <c r="BH41" i="23"/>
  <c r="BZ41" i="23"/>
  <c r="GK41" i="23"/>
  <c r="BG41" i="23"/>
  <c r="AI41" i="23"/>
  <c r="AU41" i="23"/>
  <c r="BY41" i="23"/>
  <c r="GJ41" i="23"/>
  <c r="AV33" i="22"/>
  <c r="AW33" i="22"/>
  <c r="AH41" i="23"/>
  <c r="AT41" i="23"/>
  <c r="BF41" i="23"/>
  <c r="BX41" i="23"/>
  <c r="GI41" i="23"/>
  <c r="BE41" i="23"/>
  <c r="AG41" i="23"/>
  <c r="AS41" i="23"/>
  <c r="BW41" i="23"/>
  <c r="GH41" i="23"/>
  <c r="AF41" i="23"/>
  <c r="AR41" i="23"/>
  <c r="BD41" i="23"/>
  <c r="BV41" i="23"/>
  <c r="GG41" i="23"/>
  <c r="BC41" i="23"/>
  <c r="AE41" i="23"/>
  <c r="AQ41" i="23"/>
  <c r="BU41" i="23"/>
  <c r="GF41" i="23"/>
  <c r="AD41" i="23"/>
  <c r="AP41" i="23"/>
  <c r="BB41" i="23"/>
  <c r="BT41" i="23"/>
  <c r="GE41" i="23"/>
  <c r="BA41" i="23"/>
  <c r="AC41" i="23"/>
  <c r="AO41" i="23"/>
  <c r="BS41" i="23"/>
  <c r="GD41" i="23"/>
  <c r="AB41" i="23"/>
  <c r="AN41" i="23"/>
  <c r="AZ41" i="23"/>
  <c r="BR41" i="23"/>
  <c r="GC41" i="23"/>
  <c r="AY41" i="23"/>
  <c r="AA41" i="23"/>
  <c r="AM41" i="23"/>
  <c r="BQ41" i="23"/>
  <c r="GB41" i="23"/>
  <c r="AH33" i="22"/>
  <c r="AI33" i="22"/>
  <c r="N41" i="23"/>
  <c r="Z41" i="23"/>
  <c r="GA41" i="23"/>
  <c r="M41" i="23"/>
  <c r="Y41" i="23"/>
  <c r="FZ41" i="23"/>
  <c r="AF33" i="22"/>
  <c r="AG33" i="22"/>
  <c r="L41" i="23"/>
  <c r="X41" i="23"/>
  <c r="FY41" i="23"/>
  <c r="K41" i="23"/>
  <c r="W41" i="23"/>
  <c r="FX41" i="23"/>
  <c r="AD33" i="22"/>
  <c r="AE33" i="22"/>
  <c r="J41" i="23"/>
  <c r="V41" i="23"/>
  <c r="FW41" i="23"/>
  <c r="I41" i="23"/>
  <c r="U41" i="23"/>
  <c r="FV41" i="23"/>
  <c r="H41" i="23"/>
  <c r="T41" i="23"/>
  <c r="FU41" i="23"/>
  <c r="G41" i="23"/>
  <c r="S41" i="23"/>
  <c r="FT41" i="23"/>
  <c r="F41" i="23"/>
  <c r="R41" i="23"/>
  <c r="FS41" i="23"/>
  <c r="E41" i="23"/>
  <c r="Q41" i="23"/>
  <c r="FR41" i="23"/>
  <c r="D41" i="23"/>
  <c r="P41" i="23"/>
  <c r="FQ41" i="23"/>
  <c r="C41" i="23"/>
  <c r="O41" i="23"/>
  <c r="FP41" i="23"/>
  <c r="F23" i="22"/>
  <c r="CM23" i="22"/>
  <c r="CT23" i="22"/>
  <c r="CY23" i="22"/>
  <c r="FF23" i="22"/>
  <c r="FG23" i="22"/>
  <c r="FN23" i="22"/>
  <c r="FT23" i="22"/>
  <c r="GV32" i="22"/>
  <c r="DR40" i="23"/>
  <c r="IO40" i="23"/>
  <c r="FM23" i="22"/>
  <c r="FS23" i="22"/>
  <c r="GU32" i="22"/>
  <c r="DQ40" i="23"/>
  <c r="IN40" i="23"/>
  <c r="IM40" i="23"/>
  <c r="IL40" i="23"/>
  <c r="CW31" i="22"/>
  <c r="FB31" i="22"/>
  <c r="FC31" i="22"/>
  <c r="FX31" i="22"/>
  <c r="GR32" i="22"/>
  <c r="GT32" i="22"/>
  <c r="DN40" i="23"/>
  <c r="IK40" i="23"/>
  <c r="FV31" i="22"/>
  <c r="GQ32" i="22"/>
  <c r="GS32" i="22"/>
  <c r="DM40" i="23"/>
  <c r="IJ40" i="23"/>
  <c r="BR32" i="22"/>
  <c r="ET32" i="22"/>
  <c r="GH32" i="22"/>
  <c r="CN40" i="23"/>
  <c r="CZ40" i="23"/>
  <c r="DL40" i="23"/>
  <c r="ED40" i="23"/>
  <c r="II40" i="23"/>
  <c r="DK40" i="23"/>
  <c r="GG32" i="22"/>
  <c r="CM40" i="23"/>
  <c r="CY40" i="23"/>
  <c r="EC40" i="23"/>
  <c r="IH40" i="23"/>
  <c r="BP32" i="22"/>
  <c r="ER32" i="22"/>
  <c r="GE32" i="22"/>
  <c r="GF32" i="22"/>
  <c r="CL40" i="23"/>
  <c r="CX40" i="23"/>
  <c r="IG40" i="23"/>
  <c r="CK40" i="23"/>
  <c r="CW40" i="23"/>
  <c r="IF40" i="23"/>
  <c r="BN32" i="22"/>
  <c r="EP32" i="22"/>
  <c r="GC32" i="22"/>
  <c r="GD32" i="22"/>
  <c r="CJ40" i="23"/>
  <c r="CV40" i="23"/>
  <c r="DH40" i="23"/>
  <c r="DZ40" i="23"/>
  <c r="IE40" i="23"/>
  <c r="DG40" i="23"/>
  <c r="CI40" i="23"/>
  <c r="CU40" i="23"/>
  <c r="DY40" i="23"/>
  <c r="ID40" i="23"/>
  <c r="CH40" i="23"/>
  <c r="CT40" i="23"/>
  <c r="DF40" i="23"/>
  <c r="DX40" i="23"/>
  <c r="IC40" i="23"/>
  <c r="DE40" i="23"/>
  <c r="CG40" i="23"/>
  <c r="CS40" i="23"/>
  <c r="DW40" i="23"/>
  <c r="IB40" i="23"/>
  <c r="CF40" i="23"/>
  <c r="CR40" i="23"/>
  <c r="IA40" i="23"/>
  <c r="CE40" i="23"/>
  <c r="CQ40" i="23"/>
  <c r="HZ40" i="23"/>
  <c r="CD40" i="23"/>
  <c r="CP40" i="23"/>
  <c r="DB40" i="23"/>
  <c r="DT40" i="23"/>
  <c r="HY40" i="23"/>
  <c r="DA40" i="23"/>
  <c r="CC40" i="23"/>
  <c r="CO40" i="23"/>
  <c r="DS40" i="23"/>
  <c r="HX40" i="23"/>
  <c r="AC32" i="22"/>
  <c r="CJ32" i="22"/>
  <c r="CK32" i="22"/>
  <c r="CI29" i="21"/>
  <c r="FH40" i="23"/>
  <c r="HW40" i="23"/>
  <c r="FG40" i="23"/>
  <c r="HV40" i="23"/>
  <c r="AB32" i="22"/>
  <c r="CH32" i="22"/>
  <c r="CI32" i="22"/>
  <c r="FF40" i="23"/>
  <c r="HU40" i="23"/>
  <c r="FE40" i="23"/>
  <c r="HT40" i="23"/>
  <c r="AA32" i="22"/>
  <c r="CF32" i="22"/>
  <c r="CG32" i="22"/>
  <c r="FD40" i="23"/>
  <c r="HS40" i="23"/>
  <c r="FC40" i="23"/>
  <c r="HR40" i="23"/>
  <c r="CH29" i="21"/>
  <c r="FB40" i="23"/>
  <c r="HQ40" i="23"/>
  <c r="FA40" i="23"/>
  <c r="HP40" i="23"/>
  <c r="EZ40" i="23"/>
  <c r="HO40" i="23"/>
  <c r="EY40" i="23"/>
  <c r="HN40" i="23"/>
  <c r="EX40" i="23"/>
  <c r="HM40" i="23"/>
  <c r="EW40" i="23"/>
  <c r="HL40" i="23"/>
  <c r="CG29" i="21"/>
  <c r="EV40" i="23"/>
  <c r="HK40" i="23"/>
  <c r="EU40" i="23"/>
  <c r="HJ40" i="23"/>
  <c r="ET40" i="23"/>
  <c r="HI40" i="23"/>
  <c r="ES40" i="23"/>
  <c r="HH40" i="23"/>
  <c r="ER40" i="23"/>
  <c r="HG40" i="23"/>
  <c r="EQ40" i="23"/>
  <c r="HF40" i="23"/>
  <c r="CF29" i="21"/>
  <c r="EP40" i="23"/>
  <c r="HE40" i="23"/>
  <c r="EO40" i="23"/>
  <c r="HD40" i="23"/>
  <c r="EN40" i="23"/>
  <c r="HC40" i="23"/>
  <c r="EM40" i="23"/>
  <c r="HB40" i="23"/>
  <c r="EL40" i="23"/>
  <c r="HA40" i="23"/>
  <c r="EK40" i="23"/>
  <c r="GZ40" i="23"/>
  <c r="CE29" i="21"/>
  <c r="EJ40" i="23"/>
  <c r="GY40" i="23"/>
  <c r="EI40" i="23"/>
  <c r="GX40" i="23"/>
  <c r="EH40" i="23"/>
  <c r="GW40" i="23"/>
  <c r="EG40" i="23"/>
  <c r="GV40" i="23"/>
  <c r="EF40" i="23"/>
  <c r="GU40" i="23"/>
  <c r="EE40" i="23"/>
  <c r="GT40" i="23"/>
  <c r="DL31" i="22"/>
  <c r="DR31" i="22"/>
  <c r="EF32" i="22"/>
  <c r="BP40" i="23"/>
  <c r="GS40" i="23"/>
  <c r="DQ31" i="22"/>
  <c r="EE32" i="22"/>
  <c r="BO40" i="23"/>
  <c r="GR40" i="23"/>
  <c r="ED32" i="22"/>
  <c r="BN40" i="23"/>
  <c r="GQ40" i="23"/>
  <c r="EC32" i="22"/>
  <c r="BM40" i="23"/>
  <c r="GP40" i="23"/>
  <c r="EB32" i="22"/>
  <c r="BL40" i="23"/>
  <c r="GO40" i="23"/>
  <c r="EA32" i="22"/>
  <c r="BK40" i="23"/>
  <c r="GN40" i="23"/>
  <c r="AZ32" i="22"/>
  <c r="BA32" i="22"/>
  <c r="AL40" i="23"/>
  <c r="AX40" i="23"/>
  <c r="BJ40" i="23"/>
  <c r="CB40" i="23"/>
  <c r="GM40" i="23"/>
  <c r="BI40" i="23"/>
  <c r="AK40" i="23"/>
  <c r="AW40" i="23"/>
  <c r="CA40" i="23"/>
  <c r="GL40" i="23"/>
  <c r="S32" i="22"/>
  <c r="AX32" i="22"/>
  <c r="AY32" i="22"/>
  <c r="AJ40" i="23"/>
  <c r="AV40" i="23"/>
  <c r="BH40" i="23"/>
  <c r="BZ40" i="23"/>
  <c r="GK40" i="23"/>
  <c r="BG40" i="23"/>
  <c r="AI40" i="23"/>
  <c r="AU40" i="23"/>
  <c r="BY40" i="23"/>
  <c r="GJ40" i="23"/>
  <c r="AV32" i="22"/>
  <c r="AW32" i="22"/>
  <c r="AH40" i="23"/>
  <c r="AT40" i="23"/>
  <c r="BF40" i="23"/>
  <c r="BX40" i="23"/>
  <c r="GI40" i="23"/>
  <c r="BE40" i="23"/>
  <c r="AG40" i="23"/>
  <c r="AS40" i="23"/>
  <c r="BW40" i="23"/>
  <c r="GH40" i="23"/>
  <c r="AF40" i="23"/>
  <c r="AR40" i="23"/>
  <c r="BD40" i="23"/>
  <c r="BV40" i="23"/>
  <c r="GG40" i="23"/>
  <c r="BC40" i="23"/>
  <c r="AE40" i="23"/>
  <c r="AQ40" i="23"/>
  <c r="BU40" i="23"/>
  <c r="GF40" i="23"/>
  <c r="AD40" i="23"/>
  <c r="AP40" i="23"/>
  <c r="BB40" i="23"/>
  <c r="BT40" i="23"/>
  <c r="GE40" i="23"/>
  <c r="BA40" i="23"/>
  <c r="AC40" i="23"/>
  <c r="AO40" i="23"/>
  <c r="BS40" i="23"/>
  <c r="GD40" i="23"/>
  <c r="AB40" i="23"/>
  <c r="AN40" i="23"/>
  <c r="AZ40" i="23"/>
  <c r="BR40" i="23"/>
  <c r="GC40" i="23"/>
  <c r="AY40" i="23"/>
  <c r="AA40" i="23"/>
  <c r="AM40" i="23"/>
  <c r="BQ40" i="23"/>
  <c r="GB40" i="23"/>
  <c r="AH32" i="22"/>
  <c r="AI32" i="22"/>
  <c r="N40" i="23"/>
  <c r="Z40" i="23"/>
  <c r="GA40" i="23"/>
  <c r="M40" i="23"/>
  <c r="Y40" i="23"/>
  <c r="FZ40" i="23"/>
  <c r="AF32" i="22"/>
  <c r="AG32" i="22"/>
  <c r="L40" i="23"/>
  <c r="X40" i="23"/>
  <c r="FY40" i="23"/>
  <c r="K40" i="23"/>
  <c r="W40" i="23"/>
  <c r="FX40" i="23"/>
  <c r="AD32" i="22"/>
  <c r="AE32" i="22"/>
  <c r="J40" i="23"/>
  <c r="V40" i="23"/>
  <c r="FW40" i="23"/>
  <c r="I40" i="23"/>
  <c r="U40" i="23"/>
  <c r="FV40" i="23"/>
  <c r="H40" i="23"/>
  <c r="T40" i="23"/>
  <c r="FU40" i="23"/>
  <c r="G40" i="23"/>
  <c r="S40" i="23"/>
  <c r="FT40" i="23"/>
  <c r="F40" i="23"/>
  <c r="R40" i="23"/>
  <c r="FS40" i="23"/>
  <c r="E40" i="23"/>
  <c r="Q40" i="23"/>
  <c r="FR40" i="23"/>
  <c r="D40" i="23"/>
  <c r="P40" i="23"/>
  <c r="FQ40" i="23"/>
  <c r="C40" i="23"/>
  <c r="O40" i="23"/>
  <c r="FP40" i="23"/>
  <c r="F22" i="22"/>
  <c r="CM22" i="22"/>
  <c r="CT22" i="22"/>
  <c r="CY22" i="22"/>
  <c r="FF22" i="22"/>
  <c r="FG22" i="22"/>
  <c r="FN22" i="22"/>
  <c r="FT22" i="22"/>
  <c r="GV31" i="22"/>
  <c r="DR39" i="23"/>
  <c r="IO39" i="23"/>
  <c r="FM22" i="22"/>
  <c r="FS22" i="22"/>
  <c r="GU31" i="22"/>
  <c r="DQ39" i="23"/>
  <c r="IN39" i="23"/>
  <c r="IM39" i="23"/>
  <c r="IL39" i="23"/>
  <c r="CW30" i="22"/>
  <c r="FB30" i="22"/>
  <c r="FC30" i="22"/>
  <c r="FX30" i="22"/>
  <c r="GR31" i="22"/>
  <c r="GT31" i="22"/>
  <c r="DN39" i="23"/>
  <c r="IK39" i="23"/>
  <c r="FV30" i="22"/>
  <c r="GQ31" i="22"/>
  <c r="GS31" i="22"/>
  <c r="DM39" i="23"/>
  <c r="IJ39" i="23"/>
  <c r="BR31" i="22"/>
  <c r="ET31" i="22"/>
  <c r="GH31" i="22"/>
  <c r="CN39" i="23"/>
  <c r="CZ39" i="23"/>
  <c r="DL39" i="23"/>
  <c r="ED39" i="23"/>
  <c r="II39" i="23"/>
  <c r="DK39" i="23"/>
  <c r="GG31" i="22"/>
  <c r="CM39" i="23"/>
  <c r="CY39" i="23"/>
  <c r="EC39" i="23"/>
  <c r="IH39" i="23"/>
  <c r="BP31" i="22"/>
  <c r="ER31" i="22"/>
  <c r="GE31" i="22"/>
  <c r="GF31" i="22"/>
  <c r="CL39" i="23"/>
  <c r="CX39" i="23"/>
  <c r="IG39" i="23"/>
  <c r="CK39" i="23"/>
  <c r="CW39" i="23"/>
  <c r="IF39" i="23"/>
  <c r="BN31" i="22"/>
  <c r="EP31" i="22"/>
  <c r="GC31" i="22"/>
  <c r="GD31" i="22"/>
  <c r="CJ39" i="23"/>
  <c r="CV39" i="23"/>
  <c r="DH39" i="23"/>
  <c r="DZ39" i="23"/>
  <c r="IE39" i="23"/>
  <c r="DG39" i="23"/>
  <c r="CI39" i="23"/>
  <c r="CU39" i="23"/>
  <c r="DY39" i="23"/>
  <c r="ID39" i="23"/>
  <c r="CH39" i="23"/>
  <c r="CT39" i="23"/>
  <c r="DF39" i="23"/>
  <c r="DX39" i="23"/>
  <c r="IC39" i="23"/>
  <c r="DE39" i="23"/>
  <c r="CG39" i="23"/>
  <c r="CS39" i="23"/>
  <c r="DW39" i="23"/>
  <c r="IB39" i="23"/>
  <c r="CF39" i="23"/>
  <c r="CR39" i="23"/>
  <c r="IA39" i="23"/>
  <c r="CE39" i="23"/>
  <c r="CQ39" i="23"/>
  <c r="HZ39" i="23"/>
  <c r="CD39" i="23"/>
  <c r="CP39" i="23"/>
  <c r="DB39" i="23"/>
  <c r="DT39" i="23"/>
  <c r="HY39" i="23"/>
  <c r="DA39" i="23"/>
  <c r="CC39" i="23"/>
  <c r="CO39" i="23"/>
  <c r="DS39" i="23"/>
  <c r="HX39" i="23"/>
  <c r="AC31" i="22"/>
  <c r="CJ31" i="22"/>
  <c r="CK31" i="22"/>
  <c r="CI28" i="21"/>
  <c r="FH39" i="23"/>
  <c r="HW39" i="23"/>
  <c r="FG39" i="23"/>
  <c r="HV39" i="23"/>
  <c r="AB31" i="22"/>
  <c r="CH31" i="22"/>
  <c r="CI31" i="22"/>
  <c r="FF39" i="23"/>
  <c r="HU39" i="23"/>
  <c r="FE39" i="23"/>
  <c r="HT39" i="23"/>
  <c r="AA31" i="22"/>
  <c r="CF31" i="22"/>
  <c r="CG31" i="22"/>
  <c r="FD39" i="23"/>
  <c r="HS39" i="23"/>
  <c r="FC39" i="23"/>
  <c r="HR39" i="23"/>
  <c r="CH28" i="21"/>
  <c r="FB39" i="23"/>
  <c r="HQ39" i="23"/>
  <c r="FA39" i="23"/>
  <c r="HP39" i="23"/>
  <c r="EZ39" i="23"/>
  <c r="HO39" i="23"/>
  <c r="EY39" i="23"/>
  <c r="HN39" i="23"/>
  <c r="EX39" i="23"/>
  <c r="HM39" i="23"/>
  <c r="EW39" i="23"/>
  <c r="HL39" i="23"/>
  <c r="CG28" i="21"/>
  <c r="EV39" i="23"/>
  <c r="HK39" i="23"/>
  <c r="EU39" i="23"/>
  <c r="HJ39" i="23"/>
  <c r="ET39" i="23"/>
  <c r="HI39" i="23"/>
  <c r="ES39" i="23"/>
  <c r="HH39" i="23"/>
  <c r="ER39" i="23"/>
  <c r="HG39" i="23"/>
  <c r="EQ39" i="23"/>
  <c r="HF39" i="23"/>
  <c r="CF28" i="21"/>
  <c r="EP39" i="23"/>
  <c r="HE39" i="23"/>
  <c r="EO39" i="23"/>
  <c r="HD39" i="23"/>
  <c r="EN39" i="23"/>
  <c r="HC39" i="23"/>
  <c r="EM39" i="23"/>
  <c r="HB39" i="23"/>
  <c r="EL39" i="23"/>
  <c r="HA39" i="23"/>
  <c r="EK39" i="23"/>
  <c r="GZ39" i="23"/>
  <c r="CE28" i="21"/>
  <c r="EJ39" i="23"/>
  <c r="GY39" i="23"/>
  <c r="EI39" i="23"/>
  <c r="GX39" i="23"/>
  <c r="EH39" i="23"/>
  <c r="GW39" i="23"/>
  <c r="EG39" i="23"/>
  <c r="GV39" i="23"/>
  <c r="EF39" i="23"/>
  <c r="GU39" i="23"/>
  <c r="EE39" i="23"/>
  <c r="GT39" i="23"/>
  <c r="DL30" i="22"/>
  <c r="DR30" i="22"/>
  <c r="EF31" i="22"/>
  <c r="BP39" i="23"/>
  <c r="GS39" i="23"/>
  <c r="DQ30" i="22"/>
  <c r="EE31" i="22"/>
  <c r="BO39" i="23"/>
  <c r="GR39" i="23"/>
  <c r="ED31" i="22"/>
  <c r="BN39" i="23"/>
  <c r="GQ39" i="23"/>
  <c r="EC31" i="22"/>
  <c r="BM39" i="23"/>
  <c r="GP39" i="23"/>
  <c r="EB31" i="22"/>
  <c r="BL39" i="23"/>
  <c r="GO39" i="23"/>
  <c r="EA31" i="22"/>
  <c r="BK39" i="23"/>
  <c r="GN39" i="23"/>
  <c r="AZ31" i="22"/>
  <c r="BA31" i="22"/>
  <c r="AL39" i="23"/>
  <c r="AX39" i="23"/>
  <c r="BJ39" i="23"/>
  <c r="CB39" i="23"/>
  <c r="GM39" i="23"/>
  <c r="BI39" i="23"/>
  <c r="AK39" i="23"/>
  <c r="AW39" i="23"/>
  <c r="CA39" i="23"/>
  <c r="GL39" i="23"/>
  <c r="S31" i="22"/>
  <c r="AX31" i="22"/>
  <c r="AY31" i="22"/>
  <c r="AJ39" i="23"/>
  <c r="AV39" i="23"/>
  <c r="BH39" i="23"/>
  <c r="BZ39" i="23"/>
  <c r="GK39" i="23"/>
  <c r="BG39" i="23"/>
  <c r="AI39" i="23"/>
  <c r="AU39" i="23"/>
  <c r="BY39" i="23"/>
  <c r="GJ39" i="23"/>
  <c r="AV31" i="22"/>
  <c r="AW31" i="22"/>
  <c r="AH39" i="23"/>
  <c r="AT39" i="23"/>
  <c r="BF39" i="23"/>
  <c r="BX39" i="23"/>
  <c r="GI39" i="23"/>
  <c r="BE39" i="23"/>
  <c r="AG39" i="23"/>
  <c r="AS39" i="23"/>
  <c r="BW39" i="23"/>
  <c r="GH39" i="23"/>
  <c r="AF39" i="23"/>
  <c r="AR39" i="23"/>
  <c r="BD39" i="23"/>
  <c r="BV39" i="23"/>
  <c r="GG39" i="23"/>
  <c r="BC39" i="23"/>
  <c r="AE39" i="23"/>
  <c r="AQ39" i="23"/>
  <c r="BU39" i="23"/>
  <c r="GF39" i="23"/>
  <c r="AD39" i="23"/>
  <c r="AP39" i="23"/>
  <c r="BB39" i="23"/>
  <c r="BT39" i="23"/>
  <c r="GE39" i="23"/>
  <c r="BA39" i="23"/>
  <c r="AC39" i="23"/>
  <c r="AO39" i="23"/>
  <c r="BS39" i="23"/>
  <c r="GD39" i="23"/>
  <c r="AB39" i="23"/>
  <c r="AN39" i="23"/>
  <c r="AZ39" i="23"/>
  <c r="BR39" i="23"/>
  <c r="GC39" i="23"/>
  <c r="AY39" i="23"/>
  <c r="AA39" i="23"/>
  <c r="AM39" i="23"/>
  <c r="BQ39" i="23"/>
  <c r="GB39" i="23"/>
  <c r="AH31" i="22"/>
  <c r="AI31" i="22"/>
  <c r="N39" i="23"/>
  <c r="Z39" i="23"/>
  <c r="GA39" i="23"/>
  <c r="M39" i="23"/>
  <c r="Y39" i="23"/>
  <c r="FZ39" i="23"/>
  <c r="AF31" i="22"/>
  <c r="AG31" i="22"/>
  <c r="L39" i="23"/>
  <c r="X39" i="23"/>
  <c r="FY39" i="23"/>
  <c r="K39" i="23"/>
  <c r="W39" i="23"/>
  <c r="FX39" i="23"/>
  <c r="AD31" i="22"/>
  <c r="AE31" i="22"/>
  <c r="J39" i="23"/>
  <c r="V39" i="23"/>
  <c r="FW39" i="23"/>
  <c r="I39" i="23"/>
  <c r="U39" i="23"/>
  <c r="FV39" i="23"/>
  <c r="H39" i="23"/>
  <c r="T39" i="23"/>
  <c r="FU39" i="23"/>
  <c r="G39" i="23"/>
  <c r="S39" i="23"/>
  <c r="FT39" i="23"/>
  <c r="F39" i="23"/>
  <c r="R39" i="23"/>
  <c r="FS39" i="23"/>
  <c r="E39" i="23"/>
  <c r="Q39" i="23"/>
  <c r="FR39" i="23"/>
  <c r="D39" i="23"/>
  <c r="P39" i="23"/>
  <c r="FQ39" i="23"/>
  <c r="C39" i="23"/>
  <c r="O39" i="23"/>
  <c r="FP39" i="23"/>
  <c r="F21" i="22"/>
  <c r="CM21" i="22"/>
  <c r="CT21" i="22"/>
  <c r="CY21" i="22"/>
  <c r="FF21" i="22"/>
  <c r="FG21" i="22"/>
  <c r="FN21" i="22"/>
  <c r="FT21" i="22"/>
  <c r="GV30" i="22"/>
  <c r="DR38" i="23"/>
  <c r="IO38" i="23"/>
  <c r="FM21" i="22"/>
  <c r="FS21" i="22"/>
  <c r="GU30" i="22"/>
  <c r="DQ38" i="23"/>
  <c r="IN38" i="23"/>
  <c r="IM38" i="23"/>
  <c r="IL38" i="23"/>
  <c r="CW29" i="22"/>
  <c r="FB29" i="22"/>
  <c r="FC29" i="22"/>
  <c r="FX29" i="22"/>
  <c r="GR30" i="22"/>
  <c r="GT30" i="22"/>
  <c r="DN38" i="23"/>
  <c r="IK38" i="23"/>
  <c r="FV29" i="22"/>
  <c r="GQ30" i="22"/>
  <c r="GS30" i="22"/>
  <c r="DM38" i="23"/>
  <c r="IJ38" i="23"/>
  <c r="BR30" i="22"/>
  <c r="ET30" i="22"/>
  <c r="GH30" i="22"/>
  <c r="CN38" i="23"/>
  <c r="CZ38" i="23"/>
  <c r="DL38" i="23"/>
  <c r="ED38" i="23"/>
  <c r="II38" i="23"/>
  <c r="DK38" i="23"/>
  <c r="GG30" i="22"/>
  <c r="CM38" i="23"/>
  <c r="CY38" i="23"/>
  <c r="EC38" i="23"/>
  <c r="IH38" i="23"/>
  <c r="BP30" i="22"/>
  <c r="ER30" i="22"/>
  <c r="GE30" i="22"/>
  <c r="GF30" i="22"/>
  <c r="CL38" i="23"/>
  <c r="CX38" i="23"/>
  <c r="IG38" i="23"/>
  <c r="CK38" i="23"/>
  <c r="CW38" i="23"/>
  <c r="IF38" i="23"/>
  <c r="BN30" i="22"/>
  <c r="EP30" i="22"/>
  <c r="GC30" i="22"/>
  <c r="GD30" i="22"/>
  <c r="CJ38" i="23"/>
  <c r="CV38" i="23"/>
  <c r="DH38" i="23"/>
  <c r="DZ38" i="23"/>
  <c r="IE38" i="23"/>
  <c r="DG38" i="23"/>
  <c r="CI38" i="23"/>
  <c r="CU38" i="23"/>
  <c r="DY38" i="23"/>
  <c r="ID38" i="23"/>
  <c r="CH38" i="23"/>
  <c r="CT38" i="23"/>
  <c r="DF38" i="23"/>
  <c r="DX38" i="23"/>
  <c r="IC38" i="23"/>
  <c r="DE38" i="23"/>
  <c r="CG38" i="23"/>
  <c r="CS38" i="23"/>
  <c r="DW38" i="23"/>
  <c r="IB38" i="23"/>
  <c r="CF38" i="23"/>
  <c r="CR38" i="23"/>
  <c r="IA38" i="23"/>
  <c r="CE38" i="23"/>
  <c r="CQ38" i="23"/>
  <c r="HZ38" i="23"/>
  <c r="CD38" i="23"/>
  <c r="CP38" i="23"/>
  <c r="DB38" i="23"/>
  <c r="DT38" i="23"/>
  <c r="HY38" i="23"/>
  <c r="DA38" i="23"/>
  <c r="CC38" i="23"/>
  <c r="CO38" i="23"/>
  <c r="DS38" i="23"/>
  <c r="HX38" i="23"/>
  <c r="AC30" i="22"/>
  <c r="CJ30" i="22"/>
  <c r="CK30" i="22"/>
  <c r="CI27" i="21"/>
  <c r="FH38" i="23"/>
  <c r="HW38" i="23"/>
  <c r="FG38" i="23"/>
  <c r="HV38" i="23"/>
  <c r="AB30" i="22"/>
  <c r="CH30" i="22"/>
  <c r="CI30" i="22"/>
  <c r="FF38" i="23"/>
  <c r="HU38" i="23"/>
  <c r="FE38" i="23"/>
  <c r="HT38" i="23"/>
  <c r="AA30" i="22"/>
  <c r="CF30" i="22"/>
  <c r="CG30" i="22"/>
  <c r="FD38" i="23"/>
  <c r="HS38" i="23"/>
  <c r="FC38" i="23"/>
  <c r="HR38" i="23"/>
  <c r="CH27" i="21"/>
  <c r="FB38" i="23"/>
  <c r="HQ38" i="23"/>
  <c r="FA38" i="23"/>
  <c r="HP38" i="23"/>
  <c r="EZ38" i="23"/>
  <c r="HO38" i="23"/>
  <c r="EY38" i="23"/>
  <c r="HN38" i="23"/>
  <c r="EX38" i="23"/>
  <c r="HM38" i="23"/>
  <c r="EW38" i="23"/>
  <c r="HL38" i="23"/>
  <c r="CG27" i="21"/>
  <c r="EV38" i="23"/>
  <c r="HK38" i="23"/>
  <c r="EU38" i="23"/>
  <c r="HJ38" i="23"/>
  <c r="ET38" i="23"/>
  <c r="HI38" i="23"/>
  <c r="ES38" i="23"/>
  <c r="HH38" i="23"/>
  <c r="ER38" i="23"/>
  <c r="HG38" i="23"/>
  <c r="EQ38" i="23"/>
  <c r="HF38" i="23"/>
  <c r="CF27" i="21"/>
  <c r="EP38" i="23"/>
  <c r="HE38" i="23"/>
  <c r="EO38" i="23"/>
  <c r="HD38" i="23"/>
  <c r="EN38" i="23"/>
  <c r="HC38" i="23"/>
  <c r="EM38" i="23"/>
  <c r="HB38" i="23"/>
  <c r="EL38" i="23"/>
  <c r="HA38" i="23"/>
  <c r="EK38" i="23"/>
  <c r="GZ38" i="23"/>
  <c r="CE27" i="21"/>
  <c r="EJ38" i="23"/>
  <c r="GY38" i="23"/>
  <c r="EI38" i="23"/>
  <c r="GX38" i="23"/>
  <c r="EH38" i="23"/>
  <c r="GW38" i="23"/>
  <c r="EG38" i="23"/>
  <c r="GV38" i="23"/>
  <c r="EF38" i="23"/>
  <c r="GU38" i="23"/>
  <c r="EE38" i="23"/>
  <c r="GT38" i="23"/>
  <c r="DL29" i="22"/>
  <c r="DR29" i="22"/>
  <c r="EF30" i="22"/>
  <c r="BP38" i="23"/>
  <c r="GS38" i="23"/>
  <c r="DQ29" i="22"/>
  <c r="EE30" i="22"/>
  <c r="BO38" i="23"/>
  <c r="GR38" i="23"/>
  <c r="ED30" i="22"/>
  <c r="BN38" i="23"/>
  <c r="GQ38" i="23"/>
  <c r="EC30" i="22"/>
  <c r="BM38" i="23"/>
  <c r="GP38" i="23"/>
  <c r="EB30" i="22"/>
  <c r="BL38" i="23"/>
  <c r="GO38" i="23"/>
  <c r="EA30" i="22"/>
  <c r="BK38" i="23"/>
  <c r="GN38" i="23"/>
  <c r="AZ30" i="22"/>
  <c r="BA30" i="22"/>
  <c r="AL38" i="23"/>
  <c r="AX38" i="23"/>
  <c r="BJ38" i="23"/>
  <c r="CB38" i="23"/>
  <c r="GM38" i="23"/>
  <c r="BI38" i="23"/>
  <c r="AK38" i="23"/>
  <c r="AW38" i="23"/>
  <c r="CA38" i="23"/>
  <c r="GL38" i="23"/>
  <c r="S30" i="22"/>
  <c r="AX30" i="22"/>
  <c r="AY30" i="22"/>
  <c r="AJ38" i="23"/>
  <c r="AV38" i="23"/>
  <c r="BH38" i="23"/>
  <c r="BZ38" i="23"/>
  <c r="GK38" i="23"/>
  <c r="BG38" i="23"/>
  <c r="AI38" i="23"/>
  <c r="AU38" i="23"/>
  <c r="BY38" i="23"/>
  <c r="GJ38" i="23"/>
  <c r="AV30" i="22"/>
  <c r="AW30" i="22"/>
  <c r="AH38" i="23"/>
  <c r="AT38" i="23"/>
  <c r="BF38" i="23"/>
  <c r="BX38" i="23"/>
  <c r="GI38" i="23"/>
  <c r="BE38" i="23"/>
  <c r="AG38" i="23"/>
  <c r="AS38" i="23"/>
  <c r="BW38" i="23"/>
  <c r="GH38" i="23"/>
  <c r="AF38" i="23"/>
  <c r="AR38" i="23"/>
  <c r="BD38" i="23"/>
  <c r="BV38" i="23"/>
  <c r="GG38" i="23"/>
  <c r="BC38" i="23"/>
  <c r="AE38" i="23"/>
  <c r="AQ38" i="23"/>
  <c r="BU38" i="23"/>
  <c r="GF38" i="23"/>
  <c r="AD38" i="23"/>
  <c r="AP38" i="23"/>
  <c r="BB38" i="23"/>
  <c r="BT38" i="23"/>
  <c r="GE38" i="23"/>
  <c r="BA38" i="23"/>
  <c r="AC38" i="23"/>
  <c r="AO38" i="23"/>
  <c r="BS38" i="23"/>
  <c r="GD38" i="23"/>
  <c r="AB38" i="23"/>
  <c r="AN38" i="23"/>
  <c r="AZ38" i="23"/>
  <c r="BR38" i="23"/>
  <c r="GC38" i="23"/>
  <c r="AY38" i="23"/>
  <c r="AA38" i="23"/>
  <c r="AM38" i="23"/>
  <c r="BQ38" i="23"/>
  <c r="GB38" i="23"/>
  <c r="AH30" i="22"/>
  <c r="AI30" i="22"/>
  <c r="N38" i="23"/>
  <c r="Z38" i="23"/>
  <c r="GA38" i="23"/>
  <c r="M38" i="23"/>
  <c r="Y38" i="23"/>
  <c r="FZ38" i="23"/>
  <c r="AF30" i="22"/>
  <c r="AG30" i="22"/>
  <c r="L38" i="23"/>
  <c r="X38" i="23"/>
  <c r="FY38" i="23"/>
  <c r="K38" i="23"/>
  <c r="W38" i="23"/>
  <c r="FX38" i="23"/>
  <c r="AD30" i="22"/>
  <c r="AE30" i="22"/>
  <c r="J38" i="23"/>
  <c r="V38" i="23"/>
  <c r="FW38" i="23"/>
  <c r="I38" i="23"/>
  <c r="U38" i="23"/>
  <c r="FV38" i="23"/>
  <c r="H38" i="23"/>
  <c r="T38" i="23"/>
  <c r="FU38" i="23"/>
  <c r="G38" i="23"/>
  <c r="S38" i="23"/>
  <c r="FT38" i="23"/>
  <c r="F38" i="23"/>
  <c r="R38" i="23"/>
  <c r="FS38" i="23"/>
  <c r="E38" i="23"/>
  <c r="Q38" i="23"/>
  <c r="FR38" i="23"/>
  <c r="D38" i="23"/>
  <c r="P38" i="23"/>
  <c r="FQ38" i="23"/>
  <c r="C38" i="23"/>
  <c r="O38" i="23"/>
  <c r="FP38" i="23"/>
  <c r="F20" i="22"/>
  <c r="CM20" i="22"/>
  <c r="CT20" i="22"/>
  <c r="CY20" i="22"/>
  <c r="FF20" i="22"/>
  <c r="FG20" i="22"/>
  <c r="FN20" i="22"/>
  <c r="FT20" i="22"/>
  <c r="GV29" i="22"/>
  <c r="DR37" i="23"/>
  <c r="IO37" i="23"/>
  <c r="FM20" i="22"/>
  <c r="FS20" i="22"/>
  <c r="GU29" i="22"/>
  <c r="DQ37" i="23"/>
  <c r="IN37" i="23"/>
  <c r="IM37" i="23"/>
  <c r="IL37" i="23"/>
  <c r="CW28" i="22"/>
  <c r="FB28" i="22"/>
  <c r="FC28" i="22"/>
  <c r="FX28" i="22"/>
  <c r="GR29" i="22"/>
  <c r="GT29" i="22"/>
  <c r="DN37" i="23"/>
  <c r="IK37" i="23"/>
  <c r="FV28" i="22"/>
  <c r="GQ29" i="22"/>
  <c r="GS29" i="22"/>
  <c r="DM37" i="23"/>
  <c r="IJ37" i="23"/>
  <c r="BR29" i="22"/>
  <c r="ET29" i="22"/>
  <c r="GH29" i="22"/>
  <c r="CN37" i="23"/>
  <c r="CZ37" i="23"/>
  <c r="DL37" i="23"/>
  <c r="ED37" i="23"/>
  <c r="II37" i="23"/>
  <c r="DK37" i="23"/>
  <c r="GG29" i="22"/>
  <c r="CM37" i="23"/>
  <c r="CY37" i="23"/>
  <c r="EC37" i="23"/>
  <c r="IH37" i="23"/>
  <c r="BP29" i="22"/>
  <c r="ER29" i="22"/>
  <c r="GE29" i="22"/>
  <c r="GF29" i="22"/>
  <c r="CL37" i="23"/>
  <c r="CX37" i="23"/>
  <c r="IG37" i="23"/>
  <c r="CK37" i="23"/>
  <c r="CW37" i="23"/>
  <c r="IF37" i="23"/>
  <c r="BN29" i="22"/>
  <c r="EP29" i="22"/>
  <c r="GC29" i="22"/>
  <c r="GD29" i="22"/>
  <c r="CJ37" i="23"/>
  <c r="CV37" i="23"/>
  <c r="DH37" i="23"/>
  <c r="DZ37" i="23"/>
  <c r="IE37" i="23"/>
  <c r="DG37" i="23"/>
  <c r="CI37" i="23"/>
  <c r="CU37" i="23"/>
  <c r="DY37" i="23"/>
  <c r="ID37" i="23"/>
  <c r="CH37" i="23"/>
  <c r="CT37" i="23"/>
  <c r="DF37" i="23"/>
  <c r="DX37" i="23"/>
  <c r="IC37" i="23"/>
  <c r="DE37" i="23"/>
  <c r="CG37" i="23"/>
  <c r="CS37" i="23"/>
  <c r="DW37" i="23"/>
  <c r="IB37" i="23"/>
  <c r="CF37" i="23"/>
  <c r="CR37" i="23"/>
  <c r="IA37" i="23"/>
  <c r="CE37" i="23"/>
  <c r="CQ37" i="23"/>
  <c r="HZ37" i="23"/>
  <c r="CD37" i="23"/>
  <c r="CP37" i="23"/>
  <c r="DB37" i="23"/>
  <c r="DT37" i="23"/>
  <c r="HY37" i="23"/>
  <c r="DA37" i="23"/>
  <c r="CC37" i="23"/>
  <c r="CO37" i="23"/>
  <c r="DS37" i="23"/>
  <c r="HX37" i="23"/>
  <c r="AC29" i="22"/>
  <c r="CJ29" i="22"/>
  <c r="CK29" i="22"/>
  <c r="CI26" i="21"/>
  <c r="FH37" i="23"/>
  <c r="HW37" i="23"/>
  <c r="FG37" i="23"/>
  <c r="HV37" i="23"/>
  <c r="AB29" i="22"/>
  <c r="CH29" i="22"/>
  <c r="CI29" i="22"/>
  <c r="FF37" i="23"/>
  <c r="HU37" i="23"/>
  <c r="FE37" i="23"/>
  <c r="HT37" i="23"/>
  <c r="AA29" i="22"/>
  <c r="CF29" i="22"/>
  <c r="CG29" i="22"/>
  <c r="FD37" i="23"/>
  <c r="HS37" i="23"/>
  <c r="FC37" i="23"/>
  <c r="HR37" i="23"/>
  <c r="CH26" i="21"/>
  <c r="FB37" i="23"/>
  <c r="HQ37" i="23"/>
  <c r="FA37" i="23"/>
  <c r="HP37" i="23"/>
  <c r="EZ37" i="23"/>
  <c r="HO37" i="23"/>
  <c r="EY37" i="23"/>
  <c r="HN37" i="23"/>
  <c r="EX37" i="23"/>
  <c r="HM37" i="23"/>
  <c r="EW37" i="23"/>
  <c r="HL37" i="23"/>
  <c r="CG26" i="21"/>
  <c r="EV37" i="23"/>
  <c r="HK37" i="23"/>
  <c r="EU37" i="23"/>
  <c r="HJ37" i="23"/>
  <c r="ET37" i="23"/>
  <c r="HI37" i="23"/>
  <c r="ES37" i="23"/>
  <c r="HH37" i="23"/>
  <c r="ER37" i="23"/>
  <c r="HG37" i="23"/>
  <c r="EQ37" i="23"/>
  <c r="HF37" i="23"/>
  <c r="CF26" i="21"/>
  <c r="EP37" i="23"/>
  <c r="HE37" i="23"/>
  <c r="EO37" i="23"/>
  <c r="HD37" i="23"/>
  <c r="EN37" i="23"/>
  <c r="HC37" i="23"/>
  <c r="EM37" i="23"/>
  <c r="HB37" i="23"/>
  <c r="EL37" i="23"/>
  <c r="HA37" i="23"/>
  <c r="EK37" i="23"/>
  <c r="GZ37" i="23"/>
  <c r="CE26" i="21"/>
  <c r="EJ37" i="23"/>
  <c r="GY37" i="23"/>
  <c r="EI37" i="23"/>
  <c r="GX37" i="23"/>
  <c r="EH37" i="23"/>
  <c r="GW37" i="23"/>
  <c r="EG37" i="23"/>
  <c r="GV37" i="23"/>
  <c r="EF37" i="23"/>
  <c r="GU37" i="23"/>
  <c r="EE37" i="23"/>
  <c r="GT37" i="23"/>
  <c r="DL28" i="22"/>
  <c r="DR28" i="22"/>
  <c r="EF29" i="22"/>
  <c r="BP37" i="23"/>
  <c r="GS37" i="23"/>
  <c r="DQ28" i="22"/>
  <c r="EE29" i="22"/>
  <c r="BO37" i="23"/>
  <c r="GR37" i="23"/>
  <c r="ED29" i="22"/>
  <c r="BN37" i="23"/>
  <c r="GQ37" i="23"/>
  <c r="EC29" i="22"/>
  <c r="BM37" i="23"/>
  <c r="GP37" i="23"/>
  <c r="EB29" i="22"/>
  <c r="BL37" i="23"/>
  <c r="GO37" i="23"/>
  <c r="EA29" i="22"/>
  <c r="BK37" i="23"/>
  <c r="GN37" i="23"/>
  <c r="AZ29" i="22"/>
  <c r="BA29" i="22"/>
  <c r="AL37" i="23"/>
  <c r="AX37" i="23"/>
  <c r="BJ37" i="23"/>
  <c r="CB37" i="23"/>
  <c r="GM37" i="23"/>
  <c r="BI37" i="23"/>
  <c r="AK37" i="23"/>
  <c r="AW37" i="23"/>
  <c r="CA37" i="23"/>
  <c r="GL37" i="23"/>
  <c r="S29" i="22"/>
  <c r="AX29" i="22"/>
  <c r="AY29" i="22"/>
  <c r="AJ37" i="23"/>
  <c r="AV37" i="23"/>
  <c r="BH37" i="23"/>
  <c r="BZ37" i="23"/>
  <c r="GK37" i="23"/>
  <c r="BG37" i="23"/>
  <c r="AI37" i="23"/>
  <c r="AU37" i="23"/>
  <c r="BY37" i="23"/>
  <c r="GJ37" i="23"/>
  <c r="AV29" i="22"/>
  <c r="AW29" i="22"/>
  <c r="AH37" i="23"/>
  <c r="AT37" i="23"/>
  <c r="BF37" i="23"/>
  <c r="BX37" i="23"/>
  <c r="GI37" i="23"/>
  <c r="BE37" i="23"/>
  <c r="AG37" i="23"/>
  <c r="AS37" i="23"/>
  <c r="BW37" i="23"/>
  <c r="GH37" i="23"/>
  <c r="AF37" i="23"/>
  <c r="AR37" i="23"/>
  <c r="BD37" i="23"/>
  <c r="BV37" i="23"/>
  <c r="GG37" i="23"/>
  <c r="BC37" i="23"/>
  <c r="AE37" i="23"/>
  <c r="AQ37" i="23"/>
  <c r="BU37" i="23"/>
  <c r="GF37" i="23"/>
  <c r="AD37" i="23"/>
  <c r="AP37" i="23"/>
  <c r="BB37" i="23"/>
  <c r="BT37" i="23"/>
  <c r="GE37" i="23"/>
  <c r="BA37" i="23"/>
  <c r="AC37" i="23"/>
  <c r="AO37" i="23"/>
  <c r="BS37" i="23"/>
  <c r="GD37" i="23"/>
  <c r="AB37" i="23"/>
  <c r="AN37" i="23"/>
  <c r="AZ37" i="23"/>
  <c r="BR37" i="23"/>
  <c r="GC37" i="23"/>
  <c r="AY37" i="23"/>
  <c r="AA37" i="23"/>
  <c r="AM37" i="23"/>
  <c r="BQ37" i="23"/>
  <c r="GB37" i="23"/>
  <c r="AH29" i="22"/>
  <c r="AI29" i="22"/>
  <c r="N37" i="23"/>
  <c r="Z37" i="23"/>
  <c r="GA37" i="23"/>
  <c r="M37" i="23"/>
  <c r="Y37" i="23"/>
  <c r="FZ37" i="23"/>
  <c r="AF29" i="22"/>
  <c r="AG29" i="22"/>
  <c r="L37" i="23"/>
  <c r="X37" i="23"/>
  <c r="FY37" i="23"/>
  <c r="K37" i="23"/>
  <c r="W37" i="23"/>
  <c r="FX37" i="23"/>
  <c r="AD29" i="22"/>
  <c r="AE29" i="22"/>
  <c r="J37" i="23"/>
  <c r="V37" i="23"/>
  <c r="FW37" i="23"/>
  <c r="I37" i="23"/>
  <c r="U37" i="23"/>
  <c r="FV37" i="23"/>
  <c r="H37" i="23"/>
  <c r="T37" i="23"/>
  <c r="FU37" i="23"/>
  <c r="G37" i="23"/>
  <c r="S37" i="23"/>
  <c r="FT37" i="23"/>
  <c r="F37" i="23"/>
  <c r="R37" i="23"/>
  <c r="FS37" i="23"/>
  <c r="E37" i="23"/>
  <c r="Q37" i="23"/>
  <c r="FR37" i="23"/>
  <c r="D37" i="23"/>
  <c r="P37" i="23"/>
  <c r="FQ37" i="23"/>
  <c r="C37" i="23"/>
  <c r="O37" i="23"/>
  <c r="FP37" i="23"/>
  <c r="F19" i="22"/>
  <c r="CM19" i="22"/>
  <c r="CT19" i="22"/>
  <c r="CY19" i="22"/>
  <c r="FF19" i="22"/>
  <c r="FG19" i="22"/>
  <c r="FN19" i="22"/>
  <c r="FT19" i="22"/>
  <c r="GV28" i="22"/>
  <c r="DR36" i="23"/>
  <c r="IO36" i="23"/>
  <c r="FM19" i="22"/>
  <c r="FS19" i="22"/>
  <c r="GU28" i="22"/>
  <c r="DQ36" i="23"/>
  <c r="IN36" i="23"/>
  <c r="IM36" i="23"/>
  <c r="IL36" i="23"/>
  <c r="CW27" i="22"/>
  <c r="FB27" i="22"/>
  <c r="FC27" i="22"/>
  <c r="FX27" i="22"/>
  <c r="GR28" i="22"/>
  <c r="GT28" i="22"/>
  <c r="DN36" i="23"/>
  <c r="IK36" i="23"/>
  <c r="FV27" i="22"/>
  <c r="GQ28" i="22"/>
  <c r="GS28" i="22"/>
  <c r="DM36" i="23"/>
  <c r="IJ36" i="23"/>
  <c r="BR28" i="22"/>
  <c r="ET28" i="22"/>
  <c r="GH28" i="22"/>
  <c r="CN36" i="23"/>
  <c r="CZ36" i="23"/>
  <c r="DL36" i="23"/>
  <c r="ED36" i="23"/>
  <c r="II36" i="23"/>
  <c r="DK36" i="23"/>
  <c r="GG28" i="22"/>
  <c r="CM36" i="23"/>
  <c r="CY36" i="23"/>
  <c r="EC36" i="23"/>
  <c r="IH36" i="23"/>
  <c r="BP28" i="22"/>
  <c r="ER28" i="22"/>
  <c r="GE28" i="22"/>
  <c r="GF28" i="22"/>
  <c r="CL36" i="23"/>
  <c r="CX36" i="23"/>
  <c r="IG36" i="23"/>
  <c r="CK36" i="23"/>
  <c r="CW36" i="23"/>
  <c r="IF36" i="23"/>
  <c r="BN28" i="22"/>
  <c r="EP28" i="22"/>
  <c r="GC28" i="22"/>
  <c r="GD28" i="22"/>
  <c r="CJ36" i="23"/>
  <c r="CV36" i="23"/>
  <c r="DH36" i="23"/>
  <c r="DZ36" i="23"/>
  <c r="IE36" i="23"/>
  <c r="DG36" i="23"/>
  <c r="CI36" i="23"/>
  <c r="CU36" i="23"/>
  <c r="DY36" i="23"/>
  <c r="ID36" i="23"/>
  <c r="CH36" i="23"/>
  <c r="CT36" i="23"/>
  <c r="DF36" i="23"/>
  <c r="DX36" i="23"/>
  <c r="IC36" i="23"/>
  <c r="DE36" i="23"/>
  <c r="CG36" i="23"/>
  <c r="CS36" i="23"/>
  <c r="DW36" i="23"/>
  <c r="IB36" i="23"/>
  <c r="CF36" i="23"/>
  <c r="CR36" i="23"/>
  <c r="IA36" i="23"/>
  <c r="CE36" i="23"/>
  <c r="CQ36" i="23"/>
  <c r="HZ36" i="23"/>
  <c r="CD36" i="23"/>
  <c r="CP36" i="23"/>
  <c r="DB36" i="23"/>
  <c r="DT36" i="23"/>
  <c r="HY36" i="23"/>
  <c r="DA36" i="23"/>
  <c r="CC36" i="23"/>
  <c r="CO36" i="23"/>
  <c r="DS36" i="23"/>
  <c r="HX36" i="23"/>
  <c r="AC28" i="22"/>
  <c r="CJ28" i="22"/>
  <c r="CK28" i="22"/>
  <c r="CI25" i="21"/>
  <c r="FH36" i="23"/>
  <c r="HW36" i="23"/>
  <c r="FG36" i="23"/>
  <c r="HV36" i="23"/>
  <c r="AB28" i="22"/>
  <c r="CH28" i="22"/>
  <c r="CI28" i="22"/>
  <c r="FF36" i="23"/>
  <c r="HU36" i="23"/>
  <c r="FE36" i="23"/>
  <c r="HT36" i="23"/>
  <c r="AA28" i="22"/>
  <c r="CF28" i="22"/>
  <c r="CG28" i="22"/>
  <c r="FD36" i="23"/>
  <c r="HS36" i="23"/>
  <c r="FC36" i="23"/>
  <c r="HR36" i="23"/>
  <c r="CH25" i="21"/>
  <c r="FB36" i="23"/>
  <c r="HQ36" i="23"/>
  <c r="FA36" i="23"/>
  <c r="HP36" i="23"/>
  <c r="EZ36" i="23"/>
  <c r="HO36" i="23"/>
  <c r="EY36" i="23"/>
  <c r="HN36" i="23"/>
  <c r="EX36" i="23"/>
  <c r="HM36" i="23"/>
  <c r="EW36" i="23"/>
  <c r="HL36" i="23"/>
  <c r="CG25" i="21"/>
  <c r="EV36" i="23"/>
  <c r="HK36" i="23"/>
  <c r="EU36" i="23"/>
  <c r="HJ36" i="23"/>
  <c r="ET36" i="23"/>
  <c r="HI36" i="23"/>
  <c r="ES36" i="23"/>
  <c r="HH36" i="23"/>
  <c r="ER36" i="23"/>
  <c r="HG36" i="23"/>
  <c r="EQ36" i="23"/>
  <c r="HF36" i="23"/>
  <c r="CF25" i="21"/>
  <c r="EP36" i="23"/>
  <c r="HE36" i="23"/>
  <c r="EO36" i="23"/>
  <c r="HD36" i="23"/>
  <c r="EN36" i="23"/>
  <c r="HC36" i="23"/>
  <c r="EM36" i="23"/>
  <c r="HB36" i="23"/>
  <c r="EL36" i="23"/>
  <c r="HA36" i="23"/>
  <c r="EK36" i="23"/>
  <c r="GZ36" i="23"/>
  <c r="CE25" i="21"/>
  <c r="EJ36" i="23"/>
  <c r="GY36" i="23"/>
  <c r="EI36" i="23"/>
  <c r="GX36" i="23"/>
  <c r="EH36" i="23"/>
  <c r="GW36" i="23"/>
  <c r="EG36" i="23"/>
  <c r="GV36" i="23"/>
  <c r="EF36" i="23"/>
  <c r="GU36" i="23"/>
  <c r="EE36" i="23"/>
  <c r="GT36" i="23"/>
  <c r="DL27" i="22"/>
  <c r="DR27" i="22"/>
  <c r="EF28" i="22"/>
  <c r="BP36" i="23"/>
  <c r="GS36" i="23"/>
  <c r="DQ27" i="22"/>
  <c r="EE28" i="22"/>
  <c r="BO36" i="23"/>
  <c r="GR36" i="23"/>
  <c r="ED28" i="22"/>
  <c r="BN36" i="23"/>
  <c r="GQ36" i="23"/>
  <c r="EC28" i="22"/>
  <c r="BM36" i="23"/>
  <c r="GP36" i="23"/>
  <c r="EB28" i="22"/>
  <c r="BL36" i="23"/>
  <c r="GO36" i="23"/>
  <c r="EA28" i="22"/>
  <c r="BK36" i="23"/>
  <c r="GN36" i="23"/>
  <c r="AZ28" i="22"/>
  <c r="BA28" i="22"/>
  <c r="AL36" i="23"/>
  <c r="AX36" i="23"/>
  <c r="BJ36" i="23"/>
  <c r="CB36" i="23"/>
  <c r="GM36" i="23"/>
  <c r="BI36" i="23"/>
  <c r="AK36" i="23"/>
  <c r="AW36" i="23"/>
  <c r="CA36" i="23"/>
  <c r="GL36" i="23"/>
  <c r="S28" i="22"/>
  <c r="AX28" i="22"/>
  <c r="AY28" i="22"/>
  <c r="AJ36" i="23"/>
  <c r="AV36" i="23"/>
  <c r="BH36" i="23"/>
  <c r="BZ36" i="23"/>
  <c r="GK36" i="23"/>
  <c r="BG36" i="23"/>
  <c r="AI36" i="23"/>
  <c r="AU36" i="23"/>
  <c r="BY36" i="23"/>
  <c r="GJ36" i="23"/>
  <c r="AV28" i="22"/>
  <c r="AW28" i="22"/>
  <c r="AH36" i="23"/>
  <c r="AT36" i="23"/>
  <c r="BF36" i="23"/>
  <c r="BX36" i="23"/>
  <c r="GI36" i="23"/>
  <c r="BE36" i="23"/>
  <c r="AG36" i="23"/>
  <c r="AS36" i="23"/>
  <c r="BW36" i="23"/>
  <c r="GH36" i="23"/>
  <c r="AF36" i="23"/>
  <c r="AR36" i="23"/>
  <c r="BD36" i="23"/>
  <c r="BV36" i="23"/>
  <c r="GG36" i="23"/>
  <c r="BC36" i="23"/>
  <c r="AE36" i="23"/>
  <c r="AQ36" i="23"/>
  <c r="BU36" i="23"/>
  <c r="GF36" i="23"/>
  <c r="AD36" i="23"/>
  <c r="AP36" i="23"/>
  <c r="BB36" i="23"/>
  <c r="BT36" i="23"/>
  <c r="GE36" i="23"/>
  <c r="BA36" i="23"/>
  <c r="AC36" i="23"/>
  <c r="AO36" i="23"/>
  <c r="BS36" i="23"/>
  <c r="GD36" i="23"/>
  <c r="AB36" i="23"/>
  <c r="AN36" i="23"/>
  <c r="AZ36" i="23"/>
  <c r="BR36" i="23"/>
  <c r="GC36" i="23"/>
  <c r="AY36" i="23"/>
  <c r="AA36" i="23"/>
  <c r="AM36" i="23"/>
  <c r="BQ36" i="23"/>
  <c r="GB36" i="23"/>
  <c r="AH28" i="22"/>
  <c r="AI28" i="22"/>
  <c r="N36" i="23"/>
  <c r="Z36" i="23"/>
  <c r="GA36" i="23"/>
  <c r="M36" i="23"/>
  <c r="Y36" i="23"/>
  <c r="FZ36" i="23"/>
  <c r="AF28" i="22"/>
  <c r="AG28" i="22"/>
  <c r="L36" i="23"/>
  <c r="X36" i="23"/>
  <c r="FY36" i="23"/>
  <c r="K36" i="23"/>
  <c r="W36" i="23"/>
  <c r="FX36" i="23"/>
  <c r="AD28" i="22"/>
  <c r="AE28" i="22"/>
  <c r="J36" i="23"/>
  <c r="V36" i="23"/>
  <c r="FW36" i="23"/>
  <c r="I36" i="23"/>
  <c r="U36" i="23"/>
  <c r="FV36" i="23"/>
  <c r="H36" i="23"/>
  <c r="T36" i="23"/>
  <c r="FU36" i="23"/>
  <c r="G36" i="23"/>
  <c r="S36" i="23"/>
  <c r="FT36" i="23"/>
  <c r="F36" i="23"/>
  <c r="R36" i="23"/>
  <c r="FS36" i="23"/>
  <c r="E36" i="23"/>
  <c r="Q36" i="23"/>
  <c r="FR36" i="23"/>
  <c r="D36" i="23"/>
  <c r="P36" i="23"/>
  <c r="FQ36" i="23"/>
  <c r="C36" i="23"/>
  <c r="O36" i="23"/>
  <c r="FP36" i="23"/>
  <c r="F18" i="22"/>
  <c r="CM18" i="22"/>
  <c r="CT18" i="22"/>
  <c r="CY18" i="22"/>
  <c r="FF18" i="22"/>
  <c r="FG18" i="22"/>
  <c r="FN18" i="22"/>
  <c r="FT18" i="22"/>
  <c r="GV27" i="22"/>
  <c r="DR35" i="23"/>
  <c r="IO35" i="23"/>
  <c r="FM18" i="22"/>
  <c r="FS18" i="22"/>
  <c r="GU27" i="22"/>
  <c r="DQ35" i="23"/>
  <c r="IN35" i="23"/>
  <c r="IM35" i="23"/>
  <c r="IL35" i="23"/>
  <c r="CW26" i="22"/>
  <c r="FB26" i="22"/>
  <c r="FC26" i="22"/>
  <c r="FX26" i="22"/>
  <c r="GR27" i="22"/>
  <c r="GT27" i="22"/>
  <c r="DN35" i="23"/>
  <c r="IK35" i="23"/>
  <c r="FV26" i="22"/>
  <c r="GQ27" i="22"/>
  <c r="GS27" i="22"/>
  <c r="DM35" i="23"/>
  <c r="IJ35" i="23"/>
  <c r="BR27" i="22"/>
  <c r="ET27" i="22"/>
  <c r="GH27" i="22"/>
  <c r="CN35" i="23"/>
  <c r="CZ35" i="23"/>
  <c r="DL35" i="23"/>
  <c r="ED35" i="23"/>
  <c r="II35" i="23"/>
  <c r="DK35" i="23"/>
  <c r="GG27" i="22"/>
  <c r="CM35" i="23"/>
  <c r="CY35" i="23"/>
  <c r="EC35" i="23"/>
  <c r="IH35" i="23"/>
  <c r="BP27" i="22"/>
  <c r="ER27" i="22"/>
  <c r="GE27" i="22"/>
  <c r="GF27" i="22"/>
  <c r="CL35" i="23"/>
  <c r="CX35" i="23"/>
  <c r="IG35" i="23"/>
  <c r="CK35" i="23"/>
  <c r="CW35" i="23"/>
  <c r="IF35" i="23"/>
  <c r="BN27" i="22"/>
  <c r="EP27" i="22"/>
  <c r="GC27" i="22"/>
  <c r="GD27" i="22"/>
  <c r="CJ35" i="23"/>
  <c r="CV35" i="23"/>
  <c r="DH35" i="23"/>
  <c r="DZ35" i="23"/>
  <c r="IE35" i="23"/>
  <c r="DG35" i="23"/>
  <c r="CI35" i="23"/>
  <c r="CU35" i="23"/>
  <c r="DY35" i="23"/>
  <c r="ID35" i="23"/>
  <c r="CH35" i="23"/>
  <c r="CT35" i="23"/>
  <c r="DF35" i="23"/>
  <c r="DX35" i="23"/>
  <c r="IC35" i="23"/>
  <c r="DE35" i="23"/>
  <c r="CG35" i="23"/>
  <c r="CS35" i="23"/>
  <c r="DW35" i="23"/>
  <c r="IB35" i="23"/>
  <c r="CF35" i="23"/>
  <c r="CR35" i="23"/>
  <c r="IA35" i="23"/>
  <c r="CE35" i="23"/>
  <c r="CQ35" i="23"/>
  <c r="HZ35" i="23"/>
  <c r="CD35" i="23"/>
  <c r="CP35" i="23"/>
  <c r="DB35" i="23"/>
  <c r="DT35" i="23"/>
  <c r="HY35" i="23"/>
  <c r="DA35" i="23"/>
  <c r="CC35" i="23"/>
  <c r="CO35" i="23"/>
  <c r="DS35" i="23"/>
  <c r="HX35" i="23"/>
  <c r="AC27" i="22"/>
  <c r="CJ27" i="22"/>
  <c r="CK27" i="22"/>
  <c r="CI24" i="21"/>
  <c r="FH35" i="23"/>
  <c r="HW35" i="23"/>
  <c r="FG35" i="23"/>
  <c r="HV35" i="23"/>
  <c r="AB27" i="22"/>
  <c r="CH27" i="22"/>
  <c r="CI27" i="22"/>
  <c r="FF35" i="23"/>
  <c r="HU35" i="23"/>
  <c r="FE35" i="23"/>
  <c r="HT35" i="23"/>
  <c r="AA27" i="22"/>
  <c r="CF27" i="22"/>
  <c r="CG27" i="22"/>
  <c r="FD35" i="23"/>
  <c r="HS35" i="23"/>
  <c r="FC35" i="23"/>
  <c r="HR35" i="23"/>
  <c r="CH24" i="21"/>
  <c r="FB35" i="23"/>
  <c r="HQ35" i="23"/>
  <c r="FA35" i="23"/>
  <c r="HP35" i="23"/>
  <c r="EZ35" i="23"/>
  <c r="HO35" i="23"/>
  <c r="EY35" i="23"/>
  <c r="HN35" i="23"/>
  <c r="EX35" i="23"/>
  <c r="HM35" i="23"/>
  <c r="EW35" i="23"/>
  <c r="HL35" i="23"/>
  <c r="CG24" i="21"/>
  <c r="EV35" i="23"/>
  <c r="HK35" i="23"/>
  <c r="EU35" i="23"/>
  <c r="HJ35" i="23"/>
  <c r="ET35" i="23"/>
  <c r="HI35" i="23"/>
  <c r="ES35" i="23"/>
  <c r="HH35" i="23"/>
  <c r="ER35" i="23"/>
  <c r="HG35" i="23"/>
  <c r="EQ35" i="23"/>
  <c r="HF35" i="23"/>
  <c r="CF24" i="21"/>
  <c r="EP35" i="23"/>
  <c r="HE35" i="23"/>
  <c r="EO35" i="23"/>
  <c r="HD35" i="23"/>
  <c r="EN35" i="23"/>
  <c r="HC35" i="23"/>
  <c r="EM35" i="23"/>
  <c r="HB35" i="23"/>
  <c r="EL35" i="23"/>
  <c r="HA35" i="23"/>
  <c r="EK35" i="23"/>
  <c r="GZ35" i="23"/>
  <c r="CE24" i="21"/>
  <c r="EJ35" i="23"/>
  <c r="GY35" i="23"/>
  <c r="EI35" i="23"/>
  <c r="GX35" i="23"/>
  <c r="EH35" i="23"/>
  <c r="GW35" i="23"/>
  <c r="EG35" i="23"/>
  <c r="GV35" i="23"/>
  <c r="EF35" i="23"/>
  <c r="GU35" i="23"/>
  <c r="EE35" i="23"/>
  <c r="GT35" i="23"/>
  <c r="DL26" i="22"/>
  <c r="DR26" i="22"/>
  <c r="EF27" i="22"/>
  <c r="BP35" i="23"/>
  <c r="GS35" i="23"/>
  <c r="DQ26" i="22"/>
  <c r="EE27" i="22"/>
  <c r="BO35" i="23"/>
  <c r="GR35" i="23"/>
  <c r="ED27" i="22"/>
  <c r="BN35" i="23"/>
  <c r="GQ35" i="23"/>
  <c r="EC27" i="22"/>
  <c r="BM35" i="23"/>
  <c r="GP35" i="23"/>
  <c r="EB27" i="22"/>
  <c r="BL35" i="23"/>
  <c r="GO35" i="23"/>
  <c r="EA27" i="22"/>
  <c r="BK35" i="23"/>
  <c r="GN35" i="23"/>
  <c r="AZ27" i="22"/>
  <c r="BA27" i="22"/>
  <c r="AL35" i="23"/>
  <c r="AX35" i="23"/>
  <c r="BJ35" i="23"/>
  <c r="CB35" i="23"/>
  <c r="GM35" i="23"/>
  <c r="BI35" i="23"/>
  <c r="AK35" i="23"/>
  <c r="AW35" i="23"/>
  <c r="CA35" i="23"/>
  <c r="GL35" i="23"/>
  <c r="S27" i="22"/>
  <c r="AX27" i="22"/>
  <c r="AY27" i="22"/>
  <c r="AJ35" i="23"/>
  <c r="AV35" i="23"/>
  <c r="BH35" i="23"/>
  <c r="BZ35" i="23"/>
  <c r="GK35" i="23"/>
  <c r="BG35" i="23"/>
  <c r="AI35" i="23"/>
  <c r="AU35" i="23"/>
  <c r="BY35" i="23"/>
  <c r="GJ35" i="23"/>
  <c r="AV27" i="22"/>
  <c r="AW27" i="22"/>
  <c r="AH35" i="23"/>
  <c r="AT35" i="23"/>
  <c r="BF35" i="23"/>
  <c r="BX35" i="23"/>
  <c r="GI35" i="23"/>
  <c r="BE35" i="23"/>
  <c r="AG35" i="23"/>
  <c r="AS35" i="23"/>
  <c r="BW35" i="23"/>
  <c r="GH35" i="23"/>
  <c r="AF35" i="23"/>
  <c r="AR35" i="23"/>
  <c r="BD35" i="23"/>
  <c r="BV35" i="23"/>
  <c r="GG35" i="23"/>
  <c r="BC35" i="23"/>
  <c r="AE35" i="23"/>
  <c r="AQ35" i="23"/>
  <c r="BU35" i="23"/>
  <c r="GF35" i="23"/>
  <c r="AD35" i="23"/>
  <c r="AP35" i="23"/>
  <c r="BB35" i="23"/>
  <c r="BT35" i="23"/>
  <c r="GE35" i="23"/>
  <c r="BA35" i="23"/>
  <c r="AC35" i="23"/>
  <c r="AO35" i="23"/>
  <c r="BS35" i="23"/>
  <c r="GD35" i="23"/>
  <c r="AB35" i="23"/>
  <c r="AN35" i="23"/>
  <c r="AZ35" i="23"/>
  <c r="BR35" i="23"/>
  <c r="GC35" i="23"/>
  <c r="AY35" i="23"/>
  <c r="AA35" i="23"/>
  <c r="AM35" i="23"/>
  <c r="BQ35" i="23"/>
  <c r="GB35" i="23"/>
  <c r="AH27" i="22"/>
  <c r="AI27" i="22"/>
  <c r="N35" i="23"/>
  <c r="Z35" i="23"/>
  <c r="GA35" i="23"/>
  <c r="M35" i="23"/>
  <c r="Y35" i="23"/>
  <c r="FZ35" i="23"/>
  <c r="AF27" i="22"/>
  <c r="AG27" i="22"/>
  <c r="L35" i="23"/>
  <c r="X35" i="23"/>
  <c r="FY35" i="23"/>
  <c r="K35" i="23"/>
  <c r="W35" i="23"/>
  <c r="FX35" i="23"/>
  <c r="AD27" i="22"/>
  <c r="AE27" i="22"/>
  <c r="J35" i="23"/>
  <c r="V35" i="23"/>
  <c r="FW35" i="23"/>
  <c r="I35" i="23"/>
  <c r="U35" i="23"/>
  <c r="FV35" i="23"/>
  <c r="H35" i="23"/>
  <c r="T35" i="23"/>
  <c r="FU35" i="23"/>
  <c r="G35" i="23"/>
  <c r="S35" i="23"/>
  <c r="FT35" i="23"/>
  <c r="F35" i="23"/>
  <c r="R35" i="23"/>
  <c r="FS35" i="23"/>
  <c r="E35" i="23"/>
  <c r="Q35" i="23"/>
  <c r="FR35" i="23"/>
  <c r="D35" i="23"/>
  <c r="P35" i="23"/>
  <c r="FQ35" i="23"/>
  <c r="C35" i="23"/>
  <c r="O35" i="23"/>
  <c r="FP35" i="23"/>
  <c r="F17" i="22"/>
  <c r="CM17" i="22"/>
  <c r="CT17" i="22"/>
  <c r="CY17" i="22"/>
  <c r="FF17" i="22"/>
  <c r="FG17" i="22"/>
  <c r="FN17" i="22"/>
  <c r="FT17" i="22"/>
  <c r="GV26" i="22"/>
  <c r="DR34" i="23"/>
  <c r="IO34" i="23"/>
  <c r="FM17" i="22"/>
  <c r="FS17" i="22"/>
  <c r="GU26" i="22"/>
  <c r="DQ34" i="23"/>
  <c r="IN34" i="23"/>
  <c r="IM34" i="23"/>
  <c r="IL34" i="23"/>
  <c r="CW25" i="22"/>
  <c r="FB25" i="22"/>
  <c r="FC25" i="22"/>
  <c r="FX25" i="22"/>
  <c r="GR26" i="22"/>
  <c r="GT26" i="22"/>
  <c r="DN34" i="23"/>
  <c r="IK34" i="23"/>
  <c r="FV25" i="22"/>
  <c r="GQ26" i="22"/>
  <c r="GS26" i="22"/>
  <c r="DM34" i="23"/>
  <c r="IJ34" i="23"/>
  <c r="BR26" i="22"/>
  <c r="ET26" i="22"/>
  <c r="GH26" i="22"/>
  <c r="CN34" i="23"/>
  <c r="CZ34" i="23"/>
  <c r="DL34" i="23"/>
  <c r="ED34" i="23"/>
  <c r="II34" i="23"/>
  <c r="DK34" i="23"/>
  <c r="GG26" i="22"/>
  <c r="CM34" i="23"/>
  <c r="CY34" i="23"/>
  <c r="EC34" i="23"/>
  <c r="IH34" i="23"/>
  <c r="BP26" i="22"/>
  <c r="ER26" i="22"/>
  <c r="GE26" i="22"/>
  <c r="GF26" i="22"/>
  <c r="CL34" i="23"/>
  <c r="CX34" i="23"/>
  <c r="IG34" i="23"/>
  <c r="CK34" i="23"/>
  <c r="CW34" i="23"/>
  <c r="IF34" i="23"/>
  <c r="BN26" i="22"/>
  <c r="EP26" i="22"/>
  <c r="GC26" i="22"/>
  <c r="GD26" i="22"/>
  <c r="CJ34" i="23"/>
  <c r="CV34" i="23"/>
  <c r="DH34" i="23"/>
  <c r="DZ34" i="23"/>
  <c r="IE34" i="23"/>
  <c r="DG34" i="23"/>
  <c r="CI34" i="23"/>
  <c r="CU34" i="23"/>
  <c r="DY34" i="23"/>
  <c r="ID34" i="23"/>
  <c r="CH34" i="23"/>
  <c r="CT34" i="23"/>
  <c r="DF34" i="23"/>
  <c r="DX34" i="23"/>
  <c r="IC34" i="23"/>
  <c r="DE34" i="23"/>
  <c r="CG34" i="23"/>
  <c r="CS34" i="23"/>
  <c r="DW34" i="23"/>
  <c r="IB34" i="23"/>
  <c r="CF34" i="23"/>
  <c r="CR34" i="23"/>
  <c r="IA34" i="23"/>
  <c r="CE34" i="23"/>
  <c r="CQ34" i="23"/>
  <c r="HZ34" i="23"/>
  <c r="CD34" i="23"/>
  <c r="CP34" i="23"/>
  <c r="DB34" i="23"/>
  <c r="DT34" i="23"/>
  <c r="HY34" i="23"/>
  <c r="DA34" i="23"/>
  <c r="CC34" i="23"/>
  <c r="CO34" i="23"/>
  <c r="DS34" i="23"/>
  <c r="HX34" i="23"/>
  <c r="AC26" i="22"/>
  <c r="CJ26" i="22"/>
  <c r="CK26" i="22"/>
  <c r="CI23" i="21"/>
  <c r="FH34" i="23"/>
  <c r="HW34" i="23"/>
  <c r="FG34" i="23"/>
  <c r="HV34" i="23"/>
  <c r="AB26" i="22"/>
  <c r="CH26" i="22"/>
  <c r="CI26" i="22"/>
  <c r="FF34" i="23"/>
  <c r="HU34" i="23"/>
  <c r="FE34" i="23"/>
  <c r="HT34" i="23"/>
  <c r="AA26" i="22"/>
  <c r="CF26" i="22"/>
  <c r="CG26" i="22"/>
  <c r="FD34" i="23"/>
  <c r="HS34" i="23"/>
  <c r="FC34" i="23"/>
  <c r="HR34" i="23"/>
  <c r="CH23" i="21"/>
  <c r="FB34" i="23"/>
  <c r="HQ34" i="23"/>
  <c r="FA34" i="23"/>
  <c r="HP34" i="23"/>
  <c r="EZ34" i="23"/>
  <c r="HO34" i="23"/>
  <c r="EY34" i="23"/>
  <c r="HN34" i="23"/>
  <c r="EX34" i="23"/>
  <c r="HM34" i="23"/>
  <c r="EW34" i="23"/>
  <c r="HL34" i="23"/>
  <c r="CG23" i="21"/>
  <c r="EV34" i="23"/>
  <c r="HK34" i="23"/>
  <c r="EU34" i="23"/>
  <c r="HJ34" i="23"/>
  <c r="ET34" i="23"/>
  <c r="HI34" i="23"/>
  <c r="ES34" i="23"/>
  <c r="HH34" i="23"/>
  <c r="ER34" i="23"/>
  <c r="HG34" i="23"/>
  <c r="EQ34" i="23"/>
  <c r="HF34" i="23"/>
  <c r="CF23" i="21"/>
  <c r="EP34" i="23"/>
  <c r="HE34" i="23"/>
  <c r="EO34" i="23"/>
  <c r="HD34" i="23"/>
  <c r="EN34" i="23"/>
  <c r="HC34" i="23"/>
  <c r="EM34" i="23"/>
  <c r="HB34" i="23"/>
  <c r="EL34" i="23"/>
  <c r="HA34" i="23"/>
  <c r="EK34" i="23"/>
  <c r="GZ34" i="23"/>
  <c r="CE23" i="21"/>
  <c r="EJ34" i="23"/>
  <c r="GY34" i="23"/>
  <c r="EI34" i="23"/>
  <c r="GX34" i="23"/>
  <c r="EH34" i="23"/>
  <c r="GW34" i="23"/>
  <c r="EG34" i="23"/>
  <c r="GV34" i="23"/>
  <c r="EF34" i="23"/>
  <c r="GU34" i="23"/>
  <c r="EE34" i="23"/>
  <c r="GT34" i="23"/>
  <c r="DL25" i="22"/>
  <c r="DR25" i="22"/>
  <c r="EF26" i="22"/>
  <c r="BP34" i="23"/>
  <c r="GS34" i="23"/>
  <c r="DQ25" i="22"/>
  <c r="EE26" i="22"/>
  <c r="BO34" i="23"/>
  <c r="GR34" i="23"/>
  <c r="ED26" i="22"/>
  <c r="BN34" i="23"/>
  <c r="GQ34" i="23"/>
  <c r="EC26" i="22"/>
  <c r="BM34" i="23"/>
  <c r="GP34" i="23"/>
  <c r="EB26" i="22"/>
  <c r="BL34" i="23"/>
  <c r="GO34" i="23"/>
  <c r="EA26" i="22"/>
  <c r="BK34" i="23"/>
  <c r="GN34" i="23"/>
  <c r="AZ26" i="22"/>
  <c r="BA26" i="22"/>
  <c r="AL34" i="23"/>
  <c r="AX34" i="23"/>
  <c r="BJ34" i="23"/>
  <c r="CB34" i="23"/>
  <c r="GM34" i="23"/>
  <c r="BI34" i="23"/>
  <c r="AK34" i="23"/>
  <c r="AW34" i="23"/>
  <c r="CA34" i="23"/>
  <c r="GL34" i="23"/>
  <c r="S26" i="22"/>
  <c r="AX26" i="22"/>
  <c r="AY26" i="22"/>
  <c r="AJ34" i="23"/>
  <c r="AV34" i="23"/>
  <c r="BH34" i="23"/>
  <c r="BZ34" i="23"/>
  <c r="GK34" i="23"/>
  <c r="BG34" i="23"/>
  <c r="AI34" i="23"/>
  <c r="AU34" i="23"/>
  <c r="BY34" i="23"/>
  <c r="GJ34" i="23"/>
  <c r="AV26" i="22"/>
  <c r="AW26" i="22"/>
  <c r="AH34" i="23"/>
  <c r="AT34" i="23"/>
  <c r="BF34" i="23"/>
  <c r="BX34" i="23"/>
  <c r="GI34" i="23"/>
  <c r="BE34" i="23"/>
  <c r="AG34" i="23"/>
  <c r="AS34" i="23"/>
  <c r="BW34" i="23"/>
  <c r="GH34" i="23"/>
  <c r="AF34" i="23"/>
  <c r="AR34" i="23"/>
  <c r="BD34" i="23"/>
  <c r="BV34" i="23"/>
  <c r="GG34" i="23"/>
  <c r="BC34" i="23"/>
  <c r="AE34" i="23"/>
  <c r="AQ34" i="23"/>
  <c r="BU34" i="23"/>
  <c r="GF34" i="23"/>
  <c r="AD34" i="23"/>
  <c r="AP34" i="23"/>
  <c r="BB34" i="23"/>
  <c r="BT34" i="23"/>
  <c r="GE34" i="23"/>
  <c r="BA34" i="23"/>
  <c r="AC34" i="23"/>
  <c r="AO34" i="23"/>
  <c r="BS34" i="23"/>
  <c r="GD34" i="23"/>
  <c r="AB34" i="23"/>
  <c r="AN34" i="23"/>
  <c r="AZ34" i="23"/>
  <c r="BR34" i="23"/>
  <c r="GC34" i="23"/>
  <c r="AY34" i="23"/>
  <c r="AA34" i="23"/>
  <c r="AM34" i="23"/>
  <c r="BQ34" i="23"/>
  <c r="GB34" i="23"/>
  <c r="AH26" i="22"/>
  <c r="AI26" i="22"/>
  <c r="N34" i="23"/>
  <c r="Z34" i="23"/>
  <c r="GA34" i="23"/>
  <c r="M34" i="23"/>
  <c r="Y34" i="23"/>
  <c r="FZ34" i="23"/>
  <c r="AF26" i="22"/>
  <c r="AG26" i="22"/>
  <c r="L34" i="23"/>
  <c r="X34" i="23"/>
  <c r="FY34" i="23"/>
  <c r="K34" i="23"/>
  <c r="W34" i="23"/>
  <c r="FX34" i="23"/>
  <c r="AD26" i="22"/>
  <c r="AE26" i="22"/>
  <c r="J34" i="23"/>
  <c r="V34" i="23"/>
  <c r="FW34" i="23"/>
  <c r="I34" i="23"/>
  <c r="U34" i="23"/>
  <c r="FV34" i="23"/>
  <c r="H34" i="23"/>
  <c r="T34" i="23"/>
  <c r="FU34" i="23"/>
  <c r="G34" i="23"/>
  <c r="S34" i="23"/>
  <c r="FT34" i="23"/>
  <c r="F34" i="23"/>
  <c r="R34" i="23"/>
  <c r="FS34" i="23"/>
  <c r="E34" i="23"/>
  <c r="Q34" i="23"/>
  <c r="FR34" i="23"/>
  <c r="D34" i="23"/>
  <c r="P34" i="23"/>
  <c r="FQ34" i="23"/>
  <c r="C34" i="23"/>
  <c r="O34" i="23"/>
  <c r="FP34" i="23"/>
  <c r="F16" i="22"/>
  <c r="CM16" i="22"/>
  <c r="CT16" i="22"/>
  <c r="CY16" i="22"/>
  <c r="FF16" i="22"/>
  <c r="FG16" i="22"/>
  <c r="FN16" i="22"/>
  <c r="FT16" i="22"/>
  <c r="GV25" i="22"/>
  <c r="DR33" i="23"/>
  <c r="IO33" i="23"/>
  <c r="FM16" i="22"/>
  <c r="FS16" i="22"/>
  <c r="GU25" i="22"/>
  <c r="DQ33" i="23"/>
  <c r="IN33" i="23"/>
  <c r="IM33" i="23"/>
  <c r="IL33" i="23"/>
  <c r="CW24" i="22"/>
  <c r="FB24" i="22"/>
  <c r="FC24" i="22"/>
  <c r="FX24" i="22"/>
  <c r="GR25" i="22"/>
  <c r="GT25" i="22"/>
  <c r="DN33" i="23"/>
  <c r="IK33" i="23"/>
  <c r="FV24" i="22"/>
  <c r="GQ25" i="22"/>
  <c r="GS25" i="22"/>
  <c r="DM33" i="23"/>
  <c r="IJ33" i="23"/>
  <c r="BR25" i="22"/>
  <c r="ET25" i="22"/>
  <c r="GH25" i="22"/>
  <c r="CN33" i="23"/>
  <c r="CZ33" i="23"/>
  <c r="DL33" i="23"/>
  <c r="ED33" i="23"/>
  <c r="II33" i="23"/>
  <c r="DK33" i="23"/>
  <c r="GG25" i="22"/>
  <c r="CM33" i="23"/>
  <c r="CY33" i="23"/>
  <c r="EC33" i="23"/>
  <c r="IH33" i="23"/>
  <c r="BP25" i="22"/>
  <c r="ER25" i="22"/>
  <c r="GE25" i="22"/>
  <c r="GF25" i="22"/>
  <c r="CL33" i="23"/>
  <c r="CX33" i="23"/>
  <c r="IG33" i="23"/>
  <c r="CK33" i="23"/>
  <c r="CW33" i="23"/>
  <c r="IF33" i="23"/>
  <c r="BN25" i="22"/>
  <c r="EP25" i="22"/>
  <c r="GC25" i="22"/>
  <c r="GD25" i="22"/>
  <c r="CJ33" i="23"/>
  <c r="CV33" i="23"/>
  <c r="DH33" i="23"/>
  <c r="DZ33" i="23"/>
  <c r="IE33" i="23"/>
  <c r="DG33" i="23"/>
  <c r="CI33" i="23"/>
  <c r="CU33" i="23"/>
  <c r="DY33" i="23"/>
  <c r="ID33" i="23"/>
  <c r="CH33" i="23"/>
  <c r="CT33" i="23"/>
  <c r="DF33" i="23"/>
  <c r="DX33" i="23"/>
  <c r="IC33" i="23"/>
  <c r="DE33" i="23"/>
  <c r="CG33" i="23"/>
  <c r="CS33" i="23"/>
  <c r="DW33" i="23"/>
  <c r="IB33" i="23"/>
  <c r="CF33" i="23"/>
  <c r="CR33" i="23"/>
  <c r="IA33" i="23"/>
  <c r="CE33" i="23"/>
  <c r="CQ33" i="23"/>
  <c r="HZ33" i="23"/>
  <c r="CD33" i="23"/>
  <c r="CP33" i="23"/>
  <c r="DB33" i="23"/>
  <c r="DT33" i="23"/>
  <c r="HY33" i="23"/>
  <c r="DA33" i="23"/>
  <c r="CC33" i="23"/>
  <c r="CO33" i="23"/>
  <c r="DS33" i="23"/>
  <c r="HX33" i="23"/>
  <c r="AC25" i="22"/>
  <c r="CJ25" i="22"/>
  <c r="CK25" i="22"/>
  <c r="CI22" i="21"/>
  <c r="FH33" i="23"/>
  <c r="HW33" i="23"/>
  <c r="FG33" i="23"/>
  <c r="HV33" i="23"/>
  <c r="AB25" i="22"/>
  <c r="CH25" i="22"/>
  <c r="CI25" i="22"/>
  <c r="FF33" i="23"/>
  <c r="HU33" i="23"/>
  <c r="FE33" i="23"/>
  <c r="HT33" i="23"/>
  <c r="AA25" i="22"/>
  <c r="CF25" i="22"/>
  <c r="CG25" i="22"/>
  <c r="FD33" i="23"/>
  <c r="HS33" i="23"/>
  <c r="FC33" i="23"/>
  <c r="HR33" i="23"/>
  <c r="CH22" i="21"/>
  <c r="FB33" i="23"/>
  <c r="HQ33" i="23"/>
  <c r="FA33" i="23"/>
  <c r="HP33" i="23"/>
  <c r="EZ33" i="23"/>
  <c r="HO33" i="23"/>
  <c r="EY33" i="23"/>
  <c r="HN33" i="23"/>
  <c r="EX33" i="23"/>
  <c r="HM33" i="23"/>
  <c r="EW33" i="23"/>
  <c r="HL33" i="23"/>
  <c r="CG22" i="21"/>
  <c r="EV33" i="23"/>
  <c r="HK33" i="23"/>
  <c r="EU33" i="23"/>
  <c r="HJ33" i="23"/>
  <c r="ET33" i="23"/>
  <c r="HI33" i="23"/>
  <c r="ES33" i="23"/>
  <c r="HH33" i="23"/>
  <c r="ER33" i="23"/>
  <c r="HG33" i="23"/>
  <c r="EQ33" i="23"/>
  <c r="HF33" i="23"/>
  <c r="CF22" i="21"/>
  <c r="EP33" i="23"/>
  <c r="HE33" i="23"/>
  <c r="EO33" i="23"/>
  <c r="HD33" i="23"/>
  <c r="EN33" i="23"/>
  <c r="HC33" i="23"/>
  <c r="EM33" i="23"/>
  <c r="HB33" i="23"/>
  <c r="EL33" i="23"/>
  <c r="HA33" i="23"/>
  <c r="EK33" i="23"/>
  <c r="GZ33" i="23"/>
  <c r="CE22" i="21"/>
  <c r="EJ33" i="23"/>
  <c r="GY33" i="23"/>
  <c r="EI33" i="23"/>
  <c r="GX33" i="23"/>
  <c r="EH33" i="23"/>
  <c r="GW33" i="23"/>
  <c r="EG33" i="23"/>
  <c r="GV33" i="23"/>
  <c r="EF33" i="23"/>
  <c r="GU33" i="23"/>
  <c r="EE33" i="23"/>
  <c r="GT33" i="23"/>
  <c r="DL24" i="22"/>
  <c r="DR24" i="22"/>
  <c r="EF25" i="22"/>
  <c r="BP33" i="23"/>
  <c r="GS33" i="23"/>
  <c r="DQ24" i="22"/>
  <c r="EE25" i="22"/>
  <c r="BO33" i="23"/>
  <c r="GR33" i="23"/>
  <c r="ED25" i="22"/>
  <c r="BN33" i="23"/>
  <c r="GQ33" i="23"/>
  <c r="EC25" i="22"/>
  <c r="BM33" i="23"/>
  <c r="GP33" i="23"/>
  <c r="EB25" i="22"/>
  <c r="BL33" i="23"/>
  <c r="GO33" i="23"/>
  <c r="EA25" i="22"/>
  <c r="BK33" i="23"/>
  <c r="GN33" i="23"/>
  <c r="AZ25" i="22"/>
  <c r="BA25" i="22"/>
  <c r="AL33" i="23"/>
  <c r="AX33" i="23"/>
  <c r="BJ33" i="23"/>
  <c r="CB33" i="23"/>
  <c r="GM33" i="23"/>
  <c r="BI33" i="23"/>
  <c r="AK33" i="23"/>
  <c r="AW33" i="23"/>
  <c r="CA33" i="23"/>
  <c r="GL33" i="23"/>
  <c r="S25" i="22"/>
  <c r="AX25" i="22"/>
  <c r="AY25" i="22"/>
  <c r="AJ33" i="23"/>
  <c r="AV33" i="23"/>
  <c r="BH33" i="23"/>
  <c r="BZ33" i="23"/>
  <c r="GK33" i="23"/>
  <c r="BG33" i="23"/>
  <c r="AI33" i="23"/>
  <c r="AU33" i="23"/>
  <c r="BY33" i="23"/>
  <c r="GJ33" i="23"/>
  <c r="AV25" i="22"/>
  <c r="AW25" i="22"/>
  <c r="AH33" i="23"/>
  <c r="AT33" i="23"/>
  <c r="BF33" i="23"/>
  <c r="BX33" i="23"/>
  <c r="GI33" i="23"/>
  <c r="BE33" i="23"/>
  <c r="AG33" i="23"/>
  <c r="AS33" i="23"/>
  <c r="BW33" i="23"/>
  <c r="GH33" i="23"/>
  <c r="AF33" i="23"/>
  <c r="AR33" i="23"/>
  <c r="BD33" i="23"/>
  <c r="BV33" i="23"/>
  <c r="GG33" i="23"/>
  <c r="BC33" i="23"/>
  <c r="AE33" i="23"/>
  <c r="AQ33" i="23"/>
  <c r="BU33" i="23"/>
  <c r="GF33" i="23"/>
  <c r="AD33" i="23"/>
  <c r="AP33" i="23"/>
  <c r="BB33" i="23"/>
  <c r="BT33" i="23"/>
  <c r="GE33" i="23"/>
  <c r="BA33" i="23"/>
  <c r="AC33" i="23"/>
  <c r="AO33" i="23"/>
  <c r="BS33" i="23"/>
  <c r="GD33" i="23"/>
  <c r="AB33" i="23"/>
  <c r="AN33" i="23"/>
  <c r="AZ33" i="23"/>
  <c r="BR33" i="23"/>
  <c r="GC33" i="23"/>
  <c r="AY33" i="23"/>
  <c r="AA33" i="23"/>
  <c r="AM33" i="23"/>
  <c r="BQ33" i="23"/>
  <c r="GB33" i="23"/>
  <c r="AH25" i="22"/>
  <c r="AI25" i="22"/>
  <c r="N33" i="23"/>
  <c r="Z33" i="23"/>
  <c r="GA33" i="23"/>
  <c r="M33" i="23"/>
  <c r="Y33" i="23"/>
  <c r="FZ33" i="23"/>
  <c r="AF25" i="22"/>
  <c r="AG25" i="22"/>
  <c r="L33" i="23"/>
  <c r="X33" i="23"/>
  <c r="FY33" i="23"/>
  <c r="K33" i="23"/>
  <c r="W33" i="23"/>
  <c r="FX33" i="23"/>
  <c r="AD25" i="22"/>
  <c r="AE25" i="22"/>
  <c r="J33" i="23"/>
  <c r="V33" i="23"/>
  <c r="FW33" i="23"/>
  <c r="I33" i="23"/>
  <c r="U33" i="23"/>
  <c r="FV33" i="23"/>
  <c r="H33" i="23"/>
  <c r="T33" i="23"/>
  <c r="FU33" i="23"/>
  <c r="G33" i="23"/>
  <c r="S33" i="23"/>
  <c r="FT33" i="23"/>
  <c r="F33" i="23"/>
  <c r="R33" i="23"/>
  <c r="FS33" i="23"/>
  <c r="E33" i="23"/>
  <c r="Q33" i="23"/>
  <c r="FR33" i="23"/>
  <c r="D33" i="23"/>
  <c r="P33" i="23"/>
  <c r="FQ33" i="23"/>
  <c r="C33" i="23"/>
  <c r="O33" i="23"/>
  <c r="FP33" i="23"/>
  <c r="F15" i="22"/>
  <c r="CM15" i="22"/>
  <c r="CT15" i="22"/>
  <c r="CY15" i="22"/>
  <c r="FF15" i="22"/>
  <c r="FG15" i="22"/>
  <c r="FN15" i="22"/>
  <c r="FT15" i="22"/>
  <c r="GV24" i="22"/>
  <c r="DR32" i="23"/>
  <c r="IO32" i="23"/>
  <c r="FM15" i="22"/>
  <c r="FS15" i="22"/>
  <c r="GU24" i="22"/>
  <c r="DQ32" i="23"/>
  <c r="IN32" i="23"/>
  <c r="IM32" i="23"/>
  <c r="IL32" i="23"/>
  <c r="CW23" i="22"/>
  <c r="FB23" i="22"/>
  <c r="FC23" i="22"/>
  <c r="FX23" i="22"/>
  <c r="GR24" i="22"/>
  <c r="GT24" i="22"/>
  <c r="DN32" i="23"/>
  <c r="IK32" i="23"/>
  <c r="FV23" i="22"/>
  <c r="GQ24" i="22"/>
  <c r="GS24" i="22"/>
  <c r="DM32" i="23"/>
  <c r="IJ32" i="23"/>
  <c r="BR24" i="22"/>
  <c r="ET24" i="22"/>
  <c r="GH24" i="22"/>
  <c r="CN32" i="23"/>
  <c r="CZ32" i="23"/>
  <c r="DL32" i="23"/>
  <c r="ED32" i="23"/>
  <c r="II32" i="23"/>
  <c r="DK32" i="23"/>
  <c r="GG24" i="22"/>
  <c r="CM32" i="23"/>
  <c r="CY32" i="23"/>
  <c r="EC32" i="23"/>
  <c r="IH32" i="23"/>
  <c r="BP24" i="22"/>
  <c r="ER24" i="22"/>
  <c r="GE24" i="22"/>
  <c r="GF24" i="22"/>
  <c r="CL32" i="23"/>
  <c r="CX32" i="23"/>
  <c r="IG32" i="23"/>
  <c r="CK32" i="23"/>
  <c r="CW32" i="23"/>
  <c r="IF32" i="23"/>
  <c r="BN24" i="22"/>
  <c r="EP24" i="22"/>
  <c r="GC24" i="22"/>
  <c r="GD24" i="22"/>
  <c r="CJ32" i="23"/>
  <c r="CV32" i="23"/>
  <c r="DH32" i="23"/>
  <c r="DZ32" i="23"/>
  <c r="IE32" i="23"/>
  <c r="DG32" i="23"/>
  <c r="CI32" i="23"/>
  <c r="CU32" i="23"/>
  <c r="DY32" i="23"/>
  <c r="ID32" i="23"/>
  <c r="CH32" i="23"/>
  <c r="CT32" i="23"/>
  <c r="DF32" i="23"/>
  <c r="DX32" i="23"/>
  <c r="IC32" i="23"/>
  <c r="DE32" i="23"/>
  <c r="CG32" i="23"/>
  <c r="CS32" i="23"/>
  <c r="DW32" i="23"/>
  <c r="IB32" i="23"/>
  <c r="CF32" i="23"/>
  <c r="CR32" i="23"/>
  <c r="IA32" i="23"/>
  <c r="CE32" i="23"/>
  <c r="CQ32" i="23"/>
  <c r="HZ32" i="23"/>
  <c r="CD32" i="23"/>
  <c r="CP32" i="23"/>
  <c r="DB32" i="23"/>
  <c r="DT32" i="23"/>
  <c r="HY32" i="23"/>
  <c r="DA32" i="23"/>
  <c r="CC32" i="23"/>
  <c r="CO32" i="23"/>
  <c r="DS32" i="23"/>
  <c r="HX32" i="23"/>
  <c r="AC24" i="22"/>
  <c r="CJ24" i="22"/>
  <c r="CK24" i="22"/>
  <c r="CI21" i="21"/>
  <c r="FH32" i="23"/>
  <c r="HW32" i="23"/>
  <c r="FG32" i="23"/>
  <c r="HV32" i="23"/>
  <c r="AB24" i="22"/>
  <c r="CH24" i="22"/>
  <c r="CI24" i="22"/>
  <c r="FF32" i="23"/>
  <c r="HU32" i="23"/>
  <c r="FE32" i="23"/>
  <c r="HT32" i="23"/>
  <c r="AA24" i="22"/>
  <c r="CF24" i="22"/>
  <c r="CG24" i="22"/>
  <c r="FD32" i="23"/>
  <c r="HS32" i="23"/>
  <c r="FC32" i="23"/>
  <c r="HR32" i="23"/>
  <c r="CH21" i="21"/>
  <c r="FB32" i="23"/>
  <c r="HQ32" i="23"/>
  <c r="FA32" i="23"/>
  <c r="HP32" i="23"/>
  <c r="EZ32" i="23"/>
  <c r="HO32" i="23"/>
  <c r="EY32" i="23"/>
  <c r="HN32" i="23"/>
  <c r="EX32" i="23"/>
  <c r="HM32" i="23"/>
  <c r="EW32" i="23"/>
  <c r="HL32" i="23"/>
  <c r="CG21" i="21"/>
  <c r="EV32" i="23"/>
  <c r="HK32" i="23"/>
  <c r="EU32" i="23"/>
  <c r="HJ32" i="23"/>
  <c r="ET32" i="23"/>
  <c r="HI32" i="23"/>
  <c r="ES32" i="23"/>
  <c r="HH32" i="23"/>
  <c r="ER32" i="23"/>
  <c r="HG32" i="23"/>
  <c r="EQ32" i="23"/>
  <c r="HF32" i="23"/>
  <c r="CF21" i="21"/>
  <c r="EP32" i="23"/>
  <c r="HE32" i="23"/>
  <c r="EO32" i="23"/>
  <c r="HD32" i="23"/>
  <c r="EN32" i="23"/>
  <c r="HC32" i="23"/>
  <c r="EM32" i="23"/>
  <c r="HB32" i="23"/>
  <c r="EL32" i="23"/>
  <c r="HA32" i="23"/>
  <c r="EK32" i="23"/>
  <c r="GZ32" i="23"/>
  <c r="CE21" i="21"/>
  <c r="EJ32" i="23"/>
  <c r="GY32" i="23"/>
  <c r="EI32" i="23"/>
  <c r="GX32" i="23"/>
  <c r="EH32" i="23"/>
  <c r="GW32" i="23"/>
  <c r="EG32" i="23"/>
  <c r="GV32" i="23"/>
  <c r="EF32" i="23"/>
  <c r="GU32" i="23"/>
  <c r="EE32" i="23"/>
  <c r="GT32" i="23"/>
  <c r="DL23" i="22"/>
  <c r="DR23" i="22"/>
  <c r="EF24" i="22"/>
  <c r="BP32" i="23"/>
  <c r="GS32" i="23"/>
  <c r="DQ23" i="22"/>
  <c r="EE24" i="22"/>
  <c r="BO32" i="23"/>
  <c r="GR32" i="23"/>
  <c r="ED24" i="22"/>
  <c r="BN32" i="23"/>
  <c r="GQ32" i="23"/>
  <c r="EC24" i="22"/>
  <c r="BM32" i="23"/>
  <c r="GP32" i="23"/>
  <c r="EB24" i="22"/>
  <c r="BL32" i="23"/>
  <c r="GO32" i="23"/>
  <c r="EA24" i="22"/>
  <c r="BK32" i="23"/>
  <c r="GN32" i="23"/>
  <c r="AZ24" i="22"/>
  <c r="BA24" i="22"/>
  <c r="AL32" i="23"/>
  <c r="AX32" i="23"/>
  <c r="BJ32" i="23"/>
  <c r="CB32" i="23"/>
  <c r="GM32" i="23"/>
  <c r="BI32" i="23"/>
  <c r="AK32" i="23"/>
  <c r="AW32" i="23"/>
  <c r="CA32" i="23"/>
  <c r="GL32" i="23"/>
  <c r="S24" i="22"/>
  <c r="AX24" i="22"/>
  <c r="AY24" i="22"/>
  <c r="AJ32" i="23"/>
  <c r="AV32" i="23"/>
  <c r="BH32" i="23"/>
  <c r="BZ32" i="23"/>
  <c r="GK32" i="23"/>
  <c r="BG32" i="23"/>
  <c r="AI32" i="23"/>
  <c r="AU32" i="23"/>
  <c r="BY32" i="23"/>
  <c r="GJ32" i="23"/>
  <c r="AV24" i="22"/>
  <c r="AW24" i="22"/>
  <c r="AH32" i="23"/>
  <c r="AT32" i="23"/>
  <c r="BF32" i="23"/>
  <c r="BX32" i="23"/>
  <c r="GI32" i="23"/>
  <c r="BE32" i="23"/>
  <c r="AG32" i="23"/>
  <c r="AS32" i="23"/>
  <c r="BW32" i="23"/>
  <c r="GH32" i="23"/>
  <c r="AF32" i="23"/>
  <c r="AR32" i="23"/>
  <c r="BD32" i="23"/>
  <c r="BV32" i="23"/>
  <c r="GG32" i="23"/>
  <c r="BC32" i="23"/>
  <c r="AE32" i="23"/>
  <c r="AQ32" i="23"/>
  <c r="BU32" i="23"/>
  <c r="GF32" i="23"/>
  <c r="AD32" i="23"/>
  <c r="AP32" i="23"/>
  <c r="BB32" i="23"/>
  <c r="BT32" i="23"/>
  <c r="GE32" i="23"/>
  <c r="BA32" i="23"/>
  <c r="AC32" i="23"/>
  <c r="AO32" i="23"/>
  <c r="BS32" i="23"/>
  <c r="GD32" i="23"/>
  <c r="AB32" i="23"/>
  <c r="AN32" i="23"/>
  <c r="AZ32" i="23"/>
  <c r="BR32" i="23"/>
  <c r="GC32" i="23"/>
  <c r="AY32" i="23"/>
  <c r="AA32" i="23"/>
  <c r="AM32" i="23"/>
  <c r="BQ32" i="23"/>
  <c r="GB32" i="23"/>
  <c r="AH24" i="22"/>
  <c r="AI24" i="22"/>
  <c r="N32" i="23"/>
  <c r="Z32" i="23"/>
  <c r="GA32" i="23"/>
  <c r="M32" i="23"/>
  <c r="Y32" i="23"/>
  <c r="FZ32" i="23"/>
  <c r="AF24" i="22"/>
  <c r="AG24" i="22"/>
  <c r="L32" i="23"/>
  <c r="X32" i="23"/>
  <c r="FY32" i="23"/>
  <c r="K32" i="23"/>
  <c r="W32" i="23"/>
  <c r="FX32" i="23"/>
  <c r="AD24" i="22"/>
  <c r="AE24" i="22"/>
  <c r="J32" i="23"/>
  <c r="V32" i="23"/>
  <c r="FW32" i="23"/>
  <c r="I32" i="23"/>
  <c r="U32" i="23"/>
  <c r="FV32" i="23"/>
  <c r="H32" i="23"/>
  <c r="T32" i="23"/>
  <c r="FU32" i="23"/>
  <c r="G32" i="23"/>
  <c r="S32" i="23"/>
  <c r="FT32" i="23"/>
  <c r="F32" i="23"/>
  <c r="R32" i="23"/>
  <c r="FS32" i="23"/>
  <c r="E32" i="23"/>
  <c r="Q32" i="23"/>
  <c r="FR32" i="23"/>
  <c r="D32" i="23"/>
  <c r="P32" i="23"/>
  <c r="FQ32" i="23"/>
  <c r="C32" i="23"/>
  <c r="O32" i="23"/>
  <c r="FP32" i="23"/>
  <c r="F14" i="22"/>
  <c r="CM14" i="22"/>
  <c r="CT14" i="22"/>
  <c r="CY14" i="22"/>
  <c r="FF14" i="22"/>
  <c r="FG14" i="22"/>
  <c r="FN14" i="22"/>
  <c r="FT14" i="22"/>
  <c r="GV23" i="22"/>
  <c r="DR31" i="23"/>
  <c r="IO31" i="23"/>
  <c r="FM14" i="22"/>
  <c r="FS14" i="22"/>
  <c r="GU23" i="22"/>
  <c r="DQ31" i="23"/>
  <c r="IN31" i="23"/>
  <c r="IM31" i="23"/>
  <c r="IL31" i="23"/>
  <c r="CW22" i="22"/>
  <c r="FB22" i="22"/>
  <c r="FC22" i="22"/>
  <c r="FX22" i="22"/>
  <c r="GR23" i="22"/>
  <c r="GT23" i="22"/>
  <c r="DN31" i="23"/>
  <c r="IK31" i="23"/>
  <c r="FV22" i="22"/>
  <c r="GQ23" i="22"/>
  <c r="GS23" i="22"/>
  <c r="DM31" i="23"/>
  <c r="IJ31" i="23"/>
  <c r="BR23" i="22"/>
  <c r="ET23" i="22"/>
  <c r="GH23" i="22"/>
  <c r="CN31" i="23"/>
  <c r="CZ31" i="23"/>
  <c r="DL31" i="23"/>
  <c r="ED31" i="23"/>
  <c r="II31" i="23"/>
  <c r="DK31" i="23"/>
  <c r="GG23" i="22"/>
  <c r="CM31" i="23"/>
  <c r="CY31" i="23"/>
  <c r="EC31" i="23"/>
  <c r="IH31" i="23"/>
  <c r="BP23" i="22"/>
  <c r="ER23" i="22"/>
  <c r="GE23" i="22"/>
  <c r="GF23" i="22"/>
  <c r="CL31" i="23"/>
  <c r="CX31" i="23"/>
  <c r="IG31" i="23"/>
  <c r="CK31" i="23"/>
  <c r="CW31" i="23"/>
  <c r="IF31" i="23"/>
  <c r="BN23" i="22"/>
  <c r="EP23" i="22"/>
  <c r="GC23" i="22"/>
  <c r="GD23" i="22"/>
  <c r="CJ31" i="23"/>
  <c r="CV31" i="23"/>
  <c r="DH31" i="23"/>
  <c r="DZ31" i="23"/>
  <c r="IE31" i="23"/>
  <c r="DG31" i="23"/>
  <c r="CI31" i="23"/>
  <c r="CU31" i="23"/>
  <c r="DY31" i="23"/>
  <c r="ID31" i="23"/>
  <c r="CH31" i="23"/>
  <c r="CT31" i="23"/>
  <c r="DF31" i="23"/>
  <c r="DX31" i="23"/>
  <c r="IC31" i="23"/>
  <c r="DE31" i="23"/>
  <c r="CG31" i="23"/>
  <c r="CS31" i="23"/>
  <c r="DW31" i="23"/>
  <c r="IB31" i="23"/>
  <c r="CF31" i="23"/>
  <c r="CR31" i="23"/>
  <c r="IA31" i="23"/>
  <c r="CE31" i="23"/>
  <c r="CQ31" i="23"/>
  <c r="HZ31" i="23"/>
  <c r="CD31" i="23"/>
  <c r="CP31" i="23"/>
  <c r="DB31" i="23"/>
  <c r="DT31" i="23"/>
  <c r="HY31" i="23"/>
  <c r="DA31" i="23"/>
  <c r="CC31" i="23"/>
  <c r="CO31" i="23"/>
  <c r="DS31" i="23"/>
  <c r="HX31" i="23"/>
  <c r="AC23" i="22"/>
  <c r="CJ23" i="22"/>
  <c r="CK23" i="22"/>
  <c r="CI20" i="21"/>
  <c r="FH31" i="23"/>
  <c r="HW31" i="23"/>
  <c r="FG31" i="23"/>
  <c r="HV31" i="23"/>
  <c r="AB23" i="22"/>
  <c r="CH23" i="22"/>
  <c r="CI23" i="22"/>
  <c r="FF31" i="23"/>
  <c r="HU31" i="23"/>
  <c r="FE31" i="23"/>
  <c r="HT31" i="23"/>
  <c r="AA23" i="22"/>
  <c r="CF23" i="22"/>
  <c r="CG23" i="22"/>
  <c r="FD31" i="23"/>
  <c r="HS31" i="23"/>
  <c r="FC31" i="23"/>
  <c r="HR31" i="23"/>
  <c r="CH20" i="21"/>
  <c r="FB31" i="23"/>
  <c r="HQ31" i="23"/>
  <c r="FA31" i="23"/>
  <c r="HP31" i="23"/>
  <c r="EZ31" i="23"/>
  <c r="HO31" i="23"/>
  <c r="EY31" i="23"/>
  <c r="HN31" i="23"/>
  <c r="EX31" i="23"/>
  <c r="HM31" i="23"/>
  <c r="EW31" i="23"/>
  <c r="HL31" i="23"/>
  <c r="CG20" i="21"/>
  <c r="EV31" i="23"/>
  <c r="HK31" i="23"/>
  <c r="EU31" i="23"/>
  <c r="HJ31" i="23"/>
  <c r="ET31" i="23"/>
  <c r="HI31" i="23"/>
  <c r="ES31" i="23"/>
  <c r="HH31" i="23"/>
  <c r="ER31" i="23"/>
  <c r="HG31" i="23"/>
  <c r="EQ31" i="23"/>
  <c r="HF31" i="23"/>
  <c r="CF20" i="21"/>
  <c r="EP31" i="23"/>
  <c r="HE31" i="23"/>
  <c r="EO31" i="23"/>
  <c r="HD31" i="23"/>
  <c r="EN31" i="23"/>
  <c r="HC31" i="23"/>
  <c r="EM31" i="23"/>
  <c r="HB31" i="23"/>
  <c r="EL31" i="23"/>
  <c r="HA31" i="23"/>
  <c r="EK31" i="23"/>
  <c r="GZ31" i="23"/>
  <c r="CE20" i="21"/>
  <c r="EJ31" i="23"/>
  <c r="GY31" i="23"/>
  <c r="EI31" i="23"/>
  <c r="GX31" i="23"/>
  <c r="EH31" i="23"/>
  <c r="GW31" i="23"/>
  <c r="EG31" i="23"/>
  <c r="GV31" i="23"/>
  <c r="EF31" i="23"/>
  <c r="GU31" i="23"/>
  <c r="EE31" i="23"/>
  <c r="GT31" i="23"/>
  <c r="DL22" i="22"/>
  <c r="DR22" i="22"/>
  <c r="EF23" i="22"/>
  <c r="BP31" i="23"/>
  <c r="GS31" i="23"/>
  <c r="DQ22" i="22"/>
  <c r="EE23" i="22"/>
  <c r="BO31" i="23"/>
  <c r="GR31" i="23"/>
  <c r="ED23" i="22"/>
  <c r="BN31" i="23"/>
  <c r="GQ31" i="23"/>
  <c r="EC23" i="22"/>
  <c r="BM31" i="23"/>
  <c r="GP31" i="23"/>
  <c r="EB23" i="22"/>
  <c r="BL31" i="23"/>
  <c r="GO31" i="23"/>
  <c r="EA23" i="22"/>
  <c r="BK31" i="23"/>
  <c r="GN31" i="23"/>
  <c r="AZ23" i="22"/>
  <c r="BA23" i="22"/>
  <c r="AL31" i="23"/>
  <c r="AX31" i="23"/>
  <c r="BJ31" i="23"/>
  <c r="CB31" i="23"/>
  <c r="GM31" i="23"/>
  <c r="BI31" i="23"/>
  <c r="AK31" i="23"/>
  <c r="AW31" i="23"/>
  <c r="CA31" i="23"/>
  <c r="GL31" i="23"/>
  <c r="S23" i="22"/>
  <c r="AX23" i="22"/>
  <c r="AY23" i="22"/>
  <c r="AJ31" i="23"/>
  <c r="AV31" i="23"/>
  <c r="BH31" i="23"/>
  <c r="BZ31" i="23"/>
  <c r="GK31" i="23"/>
  <c r="BG31" i="23"/>
  <c r="AI31" i="23"/>
  <c r="AU31" i="23"/>
  <c r="BY31" i="23"/>
  <c r="GJ31" i="23"/>
  <c r="AV23" i="22"/>
  <c r="AW23" i="22"/>
  <c r="AH31" i="23"/>
  <c r="AT31" i="23"/>
  <c r="BF31" i="23"/>
  <c r="BX31" i="23"/>
  <c r="GI31" i="23"/>
  <c r="BE31" i="23"/>
  <c r="AG31" i="23"/>
  <c r="AS31" i="23"/>
  <c r="BW31" i="23"/>
  <c r="GH31" i="23"/>
  <c r="AF31" i="23"/>
  <c r="AR31" i="23"/>
  <c r="BD31" i="23"/>
  <c r="BV31" i="23"/>
  <c r="GG31" i="23"/>
  <c r="BC31" i="23"/>
  <c r="AE31" i="23"/>
  <c r="AQ31" i="23"/>
  <c r="BU31" i="23"/>
  <c r="GF31" i="23"/>
  <c r="AD31" i="23"/>
  <c r="AP31" i="23"/>
  <c r="BB31" i="23"/>
  <c r="BT31" i="23"/>
  <c r="GE31" i="23"/>
  <c r="BA31" i="23"/>
  <c r="AC31" i="23"/>
  <c r="AO31" i="23"/>
  <c r="BS31" i="23"/>
  <c r="GD31" i="23"/>
  <c r="AB31" i="23"/>
  <c r="AN31" i="23"/>
  <c r="AZ31" i="23"/>
  <c r="BR31" i="23"/>
  <c r="GC31" i="23"/>
  <c r="AY31" i="23"/>
  <c r="AA31" i="23"/>
  <c r="AM31" i="23"/>
  <c r="BQ31" i="23"/>
  <c r="GB31" i="23"/>
  <c r="AH23" i="22"/>
  <c r="AI23" i="22"/>
  <c r="N31" i="23"/>
  <c r="Z31" i="23"/>
  <c r="GA31" i="23"/>
  <c r="M31" i="23"/>
  <c r="Y31" i="23"/>
  <c r="FZ31" i="23"/>
  <c r="AF23" i="22"/>
  <c r="AG23" i="22"/>
  <c r="L31" i="23"/>
  <c r="X31" i="23"/>
  <c r="FY31" i="23"/>
  <c r="K31" i="23"/>
  <c r="W31" i="23"/>
  <c r="FX31" i="23"/>
  <c r="AD23" i="22"/>
  <c r="AE23" i="22"/>
  <c r="J31" i="23"/>
  <c r="V31" i="23"/>
  <c r="FW31" i="23"/>
  <c r="I31" i="23"/>
  <c r="U31" i="23"/>
  <c r="FV31" i="23"/>
  <c r="H31" i="23"/>
  <c r="T31" i="23"/>
  <c r="FU31" i="23"/>
  <c r="G31" i="23"/>
  <c r="S31" i="23"/>
  <c r="FT31" i="23"/>
  <c r="F31" i="23"/>
  <c r="R31" i="23"/>
  <c r="FS31" i="23"/>
  <c r="E31" i="23"/>
  <c r="Q31" i="23"/>
  <c r="FR31" i="23"/>
  <c r="D31" i="23"/>
  <c r="P31" i="23"/>
  <c r="FQ31" i="23"/>
  <c r="C31" i="23"/>
  <c r="O31" i="23"/>
  <c r="FP31" i="23"/>
  <c r="F13" i="22"/>
  <c r="CM13" i="22"/>
  <c r="CT13" i="22"/>
  <c r="CY13" i="22"/>
  <c r="FF13" i="22"/>
  <c r="FG13" i="22"/>
  <c r="FN13" i="22"/>
  <c r="FT13" i="22"/>
  <c r="GV22" i="22"/>
  <c r="DR30" i="23"/>
  <c r="IO30" i="23"/>
  <c r="FM13" i="22"/>
  <c r="FS13" i="22"/>
  <c r="GU22" i="22"/>
  <c r="DQ30" i="23"/>
  <c r="IN30" i="23"/>
  <c r="IM30" i="23"/>
  <c r="IL30" i="23"/>
  <c r="CW21" i="22"/>
  <c r="FB21" i="22"/>
  <c r="FC21" i="22"/>
  <c r="FX21" i="22"/>
  <c r="GR22" i="22"/>
  <c r="GT22" i="22"/>
  <c r="DN30" i="23"/>
  <c r="IK30" i="23"/>
  <c r="FV21" i="22"/>
  <c r="GQ22" i="22"/>
  <c r="GS22" i="22"/>
  <c r="DM30" i="23"/>
  <c r="IJ30" i="23"/>
  <c r="BR22" i="22"/>
  <c r="ET22" i="22"/>
  <c r="GH22" i="22"/>
  <c r="CN30" i="23"/>
  <c r="CZ30" i="23"/>
  <c r="DL30" i="23"/>
  <c r="ED30" i="23"/>
  <c r="II30" i="23"/>
  <c r="DK30" i="23"/>
  <c r="GG22" i="22"/>
  <c r="CM30" i="23"/>
  <c r="CY30" i="23"/>
  <c r="EC30" i="23"/>
  <c r="IH30" i="23"/>
  <c r="BP22" i="22"/>
  <c r="ER22" i="22"/>
  <c r="GE22" i="22"/>
  <c r="GF22" i="22"/>
  <c r="CL30" i="23"/>
  <c r="CX30" i="23"/>
  <c r="IG30" i="23"/>
  <c r="CK30" i="23"/>
  <c r="CW30" i="23"/>
  <c r="IF30" i="23"/>
  <c r="BN22" i="22"/>
  <c r="EP22" i="22"/>
  <c r="GC22" i="22"/>
  <c r="GD22" i="22"/>
  <c r="CJ30" i="23"/>
  <c r="CV30" i="23"/>
  <c r="DH30" i="23"/>
  <c r="DZ30" i="23"/>
  <c r="IE30" i="23"/>
  <c r="DG30" i="23"/>
  <c r="CI30" i="23"/>
  <c r="CU30" i="23"/>
  <c r="DY30" i="23"/>
  <c r="ID30" i="23"/>
  <c r="CH30" i="23"/>
  <c r="CT30" i="23"/>
  <c r="DF30" i="23"/>
  <c r="DX30" i="23"/>
  <c r="IC30" i="23"/>
  <c r="DE30" i="23"/>
  <c r="CG30" i="23"/>
  <c r="CS30" i="23"/>
  <c r="DW30" i="23"/>
  <c r="IB30" i="23"/>
  <c r="CF30" i="23"/>
  <c r="CR30" i="23"/>
  <c r="IA30" i="23"/>
  <c r="CE30" i="23"/>
  <c r="CQ30" i="23"/>
  <c r="HZ30" i="23"/>
  <c r="CD30" i="23"/>
  <c r="CP30" i="23"/>
  <c r="DB30" i="23"/>
  <c r="DT30" i="23"/>
  <c r="HY30" i="23"/>
  <c r="DA30" i="23"/>
  <c r="CC30" i="23"/>
  <c r="CO30" i="23"/>
  <c r="DS30" i="23"/>
  <c r="HX30" i="23"/>
  <c r="AC22" i="22"/>
  <c r="CJ22" i="22"/>
  <c r="CK22" i="22"/>
  <c r="CI19" i="21"/>
  <c r="FH30" i="23"/>
  <c r="HW30" i="23"/>
  <c r="FG30" i="23"/>
  <c r="HV30" i="23"/>
  <c r="AB22" i="22"/>
  <c r="CH22" i="22"/>
  <c r="CI22" i="22"/>
  <c r="FF30" i="23"/>
  <c r="HU30" i="23"/>
  <c r="FE30" i="23"/>
  <c r="HT30" i="23"/>
  <c r="AA22" i="22"/>
  <c r="CF22" i="22"/>
  <c r="CG22" i="22"/>
  <c r="FD30" i="23"/>
  <c r="HS30" i="23"/>
  <c r="FC30" i="23"/>
  <c r="HR30" i="23"/>
  <c r="CH19" i="21"/>
  <c r="FB30" i="23"/>
  <c r="HQ30" i="23"/>
  <c r="FA30" i="23"/>
  <c r="HP30" i="23"/>
  <c r="EZ30" i="23"/>
  <c r="HO30" i="23"/>
  <c r="EY30" i="23"/>
  <c r="HN30" i="23"/>
  <c r="EX30" i="23"/>
  <c r="HM30" i="23"/>
  <c r="EW30" i="23"/>
  <c r="HL30" i="23"/>
  <c r="CG19" i="21"/>
  <c r="EV30" i="23"/>
  <c r="HK30" i="23"/>
  <c r="EU30" i="23"/>
  <c r="HJ30" i="23"/>
  <c r="ET30" i="23"/>
  <c r="HI30" i="23"/>
  <c r="ES30" i="23"/>
  <c r="HH30" i="23"/>
  <c r="ER30" i="23"/>
  <c r="HG30" i="23"/>
  <c r="EQ30" i="23"/>
  <c r="HF30" i="23"/>
  <c r="CF19" i="21"/>
  <c r="EP30" i="23"/>
  <c r="HE30" i="23"/>
  <c r="EO30" i="23"/>
  <c r="HD30" i="23"/>
  <c r="EN30" i="23"/>
  <c r="HC30" i="23"/>
  <c r="EM30" i="23"/>
  <c r="HB30" i="23"/>
  <c r="EL30" i="23"/>
  <c r="HA30" i="23"/>
  <c r="EK30" i="23"/>
  <c r="GZ30" i="23"/>
  <c r="CE19" i="21"/>
  <c r="EJ30" i="23"/>
  <c r="GY30" i="23"/>
  <c r="EI30" i="23"/>
  <c r="GX30" i="23"/>
  <c r="EH30" i="23"/>
  <c r="GW30" i="23"/>
  <c r="EG30" i="23"/>
  <c r="GV30" i="23"/>
  <c r="EF30" i="23"/>
  <c r="GU30" i="23"/>
  <c r="EE30" i="23"/>
  <c r="GT30" i="23"/>
  <c r="DL21" i="22"/>
  <c r="DR21" i="22"/>
  <c r="EF22" i="22"/>
  <c r="BP30" i="23"/>
  <c r="GS30" i="23"/>
  <c r="DQ21" i="22"/>
  <c r="EE22" i="22"/>
  <c r="BO30" i="23"/>
  <c r="GR30" i="23"/>
  <c r="ED22" i="22"/>
  <c r="BN30" i="23"/>
  <c r="GQ30" i="23"/>
  <c r="EC22" i="22"/>
  <c r="BM30" i="23"/>
  <c r="GP30" i="23"/>
  <c r="EB22" i="22"/>
  <c r="BL30" i="23"/>
  <c r="GO30" i="23"/>
  <c r="EA22" i="22"/>
  <c r="BK30" i="23"/>
  <c r="GN30" i="23"/>
  <c r="AZ22" i="22"/>
  <c r="BA22" i="22"/>
  <c r="AL30" i="23"/>
  <c r="AX30" i="23"/>
  <c r="BJ30" i="23"/>
  <c r="CB30" i="23"/>
  <c r="GM30" i="23"/>
  <c r="BI30" i="23"/>
  <c r="AK30" i="23"/>
  <c r="AW30" i="23"/>
  <c r="CA30" i="23"/>
  <c r="GL30" i="23"/>
  <c r="S22" i="22"/>
  <c r="AX22" i="22"/>
  <c r="AY22" i="22"/>
  <c r="AJ30" i="23"/>
  <c r="AV30" i="23"/>
  <c r="BH30" i="23"/>
  <c r="BZ30" i="23"/>
  <c r="GK30" i="23"/>
  <c r="BG30" i="23"/>
  <c r="AI30" i="23"/>
  <c r="AU30" i="23"/>
  <c r="BY30" i="23"/>
  <c r="GJ30" i="23"/>
  <c r="AV22" i="22"/>
  <c r="AW22" i="22"/>
  <c r="AH30" i="23"/>
  <c r="AT30" i="23"/>
  <c r="BF30" i="23"/>
  <c r="BX30" i="23"/>
  <c r="GI30" i="23"/>
  <c r="BE30" i="23"/>
  <c r="AG30" i="23"/>
  <c r="AS30" i="23"/>
  <c r="BW30" i="23"/>
  <c r="GH30" i="23"/>
  <c r="AF30" i="23"/>
  <c r="AR30" i="23"/>
  <c r="BD30" i="23"/>
  <c r="BV30" i="23"/>
  <c r="GG30" i="23"/>
  <c r="BC30" i="23"/>
  <c r="AE30" i="23"/>
  <c r="AQ30" i="23"/>
  <c r="BU30" i="23"/>
  <c r="GF30" i="23"/>
  <c r="AD30" i="23"/>
  <c r="AP30" i="23"/>
  <c r="BB30" i="23"/>
  <c r="BT30" i="23"/>
  <c r="GE30" i="23"/>
  <c r="BA30" i="23"/>
  <c r="AC30" i="23"/>
  <c r="AO30" i="23"/>
  <c r="BS30" i="23"/>
  <c r="GD30" i="23"/>
  <c r="AB30" i="23"/>
  <c r="AN30" i="23"/>
  <c r="AZ30" i="23"/>
  <c r="BR30" i="23"/>
  <c r="GC30" i="23"/>
  <c r="AY30" i="23"/>
  <c r="AA30" i="23"/>
  <c r="AM30" i="23"/>
  <c r="BQ30" i="23"/>
  <c r="GB30" i="23"/>
  <c r="AH22" i="22"/>
  <c r="AI22" i="22"/>
  <c r="N30" i="23"/>
  <c r="Z30" i="23"/>
  <c r="GA30" i="23"/>
  <c r="M30" i="23"/>
  <c r="Y30" i="23"/>
  <c r="FZ30" i="23"/>
  <c r="AF22" i="22"/>
  <c r="AG22" i="22"/>
  <c r="L30" i="23"/>
  <c r="X30" i="23"/>
  <c r="FY30" i="23"/>
  <c r="K30" i="23"/>
  <c r="W30" i="23"/>
  <c r="FX30" i="23"/>
  <c r="AD22" i="22"/>
  <c r="AE22" i="22"/>
  <c r="J30" i="23"/>
  <c r="V30" i="23"/>
  <c r="FW30" i="23"/>
  <c r="I30" i="23"/>
  <c r="U30" i="23"/>
  <c r="FV30" i="23"/>
  <c r="H30" i="23"/>
  <c r="T30" i="23"/>
  <c r="FU30" i="23"/>
  <c r="G30" i="23"/>
  <c r="S30" i="23"/>
  <c r="FT30" i="23"/>
  <c r="F30" i="23"/>
  <c r="R30" i="23"/>
  <c r="FS30" i="23"/>
  <c r="E30" i="23"/>
  <c r="Q30" i="23"/>
  <c r="FR30" i="23"/>
  <c r="D30" i="23"/>
  <c r="P30" i="23"/>
  <c r="FQ30" i="23"/>
  <c r="C30" i="23"/>
  <c r="O30" i="23"/>
  <c r="FP30" i="23"/>
  <c r="GV21" i="22"/>
  <c r="DR29" i="23"/>
  <c r="IO29" i="23"/>
  <c r="GU21" i="22"/>
  <c r="DQ29" i="23"/>
  <c r="IN29" i="23"/>
  <c r="IM29" i="23"/>
  <c r="IL29" i="23"/>
  <c r="CW20" i="22"/>
  <c r="FB20" i="22"/>
  <c r="FC20" i="22"/>
  <c r="FX20" i="22"/>
  <c r="GR21" i="22"/>
  <c r="GT21" i="22"/>
  <c r="DN29" i="23"/>
  <c r="IK29" i="23"/>
  <c r="FV20" i="22"/>
  <c r="GQ21" i="22"/>
  <c r="GS21" i="22"/>
  <c r="DM29" i="23"/>
  <c r="IJ29" i="23"/>
  <c r="BR21" i="22"/>
  <c r="ET21" i="22"/>
  <c r="GH21" i="22"/>
  <c r="CN29" i="23"/>
  <c r="CZ29" i="23"/>
  <c r="DL29" i="23"/>
  <c r="ED29" i="23"/>
  <c r="II29" i="23"/>
  <c r="DK29" i="23"/>
  <c r="GG21" i="22"/>
  <c r="CM29" i="23"/>
  <c r="CY29" i="23"/>
  <c r="EC29" i="23"/>
  <c r="IH29" i="23"/>
  <c r="BP21" i="22"/>
  <c r="ER21" i="22"/>
  <c r="GE21" i="22"/>
  <c r="GF21" i="22"/>
  <c r="CL29" i="23"/>
  <c r="CX29" i="23"/>
  <c r="IG29" i="23"/>
  <c r="CK29" i="23"/>
  <c r="CW29" i="23"/>
  <c r="IF29" i="23"/>
  <c r="BN21" i="22"/>
  <c r="EP21" i="22"/>
  <c r="GC21" i="22"/>
  <c r="GD21" i="22"/>
  <c r="CJ29" i="23"/>
  <c r="CV29" i="23"/>
  <c r="DH29" i="23"/>
  <c r="DZ29" i="23"/>
  <c r="IE29" i="23"/>
  <c r="DG29" i="23"/>
  <c r="CI29" i="23"/>
  <c r="CU29" i="23"/>
  <c r="DY29" i="23"/>
  <c r="ID29" i="23"/>
  <c r="CH29" i="23"/>
  <c r="CT29" i="23"/>
  <c r="DF29" i="23"/>
  <c r="DX29" i="23"/>
  <c r="IC29" i="23"/>
  <c r="DE29" i="23"/>
  <c r="CG29" i="23"/>
  <c r="CS29" i="23"/>
  <c r="DW29" i="23"/>
  <c r="IB29" i="23"/>
  <c r="CF29" i="23"/>
  <c r="CR29" i="23"/>
  <c r="IA29" i="23"/>
  <c r="CE29" i="23"/>
  <c r="CQ29" i="23"/>
  <c r="HZ29" i="23"/>
  <c r="CD29" i="23"/>
  <c r="CP29" i="23"/>
  <c r="DB29" i="23"/>
  <c r="DT29" i="23"/>
  <c r="HY29" i="23"/>
  <c r="DA29" i="23"/>
  <c r="CC29" i="23"/>
  <c r="CO29" i="23"/>
  <c r="DS29" i="23"/>
  <c r="HX29" i="23"/>
  <c r="AC21" i="22"/>
  <c r="CJ21" i="22"/>
  <c r="CK21" i="22"/>
  <c r="CI18" i="21"/>
  <c r="FH29" i="23"/>
  <c r="HW29" i="23"/>
  <c r="FG29" i="23"/>
  <c r="HV29" i="23"/>
  <c r="AB21" i="22"/>
  <c r="CH21" i="22"/>
  <c r="CI21" i="22"/>
  <c r="FF29" i="23"/>
  <c r="HU29" i="23"/>
  <c r="FE29" i="23"/>
  <c r="HT29" i="23"/>
  <c r="AA21" i="22"/>
  <c r="CF21" i="22"/>
  <c r="CG21" i="22"/>
  <c r="FD29" i="23"/>
  <c r="HS29" i="23"/>
  <c r="FC29" i="23"/>
  <c r="HR29" i="23"/>
  <c r="CH18" i="21"/>
  <c r="FB29" i="23"/>
  <c r="HQ29" i="23"/>
  <c r="FA29" i="23"/>
  <c r="HP29" i="23"/>
  <c r="EZ29" i="23"/>
  <c r="HO29" i="23"/>
  <c r="EY29" i="23"/>
  <c r="HN29" i="23"/>
  <c r="EX29" i="23"/>
  <c r="HM29" i="23"/>
  <c r="EW29" i="23"/>
  <c r="HL29" i="23"/>
  <c r="CG18" i="21"/>
  <c r="EV29" i="23"/>
  <c r="HK29" i="23"/>
  <c r="EU29" i="23"/>
  <c r="HJ29" i="23"/>
  <c r="ET29" i="23"/>
  <c r="HI29" i="23"/>
  <c r="ES29" i="23"/>
  <c r="HH29" i="23"/>
  <c r="ER29" i="23"/>
  <c r="HG29" i="23"/>
  <c r="EQ29" i="23"/>
  <c r="HF29" i="23"/>
  <c r="CF18" i="21"/>
  <c r="EP29" i="23"/>
  <c r="HE29" i="23"/>
  <c r="EO29" i="23"/>
  <c r="HD29" i="23"/>
  <c r="EN29" i="23"/>
  <c r="HC29" i="23"/>
  <c r="EM29" i="23"/>
  <c r="HB29" i="23"/>
  <c r="EL29" i="23"/>
  <c r="HA29" i="23"/>
  <c r="EK29" i="23"/>
  <c r="GZ29" i="23"/>
  <c r="CE18" i="21"/>
  <c r="EJ29" i="23"/>
  <c r="GY29" i="23"/>
  <c r="EI29" i="23"/>
  <c r="GX29" i="23"/>
  <c r="EH29" i="23"/>
  <c r="GW29" i="23"/>
  <c r="EG29" i="23"/>
  <c r="GV29" i="23"/>
  <c r="EF29" i="23"/>
  <c r="GU29" i="23"/>
  <c r="EE29" i="23"/>
  <c r="GT29" i="23"/>
  <c r="DL20" i="22"/>
  <c r="DR20" i="22"/>
  <c r="EF21" i="22"/>
  <c r="BP29" i="23"/>
  <c r="GS29" i="23"/>
  <c r="DQ20" i="22"/>
  <c r="EE21" i="22"/>
  <c r="BO29" i="23"/>
  <c r="GR29" i="23"/>
  <c r="ED21" i="22"/>
  <c r="BN29" i="23"/>
  <c r="GQ29" i="23"/>
  <c r="EC21" i="22"/>
  <c r="BM29" i="23"/>
  <c r="GP29" i="23"/>
  <c r="EB21" i="22"/>
  <c r="BL29" i="23"/>
  <c r="GO29" i="23"/>
  <c r="EA21" i="22"/>
  <c r="BK29" i="23"/>
  <c r="GN29" i="23"/>
  <c r="AZ21" i="22"/>
  <c r="BA21" i="22"/>
  <c r="AL29" i="23"/>
  <c r="AX29" i="23"/>
  <c r="BJ29" i="23"/>
  <c r="CB29" i="23"/>
  <c r="GM29" i="23"/>
  <c r="BI29" i="23"/>
  <c r="AK29" i="23"/>
  <c r="AW29" i="23"/>
  <c r="CA29" i="23"/>
  <c r="GL29" i="23"/>
  <c r="S21" i="22"/>
  <c r="AX21" i="22"/>
  <c r="AY21" i="22"/>
  <c r="AJ29" i="23"/>
  <c r="AV29" i="23"/>
  <c r="BH29" i="23"/>
  <c r="BZ29" i="23"/>
  <c r="GK29" i="23"/>
  <c r="BG29" i="23"/>
  <c r="AI29" i="23"/>
  <c r="AU29" i="23"/>
  <c r="BY29" i="23"/>
  <c r="GJ29" i="23"/>
  <c r="AV21" i="22"/>
  <c r="AW21" i="22"/>
  <c r="AH29" i="23"/>
  <c r="AT29" i="23"/>
  <c r="BF29" i="23"/>
  <c r="BX29" i="23"/>
  <c r="GI29" i="23"/>
  <c r="BE29" i="23"/>
  <c r="AG29" i="23"/>
  <c r="AS29" i="23"/>
  <c r="BW29" i="23"/>
  <c r="GH29" i="23"/>
  <c r="AF29" i="23"/>
  <c r="AR29" i="23"/>
  <c r="BD29" i="23"/>
  <c r="BV29" i="23"/>
  <c r="GG29" i="23"/>
  <c r="BC29" i="23"/>
  <c r="AE29" i="23"/>
  <c r="AQ29" i="23"/>
  <c r="BU29" i="23"/>
  <c r="GF29" i="23"/>
  <c r="AD29" i="23"/>
  <c r="AP29" i="23"/>
  <c r="BB29" i="23"/>
  <c r="BT29" i="23"/>
  <c r="GE29" i="23"/>
  <c r="BA29" i="23"/>
  <c r="AC29" i="23"/>
  <c r="AO29" i="23"/>
  <c r="BS29" i="23"/>
  <c r="GD29" i="23"/>
  <c r="AB29" i="23"/>
  <c r="AN29" i="23"/>
  <c r="AZ29" i="23"/>
  <c r="BR29" i="23"/>
  <c r="GC29" i="23"/>
  <c r="AY29" i="23"/>
  <c r="AA29" i="23"/>
  <c r="AM29" i="23"/>
  <c r="BQ29" i="23"/>
  <c r="GB29" i="23"/>
  <c r="AH21" i="22"/>
  <c r="AI21" i="22"/>
  <c r="N29" i="23"/>
  <c r="Z29" i="23"/>
  <c r="GA29" i="23"/>
  <c r="M29" i="23"/>
  <c r="Y29" i="23"/>
  <c r="FZ29" i="23"/>
  <c r="AF21" i="22"/>
  <c r="AG21" i="22"/>
  <c r="L29" i="23"/>
  <c r="X29" i="23"/>
  <c r="FY29" i="23"/>
  <c r="K29" i="23"/>
  <c r="W29" i="23"/>
  <c r="FX29" i="23"/>
  <c r="AD21" i="22"/>
  <c r="AE21" i="22"/>
  <c r="J29" i="23"/>
  <c r="V29" i="23"/>
  <c r="FW29" i="23"/>
  <c r="I29" i="23"/>
  <c r="U29" i="23"/>
  <c r="FV29" i="23"/>
  <c r="H29" i="23"/>
  <c r="T29" i="23"/>
  <c r="FU29" i="23"/>
  <c r="G29" i="23"/>
  <c r="S29" i="23"/>
  <c r="FT29" i="23"/>
  <c r="F29" i="23"/>
  <c r="R29" i="23"/>
  <c r="FS29" i="23"/>
  <c r="E29" i="23"/>
  <c r="Q29" i="23"/>
  <c r="FR29" i="23"/>
  <c r="D29" i="23"/>
  <c r="P29" i="23"/>
  <c r="FQ29" i="23"/>
  <c r="C29" i="23"/>
  <c r="O29" i="23"/>
  <c r="FP29" i="23"/>
  <c r="GV20" i="22"/>
  <c r="DR28" i="23"/>
  <c r="IO28" i="23"/>
  <c r="GU20" i="22"/>
  <c r="DQ28" i="23"/>
  <c r="IN28" i="23"/>
  <c r="IM28" i="23"/>
  <c r="IL28" i="23"/>
  <c r="CW19" i="22"/>
  <c r="FB19" i="22"/>
  <c r="FC19" i="22"/>
  <c r="FX19" i="22"/>
  <c r="GR20" i="22"/>
  <c r="GT20" i="22"/>
  <c r="DN28" i="23"/>
  <c r="IK28" i="23"/>
  <c r="FV19" i="22"/>
  <c r="GQ20" i="22"/>
  <c r="GS20" i="22"/>
  <c r="DM28" i="23"/>
  <c r="IJ28" i="23"/>
  <c r="BR20" i="22"/>
  <c r="ET20" i="22"/>
  <c r="GH20" i="22"/>
  <c r="CN28" i="23"/>
  <c r="CZ28" i="23"/>
  <c r="DL28" i="23"/>
  <c r="ED28" i="23"/>
  <c r="II28" i="23"/>
  <c r="DK28" i="23"/>
  <c r="GG20" i="22"/>
  <c r="CM28" i="23"/>
  <c r="CY28" i="23"/>
  <c r="EC28" i="23"/>
  <c r="IH28" i="23"/>
  <c r="BP20" i="22"/>
  <c r="ER20" i="22"/>
  <c r="GE20" i="22"/>
  <c r="GF20" i="22"/>
  <c r="CL28" i="23"/>
  <c r="CX28" i="23"/>
  <c r="IG28" i="23"/>
  <c r="CK28" i="23"/>
  <c r="CW28" i="23"/>
  <c r="IF28" i="23"/>
  <c r="BN20" i="22"/>
  <c r="EP20" i="22"/>
  <c r="GC20" i="22"/>
  <c r="GD20" i="22"/>
  <c r="CJ28" i="23"/>
  <c r="CV28" i="23"/>
  <c r="DH28" i="23"/>
  <c r="DZ28" i="23"/>
  <c r="IE28" i="23"/>
  <c r="DG28" i="23"/>
  <c r="CI28" i="23"/>
  <c r="CU28" i="23"/>
  <c r="DY28" i="23"/>
  <c r="ID28" i="23"/>
  <c r="CH28" i="23"/>
  <c r="CT28" i="23"/>
  <c r="DF28" i="23"/>
  <c r="DX28" i="23"/>
  <c r="IC28" i="23"/>
  <c r="DE28" i="23"/>
  <c r="CG28" i="23"/>
  <c r="CS28" i="23"/>
  <c r="DW28" i="23"/>
  <c r="IB28" i="23"/>
  <c r="CF28" i="23"/>
  <c r="CR28" i="23"/>
  <c r="IA28" i="23"/>
  <c r="CE28" i="23"/>
  <c r="CQ28" i="23"/>
  <c r="HZ28" i="23"/>
  <c r="CD28" i="23"/>
  <c r="CP28" i="23"/>
  <c r="DB28" i="23"/>
  <c r="DT28" i="23"/>
  <c r="HY28" i="23"/>
  <c r="DA28" i="23"/>
  <c r="CC28" i="23"/>
  <c r="CO28" i="23"/>
  <c r="DS28" i="23"/>
  <c r="HX28" i="23"/>
  <c r="AC20" i="22"/>
  <c r="CJ20" i="22"/>
  <c r="CK20" i="22"/>
  <c r="CI17" i="21"/>
  <c r="FH28" i="23"/>
  <c r="HW28" i="23"/>
  <c r="FG28" i="23"/>
  <c r="HV28" i="23"/>
  <c r="AB20" i="22"/>
  <c r="CH20" i="22"/>
  <c r="CI20" i="22"/>
  <c r="FF28" i="23"/>
  <c r="HU28" i="23"/>
  <c r="FE28" i="23"/>
  <c r="HT28" i="23"/>
  <c r="AA20" i="22"/>
  <c r="CF20" i="22"/>
  <c r="CG20" i="22"/>
  <c r="FD28" i="23"/>
  <c r="HS28" i="23"/>
  <c r="FC28" i="23"/>
  <c r="HR28" i="23"/>
  <c r="CH17" i="21"/>
  <c r="FB28" i="23"/>
  <c r="HQ28" i="23"/>
  <c r="FA28" i="23"/>
  <c r="HP28" i="23"/>
  <c r="EZ28" i="23"/>
  <c r="HO28" i="23"/>
  <c r="EY28" i="23"/>
  <c r="HN28" i="23"/>
  <c r="EX28" i="23"/>
  <c r="HM28" i="23"/>
  <c r="EW28" i="23"/>
  <c r="HL28" i="23"/>
  <c r="CG17" i="21"/>
  <c r="EV28" i="23"/>
  <c r="HK28" i="23"/>
  <c r="EU28" i="23"/>
  <c r="HJ28" i="23"/>
  <c r="ET28" i="23"/>
  <c r="HI28" i="23"/>
  <c r="ES28" i="23"/>
  <c r="HH28" i="23"/>
  <c r="ER28" i="23"/>
  <c r="HG28" i="23"/>
  <c r="EQ28" i="23"/>
  <c r="HF28" i="23"/>
  <c r="CF17" i="21"/>
  <c r="EP28" i="23"/>
  <c r="HE28" i="23"/>
  <c r="EO28" i="23"/>
  <c r="HD28" i="23"/>
  <c r="EN28" i="23"/>
  <c r="HC28" i="23"/>
  <c r="EM28" i="23"/>
  <c r="HB28" i="23"/>
  <c r="EL28" i="23"/>
  <c r="HA28" i="23"/>
  <c r="EK28" i="23"/>
  <c r="GZ28" i="23"/>
  <c r="CE17" i="21"/>
  <c r="EJ28" i="23"/>
  <c r="GY28" i="23"/>
  <c r="EI28" i="23"/>
  <c r="GX28" i="23"/>
  <c r="EH28" i="23"/>
  <c r="GW28" i="23"/>
  <c r="EG28" i="23"/>
  <c r="GV28" i="23"/>
  <c r="EF28" i="23"/>
  <c r="GU28" i="23"/>
  <c r="EE28" i="23"/>
  <c r="GT28" i="23"/>
  <c r="DL19" i="22"/>
  <c r="DR19" i="22"/>
  <c r="EF20" i="22"/>
  <c r="BP28" i="23"/>
  <c r="GS28" i="23"/>
  <c r="DQ19" i="22"/>
  <c r="EE20" i="22"/>
  <c r="BO28" i="23"/>
  <c r="GR28" i="23"/>
  <c r="ED20" i="22"/>
  <c r="BN28" i="23"/>
  <c r="GQ28" i="23"/>
  <c r="EC20" i="22"/>
  <c r="BM28" i="23"/>
  <c r="GP28" i="23"/>
  <c r="EB20" i="22"/>
  <c r="BL28" i="23"/>
  <c r="GO28" i="23"/>
  <c r="EA20" i="22"/>
  <c r="BK28" i="23"/>
  <c r="GN28" i="23"/>
  <c r="AZ20" i="22"/>
  <c r="BA20" i="22"/>
  <c r="AL28" i="23"/>
  <c r="AX28" i="23"/>
  <c r="BJ28" i="23"/>
  <c r="CB28" i="23"/>
  <c r="GM28" i="23"/>
  <c r="BI28" i="23"/>
  <c r="AK28" i="23"/>
  <c r="AW28" i="23"/>
  <c r="CA28" i="23"/>
  <c r="GL28" i="23"/>
  <c r="S20" i="22"/>
  <c r="AX20" i="22"/>
  <c r="AY20" i="22"/>
  <c r="AJ28" i="23"/>
  <c r="AV28" i="23"/>
  <c r="BH28" i="23"/>
  <c r="BZ28" i="23"/>
  <c r="GK28" i="23"/>
  <c r="BG28" i="23"/>
  <c r="AI28" i="23"/>
  <c r="AU28" i="23"/>
  <c r="BY28" i="23"/>
  <c r="GJ28" i="23"/>
  <c r="AV20" i="22"/>
  <c r="AW20" i="22"/>
  <c r="AH28" i="23"/>
  <c r="AT28" i="23"/>
  <c r="BF28" i="23"/>
  <c r="BX28" i="23"/>
  <c r="GI28" i="23"/>
  <c r="BE28" i="23"/>
  <c r="AG28" i="23"/>
  <c r="AS28" i="23"/>
  <c r="BW28" i="23"/>
  <c r="GH28" i="23"/>
  <c r="AF28" i="23"/>
  <c r="AR28" i="23"/>
  <c r="BD28" i="23"/>
  <c r="BV28" i="23"/>
  <c r="GG28" i="23"/>
  <c r="BC28" i="23"/>
  <c r="AE28" i="23"/>
  <c r="AQ28" i="23"/>
  <c r="BU28" i="23"/>
  <c r="GF28" i="23"/>
  <c r="AD28" i="23"/>
  <c r="AP28" i="23"/>
  <c r="BB28" i="23"/>
  <c r="BT28" i="23"/>
  <c r="GE28" i="23"/>
  <c r="BA28" i="23"/>
  <c r="AC28" i="23"/>
  <c r="AO28" i="23"/>
  <c r="BS28" i="23"/>
  <c r="GD28" i="23"/>
  <c r="AB28" i="23"/>
  <c r="AN28" i="23"/>
  <c r="AZ28" i="23"/>
  <c r="BR28" i="23"/>
  <c r="GC28" i="23"/>
  <c r="AY28" i="23"/>
  <c r="AA28" i="23"/>
  <c r="AM28" i="23"/>
  <c r="BQ28" i="23"/>
  <c r="GB28" i="23"/>
  <c r="AH20" i="22"/>
  <c r="AI20" i="22"/>
  <c r="N28" i="23"/>
  <c r="Z28" i="23"/>
  <c r="GA28" i="23"/>
  <c r="M28" i="23"/>
  <c r="Y28" i="23"/>
  <c r="FZ28" i="23"/>
  <c r="AF20" i="22"/>
  <c r="AG20" i="22"/>
  <c r="L28" i="23"/>
  <c r="X28" i="23"/>
  <c r="FY28" i="23"/>
  <c r="K28" i="23"/>
  <c r="W28" i="23"/>
  <c r="FX28" i="23"/>
  <c r="AD20" i="22"/>
  <c r="AE20" i="22"/>
  <c r="J28" i="23"/>
  <c r="V28" i="23"/>
  <c r="FW28" i="23"/>
  <c r="I28" i="23"/>
  <c r="U28" i="23"/>
  <c r="FV28" i="23"/>
  <c r="H28" i="23"/>
  <c r="T28" i="23"/>
  <c r="FU28" i="23"/>
  <c r="G28" i="23"/>
  <c r="S28" i="23"/>
  <c r="FT28" i="23"/>
  <c r="F28" i="23"/>
  <c r="R28" i="23"/>
  <c r="FS28" i="23"/>
  <c r="E28" i="23"/>
  <c r="Q28" i="23"/>
  <c r="FR28" i="23"/>
  <c r="D28" i="23"/>
  <c r="P28" i="23"/>
  <c r="FQ28" i="23"/>
  <c r="C28" i="23"/>
  <c r="O28" i="23"/>
  <c r="FP28" i="23"/>
  <c r="GV19" i="22"/>
  <c r="DR27" i="23"/>
  <c r="IO27" i="23"/>
  <c r="GU19" i="22"/>
  <c r="DQ27" i="23"/>
  <c r="IN27" i="23"/>
  <c r="IM27" i="23"/>
  <c r="IL27" i="23"/>
  <c r="CW18" i="22"/>
  <c r="FB18" i="22"/>
  <c r="FC18" i="22"/>
  <c r="FX18" i="22"/>
  <c r="GR19" i="22"/>
  <c r="GT19" i="22"/>
  <c r="DN27" i="23"/>
  <c r="IK27" i="23"/>
  <c r="FV18" i="22"/>
  <c r="GQ19" i="22"/>
  <c r="GS19" i="22"/>
  <c r="DM27" i="23"/>
  <c r="IJ27" i="23"/>
  <c r="BR19" i="22"/>
  <c r="ET19" i="22"/>
  <c r="GH19" i="22"/>
  <c r="CN27" i="23"/>
  <c r="CZ27" i="23"/>
  <c r="DL27" i="23"/>
  <c r="ED27" i="23"/>
  <c r="II27" i="23"/>
  <c r="DK27" i="23"/>
  <c r="GG19" i="22"/>
  <c r="CM27" i="23"/>
  <c r="CY27" i="23"/>
  <c r="EC27" i="23"/>
  <c r="IH27" i="23"/>
  <c r="BP19" i="22"/>
  <c r="ER19" i="22"/>
  <c r="GE19" i="22"/>
  <c r="GF19" i="22"/>
  <c r="CL27" i="23"/>
  <c r="CX27" i="23"/>
  <c r="IG27" i="23"/>
  <c r="CK27" i="23"/>
  <c r="CW27" i="23"/>
  <c r="IF27" i="23"/>
  <c r="BN19" i="22"/>
  <c r="EP19" i="22"/>
  <c r="GC19" i="22"/>
  <c r="GD19" i="22"/>
  <c r="CJ27" i="23"/>
  <c r="CV27" i="23"/>
  <c r="DH27" i="23"/>
  <c r="DZ27" i="23"/>
  <c r="IE27" i="23"/>
  <c r="DG27" i="23"/>
  <c r="CI27" i="23"/>
  <c r="CU27" i="23"/>
  <c r="DY27" i="23"/>
  <c r="ID27" i="23"/>
  <c r="CH27" i="23"/>
  <c r="CT27" i="23"/>
  <c r="DF27" i="23"/>
  <c r="DX27" i="23"/>
  <c r="IC27" i="23"/>
  <c r="DE27" i="23"/>
  <c r="CG27" i="23"/>
  <c r="CS27" i="23"/>
  <c r="DW27" i="23"/>
  <c r="IB27" i="23"/>
  <c r="CF27" i="23"/>
  <c r="CR27" i="23"/>
  <c r="IA27" i="23"/>
  <c r="CE27" i="23"/>
  <c r="CQ27" i="23"/>
  <c r="HZ27" i="23"/>
  <c r="CD27" i="23"/>
  <c r="CP27" i="23"/>
  <c r="DB27" i="23"/>
  <c r="DT27" i="23"/>
  <c r="HY27" i="23"/>
  <c r="DA27" i="23"/>
  <c r="CC27" i="23"/>
  <c r="CO27" i="23"/>
  <c r="DS27" i="23"/>
  <c r="HX27" i="23"/>
  <c r="AC19" i="22"/>
  <c r="CJ19" i="22"/>
  <c r="CK19" i="22"/>
  <c r="CI16" i="21"/>
  <c r="FH27" i="23"/>
  <c r="HW27" i="23"/>
  <c r="FG27" i="23"/>
  <c r="HV27" i="23"/>
  <c r="AB19" i="22"/>
  <c r="CH19" i="22"/>
  <c r="CI19" i="22"/>
  <c r="FF27" i="23"/>
  <c r="HU27" i="23"/>
  <c r="FE27" i="23"/>
  <c r="HT27" i="23"/>
  <c r="AA19" i="22"/>
  <c r="CF19" i="22"/>
  <c r="CG19" i="22"/>
  <c r="FD27" i="23"/>
  <c r="HS27" i="23"/>
  <c r="FC27" i="23"/>
  <c r="HR27" i="23"/>
  <c r="CH16" i="21"/>
  <c r="FB27" i="23"/>
  <c r="HQ27" i="23"/>
  <c r="FA27" i="23"/>
  <c r="HP27" i="23"/>
  <c r="EZ27" i="23"/>
  <c r="HO27" i="23"/>
  <c r="EY27" i="23"/>
  <c r="HN27" i="23"/>
  <c r="EX27" i="23"/>
  <c r="HM27" i="23"/>
  <c r="EW27" i="23"/>
  <c r="HL27" i="23"/>
  <c r="CG16" i="21"/>
  <c r="EV27" i="23"/>
  <c r="HK27" i="23"/>
  <c r="EU27" i="23"/>
  <c r="HJ27" i="23"/>
  <c r="ET27" i="23"/>
  <c r="HI27" i="23"/>
  <c r="ES27" i="23"/>
  <c r="HH27" i="23"/>
  <c r="ER27" i="23"/>
  <c r="HG27" i="23"/>
  <c r="EQ27" i="23"/>
  <c r="HF27" i="23"/>
  <c r="CF16" i="21"/>
  <c r="EP27" i="23"/>
  <c r="HE27" i="23"/>
  <c r="EO27" i="23"/>
  <c r="HD27" i="23"/>
  <c r="EN27" i="23"/>
  <c r="HC27" i="23"/>
  <c r="EM27" i="23"/>
  <c r="HB27" i="23"/>
  <c r="EL27" i="23"/>
  <c r="HA27" i="23"/>
  <c r="EK27" i="23"/>
  <c r="GZ27" i="23"/>
  <c r="CE16" i="21"/>
  <c r="EJ27" i="23"/>
  <c r="GY27" i="23"/>
  <c r="EI27" i="23"/>
  <c r="GX27" i="23"/>
  <c r="EH27" i="23"/>
  <c r="GW27" i="23"/>
  <c r="EG27" i="23"/>
  <c r="GV27" i="23"/>
  <c r="EF27" i="23"/>
  <c r="GU27" i="23"/>
  <c r="EE27" i="23"/>
  <c r="GT27" i="23"/>
  <c r="DL18" i="22"/>
  <c r="DR18" i="22"/>
  <c r="EF19" i="22"/>
  <c r="BP27" i="23"/>
  <c r="GS27" i="23"/>
  <c r="DQ18" i="22"/>
  <c r="EE19" i="22"/>
  <c r="BO27" i="23"/>
  <c r="GR27" i="23"/>
  <c r="ED19" i="22"/>
  <c r="BN27" i="23"/>
  <c r="GQ27" i="23"/>
  <c r="EC19" i="22"/>
  <c r="BM27" i="23"/>
  <c r="GP27" i="23"/>
  <c r="EB19" i="22"/>
  <c r="BL27" i="23"/>
  <c r="GO27" i="23"/>
  <c r="EA19" i="22"/>
  <c r="BK27" i="23"/>
  <c r="GN27" i="23"/>
  <c r="AZ19" i="22"/>
  <c r="BA19" i="22"/>
  <c r="AL27" i="23"/>
  <c r="AX27" i="23"/>
  <c r="BJ27" i="23"/>
  <c r="CB27" i="23"/>
  <c r="GM27" i="23"/>
  <c r="BI27" i="23"/>
  <c r="AK27" i="23"/>
  <c r="AW27" i="23"/>
  <c r="CA27" i="23"/>
  <c r="GL27" i="23"/>
  <c r="S19" i="22"/>
  <c r="AX19" i="22"/>
  <c r="AY19" i="22"/>
  <c r="AJ27" i="23"/>
  <c r="AV27" i="23"/>
  <c r="BH27" i="23"/>
  <c r="BZ27" i="23"/>
  <c r="GK27" i="23"/>
  <c r="BG27" i="23"/>
  <c r="AI27" i="23"/>
  <c r="AU27" i="23"/>
  <c r="BY27" i="23"/>
  <c r="GJ27" i="23"/>
  <c r="AV19" i="22"/>
  <c r="AW19" i="22"/>
  <c r="AH27" i="23"/>
  <c r="AT27" i="23"/>
  <c r="BF27" i="23"/>
  <c r="BX27" i="23"/>
  <c r="GI27" i="23"/>
  <c r="BE27" i="23"/>
  <c r="AG27" i="23"/>
  <c r="AS27" i="23"/>
  <c r="BW27" i="23"/>
  <c r="GH27" i="23"/>
  <c r="AF27" i="23"/>
  <c r="AR27" i="23"/>
  <c r="BD27" i="23"/>
  <c r="BV27" i="23"/>
  <c r="GG27" i="23"/>
  <c r="BC27" i="23"/>
  <c r="AE27" i="23"/>
  <c r="AQ27" i="23"/>
  <c r="BU27" i="23"/>
  <c r="GF27" i="23"/>
  <c r="AD27" i="23"/>
  <c r="AP27" i="23"/>
  <c r="BB27" i="23"/>
  <c r="BT27" i="23"/>
  <c r="GE27" i="23"/>
  <c r="BA27" i="23"/>
  <c r="AC27" i="23"/>
  <c r="AO27" i="23"/>
  <c r="BS27" i="23"/>
  <c r="GD27" i="23"/>
  <c r="AB27" i="23"/>
  <c r="AN27" i="23"/>
  <c r="AZ27" i="23"/>
  <c r="BR27" i="23"/>
  <c r="GC27" i="23"/>
  <c r="AY27" i="23"/>
  <c r="AA27" i="23"/>
  <c r="AM27" i="23"/>
  <c r="BQ27" i="23"/>
  <c r="GB27" i="23"/>
  <c r="AH19" i="22"/>
  <c r="AI19" i="22"/>
  <c r="N27" i="23"/>
  <c r="Z27" i="23"/>
  <c r="GA27" i="23"/>
  <c r="M27" i="23"/>
  <c r="Y27" i="23"/>
  <c r="FZ27" i="23"/>
  <c r="AF19" i="22"/>
  <c r="AG19" i="22"/>
  <c r="L27" i="23"/>
  <c r="X27" i="23"/>
  <c r="FY27" i="23"/>
  <c r="K27" i="23"/>
  <c r="W27" i="23"/>
  <c r="FX27" i="23"/>
  <c r="AD19" i="22"/>
  <c r="AE19" i="22"/>
  <c r="J27" i="23"/>
  <c r="V27" i="23"/>
  <c r="FW27" i="23"/>
  <c r="I27" i="23"/>
  <c r="U27" i="23"/>
  <c r="FV27" i="23"/>
  <c r="H27" i="23"/>
  <c r="T27" i="23"/>
  <c r="FU27" i="23"/>
  <c r="G27" i="23"/>
  <c r="S27" i="23"/>
  <c r="FT27" i="23"/>
  <c r="F27" i="23"/>
  <c r="R27" i="23"/>
  <c r="FS27" i="23"/>
  <c r="E27" i="23"/>
  <c r="Q27" i="23"/>
  <c r="FR27" i="23"/>
  <c r="D27" i="23"/>
  <c r="P27" i="23"/>
  <c r="FQ27" i="23"/>
  <c r="C27" i="23"/>
  <c r="O27" i="23"/>
  <c r="FP27" i="23"/>
  <c r="GV18" i="22"/>
  <c r="DR26" i="23"/>
  <c r="IO26" i="23"/>
  <c r="GU18" i="22"/>
  <c r="DQ26" i="23"/>
  <c r="IN26" i="23"/>
  <c r="IM26" i="23"/>
  <c r="IL26" i="23"/>
  <c r="CW17" i="22"/>
  <c r="FB17" i="22"/>
  <c r="FC17" i="22"/>
  <c r="FX17" i="22"/>
  <c r="GR18" i="22"/>
  <c r="GT18" i="22"/>
  <c r="DN26" i="23"/>
  <c r="IK26" i="23"/>
  <c r="FV17" i="22"/>
  <c r="GQ18" i="22"/>
  <c r="GS18" i="22"/>
  <c r="DM26" i="23"/>
  <c r="IJ26" i="23"/>
  <c r="BR18" i="22"/>
  <c r="ET18" i="22"/>
  <c r="GH18" i="22"/>
  <c r="CN26" i="23"/>
  <c r="CZ26" i="23"/>
  <c r="DL26" i="23"/>
  <c r="ED26" i="23"/>
  <c r="II26" i="23"/>
  <c r="DK26" i="23"/>
  <c r="GG18" i="22"/>
  <c r="CM26" i="23"/>
  <c r="CY26" i="23"/>
  <c r="EC26" i="23"/>
  <c r="IH26" i="23"/>
  <c r="BP18" i="22"/>
  <c r="ER18" i="22"/>
  <c r="GE18" i="22"/>
  <c r="GF18" i="22"/>
  <c r="CL26" i="23"/>
  <c r="CX26" i="23"/>
  <c r="IG26" i="23"/>
  <c r="CK26" i="23"/>
  <c r="CW26" i="23"/>
  <c r="IF26" i="23"/>
  <c r="BN18" i="22"/>
  <c r="EP18" i="22"/>
  <c r="GC18" i="22"/>
  <c r="GD18" i="22"/>
  <c r="CJ26" i="23"/>
  <c r="CV26" i="23"/>
  <c r="DH26" i="23"/>
  <c r="DZ26" i="23"/>
  <c r="IE26" i="23"/>
  <c r="DG26" i="23"/>
  <c r="CI26" i="23"/>
  <c r="CU26" i="23"/>
  <c r="DY26" i="23"/>
  <c r="ID26" i="23"/>
  <c r="CH26" i="23"/>
  <c r="CT26" i="23"/>
  <c r="DF26" i="23"/>
  <c r="DX26" i="23"/>
  <c r="IC26" i="23"/>
  <c r="DE26" i="23"/>
  <c r="CG26" i="23"/>
  <c r="CS26" i="23"/>
  <c r="DW26" i="23"/>
  <c r="IB26" i="23"/>
  <c r="CF26" i="23"/>
  <c r="CR26" i="23"/>
  <c r="IA26" i="23"/>
  <c r="CE26" i="23"/>
  <c r="CQ26" i="23"/>
  <c r="HZ26" i="23"/>
  <c r="CD26" i="23"/>
  <c r="CP26" i="23"/>
  <c r="DB26" i="23"/>
  <c r="DT26" i="23"/>
  <c r="HY26" i="23"/>
  <c r="DA26" i="23"/>
  <c r="CC26" i="23"/>
  <c r="CO26" i="23"/>
  <c r="DS26" i="23"/>
  <c r="HX26" i="23"/>
  <c r="AC18" i="22"/>
  <c r="CJ18" i="22"/>
  <c r="CK18" i="22"/>
  <c r="CI15" i="21"/>
  <c r="FH26" i="23"/>
  <c r="HW26" i="23"/>
  <c r="FG26" i="23"/>
  <c r="HV26" i="23"/>
  <c r="AB18" i="22"/>
  <c r="CH18" i="22"/>
  <c r="CI18" i="22"/>
  <c r="FF26" i="23"/>
  <c r="HU26" i="23"/>
  <c r="FE26" i="23"/>
  <c r="HT26" i="23"/>
  <c r="AA18" i="22"/>
  <c r="CF18" i="22"/>
  <c r="CG18" i="22"/>
  <c r="FD26" i="23"/>
  <c r="HS26" i="23"/>
  <c r="FC26" i="23"/>
  <c r="HR26" i="23"/>
  <c r="CH15" i="21"/>
  <c r="FB26" i="23"/>
  <c r="HQ26" i="23"/>
  <c r="FA26" i="23"/>
  <c r="HP26" i="23"/>
  <c r="EZ26" i="23"/>
  <c r="HO26" i="23"/>
  <c r="EY26" i="23"/>
  <c r="HN26" i="23"/>
  <c r="EX26" i="23"/>
  <c r="HM26" i="23"/>
  <c r="EW26" i="23"/>
  <c r="HL26" i="23"/>
  <c r="CG15" i="21"/>
  <c r="EV26" i="23"/>
  <c r="HK26" i="23"/>
  <c r="EU26" i="23"/>
  <c r="HJ26" i="23"/>
  <c r="ET26" i="23"/>
  <c r="HI26" i="23"/>
  <c r="ES26" i="23"/>
  <c r="HH26" i="23"/>
  <c r="ER26" i="23"/>
  <c r="HG26" i="23"/>
  <c r="EQ26" i="23"/>
  <c r="HF26" i="23"/>
  <c r="CF15" i="21"/>
  <c r="EP26" i="23"/>
  <c r="HE26" i="23"/>
  <c r="EO26" i="23"/>
  <c r="HD26" i="23"/>
  <c r="EN26" i="23"/>
  <c r="HC26" i="23"/>
  <c r="EM26" i="23"/>
  <c r="HB26" i="23"/>
  <c r="EL26" i="23"/>
  <c r="HA26" i="23"/>
  <c r="EK26" i="23"/>
  <c r="GZ26" i="23"/>
  <c r="CE15" i="21"/>
  <c r="EJ26" i="23"/>
  <c r="GY26" i="23"/>
  <c r="EI26" i="23"/>
  <c r="GX26" i="23"/>
  <c r="EH26" i="23"/>
  <c r="GW26" i="23"/>
  <c r="EG26" i="23"/>
  <c r="GV26" i="23"/>
  <c r="EF26" i="23"/>
  <c r="GU26" i="23"/>
  <c r="EE26" i="23"/>
  <c r="GT26" i="23"/>
  <c r="DL17" i="22"/>
  <c r="DR17" i="22"/>
  <c r="EF18" i="22"/>
  <c r="BP26" i="23"/>
  <c r="GS26" i="23"/>
  <c r="DQ17" i="22"/>
  <c r="EE18" i="22"/>
  <c r="BO26" i="23"/>
  <c r="GR26" i="23"/>
  <c r="ED18" i="22"/>
  <c r="BN26" i="23"/>
  <c r="GQ26" i="23"/>
  <c r="EC18" i="22"/>
  <c r="BM26" i="23"/>
  <c r="GP26" i="23"/>
  <c r="EB18" i="22"/>
  <c r="BL26" i="23"/>
  <c r="GO26" i="23"/>
  <c r="EA18" i="22"/>
  <c r="BK26" i="23"/>
  <c r="GN26" i="23"/>
  <c r="AZ18" i="22"/>
  <c r="BA18" i="22"/>
  <c r="AL26" i="23"/>
  <c r="AX26" i="23"/>
  <c r="BJ26" i="23"/>
  <c r="CB26" i="23"/>
  <c r="GM26" i="23"/>
  <c r="BI26" i="23"/>
  <c r="AK26" i="23"/>
  <c r="AW26" i="23"/>
  <c r="CA26" i="23"/>
  <c r="GL26" i="23"/>
  <c r="S18" i="22"/>
  <c r="AX18" i="22"/>
  <c r="AY18" i="22"/>
  <c r="AJ26" i="23"/>
  <c r="AV26" i="23"/>
  <c r="BH26" i="23"/>
  <c r="BZ26" i="23"/>
  <c r="GK26" i="23"/>
  <c r="BG26" i="23"/>
  <c r="AI26" i="23"/>
  <c r="AU26" i="23"/>
  <c r="BY26" i="23"/>
  <c r="GJ26" i="23"/>
  <c r="AV18" i="22"/>
  <c r="AW18" i="22"/>
  <c r="AH26" i="23"/>
  <c r="AT26" i="23"/>
  <c r="BF26" i="23"/>
  <c r="BX26" i="23"/>
  <c r="GI26" i="23"/>
  <c r="BE26" i="23"/>
  <c r="AG26" i="23"/>
  <c r="AS26" i="23"/>
  <c r="BW26" i="23"/>
  <c r="GH26" i="23"/>
  <c r="AF26" i="23"/>
  <c r="AR26" i="23"/>
  <c r="BD26" i="23"/>
  <c r="BV26" i="23"/>
  <c r="GG26" i="23"/>
  <c r="BC26" i="23"/>
  <c r="AE26" i="23"/>
  <c r="AQ26" i="23"/>
  <c r="BU26" i="23"/>
  <c r="GF26" i="23"/>
  <c r="AD26" i="23"/>
  <c r="AP26" i="23"/>
  <c r="BB26" i="23"/>
  <c r="BT26" i="23"/>
  <c r="GE26" i="23"/>
  <c r="BA26" i="23"/>
  <c r="AC26" i="23"/>
  <c r="AO26" i="23"/>
  <c r="BS26" i="23"/>
  <c r="GD26" i="23"/>
  <c r="AB26" i="23"/>
  <c r="AN26" i="23"/>
  <c r="AZ26" i="23"/>
  <c r="BR26" i="23"/>
  <c r="GC26" i="23"/>
  <c r="AY26" i="23"/>
  <c r="AA26" i="23"/>
  <c r="AM26" i="23"/>
  <c r="BQ26" i="23"/>
  <c r="GB26" i="23"/>
  <c r="AH18" i="22"/>
  <c r="AI18" i="22"/>
  <c r="N26" i="23"/>
  <c r="Z26" i="23"/>
  <c r="GA26" i="23"/>
  <c r="M26" i="23"/>
  <c r="Y26" i="23"/>
  <c r="FZ26" i="23"/>
  <c r="AF18" i="22"/>
  <c r="AG18" i="22"/>
  <c r="L26" i="23"/>
  <c r="X26" i="23"/>
  <c r="FY26" i="23"/>
  <c r="K26" i="23"/>
  <c r="W26" i="23"/>
  <c r="FX26" i="23"/>
  <c r="AD18" i="22"/>
  <c r="AE18" i="22"/>
  <c r="J26" i="23"/>
  <c r="V26" i="23"/>
  <c r="FW26" i="23"/>
  <c r="I26" i="23"/>
  <c r="U26" i="23"/>
  <c r="FV26" i="23"/>
  <c r="H26" i="23"/>
  <c r="T26" i="23"/>
  <c r="FU26" i="23"/>
  <c r="G26" i="23"/>
  <c r="S26" i="23"/>
  <c r="FT26" i="23"/>
  <c r="F26" i="23"/>
  <c r="R26" i="23"/>
  <c r="FS26" i="23"/>
  <c r="E26" i="23"/>
  <c r="Q26" i="23"/>
  <c r="FR26" i="23"/>
  <c r="D26" i="23"/>
  <c r="P26" i="23"/>
  <c r="FQ26" i="23"/>
  <c r="C26" i="23"/>
  <c r="O26" i="23"/>
  <c r="FP26" i="23"/>
  <c r="GV17" i="22"/>
  <c r="DR25" i="23"/>
  <c r="IO25" i="23"/>
  <c r="GU17" i="22"/>
  <c r="DQ25" i="23"/>
  <c r="IN25" i="23"/>
  <c r="IM25" i="23"/>
  <c r="IL25" i="23"/>
  <c r="CW16" i="22"/>
  <c r="FB16" i="22"/>
  <c r="FC16" i="22"/>
  <c r="FX16" i="22"/>
  <c r="GR17" i="22"/>
  <c r="GT17" i="22"/>
  <c r="DN25" i="23"/>
  <c r="IK25" i="23"/>
  <c r="FV16" i="22"/>
  <c r="GQ17" i="22"/>
  <c r="GS17" i="22"/>
  <c r="DM25" i="23"/>
  <c r="IJ25" i="23"/>
  <c r="BR17" i="22"/>
  <c r="ET17" i="22"/>
  <c r="GH17" i="22"/>
  <c r="CN25" i="23"/>
  <c r="CZ25" i="23"/>
  <c r="DL25" i="23"/>
  <c r="ED25" i="23"/>
  <c r="II25" i="23"/>
  <c r="DK25" i="23"/>
  <c r="GG17" i="22"/>
  <c r="CM25" i="23"/>
  <c r="CY25" i="23"/>
  <c r="EC25" i="23"/>
  <c r="IH25" i="23"/>
  <c r="BP17" i="22"/>
  <c r="ER17" i="22"/>
  <c r="GE17" i="22"/>
  <c r="GF17" i="22"/>
  <c r="CL25" i="23"/>
  <c r="CX25" i="23"/>
  <c r="IG25" i="23"/>
  <c r="CK25" i="23"/>
  <c r="CW25" i="23"/>
  <c r="IF25" i="23"/>
  <c r="BN17" i="22"/>
  <c r="EP17" i="22"/>
  <c r="GC17" i="22"/>
  <c r="GD17" i="22"/>
  <c r="CJ25" i="23"/>
  <c r="CV25" i="23"/>
  <c r="DH25" i="23"/>
  <c r="DZ25" i="23"/>
  <c r="IE25" i="23"/>
  <c r="DG25" i="23"/>
  <c r="CI25" i="23"/>
  <c r="CU25" i="23"/>
  <c r="DY25" i="23"/>
  <c r="ID25" i="23"/>
  <c r="CH25" i="23"/>
  <c r="CT25" i="23"/>
  <c r="DF25" i="23"/>
  <c r="DX25" i="23"/>
  <c r="IC25" i="23"/>
  <c r="DE25" i="23"/>
  <c r="CG25" i="23"/>
  <c r="CS25" i="23"/>
  <c r="DW25" i="23"/>
  <c r="IB25" i="23"/>
  <c r="CF25" i="23"/>
  <c r="CR25" i="23"/>
  <c r="IA25" i="23"/>
  <c r="CE25" i="23"/>
  <c r="CQ25" i="23"/>
  <c r="HZ25" i="23"/>
  <c r="CD25" i="23"/>
  <c r="CP25" i="23"/>
  <c r="DB25" i="23"/>
  <c r="DT25" i="23"/>
  <c r="HY25" i="23"/>
  <c r="DA25" i="23"/>
  <c r="CC25" i="23"/>
  <c r="CO25" i="23"/>
  <c r="DS25" i="23"/>
  <c r="HX25" i="23"/>
  <c r="AC17" i="22"/>
  <c r="CJ17" i="22"/>
  <c r="CK17" i="22"/>
  <c r="CI14" i="21"/>
  <c r="FH25" i="23"/>
  <c r="HW25" i="23"/>
  <c r="FG25" i="23"/>
  <c r="HV25" i="23"/>
  <c r="AB17" i="22"/>
  <c r="CH17" i="22"/>
  <c r="CI17" i="22"/>
  <c r="FF25" i="23"/>
  <c r="HU25" i="23"/>
  <c r="FE25" i="23"/>
  <c r="HT25" i="23"/>
  <c r="AA17" i="22"/>
  <c r="CF17" i="22"/>
  <c r="CG17" i="22"/>
  <c r="FD25" i="23"/>
  <c r="HS25" i="23"/>
  <c r="FC25" i="23"/>
  <c r="HR25" i="23"/>
  <c r="CH14" i="21"/>
  <c r="FB25" i="23"/>
  <c r="HQ25" i="23"/>
  <c r="FA25" i="23"/>
  <c r="HP25" i="23"/>
  <c r="EZ25" i="23"/>
  <c r="HO25" i="23"/>
  <c r="EY25" i="23"/>
  <c r="HN25" i="23"/>
  <c r="EX25" i="23"/>
  <c r="HM25" i="23"/>
  <c r="EW25" i="23"/>
  <c r="HL25" i="23"/>
  <c r="CG14" i="21"/>
  <c r="EV25" i="23"/>
  <c r="HK25" i="23"/>
  <c r="EU25" i="23"/>
  <c r="HJ25" i="23"/>
  <c r="ET25" i="23"/>
  <c r="HI25" i="23"/>
  <c r="ES25" i="23"/>
  <c r="HH25" i="23"/>
  <c r="ER25" i="23"/>
  <c r="HG25" i="23"/>
  <c r="EQ25" i="23"/>
  <c r="HF25" i="23"/>
  <c r="CF14" i="21"/>
  <c r="EP25" i="23"/>
  <c r="HE25" i="23"/>
  <c r="EO25" i="23"/>
  <c r="HD25" i="23"/>
  <c r="EN25" i="23"/>
  <c r="HC25" i="23"/>
  <c r="EM25" i="23"/>
  <c r="HB25" i="23"/>
  <c r="EL25" i="23"/>
  <c r="HA25" i="23"/>
  <c r="EK25" i="23"/>
  <c r="GZ25" i="23"/>
  <c r="CE14" i="21"/>
  <c r="EJ25" i="23"/>
  <c r="GY25" i="23"/>
  <c r="EI25" i="23"/>
  <c r="GX25" i="23"/>
  <c r="EH25" i="23"/>
  <c r="GW25" i="23"/>
  <c r="EG25" i="23"/>
  <c r="GV25" i="23"/>
  <c r="EF25" i="23"/>
  <c r="GU25" i="23"/>
  <c r="EE25" i="23"/>
  <c r="GT25" i="23"/>
  <c r="DL16" i="22"/>
  <c r="DR16" i="22"/>
  <c r="EF17" i="22"/>
  <c r="BP25" i="23"/>
  <c r="GS25" i="23"/>
  <c r="DQ16" i="22"/>
  <c r="EE17" i="22"/>
  <c r="BO25" i="23"/>
  <c r="GR25" i="23"/>
  <c r="ED17" i="22"/>
  <c r="BN25" i="23"/>
  <c r="GQ25" i="23"/>
  <c r="EC17" i="22"/>
  <c r="BM25" i="23"/>
  <c r="GP25" i="23"/>
  <c r="EB17" i="22"/>
  <c r="BL25" i="23"/>
  <c r="GO25" i="23"/>
  <c r="EA17" i="22"/>
  <c r="BK25" i="23"/>
  <c r="GN25" i="23"/>
  <c r="AZ17" i="22"/>
  <c r="BA17" i="22"/>
  <c r="AL25" i="23"/>
  <c r="AX25" i="23"/>
  <c r="BJ25" i="23"/>
  <c r="CB25" i="23"/>
  <c r="GM25" i="23"/>
  <c r="BI25" i="23"/>
  <c r="AK25" i="23"/>
  <c r="AW25" i="23"/>
  <c r="CA25" i="23"/>
  <c r="GL25" i="23"/>
  <c r="S17" i="22"/>
  <c r="AX17" i="22"/>
  <c r="AY17" i="22"/>
  <c r="AJ25" i="23"/>
  <c r="AV25" i="23"/>
  <c r="BH25" i="23"/>
  <c r="BZ25" i="23"/>
  <c r="GK25" i="23"/>
  <c r="BG25" i="23"/>
  <c r="AI25" i="23"/>
  <c r="AU25" i="23"/>
  <c r="BY25" i="23"/>
  <c r="GJ25" i="23"/>
  <c r="AV17" i="22"/>
  <c r="AW17" i="22"/>
  <c r="AH25" i="23"/>
  <c r="AT25" i="23"/>
  <c r="BF25" i="23"/>
  <c r="BX25" i="23"/>
  <c r="GI25" i="23"/>
  <c r="BE25" i="23"/>
  <c r="AG25" i="23"/>
  <c r="AS25" i="23"/>
  <c r="BW25" i="23"/>
  <c r="GH25" i="23"/>
  <c r="AF25" i="23"/>
  <c r="AR25" i="23"/>
  <c r="BD25" i="23"/>
  <c r="BV25" i="23"/>
  <c r="GG25" i="23"/>
  <c r="BC25" i="23"/>
  <c r="AE25" i="23"/>
  <c r="AQ25" i="23"/>
  <c r="BU25" i="23"/>
  <c r="GF25" i="23"/>
  <c r="AD25" i="23"/>
  <c r="AP25" i="23"/>
  <c r="BB25" i="23"/>
  <c r="BT25" i="23"/>
  <c r="GE25" i="23"/>
  <c r="BA25" i="23"/>
  <c r="AC25" i="23"/>
  <c r="AO25" i="23"/>
  <c r="BS25" i="23"/>
  <c r="GD25" i="23"/>
  <c r="AB25" i="23"/>
  <c r="AN25" i="23"/>
  <c r="AZ25" i="23"/>
  <c r="BR25" i="23"/>
  <c r="GC25" i="23"/>
  <c r="AY25" i="23"/>
  <c r="AA25" i="23"/>
  <c r="AM25" i="23"/>
  <c r="BQ25" i="23"/>
  <c r="GB25" i="23"/>
  <c r="AH17" i="22"/>
  <c r="AI17" i="22"/>
  <c r="N25" i="23"/>
  <c r="Z25" i="23"/>
  <c r="GA25" i="23"/>
  <c r="M25" i="23"/>
  <c r="Y25" i="23"/>
  <c r="FZ25" i="23"/>
  <c r="AF17" i="22"/>
  <c r="AG17" i="22"/>
  <c r="L25" i="23"/>
  <c r="X25" i="23"/>
  <c r="FY25" i="23"/>
  <c r="K25" i="23"/>
  <c r="W25" i="23"/>
  <c r="FX25" i="23"/>
  <c r="AD17" i="22"/>
  <c r="AE17" i="22"/>
  <c r="J25" i="23"/>
  <c r="V25" i="23"/>
  <c r="FW25" i="23"/>
  <c r="I25" i="23"/>
  <c r="U25" i="23"/>
  <c r="FV25" i="23"/>
  <c r="H25" i="23"/>
  <c r="T25" i="23"/>
  <c r="FU25" i="23"/>
  <c r="G25" i="23"/>
  <c r="S25" i="23"/>
  <c r="FT25" i="23"/>
  <c r="F25" i="23"/>
  <c r="R25" i="23"/>
  <c r="FS25" i="23"/>
  <c r="E25" i="23"/>
  <c r="Q25" i="23"/>
  <c r="FR25" i="23"/>
  <c r="D25" i="23"/>
  <c r="P25" i="23"/>
  <c r="FQ25" i="23"/>
  <c r="C25" i="23"/>
  <c r="O25" i="23"/>
  <c r="FP25" i="23"/>
  <c r="GV16" i="22"/>
  <c r="DR24" i="23"/>
  <c r="IO24" i="23"/>
  <c r="GU16" i="22"/>
  <c r="DQ24" i="23"/>
  <c r="IN24" i="23"/>
  <c r="IM24" i="23"/>
  <c r="IL24" i="23"/>
  <c r="CW15" i="22"/>
  <c r="FB15" i="22"/>
  <c r="FC15" i="22"/>
  <c r="FX15" i="22"/>
  <c r="GR16" i="22"/>
  <c r="GT16" i="22"/>
  <c r="DN24" i="23"/>
  <c r="IK24" i="23"/>
  <c r="FV15" i="22"/>
  <c r="GQ16" i="22"/>
  <c r="GS16" i="22"/>
  <c r="DM24" i="23"/>
  <c r="IJ24" i="23"/>
  <c r="BR16" i="22"/>
  <c r="ET16" i="22"/>
  <c r="GH16" i="22"/>
  <c r="CN24" i="23"/>
  <c r="CZ24" i="23"/>
  <c r="DL24" i="23"/>
  <c r="ED24" i="23"/>
  <c r="II24" i="23"/>
  <c r="DK24" i="23"/>
  <c r="GG16" i="22"/>
  <c r="CM24" i="23"/>
  <c r="CY24" i="23"/>
  <c r="EC24" i="23"/>
  <c r="IH24" i="23"/>
  <c r="BP16" i="22"/>
  <c r="ER16" i="22"/>
  <c r="GE16" i="22"/>
  <c r="GF16" i="22"/>
  <c r="CL24" i="23"/>
  <c r="CX24" i="23"/>
  <c r="IG24" i="23"/>
  <c r="CK24" i="23"/>
  <c r="CW24" i="23"/>
  <c r="IF24" i="23"/>
  <c r="BN16" i="22"/>
  <c r="EP16" i="22"/>
  <c r="GC16" i="22"/>
  <c r="GD16" i="22"/>
  <c r="CJ24" i="23"/>
  <c r="CV24" i="23"/>
  <c r="DH24" i="23"/>
  <c r="DZ24" i="23"/>
  <c r="IE24" i="23"/>
  <c r="DG24" i="23"/>
  <c r="CI24" i="23"/>
  <c r="CU24" i="23"/>
  <c r="DY24" i="23"/>
  <c r="ID24" i="23"/>
  <c r="CH24" i="23"/>
  <c r="CT24" i="23"/>
  <c r="DF24" i="23"/>
  <c r="DX24" i="23"/>
  <c r="IC24" i="23"/>
  <c r="DE24" i="23"/>
  <c r="CG24" i="23"/>
  <c r="CS24" i="23"/>
  <c r="DW24" i="23"/>
  <c r="IB24" i="23"/>
  <c r="CF24" i="23"/>
  <c r="CR24" i="23"/>
  <c r="IA24" i="23"/>
  <c r="CE24" i="23"/>
  <c r="CQ24" i="23"/>
  <c r="HZ24" i="23"/>
  <c r="CD24" i="23"/>
  <c r="CP24" i="23"/>
  <c r="DB24" i="23"/>
  <c r="DT24" i="23"/>
  <c r="HY24" i="23"/>
  <c r="DA24" i="23"/>
  <c r="CC24" i="23"/>
  <c r="CO24" i="23"/>
  <c r="DS24" i="23"/>
  <c r="HX24" i="23"/>
  <c r="AC16" i="22"/>
  <c r="CJ16" i="22"/>
  <c r="CK16" i="22"/>
  <c r="CI13" i="21"/>
  <c r="FH24" i="23"/>
  <c r="HW24" i="23"/>
  <c r="FG24" i="23"/>
  <c r="HV24" i="23"/>
  <c r="AB16" i="22"/>
  <c r="CH16" i="22"/>
  <c r="CI16" i="22"/>
  <c r="FF24" i="23"/>
  <c r="HU24" i="23"/>
  <c r="FE24" i="23"/>
  <c r="HT24" i="23"/>
  <c r="AA16" i="22"/>
  <c r="CF16" i="22"/>
  <c r="CG16" i="22"/>
  <c r="FD24" i="23"/>
  <c r="HS24" i="23"/>
  <c r="FC24" i="23"/>
  <c r="HR24" i="23"/>
  <c r="CH13" i="21"/>
  <c r="FB24" i="23"/>
  <c r="HQ24" i="23"/>
  <c r="FA24" i="23"/>
  <c r="HP24" i="23"/>
  <c r="EZ24" i="23"/>
  <c r="HO24" i="23"/>
  <c r="EY24" i="23"/>
  <c r="HN24" i="23"/>
  <c r="EX24" i="23"/>
  <c r="HM24" i="23"/>
  <c r="EW24" i="23"/>
  <c r="HL24" i="23"/>
  <c r="CG13" i="21"/>
  <c r="EV24" i="23"/>
  <c r="HK24" i="23"/>
  <c r="EU24" i="23"/>
  <c r="HJ24" i="23"/>
  <c r="ET24" i="23"/>
  <c r="HI24" i="23"/>
  <c r="ES24" i="23"/>
  <c r="HH24" i="23"/>
  <c r="ER24" i="23"/>
  <c r="HG24" i="23"/>
  <c r="EQ24" i="23"/>
  <c r="HF24" i="23"/>
  <c r="CF13" i="21"/>
  <c r="EP24" i="23"/>
  <c r="HE24" i="23"/>
  <c r="EO24" i="23"/>
  <c r="HD24" i="23"/>
  <c r="EN24" i="23"/>
  <c r="HC24" i="23"/>
  <c r="EM24" i="23"/>
  <c r="HB24" i="23"/>
  <c r="EL24" i="23"/>
  <c r="HA24" i="23"/>
  <c r="EK24" i="23"/>
  <c r="GZ24" i="23"/>
  <c r="CE13" i="21"/>
  <c r="EJ24" i="23"/>
  <c r="GY24" i="23"/>
  <c r="EI24" i="23"/>
  <c r="GX24" i="23"/>
  <c r="EH24" i="23"/>
  <c r="GW24" i="23"/>
  <c r="EG24" i="23"/>
  <c r="GV24" i="23"/>
  <c r="EF24" i="23"/>
  <c r="GU24" i="23"/>
  <c r="EE24" i="23"/>
  <c r="GT24" i="23"/>
  <c r="DL15" i="22"/>
  <c r="DR15" i="22"/>
  <c r="EF16" i="22"/>
  <c r="BP24" i="23"/>
  <c r="GS24" i="23"/>
  <c r="DQ15" i="22"/>
  <c r="EE16" i="22"/>
  <c r="BO24" i="23"/>
  <c r="GR24" i="23"/>
  <c r="ED16" i="22"/>
  <c r="BN24" i="23"/>
  <c r="GQ24" i="23"/>
  <c r="EC16" i="22"/>
  <c r="BM24" i="23"/>
  <c r="GP24" i="23"/>
  <c r="EB16" i="22"/>
  <c r="BL24" i="23"/>
  <c r="GO24" i="23"/>
  <c r="EA16" i="22"/>
  <c r="BK24" i="23"/>
  <c r="GN24" i="23"/>
  <c r="AZ16" i="22"/>
  <c r="BA16" i="22"/>
  <c r="AL24" i="23"/>
  <c r="AX24" i="23"/>
  <c r="BJ24" i="23"/>
  <c r="CB24" i="23"/>
  <c r="GM24" i="23"/>
  <c r="BI24" i="23"/>
  <c r="AK24" i="23"/>
  <c r="AW24" i="23"/>
  <c r="CA24" i="23"/>
  <c r="GL24" i="23"/>
  <c r="S16" i="22"/>
  <c r="AX16" i="22"/>
  <c r="AY16" i="22"/>
  <c r="AJ24" i="23"/>
  <c r="AV24" i="23"/>
  <c r="BH24" i="23"/>
  <c r="BZ24" i="23"/>
  <c r="GK24" i="23"/>
  <c r="BG24" i="23"/>
  <c r="AI24" i="23"/>
  <c r="AU24" i="23"/>
  <c r="BY24" i="23"/>
  <c r="GJ24" i="23"/>
  <c r="AV16" i="22"/>
  <c r="AW16" i="22"/>
  <c r="AH24" i="23"/>
  <c r="AT24" i="23"/>
  <c r="BF24" i="23"/>
  <c r="BX24" i="23"/>
  <c r="GI24" i="23"/>
  <c r="BE24" i="23"/>
  <c r="AG24" i="23"/>
  <c r="AS24" i="23"/>
  <c r="BW24" i="23"/>
  <c r="GH24" i="23"/>
  <c r="AF24" i="23"/>
  <c r="AR24" i="23"/>
  <c r="BD24" i="23"/>
  <c r="BV24" i="23"/>
  <c r="GG24" i="23"/>
  <c r="BC24" i="23"/>
  <c r="AE24" i="23"/>
  <c r="AQ24" i="23"/>
  <c r="BU24" i="23"/>
  <c r="GF24" i="23"/>
  <c r="AD24" i="23"/>
  <c r="AP24" i="23"/>
  <c r="BB24" i="23"/>
  <c r="BT24" i="23"/>
  <c r="GE24" i="23"/>
  <c r="BA24" i="23"/>
  <c r="AC24" i="23"/>
  <c r="AO24" i="23"/>
  <c r="BS24" i="23"/>
  <c r="GD24" i="23"/>
  <c r="AB24" i="23"/>
  <c r="AN24" i="23"/>
  <c r="AZ24" i="23"/>
  <c r="BR24" i="23"/>
  <c r="GC24" i="23"/>
  <c r="AY24" i="23"/>
  <c r="AA24" i="23"/>
  <c r="AM24" i="23"/>
  <c r="BQ24" i="23"/>
  <c r="GB24" i="23"/>
  <c r="AH16" i="22"/>
  <c r="AI16" i="22"/>
  <c r="N24" i="23"/>
  <c r="Z24" i="23"/>
  <c r="GA24" i="23"/>
  <c r="M24" i="23"/>
  <c r="Y24" i="23"/>
  <c r="FZ24" i="23"/>
  <c r="AF16" i="22"/>
  <c r="AG16" i="22"/>
  <c r="L24" i="23"/>
  <c r="X24" i="23"/>
  <c r="FY24" i="23"/>
  <c r="K24" i="23"/>
  <c r="W24" i="23"/>
  <c r="FX24" i="23"/>
  <c r="AD16" i="22"/>
  <c r="AE16" i="22"/>
  <c r="J24" i="23"/>
  <c r="V24" i="23"/>
  <c r="FW24" i="23"/>
  <c r="I24" i="23"/>
  <c r="U24" i="23"/>
  <c r="FV24" i="23"/>
  <c r="H24" i="23"/>
  <c r="T24" i="23"/>
  <c r="FU24" i="23"/>
  <c r="G24" i="23"/>
  <c r="S24" i="23"/>
  <c r="FT24" i="23"/>
  <c r="F24" i="23"/>
  <c r="R24" i="23"/>
  <c r="FS24" i="23"/>
  <c r="E24" i="23"/>
  <c r="Q24" i="23"/>
  <c r="FR24" i="23"/>
  <c r="D24" i="23"/>
  <c r="P24" i="23"/>
  <c r="FQ24" i="23"/>
  <c r="C24" i="23"/>
  <c r="O24" i="23"/>
  <c r="FP24" i="23"/>
  <c r="GV15" i="22"/>
  <c r="DR23" i="23"/>
  <c r="IO23" i="23"/>
  <c r="GU15" i="22"/>
  <c r="DQ23" i="23"/>
  <c r="IN23" i="23"/>
  <c r="IM23" i="23"/>
  <c r="IL23" i="23"/>
  <c r="CW14" i="22"/>
  <c r="FB14" i="22"/>
  <c r="FC14" i="22"/>
  <c r="FX14" i="22"/>
  <c r="GR15" i="22"/>
  <c r="GT15" i="22"/>
  <c r="DN23" i="23"/>
  <c r="IK23" i="23"/>
  <c r="FV14" i="22"/>
  <c r="GQ15" i="22"/>
  <c r="GS15" i="22"/>
  <c r="DM23" i="23"/>
  <c r="IJ23" i="23"/>
  <c r="BR15" i="22"/>
  <c r="ET15" i="22"/>
  <c r="GH15" i="22"/>
  <c r="CN23" i="23"/>
  <c r="CZ23" i="23"/>
  <c r="DL23" i="23"/>
  <c r="ED23" i="23"/>
  <c r="II23" i="23"/>
  <c r="DK23" i="23"/>
  <c r="GG15" i="22"/>
  <c r="CM23" i="23"/>
  <c r="CY23" i="23"/>
  <c r="EC23" i="23"/>
  <c r="IH23" i="23"/>
  <c r="BP15" i="22"/>
  <c r="ER15" i="22"/>
  <c r="GE15" i="22"/>
  <c r="GF15" i="22"/>
  <c r="CL23" i="23"/>
  <c r="CX23" i="23"/>
  <c r="IG23" i="23"/>
  <c r="CK23" i="23"/>
  <c r="CW23" i="23"/>
  <c r="IF23" i="23"/>
  <c r="BN15" i="22"/>
  <c r="EP15" i="22"/>
  <c r="GC15" i="22"/>
  <c r="GD15" i="22"/>
  <c r="CJ23" i="23"/>
  <c r="CV23" i="23"/>
  <c r="DH23" i="23"/>
  <c r="DZ23" i="23"/>
  <c r="IE23" i="23"/>
  <c r="DG23" i="23"/>
  <c r="CI23" i="23"/>
  <c r="CU23" i="23"/>
  <c r="DY23" i="23"/>
  <c r="ID23" i="23"/>
  <c r="CH23" i="23"/>
  <c r="CT23" i="23"/>
  <c r="DF23" i="23"/>
  <c r="DX23" i="23"/>
  <c r="IC23" i="23"/>
  <c r="DE23" i="23"/>
  <c r="CG23" i="23"/>
  <c r="CS23" i="23"/>
  <c r="DW23" i="23"/>
  <c r="IB23" i="23"/>
  <c r="CF23" i="23"/>
  <c r="CR23" i="23"/>
  <c r="IA23" i="23"/>
  <c r="CE23" i="23"/>
  <c r="CQ23" i="23"/>
  <c r="HZ23" i="23"/>
  <c r="CD23" i="23"/>
  <c r="CP23" i="23"/>
  <c r="DB23" i="23"/>
  <c r="DT23" i="23"/>
  <c r="HY23" i="23"/>
  <c r="DA23" i="23"/>
  <c r="CC23" i="23"/>
  <c r="CO23" i="23"/>
  <c r="DS23" i="23"/>
  <c r="HX23" i="23"/>
  <c r="AC15" i="22"/>
  <c r="CJ15" i="22"/>
  <c r="CK15" i="22"/>
  <c r="CI12" i="21"/>
  <c r="FH23" i="23"/>
  <c r="HW23" i="23"/>
  <c r="FG23" i="23"/>
  <c r="HV23" i="23"/>
  <c r="AB15" i="22"/>
  <c r="CH15" i="22"/>
  <c r="CI15" i="22"/>
  <c r="FF23" i="23"/>
  <c r="HU23" i="23"/>
  <c r="FE23" i="23"/>
  <c r="HT23" i="23"/>
  <c r="AA15" i="22"/>
  <c r="CF15" i="22"/>
  <c r="CG15" i="22"/>
  <c r="FD23" i="23"/>
  <c r="HS23" i="23"/>
  <c r="FC23" i="23"/>
  <c r="HR23" i="23"/>
  <c r="CH12" i="21"/>
  <c r="FB23" i="23"/>
  <c r="HQ23" i="23"/>
  <c r="FA23" i="23"/>
  <c r="HP23" i="23"/>
  <c r="EZ23" i="23"/>
  <c r="HO23" i="23"/>
  <c r="EY23" i="23"/>
  <c r="HN23" i="23"/>
  <c r="EX23" i="23"/>
  <c r="HM23" i="23"/>
  <c r="EW23" i="23"/>
  <c r="HL23" i="23"/>
  <c r="CG12" i="21"/>
  <c r="EV23" i="23"/>
  <c r="HK23" i="23"/>
  <c r="EU23" i="23"/>
  <c r="HJ23" i="23"/>
  <c r="ET23" i="23"/>
  <c r="HI23" i="23"/>
  <c r="ES23" i="23"/>
  <c r="HH23" i="23"/>
  <c r="ER23" i="23"/>
  <c r="HG23" i="23"/>
  <c r="EQ23" i="23"/>
  <c r="HF23" i="23"/>
  <c r="CF12" i="21"/>
  <c r="EP23" i="23"/>
  <c r="HE23" i="23"/>
  <c r="EO23" i="23"/>
  <c r="HD23" i="23"/>
  <c r="EN23" i="23"/>
  <c r="HC23" i="23"/>
  <c r="EM23" i="23"/>
  <c r="HB23" i="23"/>
  <c r="EL23" i="23"/>
  <c r="HA23" i="23"/>
  <c r="EK23" i="23"/>
  <c r="GZ23" i="23"/>
  <c r="CE12" i="21"/>
  <c r="EJ23" i="23"/>
  <c r="GY23" i="23"/>
  <c r="EI23" i="23"/>
  <c r="GX23" i="23"/>
  <c r="EH23" i="23"/>
  <c r="GW23" i="23"/>
  <c r="EG23" i="23"/>
  <c r="GV23" i="23"/>
  <c r="EF23" i="23"/>
  <c r="GU23" i="23"/>
  <c r="EE23" i="23"/>
  <c r="GT23" i="23"/>
  <c r="DL14" i="22"/>
  <c r="DR14" i="22"/>
  <c r="EF15" i="22"/>
  <c r="BP23" i="23"/>
  <c r="GS23" i="23"/>
  <c r="DQ14" i="22"/>
  <c r="EE15" i="22"/>
  <c r="BO23" i="23"/>
  <c r="GR23" i="23"/>
  <c r="ED15" i="22"/>
  <c r="BN23" i="23"/>
  <c r="GQ23" i="23"/>
  <c r="EC15" i="22"/>
  <c r="BM23" i="23"/>
  <c r="GP23" i="23"/>
  <c r="EB15" i="22"/>
  <c r="BL23" i="23"/>
  <c r="GO23" i="23"/>
  <c r="EA15" i="22"/>
  <c r="BK23" i="23"/>
  <c r="GN23" i="23"/>
  <c r="AZ15" i="22"/>
  <c r="BA15" i="22"/>
  <c r="AL23" i="23"/>
  <c r="AX23" i="23"/>
  <c r="BJ23" i="23"/>
  <c r="CB23" i="23"/>
  <c r="GM23" i="23"/>
  <c r="BI23" i="23"/>
  <c r="AK23" i="23"/>
  <c r="AW23" i="23"/>
  <c r="CA23" i="23"/>
  <c r="GL23" i="23"/>
  <c r="S15" i="22"/>
  <c r="AX15" i="22"/>
  <c r="AY15" i="22"/>
  <c r="AJ23" i="23"/>
  <c r="AV23" i="23"/>
  <c r="BH23" i="23"/>
  <c r="BZ23" i="23"/>
  <c r="GK23" i="23"/>
  <c r="BG23" i="23"/>
  <c r="AI23" i="23"/>
  <c r="AU23" i="23"/>
  <c r="BY23" i="23"/>
  <c r="GJ23" i="23"/>
  <c r="AV15" i="22"/>
  <c r="AW15" i="22"/>
  <c r="AH23" i="23"/>
  <c r="AT23" i="23"/>
  <c r="BF23" i="23"/>
  <c r="BX23" i="23"/>
  <c r="GI23" i="23"/>
  <c r="BE23" i="23"/>
  <c r="AG23" i="23"/>
  <c r="AS23" i="23"/>
  <c r="BW23" i="23"/>
  <c r="GH23" i="23"/>
  <c r="AF23" i="23"/>
  <c r="AR23" i="23"/>
  <c r="BD23" i="23"/>
  <c r="BV23" i="23"/>
  <c r="GG23" i="23"/>
  <c r="BC23" i="23"/>
  <c r="AE23" i="23"/>
  <c r="AQ23" i="23"/>
  <c r="BU23" i="23"/>
  <c r="GF23" i="23"/>
  <c r="AD23" i="23"/>
  <c r="AP23" i="23"/>
  <c r="BB23" i="23"/>
  <c r="BT23" i="23"/>
  <c r="GE23" i="23"/>
  <c r="BA23" i="23"/>
  <c r="AC23" i="23"/>
  <c r="AO23" i="23"/>
  <c r="BS23" i="23"/>
  <c r="GD23" i="23"/>
  <c r="AB23" i="23"/>
  <c r="AN23" i="23"/>
  <c r="AZ23" i="23"/>
  <c r="BR23" i="23"/>
  <c r="GC23" i="23"/>
  <c r="AY23" i="23"/>
  <c r="AA23" i="23"/>
  <c r="AM23" i="23"/>
  <c r="BQ23" i="23"/>
  <c r="GB23" i="23"/>
  <c r="AH15" i="22"/>
  <c r="AI15" i="22"/>
  <c r="N23" i="23"/>
  <c r="Z23" i="23"/>
  <c r="GA23" i="23"/>
  <c r="M23" i="23"/>
  <c r="Y23" i="23"/>
  <c r="FZ23" i="23"/>
  <c r="AF15" i="22"/>
  <c r="AG15" i="22"/>
  <c r="L23" i="23"/>
  <c r="X23" i="23"/>
  <c r="FY23" i="23"/>
  <c r="K23" i="23"/>
  <c r="W23" i="23"/>
  <c r="FX23" i="23"/>
  <c r="AD15" i="22"/>
  <c r="AE15" i="22"/>
  <c r="J23" i="23"/>
  <c r="V23" i="23"/>
  <c r="FW23" i="23"/>
  <c r="I23" i="23"/>
  <c r="U23" i="23"/>
  <c r="FV23" i="23"/>
  <c r="H23" i="23"/>
  <c r="T23" i="23"/>
  <c r="FU23" i="23"/>
  <c r="G23" i="23"/>
  <c r="S23" i="23"/>
  <c r="FT23" i="23"/>
  <c r="F23" i="23"/>
  <c r="R23" i="23"/>
  <c r="FS23" i="23"/>
  <c r="E23" i="23"/>
  <c r="Q23" i="23"/>
  <c r="FR23" i="23"/>
  <c r="D23" i="23"/>
  <c r="P23" i="23"/>
  <c r="FQ23" i="23"/>
  <c r="C23" i="23"/>
  <c r="O23" i="23"/>
  <c r="FP23" i="23"/>
  <c r="GV14" i="22"/>
  <c r="DR22" i="23"/>
  <c r="IO22" i="23"/>
  <c r="GU14" i="22"/>
  <c r="DQ22" i="23"/>
  <c r="IN22" i="23"/>
  <c r="IM22" i="23"/>
  <c r="IL22" i="23"/>
  <c r="CW13" i="22"/>
  <c r="FB13" i="22"/>
  <c r="FC13" i="22"/>
  <c r="FX13" i="22"/>
  <c r="GR14" i="22"/>
  <c r="GT14" i="22"/>
  <c r="DN22" i="23"/>
  <c r="IK22" i="23"/>
  <c r="FV13" i="22"/>
  <c r="GQ14" i="22"/>
  <c r="GS14" i="22"/>
  <c r="DM22" i="23"/>
  <c r="IJ22" i="23"/>
  <c r="BR14" i="22"/>
  <c r="ET14" i="22"/>
  <c r="GH14" i="22"/>
  <c r="CN22" i="23"/>
  <c r="CZ22" i="23"/>
  <c r="DL22" i="23"/>
  <c r="ED22" i="23"/>
  <c r="II22" i="23"/>
  <c r="DK22" i="23"/>
  <c r="GG14" i="22"/>
  <c r="CM22" i="23"/>
  <c r="CY22" i="23"/>
  <c r="EC22" i="23"/>
  <c r="IH22" i="23"/>
  <c r="BP14" i="22"/>
  <c r="ER14" i="22"/>
  <c r="GE14" i="22"/>
  <c r="GF14" i="22"/>
  <c r="CL22" i="23"/>
  <c r="CX22" i="23"/>
  <c r="IG22" i="23"/>
  <c r="CK22" i="23"/>
  <c r="CW22" i="23"/>
  <c r="IF22" i="23"/>
  <c r="BN14" i="22"/>
  <c r="EP14" i="22"/>
  <c r="GC14" i="22"/>
  <c r="GD14" i="22"/>
  <c r="CJ22" i="23"/>
  <c r="CV22" i="23"/>
  <c r="DH22" i="23"/>
  <c r="DZ22" i="23"/>
  <c r="IE22" i="23"/>
  <c r="DG22" i="23"/>
  <c r="CI22" i="23"/>
  <c r="CU22" i="23"/>
  <c r="DY22" i="23"/>
  <c r="ID22" i="23"/>
  <c r="CH22" i="23"/>
  <c r="CT22" i="23"/>
  <c r="DF22" i="23"/>
  <c r="DX22" i="23"/>
  <c r="IC22" i="23"/>
  <c r="DE22" i="23"/>
  <c r="CG22" i="23"/>
  <c r="CS22" i="23"/>
  <c r="DW22" i="23"/>
  <c r="IB22" i="23"/>
  <c r="CF22" i="23"/>
  <c r="CR22" i="23"/>
  <c r="IA22" i="23"/>
  <c r="CE22" i="23"/>
  <c r="CQ22" i="23"/>
  <c r="HZ22" i="23"/>
  <c r="CD22" i="23"/>
  <c r="CP22" i="23"/>
  <c r="DB22" i="23"/>
  <c r="DT22" i="23"/>
  <c r="HY22" i="23"/>
  <c r="DA22" i="23"/>
  <c r="CC22" i="23"/>
  <c r="CO22" i="23"/>
  <c r="DS22" i="23"/>
  <c r="HX22" i="23"/>
  <c r="AC14" i="22"/>
  <c r="CJ14" i="22"/>
  <c r="CK14" i="22"/>
  <c r="CI11" i="21"/>
  <c r="FH22" i="23"/>
  <c r="HW22" i="23"/>
  <c r="FG22" i="23"/>
  <c r="HV22" i="23"/>
  <c r="AB14" i="22"/>
  <c r="CH14" i="22"/>
  <c r="CI14" i="22"/>
  <c r="FF22" i="23"/>
  <c r="HU22" i="23"/>
  <c r="FE22" i="23"/>
  <c r="HT22" i="23"/>
  <c r="AA14" i="22"/>
  <c r="CF14" i="22"/>
  <c r="CG14" i="22"/>
  <c r="FD22" i="23"/>
  <c r="HS22" i="23"/>
  <c r="FC22" i="23"/>
  <c r="HR22" i="23"/>
  <c r="CH11" i="21"/>
  <c r="FB22" i="23"/>
  <c r="HQ22" i="23"/>
  <c r="FA22" i="23"/>
  <c r="HP22" i="23"/>
  <c r="EZ22" i="23"/>
  <c r="HO22" i="23"/>
  <c r="EY22" i="23"/>
  <c r="HN22" i="23"/>
  <c r="EX22" i="23"/>
  <c r="HM22" i="23"/>
  <c r="EW22" i="23"/>
  <c r="HL22" i="23"/>
  <c r="CG11" i="21"/>
  <c r="EV22" i="23"/>
  <c r="HK22" i="23"/>
  <c r="EU22" i="23"/>
  <c r="HJ22" i="23"/>
  <c r="ET22" i="23"/>
  <c r="HI22" i="23"/>
  <c r="ES22" i="23"/>
  <c r="HH22" i="23"/>
  <c r="ER22" i="23"/>
  <c r="HG22" i="23"/>
  <c r="EQ22" i="23"/>
  <c r="HF22" i="23"/>
  <c r="CF11" i="21"/>
  <c r="EP22" i="23"/>
  <c r="HE22" i="23"/>
  <c r="EO22" i="23"/>
  <c r="HD22" i="23"/>
  <c r="EN22" i="23"/>
  <c r="HC22" i="23"/>
  <c r="EM22" i="23"/>
  <c r="HB22" i="23"/>
  <c r="EL22" i="23"/>
  <c r="HA22" i="23"/>
  <c r="EK22" i="23"/>
  <c r="GZ22" i="23"/>
  <c r="CE11" i="21"/>
  <c r="EJ22" i="23"/>
  <c r="GY22" i="23"/>
  <c r="EI22" i="23"/>
  <c r="GX22" i="23"/>
  <c r="EH22" i="23"/>
  <c r="GW22" i="23"/>
  <c r="EG22" i="23"/>
  <c r="GV22" i="23"/>
  <c r="EF22" i="23"/>
  <c r="GU22" i="23"/>
  <c r="EE22" i="23"/>
  <c r="GT22" i="23"/>
  <c r="DL13" i="22"/>
  <c r="DR13" i="22"/>
  <c r="EF14" i="22"/>
  <c r="BP22" i="23"/>
  <c r="GS22" i="23"/>
  <c r="DQ13" i="22"/>
  <c r="EE14" i="22"/>
  <c r="BO22" i="23"/>
  <c r="GR22" i="23"/>
  <c r="ED14" i="22"/>
  <c r="BN22" i="23"/>
  <c r="GQ22" i="23"/>
  <c r="EC14" i="22"/>
  <c r="BM22" i="23"/>
  <c r="GP22" i="23"/>
  <c r="EB14" i="22"/>
  <c r="BL22" i="23"/>
  <c r="GO22" i="23"/>
  <c r="EA14" i="22"/>
  <c r="BK22" i="23"/>
  <c r="GN22" i="23"/>
  <c r="AZ14" i="22"/>
  <c r="BA14" i="22"/>
  <c r="AL22" i="23"/>
  <c r="AX22" i="23"/>
  <c r="BJ22" i="23"/>
  <c r="CB22" i="23"/>
  <c r="GM22" i="23"/>
  <c r="BI22" i="23"/>
  <c r="AK22" i="23"/>
  <c r="AW22" i="23"/>
  <c r="CA22" i="23"/>
  <c r="GL22" i="23"/>
  <c r="S14" i="22"/>
  <c r="AX14" i="22"/>
  <c r="AY14" i="22"/>
  <c r="AJ22" i="23"/>
  <c r="AV22" i="23"/>
  <c r="BH22" i="23"/>
  <c r="BZ22" i="23"/>
  <c r="GK22" i="23"/>
  <c r="BG22" i="23"/>
  <c r="AI22" i="23"/>
  <c r="AU22" i="23"/>
  <c r="BY22" i="23"/>
  <c r="GJ22" i="23"/>
  <c r="AV14" i="22"/>
  <c r="AW14" i="22"/>
  <c r="AH22" i="23"/>
  <c r="AT22" i="23"/>
  <c r="BF22" i="23"/>
  <c r="BX22" i="23"/>
  <c r="GI22" i="23"/>
  <c r="BE22" i="23"/>
  <c r="AG22" i="23"/>
  <c r="AS22" i="23"/>
  <c r="BW22" i="23"/>
  <c r="GH22" i="23"/>
  <c r="AF22" i="23"/>
  <c r="AR22" i="23"/>
  <c r="BD22" i="23"/>
  <c r="BV22" i="23"/>
  <c r="GG22" i="23"/>
  <c r="BC22" i="23"/>
  <c r="AE22" i="23"/>
  <c r="AQ22" i="23"/>
  <c r="BU22" i="23"/>
  <c r="GF22" i="23"/>
  <c r="AD22" i="23"/>
  <c r="AP22" i="23"/>
  <c r="BB22" i="23"/>
  <c r="BT22" i="23"/>
  <c r="GE22" i="23"/>
  <c r="BA22" i="23"/>
  <c r="AC22" i="23"/>
  <c r="AO22" i="23"/>
  <c r="BS22" i="23"/>
  <c r="GD22" i="23"/>
  <c r="AB22" i="23"/>
  <c r="AN22" i="23"/>
  <c r="AZ22" i="23"/>
  <c r="BR22" i="23"/>
  <c r="GC22" i="23"/>
  <c r="AY22" i="23"/>
  <c r="AA22" i="23"/>
  <c r="AM22" i="23"/>
  <c r="BQ22" i="23"/>
  <c r="GB22" i="23"/>
  <c r="AH14" i="22"/>
  <c r="AI14" i="22"/>
  <c r="N22" i="23"/>
  <c r="Z22" i="23"/>
  <c r="GA22" i="23"/>
  <c r="M22" i="23"/>
  <c r="Y22" i="23"/>
  <c r="FZ22" i="23"/>
  <c r="AF14" i="22"/>
  <c r="AG14" i="22"/>
  <c r="L22" i="23"/>
  <c r="X22" i="23"/>
  <c r="FY22" i="23"/>
  <c r="K22" i="23"/>
  <c r="W22" i="23"/>
  <c r="FX22" i="23"/>
  <c r="AD14" i="22"/>
  <c r="AE14" i="22"/>
  <c r="J22" i="23"/>
  <c r="V22" i="23"/>
  <c r="FW22" i="23"/>
  <c r="I22" i="23"/>
  <c r="U22" i="23"/>
  <c r="FV22" i="23"/>
  <c r="H22" i="23"/>
  <c r="T22" i="23"/>
  <c r="FU22" i="23"/>
  <c r="G22" i="23"/>
  <c r="S22" i="23"/>
  <c r="FT22" i="23"/>
  <c r="F22" i="23"/>
  <c r="R22" i="23"/>
  <c r="FS22" i="23"/>
  <c r="E22" i="23"/>
  <c r="Q22" i="23"/>
  <c r="FR22" i="23"/>
  <c r="D22" i="23"/>
  <c r="P22" i="23"/>
  <c r="FQ22" i="23"/>
  <c r="C22" i="23"/>
  <c r="O22" i="23"/>
  <c r="FP22" i="23"/>
  <c r="GV13" i="22"/>
  <c r="DR21" i="23"/>
  <c r="IO21" i="23"/>
  <c r="GU13" i="22"/>
  <c r="DQ21" i="23"/>
  <c r="IN21" i="23"/>
  <c r="IM21" i="23"/>
  <c r="IL21" i="23"/>
  <c r="GR13" i="22"/>
  <c r="GT13" i="22"/>
  <c r="DN21" i="23"/>
  <c r="IK21" i="23"/>
  <c r="GQ13" i="22"/>
  <c r="GS13" i="22"/>
  <c r="DM21" i="23"/>
  <c r="IJ21" i="23"/>
  <c r="BR13" i="22"/>
  <c r="ET13" i="22"/>
  <c r="GH13" i="22"/>
  <c r="CN21" i="23"/>
  <c r="CZ21" i="23"/>
  <c r="DL21" i="23"/>
  <c r="ED21" i="23"/>
  <c r="II21" i="23"/>
  <c r="DK21" i="23"/>
  <c r="GG13" i="22"/>
  <c r="CM21" i="23"/>
  <c r="CY21" i="23"/>
  <c r="EC21" i="23"/>
  <c r="IH21" i="23"/>
  <c r="BP13" i="22"/>
  <c r="ER13" i="22"/>
  <c r="GE13" i="22"/>
  <c r="GF13" i="22"/>
  <c r="CL21" i="23"/>
  <c r="CX21" i="23"/>
  <c r="IG21" i="23"/>
  <c r="CK21" i="23"/>
  <c r="CW21" i="23"/>
  <c r="IF21" i="23"/>
  <c r="BN13" i="22"/>
  <c r="EP13" i="22"/>
  <c r="GC13" i="22"/>
  <c r="GD13" i="22"/>
  <c r="CJ21" i="23"/>
  <c r="CV21" i="23"/>
  <c r="DH21" i="23"/>
  <c r="DZ21" i="23"/>
  <c r="IE21" i="23"/>
  <c r="DG21" i="23"/>
  <c r="CI21" i="23"/>
  <c r="CU21" i="23"/>
  <c r="DY21" i="23"/>
  <c r="ID21" i="23"/>
  <c r="CH21" i="23"/>
  <c r="CT21" i="23"/>
  <c r="DF21" i="23"/>
  <c r="DX21" i="23"/>
  <c r="IC21" i="23"/>
  <c r="DE21" i="23"/>
  <c r="CG21" i="23"/>
  <c r="CS21" i="23"/>
  <c r="DW21" i="23"/>
  <c r="IB21" i="23"/>
  <c r="CF21" i="23"/>
  <c r="CR21" i="23"/>
  <c r="IA21" i="23"/>
  <c r="CE21" i="23"/>
  <c r="CQ21" i="23"/>
  <c r="HZ21" i="23"/>
  <c r="CD21" i="23"/>
  <c r="CP21" i="23"/>
  <c r="DB21" i="23"/>
  <c r="DT21" i="23"/>
  <c r="HY21" i="23"/>
  <c r="DA21" i="23"/>
  <c r="CC21" i="23"/>
  <c r="CO21" i="23"/>
  <c r="DS21" i="23"/>
  <c r="HX21" i="23"/>
  <c r="AC13" i="22"/>
  <c r="CJ13" i="22"/>
  <c r="CK13" i="22"/>
  <c r="CI10" i="21"/>
  <c r="FH21" i="23"/>
  <c r="HW21" i="23"/>
  <c r="FG21" i="23"/>
  <c r="HV21" i="23"/>
  <c r="AB13" i="22"/>
  <c r="CH13" i="22"/>
  <c r="CI13" i="22"/>
  <c r="FF21" i="23"/>
  <c r="HU21" i="23"/>
  <c r="FE21" i="23"/>
  <c r="HT21" i="23"/>
  <c r="AA13" i="22"/>
  <c r="CF13" i="22"/>
  <c r="CG13" i="22"/>
  <c r="FD21" i="23"/>
  <c r="HS21" i="23"/>
  <c r="FC21" i="23"/>
  <c r="HR21" i="23"/>
  <c r="CH10" i="21"/>
  <c r="FB21" i="23"/>
  <c r="HQ21" i="23"/>
  <c r="FA21" i="23"/>
  <c r="HP21" i="23"/>
  <c r="EZ21" i="23"/>
  <c r="HO21" i="23"/>
  <c r="EY21" i="23"/>
  <c r="HN21" i="23"/>
  <c r="EX21" i="23"/>
  <c r="HM21" i="23"/>
  <c r="EW21" i="23"/>
  <c r="HL21" i="23"/>
  <c r="CG10" i="21"/>
  <c r="EV21" i="23"/>
  <c r="HK21" i="23"/>
  <c r="EU21" i="23"/>
  <c r="HJ21" i="23"/>
  <c r="ET21" i="23"/>
  <c r="HI21" i="23"/>
  <c r="ES21" i="23"/>
  <c r="HH21" i="23"/>
  <c r="ER21" i="23"/>
  <c r="HG21" i="23"/>
  <c r="EQ21" i="23"/>
  <c r="HF21" i="23"/>
  <c r="CF10" i="21"/>
  <c r="EP21" i="23"/>
  <c r="HE21" i="23"/>
  <c r="EO21" i="23"/>
  <c r="HD21" i="23"/>
  <c r="EN21" i="23"/>
  <c r="HC21" i="23"/>
  <c r="EM21" i="23"/>
  <c r="HB21" i="23"/>
  <c r="EL21" i="23"/>
  <c r="HA21" i="23"/>
  <c r="EK21" i="23"/>
  <c r="GZ21" i="23"/>
  <c r="CE10" i="21"/>
  <c r="EJ21" i="23"/>
  <c r="GY21" i="23"/>
  <c r="EI21" i="23"/>
  <c r="GX21" i="23"/>
  <c r="EH21" i="23"/>
  <c r="GW21" i="23"/>
  <c r="EG21" i="23"/>
  <c r="GV21" i="23"/>
  <c r="EF21" i="23"/>
  <c r="GU21" i="23"/>
  <c r="EE21" i="23"/>
  <c r="GT21" i="23"/>
  <c r="EF13" i="22"/>
  <c r="BP21" i="23"/>
  <c r="GS21" i="23"/>
  <c r="EE13" i="22"/>
  <c r="BO21" i="23"/>
  <c r="GR21" i="23"/>
  <c r="ED13" i="22"/>
  <c r="BN21" i="23"/>
  <c r="GQ21" i="23"/>
  <c r="EC13" i="22"/>
  <c r="BM21" i="23"/>
  <c r="GP21" i="23"/>
  <c r="EB13" i="22"/>
  <c r="BL21" i="23"/>
  <c r="GO21" i="23"/>
  <c r="EA13" i="22"/>
  <c r="BK21" i="23"/>
  <c r="GN21" i="23"/>
  <c r="AZ13" i="22"/>
  <c r="BA13" i="22"/>
  <c r="AL21" i="23"/>
  <c r="AX21" i="23"/>
  <c r="BJ21" i="23"/>
  <c r="CB21" i="23"/>
  <c r="GM21" i="23"/>
  <c r="BI21" i="23"/>
  <c r="AK21" i="23"/>
  <c r="AW21" i="23"/>
  <c r="CA21" i="23"/>
  <c r="GL21" i="23"/>
  <c r="S13" i="22"/>
  <c r="AX13" i="22"/>
  <c r="AY13" i="22"/>
  <c r="AJ21" i="23"/>
  <c r="AV21" i="23"/>
  <c r="BH21" i="23"/>
  <c r="BZ21" i="23"/>
  <c r="GK21" i="23"/>
  <c r="BG21" i="23"/>
  <c r="AI21" i="23"/>
  <c r="AU21" i="23"/>
  <c r="BY21" i="23"/>
  <c r="GJ21" i="23"/>
  <c r="AV13" i="22"/>
  <c r="AW13" i="22"/>
  <c r="AH21" i="23"/>
  <c r="AT21" i="23"/>
  <c r="BF21" i="23"/>
  <c r="BX21" i="23"/>
  <c r="GI21" i="23"/>
  <c r="BE21" i="23"/>
  <c r="AG21" i="23"/>
  <c r="AS21" i="23"/>
  <c r="BW21" i="23"/>
  <c r="GH21" i="23"/>
  <c r="AF21" i="23"/>
  <c r="AR21" i="23"/>
  <c r="BD21" i="23"/>
  <c r="BV21" i="23"/>
  <c r="GG21" i="23"/>
  <c r="BC21" i="23"/>
  <c r="AE21" i="23"/>
  <c r="AQ21" i="23"/>
  <c r="BU21" i="23"/>
  <c r="GF21" i="23"/>
  <c r="AD21" i="23"/>
  <c r="AP21" i="23"/>
  <c r="BB21" i="23"/>
  <c r="BT21" i="23"/>
  <c r="GE21" i="23"/>
  <c r="BA21" i="23"/>
  <c r="AC21" i="23"/>
  <c r="AO21" i="23"/>
  <c r="BS21" i="23"/>
  <c r="GD21" i="23"/>
  <c r="AB21" i="23"/>
  <c r="AN21" i="23"/>
  <c r="AZ21" i="23"/>
  <c r="BR21" i="23"/>
  <c r="GC21" i="23"/>
  <c r="AY21" i="23"/>
  <c r="AA21" i="23"/>
  <c r="AM21" i="23"/>
  <c r="BQ21" i="23"/>
  <c r="GB21" i="23"/>
  <c r="CX90" i="22"/>
  <c r="CC94" i="23"/>
  <c r="CC95" i="23"/>
  <c r="CC96" i="23"/>
  <c r="CC97" i="23"/>
  <c r="CE94" i="23"/>
  <c r="CE95" i="23"/>
  <c r="CE96" i="23"/>
  <c r="CE97" i="23"/>
  <c r="CG94" i="23"/>
  <c r="CG95" i="23"/>
  <c r="CG96" i="23"/>
  <c r="CG97" i="23"/>
  <c r="CI94" i="23"/>
  <c r="CI95" i="23"/>
  <c r="CI96" i="23"/>
  <c r="CI97" i="23"/>
  <c r="CK94" i="23"/>
  <c r="CK95" i="23"/>
  <c r="CK96" i="23"/>
  <c r="CK97" i="23"/>
  <c r="CM94" i="23"/>
  <c r="CM95" i="23"/>
  <c r="CM96" i="23"/>
  <c r="CM97" i="23"/>
  <c r="CO94" i="23"/>
  <c r="CO95" i="23"/>
  <c r="CO96" i="23"/>
  <c r="CO97" i="23"/>
  <c r="CQ94" i="23"/>
  <c r="CQ95" i="23"/>
  <c r="CQ96" i="23"/>
  <c r="CQ97" i="23"/>
  <c r="CS94" i="23"/>
  <c r="CS95" i="23"/>
  <c r="CS96" i="23"/>
  <c r="CS97" i="23"/>
  <c r="CU94" i="23"/>
  <c r="CU95" i="23"/>
  <c r="CU96" i="23"/>
  <c r="CU97" i="23"/>
  <c r="CW94" i="23"/>
  <c r="CW95" i="23"/>
  <c r="CW96" i="23"/>
  <c r="CW97" i="23"/>
  <c r="CY94" i="23"/>
  <c r="CY95" i="23"/>
  <c r="CY96" i="23"/>
  <c r="CY97" i="23"/>
  <c r="M16" i="33"/>
  <c r="AF19" i="33"/>
  <c r="DA94" i="23"/>
  <c r="DA95" i="23"/>
  <c r="DA96" i="23"/>
  <c r="DA97" i="23"/>
  <c r="DC94" i="23"/>
  <c r="DC95" i="23"/>
  <c r="DC96" i="23"/>
  <c r="DC97" i="23"/>
  <c r="DE94" i="23"/>
  <c r="DE95" i="23"/>
  <c r="DE96" i="23"/>
  <c r="DE97" i="23"/>
  <c r="DG94" i="23"/>
  <c r="DG95" i="23"/>
  <c r="DG96" i="23"/>
  <c r="DG97" i="23"/>
  <c r="DI94" i="23"/>
  <c r="DI95" i="23"/>
  <c r="DI96" i="23"/>
  <c r="DI97" i="23"/>
  <c r="DK94" i="23"/>
  <c r="DK95" i="23"/>
  <c r="DK96" i="23"/>
  <c r="DK97" i="23"/>
  <c r="DM94" i="23"/>
  <c r="DM95" i="23"/>
  <c r="DM96" i="23"/>
  <c r="DM97" i="23"/>
  <c r="DO94" i="23"/>
  <c r="DO95" i="23"/>
  <c r="DO96" i="23"/>
  <c r="DO97" i="23"/>
  <c r="DQ94" i="23"/>
  <c r="DQ95" i="23"/>
  <c r="DQ96" i="23"/>
  <c r="DQ97" i="23"/>
  <c r="DS94" i="23"/>
  <c r="DS95" i="23"/>
  <c r="DS96" i="23"/>
  <c r="DS97" i="23"/>
  <c r="DU94" i="23"/>
  <c r="DU95" i="23"/>
  <c r="DU96" i="23"/>
  <c r="DU97" i="23"/>
  <c r="DW94" i="23"/>
  <c r="DW95" i="23"/>
  <c r="DW96" i="23"/>
  <c r="DW97" i="23"/>
  <c r="DY94" i="23"/>
  <c r="DY95" i="23"/>
  <c r="DY96" i="23"/>
  <c r="DY97" i="23"/>
  <c r="EA94" i="23"/>
  <c r="EA95" i="23"/>
  <c r="EA96" i="23"/>
  <c r="EA97" i="23"/>
  <c r="EC94" i="23"/>
  <c r="EC95" i="23"/>
  <c r="EC96" i="23"/>
  <c r="EC97" i="23"/>
  <c r="M22" i="33"/>
  <c r="AF20" i="33"/>
  <c r="EE94" i="23"/>
  <c r="EE95" i="23"/>
  <c r="EE96" i="23"/>
  <c r="EE97" i="23"/>
  <c r="EG94" i="23"/>
  <c r="EG95" i="23"/>
  <c r="EG96" i="23"/>
  <c r="EG97" i="23"/>
  <c r="EI94" i="23"/>
  <c r="EI95" i="23"/>
  <c r="EI96" i="23"/>
  <c r="EI97" i="23"/>
  <c r="EK94" i="23"/>
  <c r="EK95" i="23"/>
  <c r="EK96" i="23"/>
  <c r="EK97" i="23"/>
  <c r="EM94" i="23"/>
  <c r="EM95" i="23"/>
  <c r="EM96" i="23"/>
  <c r="EM97" i="23"/>
  <c r="EO94" i="23"/>
  <c r="EO95" i="23"/>
  <c r="EO96" i="23"/>
  <c r="EO97" i="23"/>
  <c r="EQ94" i="23"/>
  <c r="EQ95" i="23"/>
  <c r="EQ96" i="23"/>
  <c r="EQ97" i="23"/>
  <c r="ES94" i="23"/>
  <c r="ES95" i="23"/>
  <c r="ES96" i="23"/>
  <c r="ES97" i="23"/>
  <c r="EU94" i="23"/>
  <c r="EU95" i="23"/>
  <c r="EU96" i="23"/>
  <c r="EU97" i="23"/>
  <c r="EW94" i="23"/>
  <c r="EW95" i="23"/>
  <c r="EW96" i="23"/>
  <c r="EW97" i="23"/>
  <c r="EY94" i="23"/>
  <c r="EY95" i="23"/>
  <c r="EY96" i="23"/>
  <c r="EY97" i="23"/>
  <c r="FA94" i="23"/>
  <c r="FA95" i="23"/>
  <c r="FA96" i="23"/>
  <c r="FA97" i="23"/>
  <c r="FC94" i="23"/>
  <c r="FC95" i="23"/>
  <c r="FC96" i="23"/>
  <c r="FC97" i="23"/>
  <c r="FE94" i="23"/>
  <c r="FE95" i="23"/>
  <c r="FE96" i="23"/>
  <c r="FE97" i="23"/>
  <c r="FG94" i="23"/>
  <c r="FG95" i="23"/>
  <c r="FG96" i="23"/>
  <c r="FG97" i="23"/>
  <c r="M21" i="33"/>
  <c r="AF21" i="33"/>
  <c r="AF22" i="33"/>
  <c r="CD94" i="23"/>
  <c r="CD95" i="23"/>
  <c r="CD96" i="23"/>
  <c r="CD97" i="23"/>
  <c r="CF94" i="23"/>
  <c r="CF95" i="23"/>
  <c r="CF96" i="23"/>
  <c r="CF97" i="23"/>
  <c r="CH94" i="23"/>
  <c r="CH95" i="23"/>
  <c r="CH96" i="23"/>
  <c r="CH97" i="23"/>
  <c r="CJ94" i="23"/>
  <c r="CJ95" i="23"/>
  <c r="CJ96" i="23"/>
  <c r="CJ97" i="23"/>
  <c r="CL94" i="23"/>
  <c r="CL95" i="23"/>
  <c r="CL96" i="23"/>
  <c r="CL97" i="23"/>
  <c r="CN94" i="23"/>
  <c r="CN95" i="23"/>
  <c r="CN96" i="23"/>
  <c r="CN97" i="23"/>
  <c r="CP94" i="23"/>
  <c r="CP95" i="23"/>
  <c r="CP96" i="23"/>
  <c r="CP97" i="23"/>
  <c r="CR94" i="23"/>
  <c r="CR95" i="23"/>
  <c r="CR96" i="23"/>
  <c r="CR97" i="23"/>
  <c r="CT94" i="23"/>
  <c r="CT95" i="23"/>
  <c r="CT96" i="23"/>
  <c r="CT97" i="23"/>
  <c r="CV94" i="23"/>
  <c r="CV95" i="23"/>
  <c r="CV96" i="23"/>
  <c r="CV97" i="23"/>
  <c r="CX94" i="23"/>
  <c r="CX95" i="23"/>
  <c r="CX96" i="23"/>
  <c r="CX97" i="23"/>
  <c r="CZ94" i="23"/>
  <c r="CZ95" i="23"/>
  <c r="CZ96" i="23"/>
  <c r="CZ97" i="23"/>
  <c r="N16" i="33"/>
  <c r="AG19" i="33"/>
  <c r="DB94" i="23"/>
  <c r="DB95" i="23"/>
  <c r="DB96" i="23"/>
  <c r="DB97" i="23"/>
  <c r="DD94" i="23"/>
  <c r="DD95" i="23"/>
  <c r="DD96" i="23"/>
  <c r="DD97" i="23"/>
  <c r="DF94" i="23"/>
  <c r="DF95" i="23"/>
  <c r="DF96" i="23"/>
  <c r="DF97" i="23"/>
  <c r="DH94" i="23"/>
  <c r="DH95" i="23"/>
  <c r="DH96" i="23"/>
  <c r="DH97" i="23"/>
  <c r="DJ94" i="23"/>
  <c r="DJ95" i="23"/>
  <c r="DJ96" i="23"/>
  <c r="DJ97" i="23"/>
  <c r="DL94" i="23"/>
  <c r="DL95" i="23"/>
  <c r="DL96" i="23"/>
  <c r="DL97" i="23"/>
  <c r="DN94" i="23"/>
  <c r="DN95" i="23"/>
  <c r="DN96" i="23"/>
  <c r="DN97" i="23"/>
  <c r="DP94" i="23"/>
  <c r="DP95" i="23"/>
  <c r="DP96" i="23"/>
  <c r="DP97" i="23"/>
  <c r="DR94" i="23"/>
  <c r="DR95" i="23"/>
  <c r="DR96" i="23"/>
  <c r="DR97" i="23"/>
  <c r="DT94" i="23"/>
  <c r="DT95" i="23"/>
  <c r="DT96" i="23"/>
  <c r="DT97" i="23"/>
  <c r="DV94" i="23"/>
  <c r="DV95" i="23"/>
  <c r="DV96" i="23"/>
  <c r="DV97" i="23"/>
  <c r="DX94" i="23"/>
  <c r="DX95" i="23"/>
  <c r="DX96" i="23"/>
  <c r="DX97" i="23"/>
  <c r="DZ94" i="23"/>
  <c r="DZ95" i="23"/>
  <c r="DZ96" i="23"/>
  <c r="DZ97" i="23"/>
  <c r="EB94" i="23"/>
  <c r="EB95" i="23"/>
  <c r="EB96" i="23"/>
  <c r="EB97" i="23"/>
  <c r="ED94" i="23"/>
  <c r="ED95" i="23"/>
  <c r="ED96" i="23"/>
  <c r="ED97" i="23"/>
  <c r="N22" i="33"/>
  <c r="AG20" i="33"/>
  <c r="EF94" i="23"/>
  <c r="EF95" i="23"/>
  <c r="EF96" i="23"/>
  <c r="EF97" i="23"/>
  <c r="EH94" i="23"/>
  <c r="EH95" i="23"/>
  <c r="EH96" i="23"/>
  <c r="EH97" i="23"/>
  <c r="EJ94" i="23"/>
  <c r="EJ95" i="23"/>
  <c r="EJ96" i="23"/>
  <c r="EJ97" i="23"/>
  <c r="EL94" i="23"/>
  <c r="EL95" i="23"/>
  <c r="EL96" i="23"/>
  <c r="EL97" i="23"/>
  <c r="EN94" i="23"/>
  <c r="EN95" i="23"/>
  <c r="EN96" i="23"/>
  <c r="EN97" i="23"/>
  <c r="EP94" i="23"/>
  <c r="EP95" i="23"/>
  <c r="EP96" i="23"/>
  <c r="EP97" i="23"/>
  <c r="ER94" i="23"/>
  <c r="ER95" i="23"/>
  <c r="ER96" i="23"/>
  <c r="ER97" i="23"/>
  <c r="ET94" i="23"/>
  <c r="ET95" i="23"/>
  <c r="ET96" i="23"/>
  <c r="ET97" i="23"/>
  <c r="EV94" i="23"/>
  <c r="EV95" i="23"/>
  <c r="EV96" i="23"/>
  <c r="EV97" i="23"/>
  <c r="EX94" i="23"/>
  <c r="EX95" i="23"/>
  <c r="EX96" i="23"/>
  <c r="EX97" i="23"/>
  <c r="EZ94" i="23"/>
  <c r="EZ95" i="23"/>
  <c r="EZ96" i="23"/>
  <c r="EZ97" i="23"/>
  <c r="FB94" i="23"/>
  <c r="FB95" i="23"/>
  <c r="FB96" i="23"/>
  <c r="FB97" i="23"/>
  <c r="FD94" i="23"/>
  <c r="FD95" i="23"/>
  <c r="FD96" i="23"/>
  <c r="FD97" i="23"/>
  <c r="FF94" i="23"/>
  <c r="FF95" i="23"/>
  <c r="FF96" i="23"/>
  <c r="FF97" i="23"/>
  <c r="FH94" i="23"/>
  <c r="FH95" i="23"/>
  <c r="FH96" i="23"/>
  <c r="FH97" i="23"/>
  <c r="N21" i="33"/>
  <c r="AG21" i="33"/>
  <c r="AG22" i="33"/>
  <c r="AV22" i="33"/>
  <c r="DM10" i="38"/>
  <c r="DM9" i="38"/>
  <c r="I80" i="38"/>
  <c r="CS80" i="38"/>
  <c r="H80" i="38"/>
  <c r="CR80" i="38"/>
  <c r="CQ80" i="38"/>
  <c r="CP80" i="38"/>
  <c r="CO80" i="38"/>
  <c r="CN80" i="38"/>
  <c r="CM80" i="38"/>
  <c r="CL80" i="38"/>
  <c r="CK80" i="38"/>
  <c r="CJ80" i="38"/>
  <c r="CI80" i="38"/>
  <c r="CH80" i="38"/>
  <c r="I79" i="38"/>
  <c r="CS79" i="38"/>
  <c r="H79" i="38"/>
  <c r="CR79" i="38"/>
  <c r="CQ79" i="38"/>
  <c r="CP79" i="38"/>
  <c r="CO79" i="38"/>
  <c r="CN79" i="38"/>
  <c r="CM79" i="38"/>
  <c r="CL79" i="38"/>
  <c r="CK79" i="38"/>
  <c r="CJ79" i="38"/>
  <c r="CI79" i="38"/>
  <c r="CH79" i="38"/>
  <c r="I78" i="38"/>
  <c r="CS78" i="38"/>
  <c r="H78" i="38"/>
  <c r="CR78" i="38"/>
  <c r="CQ78" i="38"/>
  <c r="CP78" i="38"/>
  <c r="CO78" i="38"/>
  <c r="CN78" i="38"/>
  <c r="CM78" i="38"/>
  <c r="CL78" i="38"/>
  <c r="CK78" i="38"/>
  <c r="CJ78" i="38"/>
  <c r="CI78" i="38"/>
  <c r="CH78" i="38"/>
  <c r="I77" i="38"/>
  <c r="CS77" i="38"/>
  <c r="H77" i="38"/>
  <c r="CR77" i="38"/>
  <c r="CQ77" i="38"/>
  <c r="CP77" i="38"/>
  <c r="CO77" i="38"/>
  <c r="CN77" i="38"/>
  <c r="CM77" i="38"/>
  <c r="CL77" i="38"/>
  <c r="CK77" i="38"/>
  <c r="CJ77" i="38"/>
  <c r="CI77" i="38"/>
  <c r="CH77" i="38"/>
  <c r="I76" i="38"/>
  <c r="CS76" i="38"/>
  <c r="H76" i="38"/>
  <c r="CR76" i="38"/>
  <c r="CQ76" i="38"/>
  <c r="CP76" i="38"/>
  <c r="CO76" i="38"/>
  <c r="CN76" i="38"/>
  <c r="CM76" i="38"/>
  <c r="CL76" i="38"/>
  <c r="CK76" i="38"/>
  <c r="CJ76" i="38"/>
  <c r="CI76" i="38"/>
  <c r="CH76" i="38"/>
  <c r="I75" i="38"/>
  <c r="CS75" i="38"/>
  <c r="H75" i="38"/>
  <c r="CR75" i="38"/>
  <c r="CQ75" i="38"/>
  <c r="CP75" i="38"/>
  <c r="CO75" i="38"/>
  <c r="CN75" i="38"/>
  <c r="CM75" i="38"/>
  <c r="CL75" i="38"/>
  <c r="CK75" i="38"/>
  <c r="CJ75" i="38"/>
  <c r="CI75" i="38"/>
  <c r="CH75" i="38"/>
  <c r="I74" i="38"/>
  <c r="CS74" i="38"/>
  <c r="H74" i="38"/>
  <c r="CR74" i="38"/>
  <c r="CQ74" i="38"/>
  <c r="CP74" i="38"/>
  <c r="CO74" i="38"/>
  <c r="CN74" i="38"/>
  <c r="CM74" i="38"/>
  <c r="CL74" i="38"/>
  <c r="CK74" i="38"/>
  <c r="CJ74" i="38"/>
  <c r="CI74" i="38"/>
  <c r="CH74" i="38"/>
  <c r="I73" i="38"/>
  <c r="CS73" i="38"/>
  <c r="H73" i="38"/>
  <c r="CR73" i="38"/>
  <c r="CQ73" i="38"/>
  <c r="CP73" i="38"/>
  <c r="CO73" i="38"/>
  <c r="CN73" i="38"/>
  <c r="CM73" i="38"/>
  <c r="CL73" i="38"/>
  <c r="CK73" i="38"/>
  <c r="CJ73" i="38"/>
  <c r="CI73" i="38"/>
  <c r="CH73" i="38"/>
  <c r="I72" i="38"/>
  <c r="CS72" i="38"/>
  <c r="H72" i="38"/>
  <c r="CR72" i="38"/>
  <c r="CQ72" i="38"/>
  <c r="CP72" i="38"/>
  <c r="CO72" i="38"/>
  <c r="CN72" i="38"/>
  <c r="CM72" i="38"/>
  <c r="CL72" i="38"/>
  <c r="CK72" i="38"/>
  <c r="CJ72" i="38"/>
  <c r="CI72" i="38"/>
  <c r="CH72" i="38"/>
  <c r="I71" i="38"/>
  <c r="CS71" i="38"/>
  <c r="H71" i="38"/>
  <c r="CR71" i="38"/>
  <c r="CQ71" i="38"/>
  <c r="CP71" i="38"/>
  <c r="CO71" i="38"/>
  <c r="CN71" i="38"/>
  <c r="CM71" i="38"/>
  <c r="CL71" i="38"/>
  <c r="CK71" i="38"/>
  <c r="CJ71" i="38"/>
  <c r="CI71" i="38"/>
  <c r="CH71" i="38"/>
  <c r="I70" i="38"/>
  <c r="CS70" i="38"/>
  <c r="H70" i="38"/>
  <c r="CR70" i="38"/>
  <c r="CQ70" i="38"/>
  <c r="CP70" i="38"/>
  <c r="CO70" i="38"/>
  <c r="CN70" i="38"/>
  <c r="CM70" i="38"/>
  <c r="CL70" i="38"/>
  <c r="CK70" i="38"/>
  <c r="CJ70" i="38"/>
  <c r="CI70" i="38"/>
  <c r="CH70" i="38"/>
  <c r="I69" i="38"/>
  <c r="CS69" i="38"/>
  <c r="H69" i="38"/>
  <c r="CR69" i="38"/>
  <c r="CQ69" i="38"/>
  <c r="CP69" i="38"/>
  <c r="CO69" i="38"/>
  <c r="CN69" i="38"/>
  <c r="CM69" i="38"/>
  <c r="CL69" i="38"/>
  <c r="CK69" i="38"/>
  <c r="CJ69" i="38"/>
  <c r="CI69" i="38"/>
  <c r="CH69" i="38"/>
  <c r="I68" i="38"/>
  <c r="CS68" i="38"/>
  <c r="H68" i="38"/>
  <c r="CR68" i="38"/>
  <c r="CQ68" i="38"/>
  <c r="CP68" i="38"/>
  <c r="CO68" i="38"/>
  <c r="CN68" i="38"/>
  <c r="CM68" i="38"/>
  <c r="CL68" i="38"/>
  <c r="CK68" i="38"/>
  <c r="CJ68" i="38"/>
  <c r="CI68" i="38"/>
  <c r="CH68" i="38"/>
  <c r="I67" i="38"/>
  <c r="CS67" i="38"/>
  <c r="H67" i="38"/>
  <c r="CR67" i="38"/>
  <c r="CQ67" i="38"/>
  <c r="CP67" i="38"/>
  <c r="CO67" i="38"/>
  <c r="CN67" i="38"/>
  <c r="CM67" i="38"/>
  <c r="CL67" i="38"/>
  <c r="CK67" i="38"/>
  <c r="CJ67" i="38"/>
  <c r="CI67" i="38"/>
  <c r="CH67" i="38"/>
  <c r="I66" i="38"/>
  <c r="CS66" i="38"/>
  <c r="H66" i="38"/>
  <c r="CR66" i="38"/>
  <c r="CQ66" i="38"/>
  <c r="CP66" i="38"/>
  <c r="CO66" i="38"/>
  <c r="CN66" i="38"/>
  <c r="CM66" i="38"/>
  <c r="CL66" i="38"/>
  <c r="CK66" i="38"/>
  <c r="CJ66" i="38"/>
  <c r="CI66" i="38"/>
  <c r="CH66" i="38"/>
  <c r="I65" i="38"/>
  <c r="CS65" i="38"/>
  <c r="H65" i="38"/>
  <c r="CR65" i="38"/>
  <c r="CQ65" i="38"/>
  <c r="CP65" i="38"/>
  <c r="CO65" i="38"/>
  <c r="CN65" i="38"/>
  <c r="CM65" i="38"/>
  <c r="CL65" i="38"/>
  <c r="CK65" i="38"/>
  <c r="CJ65" i="38"/>
  <c r="CI65" i="38"/>
  <c r="CH65" i="38"/>
  <c r="I64" i="38"/>
  <c r="CS64" i="38"/>
  <c r="H64" i="38"/>
  <c r="CR64" i="38"/>
  <c r="CQ64" i="38"/>
  <c r="CP64" i="38"/>
  <c r="CO64" i="38"/>
  <c r="CN64" i="38"/>
  <c r="CM64" i="38"/>
  <c r="CL64" i="38"/>
  <c r="CK64" i="38"/>
  <c r="CJ64" i="38"/>
  <c r="CI64" i="38"/>
  <c r="CH64" i="38"/>
  <c r="I63" i="38"/>
  <c r="CS63" i="38"/>
  <c r="H63" i="38"/>
  <c r="CR63" i="38"/>
  <c r="CQ63" i="38"/>
  <c r="CP63" i="38"/>
  <c r="CO63" i="38"/>
  <c r="CN63" i="38"/>
  <c r="CM63" i="38"/>
  <c r="CL63" i="38"/>
  <c r="CK63" i="38"/>
  <c r="CJ63" i="38"/>
  <c r="CI63" i="38"/>
  <c r="CH63" i="38"/>
  <c r="I62" i="38"/>
  <c r="CS62" i="38"/>
  <c r="H62" i="38"/>
  <c r="CR62" i="38"/>
  <c r="CQ62" i="38"/>
  <c r="CP62" i="38"/>
  <c r="CO62" i="38"/>
  <c r="CN62" i="38"/>
  <c r="CM62" i="38"/>
  <c r="CL62" i="38"/>
  <c r="CK62" i="38"/>
  <c r="CJ62" i="38"/>
  <c r="CI62" i="38"/>
  <c r="CH62" i="38"/>
  <c r="I61" i="38"/>
  <c r="CS61" i="38"/>
  <c r="H61" i="38"/>
  <c r="CR61" i="38"/>
  <c r="CQ61" i="38"/>
  <c r="CP61" i="38"/>
  <c r="CO61" i="38"/>
  <c r="CN61" i="38"/>
  <c r="CM61" i="38"/>
  <c r="CL61" i="38"/>
  <c r="CK61" i="38"/>
  <c r="CJ61" i="38"/>
  <c r="CI61" i="38"/>
  <c r="CH61" i="38"/>
  <c r="I60" i="38"/>
  <c r="CS60" i="38"/>
  <c r="H60" i="38"/>
  <c r="CR60" i="38"/>
  <c r="CQ60" i="38"/>
  <c r="CP60" i="38"/>
  <c r="CO60" i="38"/>
  <c r="CN60" i="38"/>
  <c r="CM60" i="38"/>
  <c r="CL60" i="38"/>
  <c r="CK60" i="38"/>
  <c r="CJ60" i="38"/>
  <c r="CI60" i="38"/>
  <c r="CH60" i="38"/>
  <c r="I59" i="38"/>
  <c r="CS59" i="38"/>
  <c r="H59" i="38"/>
  <c r="CR59" i="38"/>
  <c r="CQ59" i="38"/>
  <c r="CP59" i="38"/>
  <c r="CO59" i="38"/>
  <c r="CN59" i="38"/>
  <c r="CM59" i="38"/>
  <c r="CL59" i="38"/>
  <c r="CK59" i="38"/>
  <c r="CJ59" i="38"/>
  <c r="CI59" i="38"/>
  <c r="CH59" i="38"/>
  <c r="I58" i="38"/>
  <c r="CS58" i="38"/>
  <c r="H58" i="38"/>
  <c r="CR58" i="38"/>
  <c r="CQ58" i="38"/>
  <c r="CP58" i="38"/>
  <c r="CO58" i="38"/>
  <c r="CN58" i="38"/>
  <c r="CM58" i="38"/>
  <c r="CL58" i="38"/>
  <c r="CK58" i="38"/>
  <c r="CJ58" i="38"/>
  <c r="CI58" i="38"/>
  <c r="CH58" i="38"/>
  <c r="I57" i="38"/>
  <c r="CS57" i="38"/>
  <c r="H57" i="38"/>
  <c r="CR57" i="38"/>
  <c r="CQ57" i="38"/>
  <c r="CP57" i="38"/>
  <c r="CO57" i="38"/>
  <c r="CN57" i="38"/>
  <c r="CM57" i="38"/>
  <c r="CL57" i="38"/>
  <c r="CK57" i="38"/>
  <c r="CJ57" i="38"/>
  <c r="CI57" i="38"/>
  <c r="CH57" i="38"/>
  <c r="I56" i="38"/>
  <c r="CS56" i="38"/>
  <c r="H56" i="38"/>
  <c r="CR56" i="38"/>
  <c r="CQ56" i="38"/>
  <c r="CP56" i="38"/>
  <c r="CO56" i="38"/>
  <c r="CN56" i="38"/>
  <c r="CM56" i="38"/>
  <c r="CL56" i="38"/>
  <c r="CK56" i="38"/>
  <c r="CJ56" i="38"/>
  <c r="CI56" i="38"/>
  <c r="CH56" i="38"/>
  <c r="I55" i="38"/>
  <c r="CS55" i="38"/>
  <c r="H55" i="38"/>
  <c r="CR55" i="38"/>
  <c r="CQ55" i="38"/>
  <c r="CP55" i="38"/>
  <c r="CO55" i="38"/>
  <c r="CN55" i="38"/>
  <c r="CM55" i="38"/>
  <c r="CL55" i="38"/>
  <c r="CK55" i="38"/>
  <c r="CJ55" i="38"/>
  <c r="CI55" i="38"/>
  <c r="CH55" i="38"/>
  <c r="I54" i="38"/>
  <c r="CS54" i="38"/>
  <c r="H54" i="38"/>
  <c r="CR54" i="38"/>
  <c r="CQ54" i="38"/>
  <c r="CP54" i="38"/>
  <c r="CO54" i="38"/>
  <c r="CN54" i="38"/>
  <c r="CM54" i="38"/>
  <c r="CL54" i="38"/>
  <c r="CK54" i="38"/>
  <c r="CJ54" i="38"/>
  <c r="CI54" i="38"/>
  <c r="CH54" i="38"/>
  <c r="I53" i="38"/>
  <c r="CS53" i="38"/>
  <c r="H53" i="38"/>
  <c r="CR53" i="38"/>
  <c r="CQ53" i="38"/>
  <c r="CP53" i="38"/>
  <c r="CO53" i="38"/>
  <c r="CN53" i="38"/>
  <c r="CM53" i="38"/>
  <c r="CL53" i="38"/>
  <c r="CK53" i="38"/>
  <c r="CJ53" i="38"/>
  <c r="CI53" i="38"/>
  <c r="CH53" i="38"/>
  <c r="DM57" i="22"/>
  <c r="I52" i="38"/>
  <c r="CS52" i="38"/>
  <c r="H52" i="38"/>
  <c r="CR52" i="38"/>
  <c r="CQ52" i="38"/>
  <c r="CP52" i="38"/>
  <c r="CO52" i="38"/>
  <c r="CN52" i="38"/>
  <c r="CM52" i="38"/>
  <c r="CL52" i="38"/>
  <c r="CK52" i="38"/>
  <c r="CJ52" i="38"/>
  <c r="CI52" i="38"/>
  <c r="CH52" i="38"/>
  <c r="DM56" i="22"/>
  <c r="I51" i="38"/>
  <c r="CS51" i="38"/>
  <c r="H51" i="38"/>
  <c r="CR51" i="38"/>
  <c r="CQ51" i="38"/>
  <c r="CP51" i="38"/>
  <c r="CO51" i="38"/>
  <c r="CN51" i="38"/>
  <c r="CM51" i="38"/>
  <c r="CL51" i="38"/>
  <c r="CK51" i="38"/>
  <c r="CJ51" i="38"/>
  <c r="CI51" i="38"/>
  <c r="CH51" i="38"/>
  <c r="DM55" i="22"/>
  <c r="I50" i="38"/>
  <c r="CS50" i="38"/>
  <c r="H50" i="38"/>
  <c r="CR50" i="38"/>
  <c r="CQ50" i="38"/>
  <c r="CP50" i="38"/>
  <c r="CO50" i="38"/>
  <c r="CN50" i="38"/>
  <c r="CM50" i="38"/>
  <c r="CL50" i="38"/>
  <c r="CK50" i="38"/>
  <c r="CJ50" i="38"/>
  <c r="CI50" i="38"/>
  <c r="CH50" i="38"/>
  <c r="DM54" i="22"/>
  <c r="I49" i="38"/>
  <c r="CS49" i="38"/>
  <c r="H49" i="38"/>
  <c r="CR49" i="38"/>
  <c r="CQ49" i="38"/>
  <c r="CP49" i="38"/>
  <c r="CO49" i="38"/>
  <c r="CN49" i="38"/>
  <c r="CM49" i="38"/>
  <c r="CL49" i="38"/>
  <c r="CK49" i="38"/>
  <c r="CJ49" i="38"/>
  <c r="CI49" i="38"/>
  <c r="CH49" i="38"/>
  <c r="DM53" i="22"/>
  <c r="I48" i="38"/>
  <c r="CS48" i="38"/>
  <c r="H48" i="38"/>
  <c r="CR48" i="38"/>
  <c r="CQ48" i="38"/>
  <c r="CP48" i="38"/>
  <c r="CO48" i="38"/>
  <c r="CN48" i="38"/>
  <c r="CM48" i="38"/>
  <c r="CL48" i="38"/>
  <c r="CK48" i="38"/>
  <c r="CJ48" i="38"/>
  <c r="CI48" i="38"/>
  <c r="CH48" i="38"/>
  <c r="DM52" i="22"/>
  <c r="I47" i="38"/>
  <c r="CS47" i="38"/>
  <c r="H47" i="38"/>
  <c r="CR47" i="38"/>
  <c r="CQ47" i="38"/>
  <c r="CP47" i="38"/>
  <c r="CO47" i="38"/>
  <c r="CN47" i="38"/>
  <c r="CM47" i="38"/>
  <c r="CL47" i="38"/>
  <c r="CK47" i="38"/>
  <c r="CJ47" i="38"/>
  <c r="CI47" i="38"/>
  <c r="CH47" i="38"/>
  <c r="DM51" i="22"/>
  <c r="I46" i="38"/>
  <c r="CS46" i="38"/>
  <c r="H46" i="38"/>
  <c r="CR46" i="38"/>
  <c r="CQ46" i="38"/>
  <c r="CP46" i="38"/>
  <c r="CO46" i="38"/>
  <c r="CN46" i="38"/>
  <c r="CM46" i="38"/>
  <c r="CL46" i="38"/>
  <c r="CK46" i="38"/>
  <c r="CJ46" i="38"/>
  <c r="CI46" i="38"/>
  <c r="CH46" i="38"/>
  <c r="DM50" i="22"/>
  <c r="I45" i="38"/>
  <c r="CS45" i="38"/>
  <c r="H45" i="38"/>
  <c r="CR45" i="38"/>
  <c r="CQ45" i="38"/>
  <c r="CP45" i="38"/>
  <c r="CO45" i="38"/>
  <c r="CN45" i="38"/>
  <c r="CM45" i="38"/>
  <c r="CL45" i="38"/>
  <c r="CK45" i="38"/>
  <c r="CJ45" i="38"/>
  <c r="CI45" i="38"/>
  <c r="CH45" i="38"/>
  <c r="DM49" i="22"/>
  <c r="I44" i="38"/>
  <c r="CS44" i="38"/>
  <c r="H44" i="38"/>
  <c r="CR44" i="38"/>
  <c r="CQ44" i="38"/>
  <c r="CP44" i="38"/>
  <c r="CO44" i="38"/>
  <c r="CN44" i="38"/>
  <c r="CM44" i="38"/>
  <c r="CL44" i="38"/>
  <c r="CK44" i="38"/>
  <c r="CJ44" i="38"/>
  <c r="CI44" i="38"/>
  <c r="CH44" i="38"/>
  <c r="DM48" i="22"/>
  <c r="I43" i="38"/>
  <c r="CS43" i="38"/>
  <c r="H43" i="38"/>
  <c r="CR43" i="38"/>
  <c r="CQ43" i="38"/>
  <c r="CP43" i="38"/>
  <c r="CO43" i="38"/>
  <c r="CN43" i="38"/>
  <c r="CM43" i="38"/>
  <c r="CL43" i="38"/>
  <c r="CK43" i="38"/>
  <c r="CJ43" i="38"/>
  <c r="CI43" i="38"/>
  <c r="CH43" i="38"/>
  <c r="DM47" i="22"/>
  <c r="I42" i="38"/>
  <c r="CS42" i="38"/>
  <c r="H42" i="38"/>
  <c r="CR42" i="38"/>
  <c r="CQ42" i="38"/>
  <c r="CP42" i="38"/>
  <c r="CO42" i="38"/>
  <c r="CN42" i="38"/>
  <c r="CM42" i="38"/>
  <c r="CL42" i="38"/>
  <c r="CK42" i="38"/>
  <c r="CJ42" i="38"/>
  <c r="CI42" i="38"/>
  <c r="CH42" i="38"/>
  <c r="DM46" i="22"/>
  <c r="I41" i="38"/>
  <c r="CS41" i="38"/>
  <c r="H41" i="38"/>
  <c r="CR41" i="38"/>
  <c r="CQ41" i="38"/>
  <c r="CP41" i="38"/>
  <c r="CO41" i="38"/>
  <c r="CN41" i="38"/>
  <c r="CM41" i="38"/>
  <c r="CL41" i="38"/>
  <c r="CK41" i="38"/>
  <c r="CJ41" i="38"/>
  <c r="CI41" i="38"/>
  <c r="CH41" i="38"/>
  <c r="DM45" i="22"/>
  <c r="I40" i="38"/>
  <c r="CS40" i="38"/>
  <c r="H40" i="38"/>
  <c r="CR40" i="38"/>
  <c r="CQ40" i="38"/>
  <c r="CP40" i="38"/>
  <c r="CO40" i="38"/>
  <c r="CN40" i="38"/>
  <c r="CM40" i="38"/>
  <c r="CL40" i="38"/>
  <c r="CK40" i="38"/>
  <c r="CJ40" i="38"/>
  <c r="CI40" i="38"/>
  <c r="CH40" i="38"/>
  <c r="DM44" i="22"/>
  <c r="I39" i="38"/>
  <c r="CS39" i="38"/>
  <c r="H39" i="38"/>
  <c r="CR39" i="38"/>
  <c r="CQ39" i="38"/>
  <c r="CP39" i="38"/>
  <c r="CO39" i="38"/>
  <c r="CN39" i="38"/>
  <c r="CM39" i="38"/>
  <c r="CL39" i="38"/>
  <c r="CK39" i="38"/>
  <c r="CJ39" i="38"/>
  <c r="CI39" i="38"/>
  <c r="CH39" i="38"/>
  <c r="DM43" i="22"/>
  <c r="I38" i="38"/>
  <c r="CS38" i="38"/>
  <c r="H38" i="38"/>
  <c r="CR38" i="38"/>
  <c r="CQ38" i="38"/>
  <c r="CP38" i="38"/>
  <c r="CO38" i="38"/>
  <c r="CN38" i="38"/>
  <c r="CM38" i="38"/>
  <c r="CL38" i="38"/>
  <c r="CK38" i="38"/>
  <c r="CJ38" i="38"/>
  <c r="CI38" i="38"/>
  <c r="CH38" i="38"/>
  <c r="DM42" i="22"/>
  <c r="I37" i="38"/>
  <c r="CS37" i="38"/>
  <c r="H37" i="38"/>
  <c r="CR37" i="38"/>
  <c r="CQ37" i="38"/>
  <c r="CP37" i="38"/>
  <c r="CO37" i="38"/>
  <c r="CN37" i="38"/>
  <c r="CM37" i="38"/>
  <c r="CL37" i="38"/>
  <c r="CK37" i="38"/>
  <c r="CJ37" i="38"/>
  <c r="CI37" i="38"/>
  <c r="CH37" i="38"/>
  <c r="DM41" i="22"/>
  <c r="I36" i="38"/>
  <c r="CS36" i="38"/>
  <c r="H36" i="38"/>
  <c r="CR36" i="38"/>
  <c r="CQ36" i="38"/>
  <c r="CP36" i="38"/>
  <c r="CO36" i="38"/>
  <c r="CN36" i="38"/>
  <c r="CM36" i="38"/>
  <c r="CL36" i="38"/>
  <c r="CK36" i="38"/>
  <c r="CJ36" i="38"/>
  <c r="CI36" i="38"/>
  <c r="CH36" i="38"/>
  <c r="DM40" i="22"/>
  <c r="I35" i="38"/>
  <c r="CS35" i="38"/>
  <c r="H35" i="38"/>
  <c r="CR35" i="38"/>
  <c r="CQ35" i="38"/>
  <c r="CP35" i="38"/>
  <c r="CO35" i="38"/>
  <c r="CN35" i="38"/>
  <c r="CM35" i="38"/>
  <c r="CL35" i="38"/>
  <c r="CK35" i="38"/>
  <c r="CJ35" i="38"/>
  <c r="CI35" i="38"/>
  <c r="CH35" i="38"/>
  <c r="DM39" i="22"/>
  <c r="I34" i="38"/>
  <c r="CS34" i="38"/>
  <c r="H34" i="38"/>
  <c r="CR34" i="38"/>
  <c r="CQ34" i="38"/>
  <c r="CP34" i="38"/>
  <c r="CO34" i="38"/>
  <c r="CN34" i="38"/>
  <c r="CM34" i="38"/>
  <c r="CL34" i="38"/>
  <c r="CK34" i="38"/>
  <c r="CJ34" i="38"/>
  <c r="CI34" i="38"/>
  <c r="CH34" i="38"/>
  <c r="DM38" i="22"/>
  <c r="I33" i="38"/>
  <c r="CS33" i="38"/>
  <c r="H33" i="38"/>
  <c r="CR33" i="38"/>
  <c r="CQ33" i="38"/>
  <c r="CP33" i="38"/>
  <c r="CO33" i="38"/>
  <c r="CN33" i="38"/>
  <c r="CM33" i="38"/>
  <c r="CL33" i="38"/>
  <c r="CK33" i="38"/>
  <c r="CJ33" i="38"/>
  <c r="CI33" i="38"/>
  <c r="CH33" i="38"/>
  <c r="DM37" i="22"/>
  <c r="I32" i="38"/>
  <c r="CS32" i="38"/>
  <c r="H32" i="38"/>
  <c r="CR32" i="38"/>
  <c r="CQ32" i="38"/>
  <c r="CP32" i="38"/>
  <c r="CO32" i="38"/>
  <c r="CN32" i="38"/>
  <c r="CM32" i="38"/>
  <c r="CL32" i="38"/>
  <c r="CK32" i="38"/>
  <c r="CJ32" i="38"/>
  <c r="CI32" i="38"/>
  <c r="CH32" i="38"/>
  <c r="DM36" i="22"/>
  <c r="I31" i="38"/>
  <c r="CS31" i="38"/>
  <c r="H31" i="38"/>
  <c r="CR31" i="38"/>
  <c r="CQ31" i="38"/>
  <c r="CP31" i="38"/>
  <c r="CO31" i="38"/>
  <c r="CN31" i="38"/>
  <c r="CM31" i="38"/>
  <c r="CL31" i="38"/>
  <c r="CK31" i="38"/>
  <c r="CJ31" i="38"/>
  <c r="CI31" i="38"/>
  <c r="CH31" i="38"/>
  <c r="DM35" i="22"/>
  <c r="I30" i="38"/>
  <c r="CS30" i="38"/>
  <c r="H30" i="38"/>
  <c r="CR30" i="38"/>
  <c r="CQ30" i="38"/>
  <c r="CP30" i="38"/>
  <c r="CO30" i="38"/>
  <c r="CN30" i="38"/>
  <c r="CM30" i="38"/>
  <c r="CL30" i="38"/>
  <c r="CK30" i="38"/>
  <c r="CJ30" i="38"/>
  <c r="CI30" i="38"/>
  <c r="CH30" i="38"/>
  <c r="DM34" i="22"/>
  <c r="I29" i="38"/>
  <c r="CS29" i="38"/>
  <c r="H29" i="38"/>
  <c r="CR29" i="38"/>
  <c r="CQ29" i="38"/>
  <c r="CP29" i="38"/>
  <c r="CO29" i="38"/>
  <c r="CN29" i="38"/>
  <c r="CM29" i="38"/>
  <c r="CL29" i="38"/>
  <c r="CK29" i="38"/>
  <c r="CJ29" i="38"/>
  <c r="CI29" i="38"/>
  <c r="CH29" i="38"/>
  <c r="DM33" i="22"/>
  <c r="I28" i="38"/>
  <c r="CS28" i="38"/>
  <c r="H28" i="38"/>
  <c r="CR28" i="38"/>
  <c r="CQ28" i="38"/>
  <c r="CP28" i="38"/>
  <c r="CO28" i="38"/>
  <c r="CN28" i="38"/>
  <c r="CM28" i="38"/>
  <c r="CL28" i="38"/>
  <c r="CK28" i="38"/>
  <c r="CJ28" i="38"/>
  <c r="CI28" i="38"/>
  <c r="CH28" i="38"/>
  <c r="DM32" i="22"/>
  <c r="I27" i="38"/>
  <c r="CS27" i="38"/>
  <c r="H27" i="38"/>
  <c r="CR27" i="38"/>
  <c r="CQ27" i="38"/>
  <c r="CP27" i="38"/>
  <c r="CO27" i="38"/>
  <c r="CN27" i="38"/>
  <c r="CM27" i="38"/>
  <c r="CL27" i="38"/>
  <c r="CK27" i="38"/>
  <c r="CJ27" i="38"/>
  <c r="CI27" i="38"/>
  <c r="CH27" i="38"/>
  <c r="DM31" i="22"/>
  <c r="I26" i="38"/>
  <c r="CS26" i="38"/>
  <c r="H26" i="38"/>
  <c r="CR26" i="38"/>
  <c r="CQ26" i="38"/>
  <c r="CP26" i="38"/>
  <c r="CO26" i="38"/>
  <c r="CN26" i="38"/>
  <c r="CM26" i="38"/>
  <c r="CL26" i="38"/>
  <c r="CK26" i="38"/>
  <c r="CJ26" i="38"/>
  <c r="CI26" i="38"/>
  <c r="CH26" i="38"/>
  <c r="DM30" i="22"/>
  <c r="I25" i="38"/>
  <c r="CS25" i="38"/>
  <c r="H25" i="38"/>
  <c r="CR25" i="38"/>
  <c r="CQ25" i="38"/>
  <c r="CP25" i="38"/>
  <c r="CO25" i="38"/>
  <c r="CN25" i="38"/>
  <c r="CM25" i="38"/>
  <c r="CL25" i="38"/>
  <c r="CK25" i="38"/>
  <c r="CJ25" i="38"/>
  <c r="CI25" i="38"/>
  <c r="CH25" i="38"/>
  <c r="DM29" i="22"/>
  <c r="I24" i="38"/>
  <c r="CS24" i="38"/>
  <c r="H24" i="38"/>
  <c r="CR24" i="38"/>
  <c r="CQ24" i="38"/>
  <c r="CP24" i="38"/>
  <c r="CO24" i="38"/>
  <c r="CN24" i="38"/>
  <c r="CM24" i="38"/>
  <c r="CL24" i="38"/>
  <c r="CK24" i="38"/>
  <c r="CJ24" i="38"/>
  <c r="CI24" i="38"/>
  <c r="CH24" i="38"/>
  <c r="DM28" i="22"/>
  <c r="I23" i="38"/>
  <c r="CS23" i="38"/>
  <c r="H23" i="38"/>
  <c r="CR23" i="38"/>
  <c r="CQ23" i="38"/>
  <c r="CP23" i="38"/>
  <c r="CO23" i="38"/>
  <c r="CN23" i="38"/>
  <c r="CM23" i="38"/>
  <c r="CL23" i="38"/>
  <c r="CK23" i="38"/>
  <c r="CJ23" i="38"/>
  <c r="CI23" i="38"/>
  <c r="CH23" i="38"/>
  <c r="DM27" i="22"/>
  <c r="I22" i="38"/>
  <c r="CS22" i="38"/>
  <c r="H22" i="38"/>
  <c r="CR22" i="38"/>
  <c r="CQ22" i="38"/>
  <c r="CP22" i="38"/>
  <c r="CO22" i="38"/>
  <c r="CN22" i="38"/>
  <c r="CM22" i="38"/>
  <c r="CL22" i="38"/>
  <c r="CK22" i="38"/>
  <c r="CJ22" i="38"/>
  <c r="CI22" i="38"/>
  <c r="CH22" i="38"/>
  <c r="DM26" i="22"/>
  <c r="I21" i="38"/>
  <c r="CS21" i="38"/>
  <c r="H21" i="38"/>
  <c r="CR21" i="38"/>
  <c r="CQ21" i="38"/>
  <c r="CP21" i="38"/>
  <c r="CO21" i="38"/>
  <c r="CN21" i="38"/>
  <c r="CM21" i="38"/>
  <c r="CL21" i="38"/>
  <c r="CK21" i="38"/>
  <c r="CJ21" i="38"/>
  <c r="CI21" i="38"/>
  <c r="CH21" i="38"/>
  <c r="DM25" i="22"/>
  <c r="I20" i="38"/>
  <c r="CS20" i="38"/>
  <c r="H20" i="38"/>
  <c r="CR20" i="38"/>
  <c r="CQ20" i="38"/>
  <c r="CP20" i="38"/>
  <c r="CO20" i="38"/>
  <c r="CN20" i="38"/>
  <c r="CM20" i="38"/>
  <c r="CL20" i="38"/>
  <c r="CK20" i="38"/>
  <c r="CJ20" i="38"/>
  <c r="CI20" i="38"/>
  <c r="CH20" i="38"/>
  <c r="DM24" i="22"/>
  <c r="I19" i="38"/>
  <c r="CS19" i="38"/>
  <c r="H19" i="38"/>
  <c r="CR19" i="38"/>
  <c r="CQ19" i="38"/>
  <c r="CP19" i="38"/>
  <c r="CO19" i="38"/>
  <c r="CN19" i="38"/>
  <c r="CM19" i="38"/>
  <c r="CL19" i="38"/>
  <c r="CK19" i="38"/>
  <c r="CJ19" i="38"/>
  <c r="CI19" i="38"/>
  <c r="CH19" i="38"/>
  <c r="DM23" i="22"/>
  <c r="I18" i="38"/>
  <c r="CS18" i="38"/>
  <c r="H18" i="38"/>
  <c r="CR18" i="38"/>
  <c r="CQ18" i="38"/>
  <c r="CP18" i="38"/>
  <c r="CO18" i="38"/>
  <c r="CN18" i="38"/>
  <c r="CM18" i="38"/>
  <c r="CL18" i="38"/>
  <c r="CK18" i="38"/>
  <c r="CJ18" i="38"/>
  <c r="CI18" i="38"/>
  <c r="CH18" i="38"/>
  <c r="DM22" i="22"/>
  <c r="I17" i="38"/>
  <c r="CS17" i="38"/>
  <c r="H17" i="38"/>
  <c r="CR17" i="38"/>
  <c r="CQ17" i="38"/>
  <c r="CP17" i="38"/>
  <c r="CO17" i="38"/>
  <c r="CN17" i="38"/>
  <c r="CM17" i="38"/>
  <c r="CL17" i="38"/>
  <c r="CK17" i="38"/>
  <c r="CJ17" i="38"/>
  <c r="CI17" i="38"/>
  <c r="CH17" i="38"/>
  <c r="DM21" i="22"/>
  <c r="I16" i="38"/>
  <c r="CS16" i="38"/>
  <c r="H16" i="38"/>
  <c r="CR16" i="38"/>
  <c r="CQ16" i="38"/>
  <c r="CP16" i="38"/>
  <c r="CO16" i="38"/>
  <c r="CN16" i="38"/>
  <c r="CM16" i="38"/>
  <c r="CL16" i="38"/>
  <c r="CK16" i="38"/>
  <c r="CJ16" i="38"/>
  <c r="CI16" i="38"/>
  <c r="CH16" i="38"/>
  <c r="DM20" i="22"/>
  <c r="I15" i="38"/>
  <c r="CS15" i="38"/>
  <c r="H15" i="38"/>
  <c r="CR15" i="38"/>
  <c r="CQ15" i="38"/>
  <c r="CP15" i="38"/>
  <c r="CO15" i="38"/>
  <c r="CN15" i="38"/>
  <c r="CM15" i="38"/>
  <c r="CL15" i="38"/>
  <c r="CK15" i="38"/>
  <c r="CJ15" i="38"/>
  <c r="CI15" i="38"/>
  <c r="CH15" i="38"/>
  <c r="DM19" i="22"/>
  <c r="I14" i="38"/>
  <c r="CS14" i="38"/>
  <c r="H14" i="38"/>
  <c r="CR14" i="38"/>
  <c r="CQ14" i="38"/>
  <c r="CP14" i="38"/>
  <c r="CO14" i="38"/>
  <c r="CN14" i="38"/>
  <c r="CM14" i="38"/>
  <c r="CL14" i="38"/>
  <c r="CK14" i="38"/>
  <c r="CJ14" i="38"/>
  <c r="CI14" i="38"/>
  <c r="CH14" i="38"/>
  <c r="DM18" i="22"/>
  <c r="I13" i="38"/>
  <c r="CS13" i="38"/>
  <c r="H13" i="38"/>
  <c r="CR13" i="38"/>
  <c r="CQ13" i="38"/>
  <c r="CP13" i="38"/>
  <c r="CO13" i="38"/>
  <c r="CN13" i="38"/>
  <c r="CM13" i="38"/>
  <c r="CL13" i="38"/>
  <c r="CK13" i="38"/>
  <c r="CJ13" i="38"/>
  <c r="CI13" i="38"/>
  <c r="CH13" i="38"/>
  <c r="DM17" i="22"/>
  <c r="I12" i="38"/>
  <c r="CS12" i="38"/>
  <c r="H12" i="38"/>
  <c r="CR12" i="38"/>
  <c r="CQ12" i="38"/>
  <c r="CP12" i="38"/>
  <c r="CO12" i="38"/>
  <c r="CN12" i="38"/>
  <c r="CM12" i="38"/>
  <c r="CL12" i="38"/>
  <c r="CK12" i="38"/>
  <c r="CJ12" i="38"/>
  <c r="CI12" i="38"/>
  <c r="CH12" i="38"/>
  <c r="DM16" i="22"/>
  <c r="I11" i="38"/>
  <c r="CS11" i="38"/>
  <c r="H11" i="38"/>
  <c r="CR11" i="38"/>
  <c r="CQ11" i="38"/>
  <c r="CP11" i="38"/>
  <c r="CO11" i="38"/>
  <c r="CN11" i="38"/>
  <c r="CM11" i="38"/>
  <c r="CL11" i="38"/>
  <c r="CK11" i="38"/>
  <c r="CJ11" i="38"/>
  <c r="CI11" i="38"/>
  <c r="CH11" i="38"/>
  <c r="DM15" i="22"/>
  <c r="I10" i="38"/>
  <c r="CS10" i="38"/>
  <c r="H10" i="38"/>
  <c r="CR10" i="38"/>
  <c r="CQ10" i="38"/>
  <c r="CP10" i="38"/>
  <c r="CO10" i="38"/>
  <c r="CN10" i="38"/>
  <c r="CM10" i="38"/>
  <c r="CL10" i="38"/>
  <c r="CK10" i="38"/>
  <c r="CJ10" i="38"/>
  <c r="CI10" i="38"/>
  <c r="CH10" i="38"/>
  <c r="DM14" i="22"/>
  <c r="I9" i="38"/>
  <c r="CS9" i="38"/>
  <c r="H9" i="38"/>
  <c r="CR9" i="38"/>
  <c r="CQ9" i="38"/>
  <c r="CP9" i="38"/>
  <c r="CO9" i="38"/>
  <c r="CN9" i="38"/>
  <c r="CM9" i="38"/>
  <c r="CL9" i="38"/>
  <c r="CK9" i="38"/>
  <c r="CJ9" i="38"/>
  <c r="CI9" i="38"/>
  <c r="CH9" i="38"/>
  <c r="H8" i="38"/>
  <c r="CR8" i="38"/>
  <c r="CP8" i="38"/>
  <c r="CN8" i="38"/>
  <c r="CL8" i="38"/>
  <c r="CJ8" i="38"/>
  <c r="CH8" i="38"/>
  <c r="DM13" i="22"/>
  <c r="I8" i="38"/>
  <c r="CQ8" i="38"/>
  <c r="CO8" i="38"/>
  <c r="CK8" i="38"/>
  <c r="CI8" i="38"/>
  <c r="CS8" i="38"/>
  <c r="CM8" i="38"/>
  <c r="E80" i="38"/>
  <c r="Y80" i="38"/>
  <c r="CC80" i="38"/>
  <c r="D80" i="38"/>
  <c r="X80" i="38"/>
  <c r="CB80" i="38"/>
  <c r="CA80" i="38"/>
  <c r="BZ80" i="38"/>
  <c r="BY80" i="38"/>
  <c r="BX80" i="38"/>
  <c r="U80" i="38"/>
  <c r="BW80" i="38"/>
  <c r="T80" i="38"/>
  <c r="BV80" i="38"/>
  <c r="BU80" i="38"/>
  <c r="BT80" i="38"/>
  <c r="BS80" i="38"/>
  <c r="BR80" i="38"/>
  <c r="E79" i="38"/>
  <c r="Y79" i="38"/>
  <c r="CC79" i="38"/>
  <c r="D79" i="38"/>
  <c r="X79" i="38"/>
  <c r="CB79" i="38"/>
  <c r="CA79" i="38"/>
  <c r="BZ79" i="38"/>
  <c r="BY79" i="38"/>
  <c r="BX79" i="38"/>
  <c r="U79" i="38"/>
  <c r="BW79" i="38"/>
  <c r="T79" i="38"/>
  <c r="BV79" i="38"/>
  <c r="BU79" i="38"/>
  <c r="BT79" i="38"/>
  <c r="BS79" i="38"/>
  <c r="BR79" i="38"/>
  <c r="E78" i="38"/>
  <c r="Y78" i="38"/>
  <c r="CC78" i="38"/>
  <c r="D78" i="38"/>
  <c r="X78" i="38"/>
  <c r="CB78" i="38"/>
  <c r="CA78" i="38"/>
  <c r="BZ78" i="38"/>
  <c r="BY78" i="38"/>
  <c r="BX78" i="38"/>
  <c r="U78" i="38"/>
  <c r="BW78" i="38"/>
  <c r="T78" i="38"/>
  <c r="BV78" i="38"/>
  <c r="BU78" i="38"/>
  <c r="BT78" i="38"/>
  <c r="BS78" i="38"/>
  <c r="BR78" i="38"/>
  <c r="E77" i="38"/>
  <c r="Y77" i="38"/>
  <c r="CC77" i="38"/>
  <c r="D77" i="38"/>
  <c r="X77" i="38"/>
  <c r="CB77" i="38"/>
  <c r="CA77" i="38"/>
  <c r="BZ77" i="38"/>
  <c r="BY77" i="38"/>
  <c r="BX77" i="38"/>
  <c r="U77" i="38"/>
  <c r="BW77" i="38"/>
  <c r="T77" i="38"/>
  <c r="BV77" i="38"/>
  <c r="BU77" i="38"/>
  <c r="BT77" i="38"/>
  <c r="BS77" i="38"/>
  <c r="BR77" i="38"/>
  <c r="E76" i="38"/>
  <c r="Y76" i="38"/>
  <c r="CC76" i="38"/>
  <c r="D76" i="38"/>
  <c r="X76" i="38"/>
  <c r="CB76" i="38"/>
  <c r="CA76" i="38"/>
  <c r="BZ76" i="38"/>
  <c r="BY76" i="38"/>
  <c r="BX76" i="38"/>
  <c r="U76" i="38"/>
  <c r="BW76" i="38"/>
  <c r="T76" i="38"/>
  <c r="BV76" i="38"/>
  <c r="BU76" i="38"/>
  <c r="BT76" i="38"/>
  <c r="BS76" i="38"/>
  <c r="BR76" i="38"/>
  <c r="E75" i="38"/>
  <c r="Y75" i="38"/>
  <c r="CC75" i="38"/>
  <c r="D75" i="38"/>
  <c r="X75" i="38"/>
  <c r="CB75" i="38"/>
  <c r="CA75" i="38"/>
  <c r="BZ75" i="38"/>
  <c r="BY75" i="38"/>
  <c r="BX75" i="38"/>
  <c r="U75" i="38"/>
  <c r="BW75" i="38"/>
  <c r="T75" i="38"/>
  <c r="BV75" i="38"/>
  <c r="BU75" i="38"/>
  <c r="BT75" i="38"/>
  <c r="BS75" i="38"/>
  <c r="BR75" i="38"/>
  <c r="E74" i="38"/>
  <c r="Y74" i="38"/>
  <c r="CC74" i="38"/>
  <c r="D74" i="38"/>
  <c r="X74" i="38"/>
  <c r="CB74" i="38"/>
  <c r="CA74" i="38"/>
  <c r="BZ74" i="38"/>
  <c r="BY74" i="38"/>
  <c r="BX74" i="38"/>
  <c r="U74" i="38"/>
  <c r="BW74" i="38"/>
  <c r="T74" i="38"/>
  <c r="BV74" i="38"/>
  <c r="BU74" i="38"/>
  <c r="BT74" i="38"/>
  <c r="BS74" i="38"/>
  <c r="BR74" i="38"/>
  <c r="E73" i="38"/>
  <c r="Y73" i="38"/>
  <c r="CC73" i="38"/>
  <c r="D73" i="38"/>
  <c r="X73" i="38"/>
  <c r="CB73" i="38"/>
  <c r="CA73" i="38"/>
  <c r="BZ73" i="38"/>
  <c r="BY73" i="38"/>
  <c r="BX73" i="38"/>
  <c r="U73" i="38"/>
  <c r="BW73" i="38"/>
  <c r="T73" i="38"/>
  <c r="BV73" i="38"/>
  <c r="BU73" i="38"/>
  <c r="BT73" i="38"/>
  <c r="BS73" i="38"/>
  <c r="BR73" i="38"/>
  <c r="E72" i="38"/>
  <c r="Y72" i="38"/>
  <c r="CC72" i="38"/>
  <c r="D72" i="38"/>
  <c r="X72" i="38"/>
  <c r="CB72" i="38"/>
  <c r="CA72" i="38"/>
  <c r="BZ72" i="38"/>
  <c r="BY72" i="38"/>
  <c r="BX72" i="38"/>
  <c r="U72" i="38"/>
  <c r="BW72" i="38"/>
  <c r="T72" i="38"/>
  <c r="BV72" i="38"/>
  <c r="BU72" i="38"/>
  <c r="BT72" i="38"/>
  <c r="BS72" i="38"/>
  <c r="BR72" i="38"/>
  <c r="E71" i="38"/>
  <c r="Y71" i="38"/>
  <c r="CC71" i="38"/>
  <c r="D71" i="38"/>
  <c r="X71" i="38"/>
  <c r="CB71" i="38"/>
  <c r="CA71" i="38"/>
  <c r="BZ71" i="38"/>
  <c r="BY71" i="38"/>
  <c r="BX71" i="38"/>
  <c r="U71" i="38"/>
  <c r="BW71" i="38"/>
  <c r="T71" i="38"/>
  <c r="BV71" i="38"/>
  <c r="BU71" i="38"/>
  <c r="BT71" i="38"/>
  <c r="BS71" i="38"/>
  <c r="BR71" i="38"/>
  <c r="E70" i="38"/>
  <c r="Y70" i="38"/>
  <c r="CC70" i="38"/>
  <c r="D70" i="38"/>
  <c r="X70" i="38"/>
  <c r="CB70" i="38"/>
  <c r="CA70" i="38"/>
  <c r="BZ70" i="38"/>
  <c r="BY70" i="38"/>
  <c r="BX70" i="38"/>
  <c r="U70" i="38"/>
  <c r="BW70" i="38"/>
  <c r="T70" i="38"/>
  <c r="BV70" i="38"/>
  <c r="BU70" i="38"/>
  <c r="BT70" i="38"/>
  <c r="BS70" i="38"/>
  <c r="BR70" i="38"/>
  <c r="E69" i="38"/>
  <c r="Y69" i="38"/>
  <c r="CC69" i="38"/>
  <c r="D69" i="38"/>
  <c r="X69" i="38"/>
  <c r="CB69" i="38"/>
  <c r="CA69" i="38"/>
  <c r="BZ69" i="38"/>
  <c r="BY69" i="38"/>
  <c r="BX69" i="38"/>
  <c r="U69" i="38"/>
  <c r="BW69" i="38"/>
  <c r="T69" i="38"/>
  <c r="BV69" i="38"/>
  <c r="BU69" i="38"/>
  <c r="BT69" i="38"/>
  <c r="BS69" i="38"/>
  <c r="BR69" i="38"/>
  <c r="E68" i="38"/>
  <c r="Y68" i="38"/>
  <c r="CC68" i="38"/>
  <c r="D68" i="38"/>
  <c r="X68" i="38"/>
  <c r="CB68" i="38"/>
  <c r="CA68" i="38"/>
  <c r="BZ68" i="38"/>
  <c r="BY68" i="38"/>
  <c r="BX68" i="38"/>
  <c r="U68" i="38"/>
  <c r="BW68" i="38"/>
  <c r="T68" i="38"/>
  <c r="BV68" i="38"/>
  <c r="BU68" i="38"/>
  <c r="BT68" i="38"/>
  <c r="BS68" i="38"/>
  <c r="BR68" i="38"/>
  <c r="E67" i="38"/>
  <c r="Y67" i="38"/>
  <c r="CC67" i="38"/>
  <c r="D67" i="38"/>
  <c r="X67" i="38"/>
  <c r="CB67" i="38"/>
  <c r="CA67" i="38"/>
  <c r="BZ67" i="38"/>
  <c r="BY67" i="38"/>
  <c r="BX67" i="38"/>
  <c r="U67" i="38"/>
  <c r="BW67" i="38"/>
  <c r="T67" i="38"/>
  <c r="BV67" i="38"/>
  <c r="BU67" i="38"/>
  <c r="BT67" i="38"/>
  <c r="BS67" i="38"/>
  <c r="BR67" i="38"/>
  <c r="E66" i="38"/>
  <c r="Y66" i="38"/>
  <c r="CC66" i="38"/>
  <c r="D66" i="38"/>
  <c r="X66" i="38"/>
  <c r="CB66" i="38"/>
  <c r="CA66" i="38"/>
  <c r="BZ66" i="38"/>
  <c r="BY66" i="38"/>
  <c r="BX66" i="38"/>
  <c r="U66" i="38"/>
  <c r="BW66" i="38"/>
  <c r="T66" i="38"/>
  <c r="BV66" i="38"/>
  <c r="BU66" i="38"/>
  <c r="BT66" i="38"/>
  <c r="BS66" i="38"/>
  <c r="BR66" i="38"/>
  <c r="E65" i="38"/>
  <c r="Y65" i="38"/>
  <c r="CC65" i="38"/>
  <c r="D65" i="38"/>
  <c r="X65" i="38"/>
  <c r="CB65" i="38"/>
  <c r="CA65" i="38"/>
  <c r="BZ65" i="38"/>
  <c r="BY65" i="38"/>
  <c r="BX65" i="38"/>
  <c r="U65" i="38"/>
  <c r="BW65" i="38"/>
  <c r="T65" i="38"/>
  <c r="BV65" i="38"/>
  <c r="BU65" i="38"/>
  <c r="BT65" i="38"/>
  <c r="BS65" i="38"/>
  <c r="BR65" i="38"/>
  <c r="E64" i="38"/>
  <c r="Y64" i="38"/>
  <c r="CC64" i="38"/>
  <c r="D64" i="38"/>
  <c r="X64" i="38"/>
  <c r="CB64" i="38"/>
  <c r="CA64" i="38"/>
  <c r="BZ64" i="38"/>
  <c r="BY64" i="38"/>
  <c r="BX64" i="38"/>
  <c r="U64" i="38"/>
  <c r="BW64" i="38"/>
  <c r="T64" i="38"/>
  <c r="BV64" i="38"/>
  <c r="BU64" i="38"/>
  <c r="BT64" i="38"/>
  <c r="BS64" i="38"/>
  <c r="BR64" i="38"/>
  <c r="E63" i="38"/>
  <c r="Y63" i="38"/>
  <c r="CC63" i="38"/>
  <c r="D63" i="38"/>
  <c r="X63" i="38"/>
  <c r="CB63" i="38"/>
  <c r="CA63" i="38"/>
  <c r="BZ63" i="38"/>
  <c r="BY63" i="38"/>
  <c r="BX63" i="38"/>
  <c r="U63" i="38"/>
  <c r="BW63" i="38"/>
  <c r="T63" i="38"/>
  <c r="BV63" i="38"/>
  <c r="BU63" i="38"/>
  <c r="BT63" i="38"/>
  <c r="BS63" i="38"/>
  <c r="BR63" i="38"/>
  <c r="E62" i="38"/>
  <c r="Y62" i="38"/>
  <c r="CC62" i="38"/>
  <c r="D62" i="38"/>
  <c r="X62" i="38"/>
  <c r="CB62" i="38"/>
  <c r="CA62" i="38"/>
  <c r="BZ62" i="38"/>
  <c r="BY62" i="38"/>
  <c r="BX62" i="38"/>
  <c r="U62" i="38"/>
  <c r="BW62" i="38"/>
  <c r="T62" i="38"/>
  <c r="BV62" i="38"/>
  <c r="BU62" i="38"/>
  <c r="BT62" i="38"/>
  <c r="BS62" i="38"/>
  <c r="BR62" i="38"/>
  <c r="E61" i="38"/>
  <c r="Y61" i="38"/>
  <c r="CC61" i="38"/>
  <c r="D61" i="38"/>
  <c r="X61" i="38"/>
  <c r="CB61" i="38"/>
  <c r="CA61" i="38"/>
  <c r="BZ61" i="38"/>
  <c r="BY61" i="38"/>
  <c r="BX61" i="38"/>
  <c r="U61" i="38"/>
  <c r="BW61" i="38"/>
  <c r="T61" i="38"/>
  <c r="BV61" i="38"/>
  <c r="BU61" i="38"/>
  <c r="BT61" i="38"/>
  <c r="BS61" i="38"/>
  <c r="BR61" i="38"/>
  <c r="E60" i="38"/>
  <c r="Y60" i="38"/>
  <c r="CC60" i="38"/>
  <c r="D60" i="38"/>
  <c r="X60" i="38"/>
  <c r="CB60" i="38"/>
  <c r="CA60" i="38"/>
  <c r="BZ60" i="38"/>
  <c r="BY60" i="38"/>
  <c r="BX60" i="38"/>
  <c r="U60" i="38"/>
  <c r="BW60" i="38"/>
  <c r="T60" i="38"/>
  <c r="BV60" i="38"/>
  <c r="BU60" i="38"/>
  <c r="BT60" i="38"/>
  <c r="BS60" i="38"/>
  <c r="BR60" i="38"/>
  <c r="E59" i="38"/>
  <c r="Y59" i="38"/>
  <c r="CC59" i="38"/>
  <c r="D59" i="38"/>
  <c r="X59" i="38"/>
  <c r="CB59" i="38"/>
  <c r="CA59" i="38"/>
  <c r="BZ59" i="38"/>
  <c r="BY59" i="38"/>
  <c r="BX59" i="38"/>
  <c r="U59" i="38"/>
  <c r="BW59" i="38"/>
  <c r="T59" i="38"/>
  <c r="BV59" i="38"/>
  <c r="BU59" i="38"/>
  <c r="BT59" i="38"/>
  <c r="BS59" i="38"/>
  <c r="BR59" i="38"/>
  <c r="E58" i="38"/>
  <c r="Y58" i="38"/>
  <c r="CC58" i="38"/>
  <c r="D58" i="38"/>
  <c r="X58" i="38"/>
  <c r="CB58" i="38"/>
  <c r="CA58" i="38"/>
  <c r="BZ58" i="38"/>
  <c r="BY58" i="38"/>
  <c r="BX58" i="38"/>
  <c r="U58" i="38"/>
  <c r="BW58" i="38"/>
  <c r="T58" i="38"/>
  <c r="BV58" i="38"/>
  <c r="BU58" i="38"/>
  <c r="BT58" i="38"/>
  <c r="BS58" i="38"/>
  <c r="BR58" i="38"/>
  <c r="E57" i="38"/>
  <c r="Y57" i="38"/>
  <c r="CC57" i="38"/>
  <c r="D57" i="38"/>
  <c r="X57" i="38"/>
  <c r="CB57" i="38"/>
  <c r="CA57" i="38"/>
  <c r="BZ57" i="38"/>
  <c r="BY57" i="38"/>
  <c r="BX57" i="38"/>
  <c r="U57" i="38"/>
  <c r="BW57" i="38"/>
  <c r="T57" i="38"/>
  <c r="BV57" i="38"/>
  <c r="BU57" i="38"/>
  <c r="BT57" i="38"/>
  <c r="BS57" i="38"/>
  <c r="BR57" i="38"/>
  <c r="E56" i="38"/>
  <c r="Y56" i="38"/>
  <c r="CC56" i="38"/>
  <c r="D56" i="38"/>
  <c r="X56" i="38"/>
  <c r="CB56" i="38"/>
  <c r="CA56" i="38"/>
  <c r="BZ56" i="38"/>
  <c r="BY56" i="38"/>
  <c r="BX56" i="38"/>
  <c r="U56" i="38"/>
  <c r="BW56" i="38"/>
  <c r="T56" i="38"/>
  <c r="BV56" i="38"/>
  <c r="BU56" i="38"/>
  <c r="BT56" i="38"/>
  <c r="BS56" i="38"/>
  <c r="BR56" i="38"/>
  <c r="E55" i="38"/>
  <c r="Y55" i="38"/>
  <c r="CC55" i="38"/>
  <c r="D55" i="38"/>
  <c r="X55" i="38"/>
  <c r="CB55" i="38"/>
  <c r="CA55" i="38"/>
  <c r="BZ55" i="38"/>
  <c r="BY55" i="38"/>
  <c r="BX55" i="38"/>
  <c r="U55" i="38"/>
  <c r="BW55" i="38"/>
  <c r="T55" i="38"/>
  <c r="BV55" i="38"/>
  <c r="BU55" i="38"/>
  <c r="BT55" i="38"/>
  <c r="BS55" i="38"/>
  <c r="BR55" i="38"/>
  <c r="E54" i="38"/>
  <c r="Y54" i="38"/>
  <c r="CC54" i="38"/>
  <c r="D54" i="38"/>
  <c r="X54" i="38"/>
  <c r="CB54" i="38"/>
  <c r="CA54" i="38"/>
  <c r="BZ54" i="38"/>
  <c r="BY54" i="38"/>
  <c r="BX54" i="38"/>
  <c r="U54" i="38"/>
  <c r="BW54" i="38"/>
  <c r="T54" i="38"/>
  <c r="BV54" i="38"/>
  <c r="BU54" i="38"/>
  <c r="BT54" i="38"/>
  <c r="BS54" i="38"/>
  <c r="BR54" i="38"/>
  <c r="E53" i="38"/>
  <c r="Y53" i="38"/>
  <c r="CC53" i="38"/>
  <c r="D53" i="38"/>
  <c r="X53" i="38"/>
  <c r="CB53" i="38"/>
  <c r="CA53" i="38"/>
  <c r="BZ53" i="38"/>
  <c r="BY53" i="38"/>
  <c r="BX53" i="38"/>
  <c r="U53" i="38"/>
  <c r="BW53" i="38"/>
  <c r="T53" i="38"/>
  <c r="BV53" i="38"/>
  <c r="BU53" i="38"/>
  <c r="BT53" i="38"/>
  <c r="BS53" i="38"/>
  <c r="BR53" i="38"/>
  <c r="E52" i="38"/>
  <c r="Y52" i="38"/>
  <c r="CC52" i="38"/>
  <c r="D52" i="38"/>
  <c r="X52" i="38"/>
  <c r="CB52" i="38"/>
  <c r="CA52" i="38"/>
  <c r="BZ52" i="38"/>
  <c r="BY52" i="38"/>
  <c r="BX52" i="38"/>
  <c r="U52" i="38"/>
  <c r="BW52" i="38"/>
  <c r="T52" i="38"/>
  <c r="BV52" i="38"/>
  <c r="BU52" i="38"/>
  <c r="BT52" i="38"/>
  <c r="BS52" i="38"/>
  <c r="BR52" i="38"/>
  <c r="E51" i="38"/>
  <c r="Y51" i="38"/>
  <c r="CC51" i="38"/>
  <c r="D51" i="38"/>
  <c r="X51" i="38"/>
  <c r="CB51" i="38"/>
  <c r="CA51" i="38"/>
  <c r="BZ51" i="38"/>
  <c r="BY51" i="38"/>
  <c r="BX51" i="38"/>
  <c r="U51" i="38"/>
  <c r="BW51" i="38"/>
  <c r="T51" i="38"/>
  <c r="BV51" i="38"/>
  <c r="BU51" i="38"/>
  <c r="BT51" i="38"/>
  <c r="BS51" i="38"/>
  <c r="BR51" i="38"/>
  <c r="E50" i="38"/>
  <c r="Y50" i="38"/>
  <c r="CC50" i="38"/>
  <c r="D50" i="38"/>
  <c r="X50" i="38"/>
  <c r="CB50" i="38"/>
  <c r="CA50" i="38"/>
  <c r="BZ50" i="38"/>
  <c r="BY50" i="38"/>
  <c r="BX50" i="38"/>
  <c r="U50" i="38"/>
  <c r="BW50" i="38"/>
  <c r="T50" i="38"/>
  <c r="BV50" i="38"/>
  <c r="BU50" i="38"/>
  <c r="BT50" i="38"/>
  <c r="BS50" i="38"/>
  <c r="BR50" i="38"/>
  <c r="E49" i="38"/>
  <c r="Y49" i="38"/>
  <c r="CC49" i="38"/>
  <c r="D49" i="38"/>
  <c r="X49" i="38"/>
  <c r="CB49" i="38"/>
  <c r="CA49" i="38"/>
  <c r="BZ49" i="38"/>
  <c r="BY49" i="38"/>
  <c r="BX49" i="38"/>
  <c r="U49" i="38"/>
  <c r="BW49" i="38"/>
  <c r="T49" i="38"/>
  <c r="BV49" i="38"/>
  <c r="BU49" i="38"/>
  <c r="BT49" i="38"/>
  <c r="BS49" i="38"/>
  <c r="BR49" i="38"/>
  <c r="E48" i="38"/>
  <c r="Y48" i="38"/>
  <c r="CC48" i="38"/>
  <c r="D48" i="38"/>
  <c r="X48" i="38"/>
  <c r="CB48" i="38"/>
  <c r="CA48" i="38"/>
  <c r="BZ48" i="38"/>
  <c r="BY48" i="38"/>
  <c r="BX48" i="38"/>
  <c r="U48" i="38"/>
  <c r="BW48" i="38"/>
  <c r="T48" i="38"/>
  <c r="BV48" i="38"/>
  <c r="BU48" i="38"/>
  <c r="BT48" i="38"/>
  <c r="BS48" i="38"/>
  <c r="BR48" i="38"/>
  <c r="E47" i="38"/>
  <c r="Y47" i="38"/>
  <c r="CC47" i="38"/>
  <c r="D47" i="38"/>
  <c r="X47" i="38"/>
  <c r="CB47" i="38"/>
  <c r="CA47" i="38"/>
  <c r="BZ47" i="38"/>
  <c r="BY47" i="38"/>
  <c r="BX47" i="38"/>
  <c r="U47" i="38"/>
  <c r="BW47" i="38"/>
  <c r="T47" i="38"/>
  <c r="BV47" i="38"/>
  <c r="BU47" i="38"/>
  <c r="BT47" i="38"/>
  <c r="BS47" i="38"/>
  <c r="BR47" i="38"/>
  <c r="E46" i="38"/>
  <c r="Y46" i="38"/>
  <c r="CC46" i="38"/>
  <c r="D46" i="38"/>
  <c r="X46" i="38"/>
  <c r="CB46" i="38"/>
  <c r="CA46" i="38"/>
  <c r="BZ46" i="38"/>
  <c r="BY46" i="38"/>
  <c r="BX46" i="38"/>
  <c r="U46" i="38"/>
  <c r="BW46" i="38"/>
  <c r="T46" i="38"/>
  <c r="BV46" i="38"/>
  <c r="BU46" i="38"/>
  <c r="BT46" i="38"/>
  <c r="BS46" i="38"/>
  <c r="BR46" i="38"/>
  <c r="E45" i="38"/>
  <c r="Y45" i="38"/>
  <c r="CC45" i="38"/>
  <c r="D45" i="38"/>
  <c r="X45" i="38"/>
  <c r="CB45" i="38"/>
  <c r="CA45" i="38"/>
  <c r="BZ45" i="38"/>
  <c r="BY45" i="38"/>
  <c r="BX45" i="38"/>
  <c r="U45" i="38"/>
  <c r="BW45" i="38"/>
  <c r="T45" i="38"/>
  <c r="BV45" i="38"/>
  <c r="BU45" i="38"/>
  <c r="BT45" i="38"/>
  <c r="BS45" i="38"/>
  <c r="BR45" i="38"/>
  <c r="E44" i="38"/>
  <c r="Y44" i="38"/>
  <c r="CC44" i="38"/>
  <c r="D44" i="38"/>
  <c r="X44" i="38"/>
  <c r="CB44" i="38"/>
  <c r="CA44" i="38"/>
  <c r="BZ44" i="38"/>
  <c r="BY44" i="38"/>
  <c r="BX44" i="38"/>
  <c r="U44" i="38"/>
  <c r="BW44" i="38"/>
  <c r="T44" i="38"/>
  <c r="BV44" i="38"/>
  <c r="BU44" i="38"/>
  <c r="BT44" i="38"/>
  <c r="BS44" i="38"/>
  <c r="BR44" i="38"/>
  <c r="E43" i="38"/>
  <c r="Y43" i="38"/>
  <c r="CC43" i="38"/>
  <c r="D43" i="38"/>
  <c r="X43" i="38"/>
  <c r="CB43" i="38"/>
  <c r="CA43" i="38"/>
  <c r="BZ43" i="38"/>
  <c r="BY43" i="38"/>
  <c r="BX43" i="38"/>
  <c r="U43" i="38"/>
  <c r="BW43" i="38"/>
  <c r="T43" i="38"/>
  <c r="BV43" i="38"/>
  <c r="BU43" i="38"/>
  <c r="BT43" i="38"/>
  <c r="BS43" i="38"/>
  <c r="BR43" i="38"/>
  <c r="E42" i="38"/>
  <c r="Y42" i="38"/>
  <c r="CC42" i="38"/>
  <c r="D42" i="38"/>
  <c r="X42" i="38"/>
  <c r="CB42" i="38"/>
  <c r="CA42" i="38"/>
  <c r="BZ42" i="38"/>
  <c r="BY42" i="38"/>
  <c r="BX42" i="38"/>
  <c r="U42" i="38"/>
  <c r="BW42" i="38"/>
  <c r="T42" i="38"/>
  <c r="BV42" i="38"/>
  <c r="BU42" i="38"/>
  <c r="BT42" i="38"/>
  <c r="BS42" i="38"/>
  <c r="BR42" i="38"/>
  <c r="E41" i="38"/>
  <c r="Y41" i="38"/>
  <c r="CC41" i="38"/>
  <c r="D41" i="38"/>
  <c r="X41" i="38"/>
  <c r="CB41" i="38"/>
  <c r="CA41" i="38"/>
  <c r="BZ41" i="38"/>
  <c r="BY41" i="38"/>
  <c r="BX41" i="38"/>
  <c r="U41" i="38"/>
  <c r="BW41" i="38"/>
  <c r="T41" i="38"/>
  <c r="BV41" i="38"/>
  <c r="BU41" i="38"/>
  <c r="BT41" i="38"/>
  <c r="BS41" i="38"/>
  <c r="BR41" i="38"/>
  <c r="E40" i="38"/>
  <c r="Y40" i="38"/>
  <c r="CC40" i="38"/>
  <c r="D40" i="38"/>
  <c r="X40" i="38"/>
  <c r="CB40" i="38"/>
  <c r="CA40" i="38"/>
  <c r="BZ40" i="38"/>
  <c r="BY40" i="38"/>
  <c r="BX40" i="38"/>
  <c r="U40" i="38"/>
  <c r="BW40" i="38"/>
  <c r="T40" i="38"/>
  <c r="BV40" i="38"/>
  <c r="BU40" i="38"/>
  <c r="BT40" i="38"/>
  <c r="BS40" i="38"/>
  <c r="BR40" i="38"/>
  <c r="E39" i="38"/>
  <c r="Y39" i="38"/>
  <c r="CC39" i="38"/>
  <c r="D39" i="38"/>
  <c r="X39" i="38"/>
  <c r="CB39" i="38"/>
  <c r="CA39" i="38"/>
  <c r="BZ39" i="38"/>
  <c r="BY39" i="38"/>
  <c r="BX39" i="38"/>
  <c r="U39" i="38"/>
  <c r="BW39" i="38"/>
  <c r="T39" i="38"/>
  <c r="BV39" i="38"/>
  <c r="BU39" i="38"/>
  <c r="BT39" i="38"/>
  <c r="BS39" i="38"/>
  <c r="BR39" i="38"/>
  <c r="E38" i="38"/>
  <c r="Y38" i="38"/>
  <c r="CC38" i="38"/>
  <c r="D38" i="38"/>
  <c r="X38" i="38"/>
  <c r="CB38" i="38"/>
  <c r="CA38" i="38"/>
  <c r="BZ38" i="38"/>
  <c r="BY38" i="38"/>
  <c r="BX38" i="38"/>
  <c r="U38" i="38"/>
  <c r="BW38" i="38"/>
  <c r="T38" i="38"/>
  <c r="BV38" i="38"/>
  <c r="BU38" i="38"/>
  <c r="BT38" i="38"/>
  <c r="BS38" i="38"/>
  <c r="BR38" i="38"/>
  <c r="E37" i="38"/>
  <c r="Y37" i="38"/>
  <c r="CC37" i="38"/>
  <c r="D37" i="38"/>
  <c r="X37" i="38"/>
  <c r="CB37" i="38"/>
  <c r="CA37" i="38"/>
  <c r="BZ37" i="38"/>
  <c r="BY37" i="38"/>
  <c r="BX37" i="38"/>
  <c r="U37" i="38"/>
  <c r="BW37" i="38"/>
  <c r="T37" i="38"/>
  <c r="BV37" i="38"/>
  <c r="BU37" i="38"/>
  <c r="BT37" i="38"/>
  <c r="BS37" i="38"/>
  <c r="BR37" i="38"/>
  <c r="E36" i="38"/>
  <c r="Y36" i="38"/>
  <c r="CC36" i="38"/>
  <c r="D36" i="38"/>
  <c r="X36" i="38"/>
  <c r="CB36" i="38"/>
  <c r="CA36" i="38"/>
  <c r="BZ36" i="38"/>
  <c r="BY36" i="38"/>
  <c r="BX36" i="38"/>
  <c r="U36" i="38"/>
  <c r="BW36" i="38"/>
  <c r="T36" i="38"/>
  <c r="BV36" i="38"/>
  <c r="BU36" i="38"/>
  <c r="BT36" i="38"/>
  <c r="BS36" i="38"/>
  <c r="BR36" i="38"/>
  <c r="E35" i="38"/>
  <c r="Y35" i="38"/>
  <c r="CC35" i="38"/>
  <c r="D35" i="38"/>
  <c r="X35" i="38"/>
  <c r="CB35" i="38"/>
  <c r="CA35" i="38"/>
  <c r="BZ35" i="38"/>
  <c r="BY35" i="38"/>
  <c r="BX35" i="38"/>
  <c r="U35" i="38"/>
  <c r="BW35" i="38"/>
  <c r="T35" i="38"/>
  <c r="BV35" i="38"/>
  <c r="BU35" i="38"/>
  <c r="BT35" i="38"/>
  <c r="BS35" i="38"/>
  <c r="BR35" i="38"/>
  <c r="E34" i="38"/>
  <c r="Y34" i="38"/>
  <c r="CC34" i="38"/>
  <c r="D34" i="38"/>
  <c r="X34" i="38"/>
  <c r="CB34" i="38"/>
  <c r="CA34" i="38"/>
  <c r="BZ34" i="38"/>
  <c r="BY34" i="38"/>
  <c r="BX34" i="38"/>
  <c r="U34" i="38"/>
  <c r="BW34" i="38"/>
  <c r="T34" i="38"/>
  <c r="BV34" i="38"/>
  <c r="BU34" i="38"/>
  <c r="BT34" i="38"/>
  <c r="BS34" i="38"/>
  <c r="BR34" i="38"/>
  <c r="E33" i="38"/>
  <c r="Y33" i="38"/>
  <c r="CC33" i="38"/>
  <c r="D33" i="38"/>
  <c r="X33" i="38"/>
  <c r="CB33" i="38"/>
  <c r="CA33" i="38"/>
  <c r="BZ33" i="38"/>
  <c r="BY33" i="38"/>
  <c r="BX33" i="38"/>
  <c r="U33" i="38"/>
  <c r="BW33" i="38"/>
  <c r="T33" i="38"/>
  <c r="BV33" i="38"/>
  <c r="BU33" i="38"/>
  <c r="BT33" i="38"/>
  <c r="BS33" i="38"/>
  <c r="BR33" i="38"/>
  <c r="E32" i="38"/>
  <c r="Y32" i="38"/>
  <c r="CC32" i="38"/>
  <c r="D32" i="38"/>
  <c r="X32" i="38"/>
  <c r="CB32" i="38"/>
  <c r="CA32" i="38"/>
  <c r="BZ32" i="38"/>
  <c r="BY32" i="38"/>
  <c r="BX32" i="38"/>
  <c r="U32" i="38"/>
  <c r="BW32" i="38"/>
  <c r="T32" i="38"/>
  <c r="BV32" i="38"/>
  <c r="BU32" i="38"/>
  <c r="BT32" i="38"/>
  <c r="BS32" i="38"/>
  <c r="BR32" i="38"/>
  <c r="E31" i="38"/>
  <c r="Y31" i="38"/>
  <c r="CC31" i="38"/>
  <c r="D31" i="38"/>
  <c r="X31" i="38"/>
  <c r="CB31" i="38"/>
  <c r="CA31" i="38"/>
  <c r="BZ31" i="38"/>
  <c r="BY31" i="38"/>
  <c r="BX31" i="38"/>
  <c r="U31" i="38"/>
  <c r="BW31" i="38"/>
  <c r="T31" i="38"/>
  <c r="BV31" i="38"/>
  <c r="BU31" i="38"/>
  <c r="BT31" i="38"/>
  <c r="BS31" i="38"/>
  <c r="BR31" i="38"/>
  <c r="E30" i="38"/>
  <c r="Y30" i="38"/>
  <c r="CC30" i="38"/>
  <c r="D30" i="38"/>
  <c r="X30" i="38"/>
  <c r="CB30" i="38"/>
  <c r="CA30" i="38"/>
  <c r="BZ30" i="38"/>
  <c r="BY30" i="38"/>
  <c r="BX30" i="38"/>
  <c r="U30" i="38"/>
  <c r="BW30" i="38"/>
  <c r="T30" i="38"/>
  <c r="BV30" i="38"/>
  <c r="BU30" i="38"/>
  <c r="BT30" i="38"/>
  <c r="BS30" i="38"/>
  <c r="BR30" i="38"/>
  <c r="E29" i="38"/>
  <c r="Y29" i="38"/>
  <c r="CC29" i="38"/>
  <c r="D29" i="38"/>
  <c r="X29" i="38"/>
  <c r="CB29" i="38"/>
  <c r="CA29" i="38"/>
  <c r="BZ29" i="38"/>
  <c r="BY29" i="38"/>
  <c r="BX29" i="38"/>
  <c r="U29" i="38"/>
  <c r="BW29" i="38"/>
  <c r="T29" i="38"/>
  <c r="BV29" i="38"/>
  <c r="BU29" i="38"/>
  <c r="BT29" i="38"/>
  <c r="BS29" i="38"/>
  <c r="BR29" i="38"/>
  <c r="E28" i="38"/>
  <c r="Y28" i="38"/>
  <c r="CC28" i="38"/>
  <c r="D28" i="38"/>
  <c r="X28" i="38"/>
  <c r="CB28" i="38"/>
  <c r="CA28" i="38"/>
  <c r="BZ28" i="38"/>
  <c r="BY28" i="38"/>
  <c r="BX28" i="38"/>
  <c r="U28" i="38"/>
  <c r="BW28" i="38"/>
  <c r="T28" i="38"/>
  <c r="BV28" i="38"/>
  <c r="BU28" i="38"/>
  <c r="BT28" i="38"/>
  <c r="BS28" i="38"/>
  <c r="BR28" i="38"/>
  <c r="E27" i="38"/>
  <c r="Y27" i="38"/>
  <c r="CC27" i="38"/>
  <c r="D27" i="38"/>
  <c r="X27" i="38"/>
  <c r="CB27" i="38"/>
  <c r="CA27" i="38"/>
  <c r="BZ27" i="38"/>
  <c r="BY27" i="38"/>
  <c r="BX27" i="38"/>
  <c r="U27" i="38"/>
  <c r="BW27" i="38"/>
  <c r="T27" i="38"/>
  <c r="BV27" i="38"/>
  <c r="BU27" i="38"/>
  <c r="BT27" i="38"/>
  <c r="BS27" i="38"/>
  <c r="BR27" i="38"/>
  <c r="E26" i="38"/>
  <c r="Y26" i="38"/>
  <c r="CC26" i="38"/>
  <c r="D26" i="38"/>
  <c r="X26" i="38"/>
  <c r="CB26" i="38"/>
  <c r="CA26" i="38"/>
  <c r="BZ26" i="38"/>
  <c r="BY26" i="38"/>
  <c r="BX26" i="38"/>
  <c r="U26" i="38"/>
  <c r="BW26" i="38"/>
  <c r="T26" i="38"/>
  <c r="BV26" i="38"/>
  <c r="BU26" i="38"/>
  <c r="BT26" i="38"/>
  <c r="BS26" i="38"/>
  <c r="BR26" i="38"/>
  <c r="E25" i="38"/>
  <c r="Y25" i="38"/>
  <c r="CC25" i="38"/>
  <c r="D25" i="38"/>
  <c r="X25" i="38"/>
  <c r="CB25" i="38"/>
  <c r="CA25" i="38"/>
  <c r="BZ25" i="38"/>
  <c r="BY25" i="38"/>
  <c r="BX25" i="38"/>
  <c r="U25" i="38"/>
  <c r="BW25" i="38"/>
  <c r="T25" i="38"/>
  <c r="BV25" i="38"/>
  <c r="BU25" i="38"/>
  <c r="BT25" i="38"/>
  <c r="BS25" i="38"/>
  <c r="BR25" i="38"/>
  <c r="E24" i="38"/>
  <c r="Y24" i="38"/>
  <c r="CC24" i="38"/>
  <c r="D24" i="38"/>
  <c r="X24" i="38"/>
  <c r="CB24" i="38"/>
  <c r="CA24" i="38"/>
  <c r="BZ24" i="38"/>
  <c r="BY24" i="38"/>
  <c r="BX24" i="38"/>
  <c r="U24" i="38"/>
  <c r="BW24" i="38"/>
  <c r="T24" i="38"/>
  <c r="BV24" i="38"/>
  <c r="BU24" i="38"/>
  <c r="BT24" i="38"/>
  <c r="BS24" i="38"/>
  <c r="BR24" i="38"/>
  <c r="E23" i="38"/>
  <c r="Y23" i="38"/>
  <c r="CC23" i="38"/>
  <c r="D23" i="38"/>
  <c r="X23" i="38"/>
  <c r="CB23" i="38"/>
  <c r="CA23" i="38"/>
  <c r="BZ23" i="38"/>
  <c r="BY23" i="38"/>
  <c r="BX23" i="38"/>
  <c r="U23" i="38"/>
  <c r="BW23" i="38"/>
  <c r="T23" i="38"/>
  <c r="BV23" i="38"/>
  <c r="BU23" i="38"/>
  <c r="BT23" i="38"/>
  <c r="BS23" i="38"/>
  <c r="BR23" i="38"/>
  <c r="E22" i="38"/>
  <c r="Y22" i="38"/>
  <c r="CC22" i="38"/>
  <c r="D22" i="38"/>
  <c r="X22" i="38"/>
  <c r="CB22" i="38"/>
  <c r="CA22" i="38"/>
  <c r="BZ22" i="38"/>
  <c r="BY22" i="38"/>
  <c r="BX22" i="38"/>
  <c r="U22" i="38"/>
  <c r="BW22" i="38"/>
  <c r="T22" i="38"/>
  <c r="BV22" i="38"/>
  <c r="BU22" i="38"/>
  <c r="BT22" i="38"/>
  <c r="BS22" i="38"/>
  <c r="BR22" i="38"/>
  <c r="E21" i="38"/>
  <c r="Y21" i="38"/>
  <c r="CC21" i="38"/>
  <c r="D21" i="38"/>
  <c r="X21" i="38"/>
  <c r="CB21" i="38"/>
  <c r="CA21" i="38"/>
  <c r="BZ21" i="38"/>
  <c r="BY21" i="38"/>
  <c r="BX21" i="38"/>
  <c r="U21" i="38"/>
  <c r="BW21" i="38"/>
  <c r="T21" i="38"/>
  <c r="BV21" i="38"/>
  <c r="BU21" i="38"/>
  <c r="BT21" i="38"/>
  <c r="BS21" i="38"/>
  <c r="BR21" i="38"/>
  <c r="E20" i="38"/>
  <c r="Y20" i="38"/>
  <c r="CC20" i="38"/>
  <c r="D20" i="38"/>
  <c r="X20" i="38"/>
  <c r="CB20" i="38"/>
  <c r="CA20" i="38"/>
  <c r="BZ20" i="38"/>
  <c r="BY20" i="38"/>
  <c r="BX20" i="38"/>
  <c r="U20" i="38"/>
  <c r="BW20" i="38"/>
  <c r="T20" i="38"/>
  <c r="BV20" i="38"/>
  <c r="BU20" i="38"/>
  <c r="BT20" i="38"/>
  <c r="BS20" i="38"/>
  <c r="BR20" i="38"/>
  <c r="E19" i="38"/>
  <c r="Y19" i="38"/>
  <c r="CC19" i="38"/>
  <c r="D19" i="38"/>
  <c r="X19" i="38"/>
  <c r="CB19" i="38"/>
  <c r="CA19" i="38"/>
  <c r="BZ19" i="38"/>
  <c r="BY19" i="38"/>
  <c r="BX19" i="38"/>
  <c r="U19" i="38"/>
  <c r="BW19" i="38"/>
  <c r="T19" i="38"/>
  <c r="BV19" i="38"/>
  <c r="BU19" i="38"/>
  <c r="BT19" i="38"/>
  <c r="BS19" i="38"/>
  <c r="BR19" i="38"/>
  <c r="E18" i="38"/>
  <c r="Y18" i="38"/>
  <c r="CC18" i="38"/>
  <c r="D18" i="38"/>
  <c r="X18" i="38"/>
  <c r="CB18" i="38"/>
  <c r="CA18" i="38"/>
  <c r="BZ18" i="38"/>
  <c r="BY18" i="38"/>
  <c r="BX18" i="38"/>
  <c r="U18" i="38"/>
  <c r="BW18" i="38"/>
  <c r="T18" i="38"/>
  <c r="BV18" i="38"/>
  <c r="BU18" i="38"/>
  <c r="BT18" i="38"/>
  <c r="BS18" i="38"/>
  <c r="BR18" i="38"/>
  <c r="E17" i="38"/>
  <c r="Y17" i="38"/>
  <c r="CC17" i="38"/>
  <c r="D17" i="38"/>
  <c r="X17" i="38"/>
  <c r="CB17" i="38"/>
  <c r="CA17" i="38"/>
  <c r="BZ17" i="38"/>
  <c r="BY17" i="38"/>
  <c r="BX17" i="38"/>
  <c r="U17" i="38"/>
  <c r="BW17" i="38"/>
  <c r="T17" i="38"/>
  <c r="BV17" i="38"/>
  <c r="BU17" i="38"/>
  <c r="BT17" i="38"/>
  <c r="BS17" i="38"/>
  <c r="BR17" i="38"/>
  <c r="E16" i="38"/>
  <c r="Y16" i="38"/>
  <c r="CC16" i="38"/>
  <c r="D16" i="38"/>
  <c r="X16" i="38"/>
  <c r="CB16" i="38"/>
  <c r="CA16" i="38"/>
  <c r="BZ16" i="38"/>
  <c r="BY16" i="38"/>
  <c r="BX16" i="38"/>
  <c r="U16" i="38"/>
  <c r="BW16" i="38"/>
  <c r="T16" i="38"/>
  <c r="BV16" i="38"/>
  <c r="BU16" i="38"/>
  <c r="BT16" i="38"/>
  <c r="BS16" i="38"/>
  <c r="BR16" i="38"/>
  <c r="E15" i="38"/>
  <c r="Y15" i="38"/>
  <c r="CC15" i="38"/>
  <c r="D15" i="38"/>
  <c r="X15" i="38"/>
  <c r="CB15" i="38"/>
  <c r="CA15" i="38"/>
  <c r="BZ15" i="38"/>
  <c r="BY15" i="38"/>
  <c r="BX15" i="38"/>
  <c r="U15" i="38"/>
  <c r="BW15" i="38"/>
  <c r="T15" i="38"/>
  <c r="BV15" i="38"/>
  <c r="BU15" i="38"/>
  <c r="BT15" i="38"/>
  <c r="BS15" i="38"/>
  <c r="BR15" i="38"/>
  <c r="E14" i="38"/>
  <c r="Y14" i="38"/>
  <c r="CC14" i="38"/>
  <c r="D14" i="38"/>
  <c r="X14" i="38"/>
  <c r="CB14" i="38"/>
  <c r="CA14" i="38"/>
  <c r="BZ14" i="38"/>
  <c r="BY14" i="38"/>
  <c r="BX14" i="38"/>
  <c r="U14" i="38"/>
  <c r="BW14" i="38"/>
  <c r="T14" i="38"/>
  <c r="BV14" i="38"/>
  <c r="BU14" i="38"/>
  <c r="BT14" i="38"/>
  <c r="BS14" i="38"/>
  <c r="BR14" i="38"/>
  <c r="E13" i="38"/>
  <c r="Y13" i="38"/>
  <c r="CC13" i="38"/>
  <c r="D13" i="38"/>
  <c r="X13" i="38"/>
  <c r="CB13" i="38"/>
  <c r="CA13" i="38"/>
  <c r="BZ13" i="38"/>
  <c r="BY13" i="38"/>
  <c r="BX13" i="38"/>
  <c r="U13" i="38"/>
  <c r="BW13" i="38"/>
  <c r="T13" i="38"/>
  <c r="BV13" i="38"/>
  <c r="BU13" i="38"/>
  <c r="BT13" i="38"/>
  <c r="BS13" i="38"/>
  <c r="BR13" i="38"/>
  <c r="E12" i="38"/>
  <c r="Y12" i="38"/>
  <c r="CC12" i="38"/>
  <c r="D12" i="38"/>
  <c r="X12" i="38"/>
  <c r="CB12" i="38"/>
  <c r="CA12" i="38"/>
  <c r="BZ12" i="38"/>
  <c r="BY12" i="38"/>
  <c r="BX12" i="38"/>
  <c r="U12" i="38"/>
  <c r="BW12" i="38"/>
  <c r="T12" i="38"/>
  <c r="BV12" i="38"/>
  <c r="BU12" i="38"/>
  <c r="BT12" i="38"/>
  <c r="BS12" i="38"/>
  <c r="BR12" i="38"/>
  <c r="E11" i="38"/>
  <c r="Y11" i="38"/>
  <c r="CC11" i="38"/>
  <c r="D11" i="38"/>
  <c r="X11" i="38"/>
  <c r="CB11" i="38"/>
  <c r="CA11" i="38"/>
  <c r="BZ11" i="38"/>
  <c r="BY11" i="38"/>
  <c r="BX11" i="38"/>
  <c r="U11" i="38"/>
  <c r="BW11" i="38"/>
  <c r="T11" i="38"/>
  <c r="BV11" i="38"/>
  <c r="BU11" i="38"/>
  <c r="BT11" i="38"/>
  <c r="BS11" i="38"/>
  <c r="BR11" i="38"/>
  <c r="E10" i="38"/>
  <c r="Y10" i="38"/>
  <c r="CC10" i="38"/>
  <c r="D10" i="38"/>
  <c r="X10" i="38"/>
  <c r="CB10" i="38"/>
  <c r="CA10" i="38"/>
  <c r="BZ10" i="38"/>
  <c r="BY10" i="38"/>
  <c r="BX10" i="38"/>
  <c r="U10" i="38"/>
  <c r="BW10" i="38"/>
  <c r="T10" i="38"/>
  <c r="BV10" i="38"/>
  <c r="BU10" i="38"/>
  <c r="BT10" i="38"/>
  <c r="BS10" i="38"/>
  <c r="BR10" i="38"/>
  <c r="E9" i="38"/>
  <c r="Y9" i="38"/>
  <c r="CC9" i="38"/>
  <c r="D9" i="38"/>
  <c r="X9" i="38"/>
  <c r="CB9" i="38"/>
  <c r="CA9" i="38"/>
  <c r="BZ9" i="38"/>
  <c r="BY9" i="38"/>
  <c r="BX9" i="38"/>
  <c r="U9" i="38"/>
  <c r="BW9" i="38"/>
  <c r="T9" i="38"/>
  <c r="BV9" i="38"/>
  <c r="BU9" i="38"/>
  <c r="BT9" i="38"/>
  <c r="BS9" i="38"/>
  <c r="BR9" i="38"/>
  <c r="D8" i="38"/>
  <c r="X8" i="38"/>
  <c r="CB8" i="38"/>
  <c r="BZ8" i="38"/>
  <c r="E8" i="38"/>
  <c r="Y8" i="38"/>
  <c r="CA8" i="38"/>
  <c r="BX8" i="38"/>
  <c r="BY8" i="38"/>
  <c r="T8" i="38"/>
  <c r="BV8" i="38"/>
  <c r="BT8" i="38"/>
  <c r="U8" i="38"/>
  <c r="BU8" i="38"/>
  <c r="BR8" i="38"/>
  <c r="BS8" i="38"/>
  <c r="C80" i="38"/>
  <c r="N80" i="38"/>
  <c r="AL80" i="38"/>
  <c r="BC80" i="38"/>
  <c r="AK80" i="38"/>
  <c r="BB80" i="38"/>
  <c r="BA80" i="38"/>
  <c r="AZ80" i="38"/>
  <c r="AY80" i="38"/>
  <c r="AX80" i="38"/>
  <c r="L80" i="38"/>
  <c r="AH80" i="38"/>
  <c r="AW80" i="38"/>
  <c r="AG80" i="38"/>
  <c r="AV80" i="38"/>
  <c r="AU80" i="38"/>
  <c r="AT80" i="38"/>
  <c r="AS80" i="38"/>
  <c r="AR80" i="38"/>
  <c r="C79" i="38"/>
  <c r="N79" i="38"/>
  <c r="AL79" i="38"/>
  <c r="BC79" i="38"/>
  <c r="AK79" i="38"/>
  <c r="BB79" i="38"/>
  <c r="BA79" i="38"/>
  <c r="AZ79" i="38"/>
  <c r="AY79" i="38"/>
  <c r="AX79" i="38"/>
  <c r="L79" i="38"/>
  <c r="AH79" i="38"/>
  <c r="AW79" i="38"/>
  <c r="AG79" i="38"/>
  <c r="AV79" i="38"/>
  <c r="AU79" i="38"/>
  <c r="AT79" i="38"/>
  <c r="AS79" i="38"/>
  <c r="AR79" i="38"/>
  <c r="C78" i="38"/>
  <c r="N78" i="38"/>
  <c r="AL78" i="38"/>
  <c r="BC78" i="38"/>
  <c r="AK78" i="38"/>
  <c r="BB78" i="38"/>
  <c r="BA78" i="38"/>
  <c r="AZ78" i="38"/>
  <c r="AY78" i="38"/>
  <c r="AX78" i="38"/>
  <c r="L78" i="38"/>
  <c r="AH78" i="38"/>
  <c r="AW78" i="38"/>
  <c r="AG78" i="38"/>
  <c r="AV78" i="38"/>
  <c r="AU78" i="38"/>
  <c r="AT78" i="38"/>
  <c r="AS78" i="38"/>
  <c r="AR78" i="38"/>
  <c r="C77" i="38"/>
  <c r="N77" i="38"/>
  <c r="AL77" i="38"/>
  <c r="BC77" i="38"/>
  <c r="AK77" i="38"/>
  <c r="BB77" i="38"/>
  <c r="BA77" i="38"/>
  <c r="AZ77" i="38"/>
  <c r="AY77" i="38"/>
  <c r="AX77" i="38"/>
  <c r="L77" i="38"/>
  <c r="AH77" i="38"/>
  <c r="AW77" i="38"/>
  <c r="AG77" i="38"/>
  <c r="AV77" i="38"/>
  <c r="AU77" i="38"/>
  <c r="AT77" i="38"/>
  <c r="AS77" i="38"/>
  <c r="AR77" i="38"/>
  <c r="C76" i="38"/>
  <c r="N76" i="38"/>
  <c r="AL76" i="38"/>
  <c r="BC76" i="38"/>
  <c r="AK76" i="38"/>
  <c r="BB76" i="38"/>
  <c r="BA76" i="38"/>
  <c r="AZ76" i="38"/>
  <c r="AY76" i="38"/>
  <c r="AX76" i="38"/>
  <c r="L76" i="38"/>
  <c r="AH76" i="38"/>
  <c r="AW76" i="38"/>
  <c r="AG76" i="38"/>
  <c r="AV76" i="38"/>
  <c r="AU76" i="38"/>
  <c r="AT76" i="38"/>
  <c r="AS76" i="38"/>
  <c r="AR76" i="38"/>
  <c r="C75" i="38"/>
  <c r="N75" i="38"/>
  <c r="AL75" i="38"/>
  <c r="BC75" i="38"/>
  <c r="AK75" i="38"/>
  <c r="BB75" i="38"/>
  <c r="BA75" i="38"/>
  <c r="AZ75" i="38"/>
  <c r="AY75" i="38"/>
  <c r="AX75" i="38"/>
  <c r="L75" i="38"/>
  <c r="AH75" i="38"/>
  <c r="AW75" i="38"/>
  <c r="AG75" i="38"/>
  <c r="AV75" i="38"/>
  <c r="AU75" i="38"/>
  <c r="AT75" i="38"/>
  <c r="AS75" i="38"/>
  <c r="AR75" i="38"/>
  <c r="C74" i="38"/>
  <c r="N74" i="38"/>
  <c r="AL74" i="38"/>
  <c r="BC74" i="38"/>
  <c r="AK74" i="38"/>
  <c r="BB74" i="38"/>
  <c r="BA74" i="38"/>
  <c r="AZ74" i="38"/>
  <c r="AY74" i="38"/>
  <c r="AX74" i="38"/>
  <c r="L74" i="38"/>
  <c r="AH74" i="38"/>
  <c r="AW74" i="38"/>
  <c r="AG74" i="38"/>
  <c r="AV74" i="38"/>
  <c r="AU74" i="38"/>
  <c r="AT74" i="38"/>
  <c r="AS74" i="38"/>
  <c r="AR74" i="38"/>
  <c r="C73" i="38"/>
  <c r="N73" i="38"/>
  <c r="AL73" i="38"/>
  <c r="BC73" i="38"/>
  <c r="AK73" i="38"/>
  <c r="BB73" i="38"/>
  <c r="BA73" i="38"/>
  <c r="AZ73" i="38"/>
  <c r="AY73" i="38"/>
  <c r="AX73" i="38"/>
  <c r="L73" i="38"/>
  <c r="AH73" i="38"/>
  <c r="AW73" i="38"/>
  <c r="AG73" i="38"/>
  <c r="AV73" i="38"/>
  <c r="AU73" i="38"/>
  <c r="AT73" i="38"/>
  <c r="AS73" i="38"/>
  <c r="AR73" i="38"/>
  <c r="C72" i="38"/>
  <c r="N72" i="38"/>
  <c r="AL72" i="38"/>
  <c r="BC72" i="38"/>
  <c r="AK72" i="38"/>
  <c r="BB72" i="38"/>
  <c r="BA72" i="38"/>
  <c r="AZ72" i="38"/>
  <c r="AY72" i="38"/>
  <c r="AX72" i="38"/>
  <c r="L72" i="38"/>
  <c r="AH72" i="38"/>
  <c r="AW72" i="38"/>
  <c r="AG72" i="38"/>
  <c r="AV72" i="38"/>
  <c r="AU72" i="38"/>
  <c r="AT72" i="38"/>
  <c r="AS72" i="38"/>
  <c r="AR72" i="38"/>
  <c r="C71" i="38"/>
  <c r="N71" i="38"/>
  <c r="AL71" i="38"/>
  <c r="BC71" i="38"/>
  <c r="AK71" i="38"/>
  <c r="BB71" i="38"/>
  <c r="BA71" i="38"/>
  <c r="AZ71" i="38"/>
  <c r="AY71" i="38"/>
  <c r="AX71" i="38"/>
  <c r="L71" i="38"/>
  <c r="AH71" i="38"/>
  <c r="AW71" i="38"/>
  <c r="AG71" i="38"/>
  <c r="AV71" i="38"/>
  <c r="AU71" i="38"/>
  <c r="AT71" i="38"/>
  <c r="AS71" i="38"/>
  <c r="AR71" i="38"/>
  <c r="C70" i="38"/>
  <c r="N70" i="38"/>
  <c r="AL70" i="38"/>
  <c r="BC70" i="38"/>
  <c r="AK70" i="38"/>
  <c r="BB70" i="38"/>
  <c r="BA70" i="38"/>
  <c r="AZ70" i="38"/>
  <c r="AY70" i="38"/>
  <c r="AX70" i="38"/>
  <c r="L70" i="38"/>
  <c r="AH70" i="38"/>
  <c r="AW70" i="38"/>
  <c r="AG70" i="38"/>
  <c r="AV70" i="38"/>
  <c r="AU70" i="38"/>
  <c r="AT70" i="38"/>
  <c r="AS70" i="38"/>
  <c r="AR70" i="38"/>
  <c r="C69" i="38"/>
  <c r="N69" i="38"/>
  <c r="AL69" i="38"/>
  <c r="BC69" i="38"/>
  <c r="AK69" i="38"/>
  <c r="BB69" i="38"/>
  <c r="BA69" i="38"/>
  <c r="AZ69" i="38"/>
  <c r="AY69" i="38"/>
  <c r="AX69" i="38"/>
  <c r="L69" i="38"/>
  <c r="AH69" i="38"/>
  <c r="AW69" i="38"/>
  <c r="AG69" i="38"/>
  <c r="AV69" i="38"/>
  <c r="AU69" i="38"/>
  <c r="AT69" i="38"/>
  <c r="AS69" i="38"/>
  <c r="AR69" i="38"/>
  <c r="C68" i="38"/>
  <c r="N68" i="38"/>
  <c r="AL68" i="38"/>
  <c r="BC68" i="38"/>
  <c r="AK68" i="38"/>
  <c r="BB68" i="38"/>
  <c r="BA68" i="38"/>
  <c r="AZ68" i="38"/>
  <c r="AY68" i="38"/>
  <c r="AX68" i="38"/>
  <c r="L68" i="38"/>
  <c r="AH68" i="38"/>
  <c r="AW68" i="38"/>
  <c r="AG68" i="38"/>
  <c r="AV68" i="38"/>
  <c r="AU68" i="38"/>
  <c r="AT68" i="38"/>
  <c r="AS68" i="38"/>
  <c r="AR68" i="38"/>
  <c r="C67" i="38"/>
  <c r="N67" i="38"/>
  <c r="AL67" i="38"/>
  <c r="BC67" i="38"/>
  <c r="AK67" i="38"/>
  <c r="BB67" i="38"/>
  <c r="BA67" i="38"/>
  <c r="AZ67" i="38"/>
  <c r="AY67" i="38"/>
  <c r="AX67" i="38"/>
  <c r="L67" i="38"/>
  <c r="AH67" i="38"/>
  <c r="AW67" i="38"/>
  <c r="AG67" i="38"/>
  <c r="AV67" i="38"/>
  <c r="AU67" i="38"/>
  <c r="AT67" i="38"/>
  <c r="AS67" i="38"/>
  <c r="AR67" i="38"/>
  <c r="C66" i="38"/>
  <c r="N66" i="38"/>
  <c r="AL66" i="38"/>
  <c r="BC66" i="38"/>
  <c r="AK66" i="38"/>
  <c r="BB66" i="38"/>
  <c r="BA66" i="38"/>
  <c r="AZ66" i="38"/>
  <c r="AY66" i="38"/>
  <c r="AX66" i="38"/>
  <c r="L66" i="38"/>
  <c r="AH66" i="38"/>
  <c r="AW66" i="38"/>
  <c r="AG66" i="38"/>
  <c r="AV66" i="38"/>
  <c r="AU66" i="38"/>
  <c r="AT66" i="38"/>
  <c r="AS66" i="38"/>
  <c r="AR66" i="38"/>
  <c r="C65" i="38"/>
  <c r="N65" i="38"/>
  <c r="AL65" i="38"/>
  <c r="BC65" i="38"/>
  <c r="AK65" i="38"/>
  <c r="BB65" i="38"/>
  <c r="BA65" i="38"/>
  <c r="AZ65" i="38"/>
  <c r="AY65" i="38"/>
  <c r="AX65" i="38"/>
  <c r="L65" i="38"/>
  <c r="AH65" i="38"/>
  <c r="AW65" i="38"/>
  <c r="AG65" i="38"/>
  <c r="AV65" i="38"/>
  <c r="AU65" i="38"/>
  <c r="AT65" i="38"/>
  <c r="AS65" i="38"/>
  <c r="AR65" i="38"/>
  <c r="C64" i="38"/>
  <c r="N64" i="38"/>
  <c r="AL64" i="38"/>
  <c r="BC64" i="38"/>
  <c r="AK64" i="38"/>
  <c r="BB64" i="38"/>
  <c r="BA64" i="38"/>
  <c r="AZ64" i="38"/>
  <c r="AY64" i="38"/>
  <c r="AX64" i="38"/>
  <c r="L64" i="38"/>
  <c r="AH64" i="38"/>
  <c r="AW64" i="38"/>
  <c r="AG64" i="38"/>
  <c r="AV64" i="38"/>
  <c r="AU64" i="38"/>
  <c r="AT64" i="38"/>
  <c r="AS64" i="38"/>
  <c r="AR64" i="38"/>
  <c r="C63" i="38"/>
  <c r="N63" i="38"/>
  <c r="AL63" i="38"/>
  <c r="BC63" i="38"/>
  <c r="AK63" i="38"/>
  <c r="BB63" i="38"/>
  <c r="BA63" i="38"/>
  <c r="AZ63" i="38"/>
  <c r="AY63" i="38"/>
  <c r="AX63" i="38"/>
  <c r="L63" i="38"/>
  <c r="AH63" i="38"/>
  <c r="AW63" i="38"/>
  <c r="AG63" i="38"/>
  <c r="AV63" i="38"/>
  <c r="AU63" i="38"/>
  <c r="AT63" i="38"/>
  <c r="AS63" i="38"/>
  <c r="AR63" i="38"/>
  <c r="C62" i="38"/>
  <c r="N62" i="38"/>
  <c r="AL62" i="38"/>
  <c r="BC62" i="38"/>
  <c r="AK62" i="38"/>
  <c r="BB62" i="38"/>
  <c r="BA62" i="38"/>
  <c r="AZ62" i="38"/>
  <c r="AY62" i="38"/>
  <c r="AX62" i="38"/>
  <c r="L62" i="38"/>
  <c r="AH62" i="38"/>
  <c r="AW62" i="38"/>
  <c r="AG62" i="38"/>
  <c r="AV62" i="38"/>
  <c r="AU62" i="38"/>
  <c r="AT62" i="38"/>
  <c r="AS62" i="38"/>
  <c r="AR62" i="38"/>
  <c r="C61" i="38"/>
  <c r="N61" i="38"/>
  <c r="AL61" i="38"/>
  <c r="BC61" i="38"/>
  <c r="AK61" i="38"/>
  <c r="BB61" i="38"/>
  <c r="BA61" i="38"/>
  <c r="AZ61" i="38"/>
  <c r="AY61" i="38"/>
  <c r="AX61" i="38"/>
  <c r="L61" i="38"/>
  <c r="AH61" i="38"/>
  <c r="AW61" i="38"/>
  <c r="AG61" i="38"/>
  <c r="AV61" i="38"/>
  <c r="AU61" i="38"/>
  <c r="AT61" i="38"/>
  <c r="AS61" i="38"/>
  <c r="AR61" i="38"/>
  <c r="C60" i="38"/>
  <c r="N60" i="38"/>
  <c r="AL60" i="38"/>
  <c r="BC60" i="38"/>
  <c r="AK60" i="38"/>
  <c r="BB60" i="38"/>
  <c r="BA60" i="38"/>
  <c r="AZ60" i="38"/>
  <c r="AY60" i="38"/>
  <c r="AX60" i="38"/>
  <c r="L60" i="38"/>
  <c r="AH60" i="38"/>
  <c r="AW60" i="38"/>
  <c r="AG60" i="38"/>
  <c r="AV60" i="38"/>
  <c r="AU60" i="38"/>
  <c r="AT60" i="38"/>
  <c r="AS60" i="38"/>
  <c r="AR60" i="38"/>
  <c r="C59" i="38"/>
  <c r="N59" i="38"/>
  <c r="AL59" i="38"/>
  <c r="BC59" i="38"/>
  <c r="AK59" i="38"/>
  <c r="BB59" i="38"/>
  <c r="BA59" i="38"/>
  <c r="AZ59" i="38"/>
  <c r="AY59" i="38"/>
  <c r="AX59" i="38"/>
  <c r="L59" i="38"/>
  <c r="AH59" i="38"/>
  <c r="AW59" i="38"/>
  <c r="AG59" i="38"/>
  <c r="AV59" i="38"/>
  <c r="AU59" i="38"/>
  <c r="AT59" i="38"/>
  <c r="AS59" i="38"/>
  <c r="AR59" i="38"/>
  <c r="C58" i="38"/>
  <c r="N58" i="38"/>
  <c r="AL58" i="38"/>
  <c r="BC58" i="38"/>
  <c r="AK58" i="38"/>
  <c r="BB58" i="38"/>
  <c r="BA58" i="38"/>
  <c r="AZ58" i="38"/>
  <c r="AY58" i="38"/>
  <c r="AX58" i="38"/>
  <c r="L58" i="38"/>
  <c r="AH58" i="38"/>
  <c r="AW58" i="38"/>
  <c r="AG58" i="38"/>
  <c r="AV58" i="38"/>
  <c r="AU58" i="38"/>
  <c r="AT58" i="38"/>
  <c r="AS58" i="38"/>
  <c r="AR58" i="38"/>
  <c r="C57" i="38"/>
  <c r="N57" i="38"/>
  <c r="AL57" i="38"/>
  <c r="BC57" i="38"/>
  <c r="AK57" i="38"/>
  <c r="BB57" i="38"/>
  <c r="BA57" i="38"/>
  <c r="AZ57" i="38"/>
  <c r="AY57" i="38"/>
  <c r="AX57" i="38"/>
  <c r="L57" i="38"/>
  <c r="AH57" i="38"/>
  <c r="AW57" i="38"/>
  <c r="AG57" i="38"/>
  <c r="AV57" i="38"/>
  <c r="AU57" i="38"/>
  <c r="AT57" i="38"/>
  <c r="AS57" i="38"/>
  <c r="AR57" i="38"/>
  <c r="C56" i="38"/>
  <c r="N56" i="38"/>
  <c r="AL56" i="38"/>
  <c r="BC56" i="38"/>
  <c r="AK56" i="38"/>
  <c r="BB56" i="38"/>
  <c r="BA56" i="38"/>
  <c r="AZ56" i="38"/>
  <c r="AY56" i="38"/>
  <c r="AX56" i="38"/>
  <c r="L56" i="38"/>
  <c r="AH56" i="38"/>
  <c r="AW56" i="38"/>
  <c r="AG56" i="38"/>
  <c r="AV56" i="38"/>
  <c r="AU56" i="38"/>
  <c r="AT56" i="38"/>
  <c r="AS56" i="38"/>
  <c r="AR56" i="38"/>
  <c r="C55" i="38"/>
  <c r="N55" i="38"/>
  <c r="AL55" i="38"/>
  <c r="BC55" i="38"/>
  <c r="AK55" i="38"/>
  <c r="BB55" i="38"/>
  <c r="BA55" i="38"/>
  <c r="AZ55" i="38"/>
  <c r="AY55" i="38"/>
  <c r="AX55" i="38"/>
  <c r="L55" i="38"/>
  <c r="AH55" i="38"/>
  <c r="AW55" i="38"/>
  <c r="AG55" i="38"/>
  <c r="AV55" i="38"/>
  <c r="AU55" i="38"/>
  <c r="AT55" i="38"/>
  <c r="AS55" i="38"/>
  <c r="AR55" i="38"/>
  <c r="C54" i="38"/>
  <c r="N54" i="38"/>
  <c r="AL54" i="38"/>
  <c r="BC54" i="38"/>
  <c r="AK54" i="38"/>
  <c r="BB54" i="38"/>
  <c r="BA54" i="38"/>
  <c r="AZ54" i="38"/>
  <c r="AY54" i="38"/>
  <c r="AX54" i="38"/>
  <c r="L54" i="38"/>
  <c r="AH54" i="38"/>
  <c r="AW54" i="38"/>
  <c r="AG54" i="38"/>
  <c r="AV54" i="38"/>
  <c r="AU54" i="38"/>
  <c r="AT54" i="38"/>
  <c r="AS54" i="38"/>
  <c r="AR54" i="38"/>
  <c r="C53" i="38"/>
  <c r="N53" i="38"/>
  <c r="AL53" i="38"/>
  <c r="BC53" i="38"/>
  <c r="AK53" i="38"/>
  <c r="BB53" i="38"/>
  <c r="BA53" i="38"/>
  <c r="AZ53" i="38"/>
  <c r="AY53" i="38"/>
  <c r="AX53" i="38"/>
  <c r="L53" i="38"/>
  <c r="AH53" i="38"/>
  <c r="AW53" i="38"/>
  <c r="AG53" i="38"/>
  <c r="AV53" i="38"/>
  <c r="AU53" i="38"/>
  <c r="AT53" i="38"/>
  <c r="AS53" i="38"/>
  <c r="AR53" i="38"/>
  <c r="C52" i="38"/>
  <c r="N52" i="38"/>
  <c r="AL52" i="38"/>
  <c r="BC52" i="38"/>
  <c r="AK52" i="38"/>
  <c r="BB52" i="38"/>
  <c r="BA52" i="38"/>
  <c r="AZ52" i="38"/>
  <c r="AY52" i="38"/>
  <c r="AX52" i="38"/>
  <c r="L52" i="38"/>
  <c r="AH52" i="38"/>
  <c r="AW52" i="38"/>
  <c r="AG52" i="38"/>
  <c r="AV52" i="38"/>
  <c r="AU52" i="38"/>
  <c r="AT52" i="38"/>
  <c r="AS52" i="38"/>
  <c r="AR52" i="38"/>
  <c r="C51" i="38"/>
  <c r="N51" i="38"/>
  <c r="AL51" i="38"/>
  <c r="BC51" i="38"/>
  <c r="AK51" i="38"/>
  <c r="BB51" i="38"/>
  <c r="BA51" i="38"/>
  <c r="AZ51" i="38"/>
  <c r="AY51" i="38"/>
  <c r="AX51" i="38"/>
  <c r="L51" i="38"/>
  <c r="AH51" i="38"/>
  <c r="AW51" i="38"/>
  <c r="AG51" i="38"/>
  <c r="AV51" i="38"/>
  <c r="AU51" i="38"/>
  <c r="AT51" i="38"/>
  <c r="AS51" i="38"/>
  <c r="AR51" i="38"/>
  <c r="C50" i="38"/>
  <c r="N50" i="38"/>
  <c r="AL50" i="38"/>
  <c r="BC50" i="38"/>
  <c r="AK50" i="38"/>
  <c r="BB50" i="38"/>
  <c r="BA50" i="38"/>
  <c r="AZ50" i="38"/>
  <c r="AY50" i="38"/>
  <c r="AX50" i="38"/>
  <c r="L50" i="38"/>
  <c r="AH50" i="38"/>
  <c r="AW50" i="38"/>
  <c r="AG50" i="38"/>
  <c r="AV50" i="38"/>
  <c r="AU50" i="38"/>
  <c r="AT50" i="38"/>
  <c r="AS50" i="38"/>
  <c r="AR50" i="38"/>
  <c r="C49" i="38"/>
  <c r="N49" i="38"/>
  <c r="AL49" i="38"/>
  <c r="BC49" i="38"/>
  <c r="AK49" i="38"/>
  <c r="BB49" i="38"/>
  <c r="BA49" i="38"/>
  <c r="AZ49" i="38"/>
  <c r="AY49" i="38"/>
  <c r="AX49" i="38"/>
  <c r="L49" i="38"/>
  <c r="AH49" i="38"/>
  <c r="AW49" i="38"/>
  <c r="AG49" i="38"/>
  <c r="AV49" i="38"/>
  <c r="AU49" i="38"/>
  <c r="AT49" i="38"/>
  <c r="AS49" i="38"/>
  <c r="AR49" i="38"/>
  <c r="C48" i="38"/>
  <c r="N48" i="38"/>
  <c r="AL48" i="38"/>
  <c r="BC48" i="38"/>
  <c r="AK48" i="38"/>
  <c r="BB48" i="38"/>
  <c r="BA48" i="38"/>
  <c r="AZ48" i="38"/>
  <c r="AY48" i="38"/>
  <c r="AX48" i="38"/>
  <c r="L48" i="38"/>
  <c r="AH48" i="38"/>
  <c r="AW48" i="38"/>
  <c r="AG48" i="38"/>
  <c r="AV48" i="38"/>
  <c r="AU48" i="38"/>
  <c r="AT48" i="38"/>
  <c r="AS48" i="38"/>
  <c r="AR48" i="38"/>
  <c r="C47" i="38"/>
  <c r="N47" i="38"/>
  <c r="AL47" i="38"/>
  <c r="BC47" i="38"/>
  <c r="AK47" i="38"/>
  <c r="BB47" i="38"/>
  <c r="BA47" i="38"/>
  <c r="AZ47" i="38"/>
  <c r="AY47" i="38"/>
  <c r="AX47" i="38"/>
  <c r="L47" i="38"/>
  <c r="AH47" i="38"/>
  <c r="AW47" i="38"/>
  <c r="AG47" i="38"/>
  <c r="AV47" i="38"/>
  <c r="AU47" i="38"/>
  <c r="AT47" i="38"/>
  <c r="AS47" i="38"/>
  <c r="AR47" i="38"/>
  <c r="C46" i="38"/>
  <c r="N46" i="38"/>
  <c r="AL46" i="38"/>
  <c r="BC46" i="38"/>
  <c r="AK46" i="38"/>
  <c r="BB46" i="38"/>
  <c r="BA46" i="38"/>
  <c r="AZ46" i="38"/>
  <c r="AY46" i="38"/>
  <c r="AX46" i="38"/>
  <c r="L46" i="38"/>
  <c r="AH46" i="38"/>
  <c r="AW46" i="38"/>
  <c r="AG46" i="38"/>
  <c r="AV46" i="38"/>
  <c r="AU46" i="38"/>
  <c r="AT46" i="38"/>
  <c r="AS46" i="38"/>
  <c r="AR46" i="38"/>
  <c r="C45" i="38"/>
  <c r="N45" i="38"/>
  <c r="AL45" i="38"/>
  <c r="BC45" i="38"/>
  <c r="AK45" i="38"/>
  <c r="BB45" i="38"/>
  <c r="BA45" i="38"/>
  <c r="AZ45" i="38"/>
  <c r="AY45" i="38"/>
  <c r="AX45" i="38"/>
  <c r="L45" i="38"/>
  <c r="AH45" i="38"/>
  <c r="AW45" i="38"/>
  <c r="AG45" i="38"/>
  <c r="AV45" i="38"/>
  <c r="AU45" i="38"/>
  <c r="AT45" i="38"/>
  <c r="AS45" i="38"/>
  <c r="AR45" i="38"/>
  <c r="C44" i="38"/>
  <c r="N44" i="38"/>
  <c r="AL44" i="38"/>
  <c r="BC44" i="38"/>
  <c r="AK44" i="38"/>
  <c r="BB44" i="38"/>
  <c r="BA44" i="38"/>
  <c r="AZ44" i="38"/>
  <c r="AY44" i="38"/>
  <c r="AX44" i="38"/>
  <c r="L44" i="38"/>
  <c r="AH44" i="38"/>
  <c r="AW44" i="38"/>
  <c r="AG44" i="38"/>
  <c r="AV44" i="38"/>
  <c r="AU44" i="38"/>
  <c r="AT44" i="38"/>
  <c r="AS44" i="38"/>
  <c r="AR44" i="38"/>
  <c r="C43" i="38"/>
  <c r="N43" i="38"/>
  <c r="AL43" i="38"/>
  <c r="BC43" i="38"/>
  <c r="AK43" i="38"/>
  <c r="BB43" i="38"/>
  <c r="BA43" i="38"/>
  <c r="AZ43" i="38"/>
  <c r="AY43" i="38"/>
  <c r="AX43" i="38"/>
  <c r="L43" i="38"/>
  <c r="AH43" i="38"/>
  <c r="AW43" i="38"/>
  <c r="AG43" i="38"/>
  <c r="AV43" i="38"/>
  <c r="AU43" i="38"/>
  <c r="AT43" i="38"/>
  <c r="AS43" i="38"/>
  <c r="AR43" i="38"/>
  <c r="C42" i="38"/>
  <c r="N42" i="38"/>
  <c r="AL42" i="38"/>
  <c r="BC42" i="38"/>
  <c r="AK42" i="38"/>
  <c r="BB42" i="38"/>
  <c r="BA42" i="38"/>
  <c r="AZ42" i="38"/>
  <c r="AY42" i="38"/>
  <c r="AX42" i="38"/>
  <c r="L42" i="38"/>
  <c r="AH42" i="38"/>
  <c r="AW42" i="38"/>
  <c r="AG42" i="38"/>
  <c r="AV42" i="38"/>
  <c r="AU42" i="38"/>
  <c r="AT42" i="38"/>
  <c r="AS42" i="38"/>
  <c r="AR42" i="38"/>
  <c r="C41" i="38"/>
  <c r="N41" i="38"/>
  <c r="AL41" i="38"/>
  <c r="BC41" i="38"/>
  <c r="AK41" i="38"/>
  <c r="BB41" i="38"/>
  <c r="BA41" i="38"/>
  <c r="AZ41" i="38"/>
  <c r="AY41" i="38"/>
  <c r="AX41" i="38"/>
  <c r="L41" i="38"/>
  <c r="AH41" i="38"/>
  <c r="AW41" i="38"/>
  <c r="AG41" i="38"/>
  <c r="AV41" i="38"/>
  <c r="AU41" i="38"/>
  <c r="AT41" i="38"/>
  <c r="AS41" i="38"/>
  <c r="AR41" i="38"/>
  <c r="C40" i="38"/>
  <c r="N40" i="38"/>
  <c r="AL40" i="38"/>
  <c r="BC40" i="38"/>
  <c r="AK40" i="38"/>
  <c r="BB40" i="38"/>
  <c r="BA40" i="38"/>
  <c r="AZ40" i="38"/>
  <c r="AY40" i="38"/>
  <c r="AX40" i="38"/>
  <c r="L40" i="38"/>
  <c r="AH40" i="38"/>
  <c r="AW40" i="38"/>
  <c r="AG40" i="38"/>
  <c r="AV40" i="38"/>
  <c r="AU40" i="38"/>
  <c r="AT40" i="38"/>
  <c r="AS40" i="38"/>
  <c r="AR40" i="38"/>
  <c r="C39" i="38"/>
  <c r="N39" i="38"/>
  <c r="AL39" i="38"/>
  <c r="BC39" i="38"/>
  <c r="AK39" i="38"/>
  <c r="BB39" i="38"/>
  <c r="BA39" i="38"/>
  <c r="AZ39" i="38"/>
  <c r="AY39" i="38"/>
  <c r="AX39" i="38"/>
  <c r="L39" i="38"/>
  <c r="AH39" i="38"/>
  <c r="AW39" i="38"/>
  <c r="AG39" i="38"/>
  <c r="AV39" i="38"/>
  <c r="AU39" i="38"/>
  <c r="AT39" i="38"/>
  <c r="AS39" i="38"/>
  <c r="AR39" i="38"/>
  <c r="C38" i="38"/>
  <c r="N38" i="38"/>
  <c r="AL38" i="38"/>
  <c r="BC38" i="38"/>
  <c r="AK38" i="38"/>
  <c r="BB38" i="38"/>
  <c r="BA38" i="38"/>
  <c r="AZ38" i="38"/>
  <c r="AY38" i="38"/>
  <c r="AX38" i="38"/>
  <c r="L38" i="38"/>
  <c r="AH38" i="38"/>
  <c r="AW38" i="38"/>
  <c r="AG38" i="38"/>
  <c r="AV38" i="38"/>
  <c r="AU38" i="38"/>
  <c r="AT38" i="38"/>
  <c r="AS38" i="38"/>
  <c r="AR38" i="38"/>
  <c r="C37" i="38"/>
  <c r="N37" i="38"/>
  <c r="AL37" i="38"/>
  <c r="BC37" i="38"/>
  <c r="AK37" i="38"/>
  <c r="BB37" i="38"/>
  <c r="BA37" i="38"/>
  <c r="AZ37" i="38"/>
  <c r="AY37" i="38"/>
  <c r="AX37" i="38"/>
  <c r="L37" i="38"/>
  <c r="AH37" i="38"/>
  <c r="AW37" i="38"/>
  <c r="AG37" i="38"/>
  <c r="AV37" i="38"/>
  <c r="AU37" i="38"/>
  <c r="AT37" i="38"/>
  <c r="AS37" i="38"/>
  <c r="AR37" i="38"/>
  <c r="C36" i="38"/>
  <c r="N36" i="38"/>
  <c r="AL36" i="38"/>
  <c r="BC36" i="38"/>
  <c r="AK36" i="38"/>
  <c r="BB36" i="38"/>
  <c r="BA36" i="38"/>
  <c r="AZ36" i="38"/>
  <c r="AY36" i="38"/>
  <c r="AX36" i="38"/>
  <c r="L36" i="38"/>
  <c r="AH36" i="38"/>
  <c r="AW36" i="38"/>
  <c r="AG36" i="38"/>
  <c r="AV36" i="38"/>
  <c r="AU36" i="38"/>
  <c r="AT36" i="38"/>
  <c r="AS36" i="38"/>
  <c r="AR36" i="38"/>
  <c r="C35" i="38"/>
  <c r="N35" i="38"/>
  <c r="AL35" i="38"/>
  <c r="BC35" i="38"/>
  <c r="AK35" i="38"/>
  <c r="BB35" i="38"/>
  <c r="BA35" i="38"/>
  <c r="AZ35" i="38"/>
  <c r="AY35" i="38"/>
  <c r="AX35" i="38"/>
  <c r="L35" i="38"/>
  <c r="AH35" i="38"/>
  <c r="AW35" i="38"/>
  <c r="AG35" i="38"/>
  <c r="AV35" i="38"/>
  <c r="AU35" i="38"/>
  <c r="AT35" i="38"/>
  <c r="AS35" i="38"/>
  <c r="AR35" i="38"/>
  <c r="C34" i="38"/>
  <c r="N34" i="38"/>
  <c r="AL34" i="38"/>
  <c r="BC34" i="38"/>
  <c r="AK34" i="38"/>
  <c r="BB34" i="38"/>
  <c r="BA34" i="38"/>
  <c r="AZ34" i="38"/>
  <c r="AY34" i="38"/>
  <c r="AX34" i="38"/>
  <c r="L34" i="38"/>
  <c r="AH34" i="38"/>
  <c r="AW34" i="38"/>
  <c r="AG34" i="38"/>
  <c r="AV34" i="38"/>
  <c r="AU34" i="38"/>
  <c r="AT34" i="38"/>
  <c r="AS34" i="38"/>
  <c r="AR34" i="38"/>
  <c r="C33" i="38"/>
  <c r="N33" i="38"/>
  <c r="AL33" i="38"/>
  <c r="BC33" i="38"/>
  <c r="AK33" i="38"/>
  <c r="BB33" i="38"/>
  <c r="BA33" i="38"/>
  <c r="AZ33" i="38"/>
  <c r="AY33" i="38"/>
  <c r="AX33" i="38"/>
  <c r="L33" i="38"/>
  <c r="AH33" i="38"/>
  <c r="AW33" i="38"/>
  <c r="AG33" i="38"/>
  <c r="AV33" i="38"/>
  <c r="AU33" i="38"/>
  <c r="AT33" i="38"/>
  <c r="AS33" i="38"/>
  <c r="AR33" i="38"/>
  <c r="C32" i="38"/>
  <c r="N32" i="38"/>
  <c r="AL32" i="38"/>
  <c r="BC32" i="38"/>
  <c r="AK32" i="38"/>
  <c r="BB32" i="38"/>
  <c r="BA32" i="38"/>
  <c r="AZ32" i="38"/>
  <c r="AY32" i="38"/>
  <c r="AX32" i="38"/>
  <c r="L32" i="38"/>
  <c r="AH32" i="38"/>
  <c r="AW32" i="38"/>
  <c r="AG32" i="38"/>
  <c r="AV32" i="38"/>
  <c r="AU32" i="38"/>
  <c r="AT32" i="38"/>
  <c r="AS32" i="38"/>
  <c r="AR32" i="38"/>
  <c r="C31" i="38"/>
  <c r="N31" i="38"/>
  <c r="AL31" i="38"/>
  <c r="BC31" i="38"/>
  <c r="AK31" i="38"/>
  <c r="BB31" i="38"/>
  <c r="BA31" i="38"/>
  <c r="AZ31" i="38"/>
  <c r="AY31" i="38"/>
  <c r="AX31" i="38"/>
  <c r="L31" i="38"/>
  <c r="AH31" i="38"/>
  <c r="AW31" i="38"/>
  <c r="AG31" i="38"/>
  <c r="AV31" i="38"/>
  <c r="AU31" i="38"/>
  <c r="AT31" i="38"/>
  <c r="AS31" i="38"/>
  <c r="AR31" i="38"/>
  <c r="C30" i="38"/>
  <c r="N30" i="38"/>
  <c r="AL30" i="38"/>
  <c r="BC30" i="38"/>
  <c r="AK30" i="38"/>
  <c r="BB30" i="38"/>
  <c r="BA30" i="38"/>
  <c r="AZ30" i="38"/>
  <c r="AY30" i="38"/>
  <c r="AX30" i="38"/>
  <c r="L30" i="38"/>
  <c r="AH30" i="38"/>
  <c r="AW30" i="38"/>
  <c r="AG30" i="38"/>
  <c r="AV30" i="38"/>
  <c r="AU30" i="38"/>
  <c r="AT30" i="38"/>
  <c r="AS30" i="38"/>
  <c r="AR30" i="38"/>
  <c r="C29" i="38"/>
  <c r="N29" i="38"/>
  <c r="AL29" i="38"/>
  <c r="BC29" i="38"/>
  <c r="AK29" i="38"/>
  <c r="BB29" i="38"/>
  <c r="BA29" i="38"/>
  <c r="AZ29" i="38"/>
  <c r="AY29" i="38"/>
  <c r="AX29" i="38"/>
  <c r="L29" i="38"/>
  <c r="AH29" i="38"/>
  <c r="AW29" i="38"/>
  <c r="AG29" i="38"/>
  <c r="AV29" i="38"/>
  <c r="AU29" i="38"/>
  <c r="AT29" i="38"/>
  <c r="AS29" i="38"/>
  <c r="AR29" i="38"/>
  <c r="C28" i="38"/>
  <c r="N28" i="38"/>
  <c r="AL28" i="38"/>
  <c r="BC28" i="38"/>
  <c r="AK28" i="38"/>
  <c r="BB28" i="38"/>
  <c r="BA28" i="38"/>
  <c r="AZ28" i="38"/>
  <c r="AY28" i="38"/>
  <c r="AX28" i="38"/>
  <c r="L28" i="38"/>
  <c r="AH28" i="38"/>
  <c r="AW28" i="38"/>
  <c r="AG28" i="38"/>
  <c r="AV28" i="38"/>
  <c r="AU28" i="38"/>
  <c r="AT28" i="38"/>
  <c r="AS28" i="38"/>
  <c r="AR28" i="38"/>
  <c r="C27" i="38"/>
  <c r="N27" i="38"/>
  <c r="AL27" i="38"/>
  <c r="BC27" i="38"/>
  <c r="AK27" i="38"/>
  <c r="BB27" i="38"/>
  <c r="BA27" i="38"/>
  <c r="AZ27" i="38"/>
  <c r="AY27" i="38"/>
  <c r="AX27" i="38"/>
  <c r="L27" i="38"/>
  <c r="AH27" i="38"/>
  <c r="AW27" i="38"/>
  <c r="AG27" i="38"/>
  <c r="AV27" i="38"/>
  <c r="AU27" i="38"/>
  <c r="AT27" i="38"/>
  <c r="AS27" i="38"/>
  <c r="AR27" i="38"/>
  <c r="C26" i="38"/>
  <c r="N26" i="38"/>
  <c r="AL26" i="38"/>
  <c r="BC26" i="38"/>
  <c r="AK26" i="38"/>
  <c r="BB26" i="38"/>
  <c r="BA26" i="38"/>
  <c r="AZ26" i="38"/>
  <c r="AY26" i="38"/>
  <c r="AX26" i="38"/>
  <c r="L26" i="38"/>
  <c r="AH26" i="38"/>
  <c r="AW26" i="38"/>
  <c r="AG26" i="38"/>
  <c r="AV26" i="38"/>
  <c r="AU26" i="38"/>
  <c r="AT26" i="38"/>
  <c r="AS26" i="38"/>
  <c r="AR26" i="38"/>
  <c r="C25" i="38"/>
  <c r="N25" i="38"/>
  <c r="AL25" i="38"/>
  <c r="BC25" i="38"/>
  <c r="AK25" i="38"/>
  <c r="BB25" i="38"/>
  <c r="BA25" i="38"/>
  <c r="AZ25" i="38"/>
  <c r="AY25" i="38"/>
  <c r="AX25" i="38"/>
  <c r="L25" i="38"/>
  <c r="AH25" i="38"/>
  <c r="AW25" i="38"/>
  <c r="AG25" i="38"/>
  <c r="AV25" i="38"/>
  <c r="AU25" i="38"/>
  <c r="AT25" i="38"/>
  <c r="AS25" i="38"/>
  <c r="AR25" i="38"/>
  <c r="C24" i="38"/>
  <c r="N24" i="38"/>
  <c r="AL24" i="38"/>
  <c r="BC24" i="38"/>
  <c r="AK24" i="38"/>
  <c r="BB24" i="38"/>
  <c r="BA24" i="38"/>
  <c r="AZ24" i="38"/>
  <c r="AY24" i="38"/>
  <c r="AX24" i="38"/>
  <c r="L24" i="38"/>
  <c r="AH24" i="38"/>
  <c r="AW24" i="38"/>
  <c r="AG24" i="38"/>
  <c r="AV24" i="38"/>
  <c r="AU24" i="38"/>
  <c r="AT24" i="38"/>
  <c r="AS24" i="38"/>
  <c r="AR24" i="38"/>
  <c r="C23" i="38"/>
  <c r="N23" i="38"/>
  <c r="AL23" i="38"/>
  <c r="BC23" i="38"/>
  <c r="AK23" i="38"/>
  <c r="BB23" i="38"/>
  <c r="BA23" i="38"/>
  <c r="AZ23" i="38"/>
  <c r="AY23" i="38"/>
  <c r="AX23" i="38"/>
  <c r="L23" i="38"/>
  <c r="AH23" i="38"/>
  <c r="AW23" i="38"/>
  <c r="AG23" i="38"/>
  <c r="AV23" i="38"/>
  <c r="AU23" i="38"/>
  <c r="AT23" i="38"/>
  <c r="AS23" i="38"/>
  <c r="AR23" i="38"/>
  <c r="C22" i="38"/>
  <c r="N22" i="38"/>
  <c r="AL22" i="38"/>
  <c r="BC22" i="38"/>
  <c r="AK22" i="38"/>
  <c r="BB22" i="38"/>
  <c r="BA22" i="38"/>
  <c r="AZ22" i="38"/>
  <c r="AY22" i="38"/>
  <c r="AX22" i="38"/>
  <c r="L22" i="38"/>
  <c r="AH22" i="38"/>
  <c r="AW22" i="38"/>
  <c r="AG22" i="38"/>
  <c r="AV22" i="38"/>
  <c r="AU22" i="38"/>
  <c r="AT22" i="38"/>
  <c r="AS22" i="38"/>
  <c r="AR22" i="38"/>
  <c r="C21" i="38"/>
  <c r="N21" i="38"/>
  <c r="AL21" i="38"/>
  <c r="BC21" i="38"/>
  <c r="AK21" i="38"/>
  <c r="BB21" i="38"/>
  <c r="BA21" i="38"/>
  <c r="AZ21" i="38"/>
  <c r="AY21" i="38"/>
  <c r="AX21" i="38"/>
  <c r="L21" i="38"/>
  <c r="AH21" i="38"/>
  <c r="AW21" i="38"/>
  <c r="AG21" i="38"/>
  <c r="AV21" i="38"/>
  <c r="AU21" i="38"/>
  <c r="AT21" i="38"/>
  <c r="AS21" i="38"/>
  <c r="AR21" i="38"/>
  <c r="C20" i="38"/>
  <c r="N20" i="38"/>
  <c r="AL20" i="38"/>
  <c r="BC20" i="38"/>
  <c r="AK20" i="38"/>
  <c r="BB20" i="38"/>
  <c r="BA20" i="38"/>
  <c r="AZ20" i="38"/>
  <c r="AY20" i="38"/>
  <c r="AX20" i="38"/>
  <c r="L20" i="38"/>
  <c r="AH20" i="38"/>
  <c r="AW20" i="38"/>
  <c r="AG20" i="38"/>
  <c r="AV20" i="38"/>
  <c r="AU20" i="38"/>
  <c r="AT20" i="38"/>
  <c r="AS20" i="38"/>
  <c r="AR20" i="38"/>
  <c r="C19" i="38"/>
  <c r="N19" i="38"/>
  <c r="AL19" i="38"/>
  <c r="BC19" i="38"/>
  <c r="AK19" i="38"/>
  <c r="BB19" i="38"/>
  <c r="BA19" i="38"/>
  <c r="AZ19" i="38"/>
  <c r="AY19" i="38"/>
  <c r="AX19" i="38"/>
  <c r="L19" i="38"/>
  <c r="AH19" i="38"/>
  <c r="AW19" i="38"/>
  <c r="AG19" i="38"/>
  <c r="AV19" i="38"/>
  <c r="AU19" i="38"/>
  <c r="AT19" i="38"/>
  <c r="AS19" i="38"/>
  <c r="AR19" i="38"/>
  <c r="C18" i="38"/>
  <c r="N18" i="38"/>
  <c r="AL18" i="38"/>
  <c r="BC18" i="38"/>
  <c r="AK18" i="38"/>
  <c r="BB18" i="38"/>
  <c r="BA18" i="38"/>
  <c r="AZ18" i="38"/>
  <c r="AY18" i="38"/>
  <c r="AX18" i="38"/>
  <c r="L18" i="38"/>
  <c r="AH18" i="38"/>
  <c r="AW18" i="38"/>
  <c r="AG18" i="38"/>
  <c r="AV18" i="38"/>
  <c r="AU18" i="38"/>
  <c r="AT18" i="38"/>
  <c r="AS18" i="38"/>
  <c r="AR18" i="38"/>
  <c r="C17" i="38"/>
  <c r="N17" i="38"/>
  <c r="AL17" i="38"/>
  <c r="BC17" i="38"/>
  <c r="AK17" i="38"/>
  <c r="BB17" i="38"/>
  <c r="BA17" i="38"/>
  <c r="AZ17" i="38"/>
  <c r="AY17" i="38"/>
  <c r="AX17" i="38"/>
  <c r="L17" i="38"/>
  <c r="AH17" i="38"/>
  <c r="AW17" i="38"/>
  <c r="AG17" i="38"/>
  <c r="AV17" i="38"/>
  <c r="AU17" i="38"/>
  <c r="AT17" i="38"/>
  <c r="AS17" i="38"/>
  <c r="AR17" i="38"/>
  <c r="C16" i="38"/>
  <c r="N16" i="38"/>
  <c r="AL16" i="38"/>
  <c r="BC16" i="38"/>
  <c r="AK16" i="38"/>
  <c r="BB16" i="38"/>
  <c r="BA16" i="38"/>
  <c r="AZ16" i="38"/>
  <c r="AY16" i="38"/>
  <c r="AX16" i="38"/>
  <c r="L16" i="38"/>
  <c r="AH16" i="38"/>
  <c r="AW16" i="38"/>
  <c r="AG16" i="38"/>
  <c r="AV16" i="38"/>
  <c r="AU16" i="38"/>
  <c r="AT16" i="38"/>
  <c r="AS16" i="38"/>
  <c r="AR16" i="38"/>
  <c r="C15" i="38"/>
  <c r="N15" i="38"/>
  <c r="AL15" i="38"/>
  <c r="BC15" i="38"/>
  <c r="AK15" i="38"/>
  <c r="BB15" i="38"/>
  <c r="BA15" i="38"/>
  <c r="AZ15" i="38"/>
  <c r="AY15" i="38"/>
  <c r="AX15" i="38"/>
  <c r="L15" i="38"/>
  <c r="AH15" i="38"/>
  <c r="AW15" i="38"/>
  <c r="AG15" i="38"/>
  <c r="AV15" i="38"/>
  <c r="AU15" i="38"/>
  <c r="AT15" i="38"/>
  <c r="AS15" i="38"/>
  <c r="AR15" i="38"/>
  <c r="C14" i="38"/>
  <c r="N14" i="38"/>
  <c r="AL14" i="38"/>
  <c r="BC14" i="38"/>
  <c r="AK14" i="38"/>
  <c r="BB14" i="38"/>
  <c r="BA14" i="38"/>
  <c r="AZ14" i="38"/>
  <c r="AY14" i="38"/>
  <c r="AX14" i="38"/>
  <c r="L14" i="38"/>
  <c r="AH14" i="38"/>
  <c r="AW14" i="38"/>
  <c r="AG14" i="38"/>
  <c r="AV14" i="38"/>
  <c r="AU14" i="38"/>
  <c r="AT14" i="38"/>
  <c r="AS14" i="38"/>
  <c r="AR14" i="38"/>
  <c r="C13" i="38"/>
  <c r="N13" i="38"/>
  <c r="AL13" i="38"/>
  <c r="BC13" i="38"/>
  <c r="AK13" i="38"/>
  <c r="BB13" i="38"/>
  <c r="BA13" i="38"/>
  <c r="AZ13" i="38"/>
  <c r="AY13" i="38"/>
  <c r="AX13" i="38"/>
  <c r="L13" i="38"/>
  <c r="AH13" i="38"/>
  <c r="AW13" i="38"/>
  <c r="AG13" i="38"/>
  <c r="AV13" i="38"/>
  <c r="AU13" i="38"/>
  <c r="AT13" i="38"/>
  <c r="AS13" i="38"/>
  <c r="AR13" i="38"/>
  <c r="C12" i="38"/>
  <c r="N12" i="38"/>
  <c r="AL12" i="38"/>
  <c r="BC12" i="38"/>
  <c r="AK12" i="38"/>
  <c r="BB12" i="38"/>
  <c r="BA12" i="38"/>
  <c r="AZ12" i="38"/>
  <c r="AY12" i="38"/>
  <c r="AX12" i="38"/>
  <c r="L12" i="38"/>
  <c r="AH12" i="38"/>
  <c r="AW12" i="38"/>
  <c r="AG12" i="38"/>
  <c r="AV12" i="38"/>
  <c r="AU12" i="38"/>
  <c r="AT12" i="38"/>
  <c r="AS12" i="38"/>
  <c r="AR12" i="38"/>
  <c r="C11" i="38"/>
  <c r="N11" i="38"/>
  <c r="AL11" i="38"/>
  <c r="BC11" i="38"/>
  <c r="AK11" i="38"/>
  <c r="BB11" i="38"/>
  <c r="BA11" i="38"/>
  <c r="AZ11" i="38"/>
  <c r="AY11" i="38"/>
  <c r="AX11" i="38"/>
  <c r="L11" i="38"/>
  <c r="AH11" i="38"/>
  <c r="AW11" i="38"/>
  <c r="AG11" i="38"/>
  <c r="AV11" i="38"/>
  <c r="AU11" i="38"/>
  <c r="AT11" i="38"/>
  <c r="AS11" i="38"/>
  <c r="AR11" i="38"/>
  <c r="C10" i="38"/>
  <c r="N10" i="38"/>
  <c r="AL10" i="38"/>
  <c r="BC10" i="38"/>
  <c r="AK10" i="38"/>
  <c r="BB10" i="38"/>
  <c r="BA10" i="38"/>
  <c r="AZ10" i="38"/>
  <c r="AY10" i="38"/>
  <c r="AX10" i="38"/>
  <c r="L10" i="38"/>
  <c r="AH10" i="38"/>
  <c r="AW10" i="38"/>
  <c r="AG10" i="38"/>
  <c r="AV10" i="38"/>
  <c r="AU10" i="38"/>
  <c r="AT10" i="38"/>
  <c r="AS10" i="38"/>
  <c r="AR10" i="38"/>
  <c r="C9" i="38"/>
  <c r="N9" i="38"/>
  <c r="AL9" i="38"/>
  <c r="BC9" i="38"/>
  <c r="AK9" i="38"/>
  <c r="BB9" i="38"/>
  <c r="BA9" i="38"/>
  <c r="AZ9" i="38"/>
  <c r="AY9" i="38"/>
  <c r="AX9" i="38"/>
  <c r="L9" i="38"/>
  <c r="AH9" i="38"/>
  <c r="AW9" i="38"/>
  <c r="AG9" i="38"/>
  <c r="AV9" i="38"/>
  <c r="AU9" i="38"/>
  <c r="AT9" i="38"/>
  <c r="AS9" i="38"/>
  <c r="AR9" i="38"/>
  <c r="C8" i="38"/>
  <c r="N8" i="38"/>
  <c r="AK8" i="38"/>
  <c r="BB8" i="38"/>
  <c r="AZ8" i="38"/>
  <c r="AL8" i="38"/>
  <c r="BA8" i="38"/>
  <c r="AX8" i="38"/>
  <c r="AY8" i="38"/>
  <c r="L8" i="38"/>
  <c r="AG8" i="38"/>
  <c r="AV8" i="38"/>
  <c r="AH8" i="38"/>
  <c r="AU8" i="38"/>
  <c r="AT8" i="38"/>
  <c r="AS8" i="38"/>
  <c r="AR8" i="38"/>
  <c r="P80" i="38"/>
  <c r="AC80" i="38"/>
  <c r="AP80" i="38"/>
  <c r="AB80" i="38"/>
  <c r="AO80" i="38"/>
  <c r="O80" i="38"/>
  <c r="AA80" i="38"/>
  <c r="AN80" i="38"/>
  <c r="Z80" i="38"/>
  <c r="AM80" i="38"/>
  <c r="M80" i="38"/>
  <c r="W80" i="38"/>
  <c r="AJ80" i="38"/>
  <c r="V80" i="38"/>
  <c r="AI80" i="38"/>
  <c r="K80" i="38"/>
  <c r="S80" i="38"/>
  <c r="AF80" i="38"/>
  <c r="R80" i="38"/>
  <c r="AE80" i="38"/>
  <c r="P79" i="38"/>
  <c r="AC79" i="38"/>
  <c r="AP79" i="38"/>
  <c r="AB79" i="38"/>
  <c r="AO79" i="38"/>
  <c r="O79" i="38"/>
  <c r="AA79" i="38"/>
  <c r="AN79" i="38"/>
  <c r="Z79" i="38"/>
  <c r="AM79" i="38"/>
  <c r="M79" i="38"/>
  <c r="W79" i="38"/>
  <c r="AJ79" i="38"/>
  <c r="V79" i="38"/>
  <c r="AI79" i="38"/>
  <c r="K79" i="38"/>
  <c r="S79" i="38"/>
  <c r="AF79" i="38"/>
  <c r="R79" i="38"/>
  <c r="AE79" i="38"/>
  <c r="P78" i="38"/>
  <c r="AC78" i="38"/>
  <c r="AP78" i="38"/>
  <c r="AB78" i="38"/>
  <c r="AO78" i="38"/>
  <c r="O78" i="38"/>
  <c r="AA78" i="38"/>
  <c r="AN78" i="38"/>
  <c r="Z78" i="38"/>
  <c r="AM78" i="38"/>
  <c r="M78" i="38"/>
  <c r="W78" i="38"/>
  <c r="AJ78" i="38"/>
  <c r="V78" i="38"/>
  <c r="AI78" i="38"/>
  <c r="K78" i="38"/>
  <c r="S78" i="38"/>
  <c r="AF78" i="38"/>
  <c r="R78" i="38"/>
  <c r="AE78" i="38"/>
  <c r="P77" i="38"/>
  <c r="AC77" i="38"/>
  <c r="AP77" i="38"/>
  <c r="AB77" i="38"/>
  <c r="AO77" i="38"/>
  <c r="O77" i="38"/>
  <c r="AA77" i="38"/>
  <c r="AN77" i="38"/>
  <c r="Z77" i="38"/>
  <c r="AM77" i="38"/>
  <c r="M77" i="38"/>
  <c r="W77" i="38"/>
  <c r="AJ77" i="38"/>
  <c r="V77" i="38"/>
  <c r="AI77" i="38"/>
  <c r="K77" i="38"/>
  <c r="S77" i="38"/>
  <c r="AF77" i="38"/>
  <c r="R77" i="38"/>
  <c r="AE77" i="38"/>
  <c r="P76" i="38"/>
  <c r="AC76" i="38"/>
  <c r="AP76" i="38"/>
  <c r="AB76" i="38"/>
  <c r="AO76" i="38"/>
  <c r="O76" i="38"/>
  <c r="AA76" i="38"/>
  <c r="AN76" i="38"/>
  <c r="Z76" i="38"/>
  <c r="AM76" i="38"/>
  <c r="M76" i="38"/>
  <c r="W76" i="38"/>
  <c r="AJ76" i="38"/>
  <c r="V76" i="38"/>
  <c r="AI76" i="38"/>
  <c r="K76" i="38"/>
  <c r="S76" i="38"/>
  <c r="AF76" i="38"/>
  <c r="R76" i="38"/>
  <c r="AE76" i="38"/>
  <c r="P75" i="38"/>
  <c r="AC75" i="38"/>
  <c r="AP75" i="38"/>
  <c r="AB75" i="38"/>
  <c r="AO75" i="38"/>
  <c r="O75" i="38"/>
  <c r="AA75" i="38"/>
  <c r="AN75" i="38"/>
  <c r="Z75" i="38"/>
  <c r="AM75" i="38"/>
  <c r="M75" i="38"/>
  <c r="W75" i="38"/>
  <c r="AJ75" i="38"/>
  <c r="V75" i="38"/>
  <c r="AI75" i="38"/>
  <c r="K75" i="38"/>
  <c r="S75" i="38"/>
  <c r="AF75" i="38"/>
  <c r="R75" i="38"/>
  <c r="AE75" i="38"/>
  <c r="P74" i="38"/>
  <c r="AC74" i="38"/>
  <c r="AP74" i="38"/>
  <c r="AB74" i="38"/>
  <c r="AO74" i="38"/>
  <c r="O74" i="38"/>
  <c r="AA74" i="38"/>
  <c r="AN74" i="38"/>
  <c r="Z74" i="38"/>
  <c r="AM74" i="38"/>
  <c r="M74" i="38"/>
  <c r="W74" i="38"/>
  <c r="AJ74" i="38"/>
  <c r="V74" i="38"/>
  <c r="AI74" i="38"/>
  <c r="K74" i="38"/>
  <c r="S74" i="38"/>
  <c r="AF74" i="38"/>
  <c r="R74" i="38"/>
  <c r="AE74" i="38"/>
  <c r="P73" i="38"/>
  <c r="AC73" i="38"/>
  <c r="AP73" i="38"/>
  <c r="AB73" i="38"/>
  <c r="AO73" i="38"/>
  <c r="O73" i="38"/>
  <c r="AA73" i="38"/>
  <c r="AN73" i="38"/>
  <c r="Z73" i="38"/>
  <c r="AM73" i="38"/>
  <c r="M73" i="38"/>
  <c r="W73" i="38"/>
  <c r="AJ73" i="38"/>
  <c r="V73" i="38"/>
  <c r="AI73" i="38"/>
  <c r="K73" i="38"/>
  <c r="S73" i="38"/>
  <c r="AF73" i="38"/>
  <c r="R73" i="38"/>
  <c r="AE73" i="38"/>
  <c r="P72" i="38"/>
  <c r="AC72" i="38"/>
  <c r="AP72" i="38"/>
  <c r="AB72" i="38"/>
  <c r="AO72" i="38"/>
  <c r="O72" i="38"/>
  <c r="AA72" i="38"/>
  <c r="AN72" i="38"/>
  <c r="Z72" i="38"/>
  <c r="AM72" i="38"/>
  <c r="M72" i="38"/>
  <c r="W72" i="38"/>
  <c r="AJ72" i="38"/>
  <c r="V72" i="38"/>
  <c r="AI72" i="38"/>
  <c r="K72" i="38"/>
  <c r="S72" i="38"/>
  <c r="AF72" i="38"/>
  <c r="R72" i="38"/>
  <c r="AE72" i="38"/>
  <c r="P71" i="38"/>
  <c r="AC71" i="38"/>
  <c r="AP71" i="38"/>
  <c r="AB71" i="38"/>
  <c r="AO71" i="38"/>
  <c r="O71" i="38"/>
  <c r="AA71" i="38"/>
  <c r="AN71" i="38"/>
  <c r="Z71" i="38"/>
  <c r="AM71" i="38"/>
  <c r="M71" i="38"/>
  <c r="W71" i="38"/>
  <c r="AJ71" i="38"/>
  <c r="V71" i="38"/>
  <c r="AI71" i="38"/>
  <c r="K71" i="38"/>
  <c r="S71" i="38"/>
  <c r="AF71" i="38"/>
  <c r="R71" i="38"/>
  <c r="AE71" i="38"/>
  <c r="P70" i="38"/>
  <c r="AC70" i="38"/>
  <c r="AP70" i="38"/>
  <c r="AB70" i="38"/>
  <c r="AO70" i="38"/>
  <c r="O70" i="38"/>
  <c r="AA70" i="38"/>
  <c r="AN70" i="38"/>
  <c r="Z70" i="38"/>
  <c r="AM70" i="38"/>
  <c r="M70" i="38"/>
  <c r="W70" i="38"/>
  <c r="AJ70" i="38"/>
  <c r="V70" i="38"/>
  <c r="AI70" i="38"/>
  <c r="K70" i="38"/>
  <c r="S70" i="38"/>
  <c r="AF70" i="38"/>
  <c r="R70" i="38"/>
  <c r="AE70" i="38"/>
  <c r="P69" i="38"/>
  <c r="AC69" i="38"/>
  <c r="AP69" i="38"/>
  <c r="AB69" i="38"/>
  <c r="AO69" i="38"/>
  <c r="O69" i="38"/>
  <c r="AA69" i="38"/>
  <c r="AN69" i="38"/>
  <c r="Z69" i="38"/>
  <c r="AM69" i="38"/>
  <c r="M69" i="38"/>
  <c r="W69" i="38"/>
  <c r="AJ69" i="38"/>
  <c r="V69" i="38"/>
  <c r="AI69" i="38"/>
  <c r="K69" i="38"/>
  <c r="S69" i="38"/>
  <c r="AF69" i="38"/>
  <c r="R69" i="38"/>
  <c r="AE69" i="38"/>
  <c r="P68" i="38"/>
  <c r="AC68" i="38"/>
  <c r="AP68" i="38"/>
  <c r="AB68" i="38"/>
  <c r="AO68" i="38"/>
  <c r="O68" i="38"/>
  <c r="AA68" i="38"/>
  <c r="AN68" i="38"/>
  <c r="Z68" i="38"/>
  <c r="AM68" i="38"/>
  <c r="M68" i="38"/>
  <c r="W68" i="38"/>
  <c r="AJ68" i="38"/>
  <c r="V68" i="38"/>
  <c r="AI68" i="38"/>
  <c r="K68" i="38"/>
  <c r="S68" i="38"/>
  <c r="AF68" i="38"/>
  <c r="R68" i="38"/>
  <c r="AE68" i="38"/>
  <c r="P67" i="38"/>
  <c r="AC67" i="38"/>
  <c r="AP67" i="38"/>
  <c r="AB67" i="38"/>
  <c r="AO67" i="38"/>
  <c r="O67" i="38"/>
  <c r="AA67" i="38"/>
  <c r="AN67" i="38"/>
  <c r="Z67" i="38"/>
  <c r="AM67" i="38"/>
  <c r="M67" i="38"/>
  <c r="W67" i="38"/>
  <c r="AJ67" i="38"/>
  <c r="V67" i="38"/>
  <c r="AI67" i="38"/>
  <c r="K67" i="38"/>
  <c r="S67" i="38"/>
  <c r="AF67" i="38"/>
  <c r="R67" i="38"/>
  <c r="AE67" i="38"/>
  <c r="P66" i="38"/>
  <c r="AC66" i="38"/>
  <c r="AP66" i="38"/>
  <c r="AB66" i="38"/>
  <c r="AO66" i="38"/>
  <c r="O66" i="38"/>
  <c r="AA66" i="38"/>
  <c r="AN66" i="38"/>
  <c r="Z66" i="38"/>
  <c r="AM66" i="38"/>
  <c r="M66" i="38"/>
  <c r="W66" i="38"/>
  <c r="AJ66" i="38"/>
  <c r="V66" i="38"/>
  <c r="AI66" i="38"/>
  <c r="K66" i="38"/>
  <c r="S66" i="38"/>
  <c r="AF66" i="38"/>
  <c r="R66" i="38"/>
  <c r="AE66" i="38"/>
  <c r="P65" i="38"/>
  <c r="AC65" i="38"/>
  <c r="AP65" i="38"/>
  <c r="AB65" i="38"/>
  <c r="AO65" i="38"/>
  <c r="O65" i="38"/>
  <c r="AA65" i="38"/>
  <c r="AN65" i="38"/>
  <c r="Z65" i="38"/>
  <c r="AM65" i="38"/>
  <c r="M65" i="38"/>
  <c r="W65" i="38"/>
  <c r="AJ65" i="38"/>
  <c r="V65" i="38"/>
  <c r="AI65" i="38"/>
  <c r="K65" i="38"/>
  <c r="S65" i="38"/>
  <c r="AF65" i="38"/>
  <c r="R65" i="38"/>
  <c r="AE65" i="38"/>
  <c r="P64" i="38"/>
  <c r="AC64" i="38"/>
  <c r="AP64" i="38"/>
  <c r="AB64" i="38"/>
  <c r="AO64" i="38"/>
  <c r="O64" i="38"/>
  <c r="AA64" i="38"/>
  <c r="AN64" i="38"/>
  <c r="Z64" i="38"/>
  <c r="AM64" i="38"/>
  <c r="M64" i="38"/>
  <c r="W64" i="38"/>
  <c r="AJ64" i="38"/>
  <c r="V64" i="38"/>
  <c r="AI64" i="38"/>
  <c r="K64" i="38"/>
  <c r="S64" i="38"/>
  <c r="AF64" i="38"/>
  <c r="R64" i="38"/>
  <c r="AE64" i="38"/>
  <c r="P63" i="38"/>
  <c r="AC63" i="38"/>
  <c r="AP63" i="38"/>
  <c r="AB63" i="38"/>
  <c r="AO63" i="38"/>
  <c r="O63" i="38"/>
  <c r="AA63" i="38"/>
  <c r="AN63" i="38"/>
  <c r="Z63" i="38"/>
  <c r="AM63" i="38"/>
  <c r="M63" i="38"/>
  <c r="W63" i="38"/>
  <c r="AJ63" i="38"/>
  <c r="V63" i="38"/>
  <c r="AI63" i="38"/>
  <c r="K63" i="38"/>
  <c r="S63" i="38"/>
  <c r="AF63" i="38"/>
  <c r="R63" i="38"/>
  <c r="AE63" i="38"/>
  <c r="P62" i="38"/>
  <c r="AC62" i="38"/>
  <c r="AP62" i="38"/>
  <c r="AB62" i="38"/>
  <c r="AO62" i="38"/>
  <c r="O62" i="38"/>
  <c r="AA62" i="38"/>
  <c r="AN62" i="38"/>
  <c r="Z62" i="38"/>
  <c r="AM62" i="38"/>
  <c r="M62" i="38"/>
  <c r="W62" i="38"/>
  <c r="AJ62" i="38"/>
  <c r="V62" i="38"/>
  <c r="AI62" i="38"/>
  <c r="K62" i="38"/>
  <c r="S62" i="38"/>
  <c r="AF62" i="38"/>
  <c r="R62" i="38"/>
  <c r="AE62" i="38"/>
  <c r="P61" i="38"/>
  <c r="AC61" i="38"/>
  <c r="AP61" i="38"/>
  <c r="AB61" i="38"/>
  <c r="AO61" i="38"/>
  <c r="O61" i="38"/>
  <c r="AA61" i="38"/>
  <c r="AN61" i="38"/>
  <c r="Z61" i="38"/>
  <c r="AM61" i="38"/>
  <c r="M61" i="38"/>
  <c r="W61" i="38"/>
  <c r="AJ61" i="38"/>
  <c r="V61" i="38"/>
  <c r="AI61" i="38"/>
  <c r="K61" i="38"/>
  <c r="S61" i="38"/>
  <c r="AF61" i="38"/>
  <c r="R61" i="38"/>
  <c r="AE61" i="38"/>
  <c r="P60" i="38"/>
  <c r="AC60" i="38"/>
  <c r="AP60" i="38"/>
  <c r="AB60" i="38"/>
  <c r="AO60" i="38"/>
  <c r="O60" i="38"/>
  <c r="AA60" i="38"/>
  <c r="AN60" i="38"/>
  <c r="Z60" i="38"/>
  <c r="AM60" i="38"/>
  <c r="M60" i="38"/>
  <c r="W60" i="38"/>
  <c r="AJ60" i="38"/>
  <c r="V60" i="38"/>
  <c r="AI60" i="38"/>
  <c r="K60" i="38"/>
  <c r="S60" i="38"/>
  <c r="AF60" i="38"/>
  <c r="R60" i="38"/>
  <c r="AE60" i="38"/>
  <c r="P59" i="38"/>
  <c r="AC59" i="38"/>
  <c r="AP59" i="38"/>
  <c r="AB59" i="38"/>
  <c r="AO59" i="38"/>
  <c r="O59" i="38"/>
  <c r="AA59" i="38"/>
  <c r="AN59" i="38"/>
  <c r="Z59" i="38"/>
  <c r="AM59" i="38"/>
  <c r="M59" i="38"/>
  <c r="W59" i="38"/>
  <c r="AJ59" i="38"/>
  <c r="V59" i="38"/>
  <c r="AI59" i="38"/>
  <c r="K59" i="38"/>
  <c r="S59" i="38"/>
  <c r="AF59" i="38"/>
  <c r="R59" i="38"/>
  <c r="AE59" i="38"/>
  <c r="P58" i="38"/>
  <c r="AC58" i="38"/>
  <c r="AP58" i="38"/>
  <c r="AB58" i="38"/>
  <c r="AO58" i="38"/>
  <c r="O58" i="38"/>
  <c r="AA58" i="38"/>
  <c r="AN58" i="38"/>
  <c r="Z58" i="38"/>
  <c r="AM58" i="38"/>
  <c r="M58" i="38"/>
  <c r="W58" i="38"/>
  <c r="AJ58" i="38"/>
  <c r="V58" i="38"/>
  <c r="AI58" i="38"/>
  <c r="K58" i="38"/>
  <c r="S58" i="38"/>
  <c r="AF58" i="38"/>
  <c r="R58" i="38"/>
  <c r="AE58" i="38"/>
  <c r="P57" i="38"/>
  <c r="AC57" i="38"/>
  <c r="AP57" i="38"/>
  <c r="AB57" i="38"/>
  <c r="AO57" i="38"/>
  <c r="O57" i="38"/>
  <c r="AA57" i="38"/>
  <c r="AN57" i="38"/>
  <c r="Z57" i="38"/>
  <c r="AM57" i="38"/>
  <c r="M57" i="38"/>
  <c r="W57" i="38"/>
  <c r="AJ57" i="38"/>
  <c r="V57" i="38"/>
  <c r="AI57" i="38"/>
  <c r="K57" i="38"/>
  <c r="S57" i="38"/>
  <c r="AF57" i="38"/>
  <c r="R57" i="38"/>
  <c r="AE57" i="38"/>
  <c r="P56" i="38"/>
  <c r="AC56" i="38"/>
  <c r="AP56" i="38"/>
  <c r="AB56" i="38"/>
  <c r="AO56" i="38"/>
  <c r="O56" i="38"/>
  <c r="AA56" i="38"/>
  <c r="AN56" i="38"/>
  <c r="Z56" i="38"/>
  <c r="AM56" i="38"/>
  <c r="M56" i="38"/>
  <c r="W56" i="38"/>
  <c r="AJ56" i="38"/>
  <c r="V56" i="38"/>
  <c r="AI56" i="38"/>
  <c r="K56" i="38"/>
  <c r="S56" i="38"/>
  <c r="AF56" i="38"/>
  <c r="R56" i="38"/>
  <c r="AE56" i="38"/>
  <c r="P55" i="38"/>
  <c r="AC55" i="38"/>
  <c r="AP55" i="38"/>
  <c r="AB55" i="38"/>
  <c r="AO55" i="38"/>
  <c r="O55" i="38"/>
  <c r="AA55" i="38"/>
  <c r="AN55" i="38"/>
  <c r="Z55" i="38"/>
  <c r="AM55" i="38"/>
  <c r="M55" i="38"/>
  <c r="W55" i="38"/>
  <c r="AJ55" i="38"/>
  <c r="V55" i="38"/>
  <c r="AI55" i="38"/>
  <c r="K55" i="38"/>
  <c r="S55" i="38"/>
  <c r="AF55" i="38"/>
  <c r="R55" i="38"/>
  <c r="AE55" i="38"/>
  <c r="P54" i="38"/>
  <c r="AC54" i="38"/>
  <c r="AP54" i="38"/>
  <c r="AB54" i="38"/>
  <c r="AO54" i="38"/>
  <c r="O54" i="38"/>
  <c r="AA54" i="38"/>
  <c r="AN54" i="38"/>
  <c r="Z54" i="38"/>
  <c r="AM54" i="38"/>
  <c r="M54" i="38"/>
  <c r="W54" i="38"/>
  <c r="AJ54" i="38"/>
  <c r="V54" i="38"/>
  <c r="AI54" i="38"/>
  <c r="K54" i="38"/>
  <c r="S54" i="38"/>
  <c r="AF54" i="38"/>
  <c r="R54" i="38"/>
  <c r="AE54" i="38"/>
  <c r="P53" i="38"/>
  <c r="AC53" i="38"/>
  <c r="AP53" i="38"/>
  <c r="AB53" i="38"/>
  <c r="AO53" i="38"/>
  <c r="O53" i="38"/>
  <c r="AA53" i="38"/>
  <c r="AN53" i="38"/>
  <c r="Z53" i="38"/>
  <c r="AM53" i="38"/>
  <c r="M53" i="38"/>
  <c r="W53" i="38"/>
  <c r="AJ53" i="38"/>
  <c r="V53" i="38"/>
  <c r="AI53" i="38"/>
  <c r="K53" i="38"/>
  <c r="S53" i="38"/>
  <c r="AF53" i="38"/>
  <c r="R53" i="38"/>
  <c r="AE53" i="38"/>
  <c r="P52" i="38"/>
  <c r="AC52" i="38"/>
  <c r="AP52" i="38"/>
  <c r="AB52" i="38"/>
  <c r="AO52" i="38"/>
  <c r="O52" i="38"/>
  <c r="AA52" i="38"/>
  <c r="AN52" i="38"/>
  <c r="Z52" i="38"/>
  <c r="AM52" i="38"/>
  <c r="M52" i="38"/>
  <c r="W52" i="38"/>
  <c r="AJ52" i="38"/>
  <c r="V52" i="38"/>
  <c r="AI52" i="38"/>
  <c r="K52" i="38"/>
  <c r="S52" i="38"/>
  <c r="AF52" i="38"/>
  <c r="R52" i="38"/>
  <c r="AE52" i="38"/>
  <c r="P51" i="38"/>
  <c r="AC51" i="38"/>
  <c r="AP51" i="38"/>
  <c r="AB51" i="38"/>
  <c r="AO51" i="38"/>
  <c r="O51" i="38"/>
  <c r="AA51" i="38"/>
  <c r="AN51" i="38"/>
  <c r="Z51" i="38"/>
  <c r="AM51" i="38"/>
  <c r="M51" i="38"/>
  <c r="W51" i="38"/>
  <c r="AJ51" i="38"/>
  <c r="V51" i="38"/>
  <c r="AI51" i="38"/>
  <c r="K51" i="38"/>
  <c r="S51" i="38"/>
  <c r="AF51" i="38"/>
  <c r="R51" i="38"/>
  <c r="AE51" i="38"/>
  <c r="P50" i="38"/>
  <c r="AC50" i="38"/>
  <c r="AP50" i="38"/>
  <c r="AB50" i="38"/>
  <c r="AO50" i="38"/>
  <c r="O50" i="38"/>
  <c r="AA50" i="38"/>
  <c r="AN50" i="38"/>
  <c r="Z50" i="38"/>
  <c r="AM50" i="38"/>
  <c r="M50" i="38"/>
  <c r="W50" i="38"/>
  <c r="AJ50" i="38"/>
  <c r="V50" i="38"/>
  <c r="AI50" i="38"/>
  <c r="K50" i="38"/>
  <c r="S50" i="38"/>
  <c r="AF50" i="38"/>
  <c r="R50" i="38"/>
  <c r="AE50" i="38"/>
  <c r="P49" i="38"/>
  <c r="AC49" i="38"/>
  <c r="AP49" i="38"/>
  <c r="AB49" i="38"/>
  <c r="AO49" i="38"/>
  <c r="O49" i="38"/>
  <c r="AA49" i="38"/>
  <c r="AN49" i="38"/>
  <c r="Z49" i="38"/>
  <c r="AM49" i="38"/>
  <c r="M49" i="38"/>
  <c r="W49" i="38"/>
  <c r="AJ49" i="38"/>
  <c r="V49" i="38"/>
  <c r="AI49" i="38"/>
  <c r="K49" i="38"/>
  <c r="S49" i="38"/>
  <c r="AF49" i="38"/>
  <c r="R49" i="38"/>
  <c r="AE49" i="38"/>
  <c r="P48" i="38"/>
  <c r="AC48" i="38"/>
  <c r="AP48" i="38"/>
  <c r="AB48" i="38"/>
  <c r="AO48" i="38"/>
  <c r="O48" i="38"/>
  <c r="AA48" i="38"/>
  <c r="AN48" i="38"/>
  <c r="Z48" i="38"/>
  <c r="AM48" i="38"/>
  <c r="M48" i="38"/>
  <c r="W48" i="38"/>
  <c r="AJ48" i="38"/>
  <c r="V48" i="38"/>
  <c r="AI48" i="38"/>
  <c r="K48" i="38"/>
  <c r="S48" i="38"/>
  <c r="AF48" i="38"/>
  <c r="R48" i="38"/>
  <c r="AE48" i="38"/>
  <c r="P47" i="38"/>
  <c r="AC47" i="38"/>
  <c r="AP47" i="38"/>
  <c r="AB47" i="38"/>
  <c r="AO47" i="38"/>
  <c r="O47" i="38"/>
  <c r="AA47" i="38"/>
  <c r="AN47" i="38"/>
  <c r="Z47" i="38"/>
  <c r="AM47" i="38"/>
  <c r="M47" i="38"/>
  <c r="W47" i="38"/>
  <c r="AJ47" i="38"/>
  <c r="V47" i="38"/>
  <c r="AI47" i="38"/>
  <c r="K47" i="38"/>
  <c r="S47" i="38"/>
  <c r="AF47" i="38"/>
  <c r="R47" i="38"/>
  <c r="AE47" i="38"/>
  <c r="P46" i="38"/>
  <c r="AC46" i="38"/>
  <c r="AP46" i="38"/>
  <c r="AB46" i="38"/>
  <c r="AO46" i="38"/>
  <c r="O46" i="38"/>
  <c r="AA46" i="38"/>
  <c r="AN46" i="38"/>
  <c r="Z46" i="38"/>
  <c r="AM46" i="38"/>
  <c r="M46" i="38"/>
  <c r="W46" i="38"/>
  <c r="AJ46" i="38"/>
  <c r="V46" i="38"/>
  <c r="AI46" i="38"/>
  <c r="K46" i="38"/>
  <c r="S46" i="38"/>
  <c r="AF46" i="38"/>
  <c r="R46" i="38"/>
  <c r="AE46" i="38"/>
  <c r="P45" i="38"/>
  <c r="AC45" i="38"/>
  <c r="AP45" i="38"/>
  <c r="AB45" i="38"/>
  <c r="AO45" i="38"/>
  <c r="O45" i="38"/>
  <c r="AA45" i="38"/>
  <c r="AN45" i="38"/>
  <c r="Z45" i="38"/>
  <c r="AM45" i="38"/>
  <c r="M45" i="38"/>
  <c r="W45" i="38"/>
  <c r="AJ45" i="38"/>
  <c r="V45" i="38"/>
  <c r="AI45" i="38"/>
  <c r="K45" i="38"/>
  <c r="S45" i="38"/>
  <c r="AF45" i="38"/>
  <c r="R45" i="38"/>
  <c r="AE45" i="38"/>
  <c r="P44" i="38"/>
  <c r="AC44" i="38"/>
  <c r="AP44" i="38"/>
  <c r="AB44" i="38"/>
  <c r="AO44" i="38"/>
  <c r="O44" i="38"/>
  <c r="AA44" i="38"/>
  <c r="AN44" i="38"/>
  <c r="Z44" i="38"/>
  <c r="AM44" i="38"/>
  <c r="M44" i="38"/>
  <c r="W44" i="38"/>
  <c r="AJ44" i="38"/>
  <c r="V44" i="38"/>
  <c r="AI44" i="38"/>
  <c r="K44" i="38"/>
  <c r="S44" i="38"/>
  <c r="AF44" i="38"/>
  <c r="R44" i="38"/>
  <c r="AE44" i="38"/>
  <c r="P43" i="38"/>
  <c r="AC43" i="38"/>
  <c r="AP43" i="38"/>
  <c r="AB43" i="38"/>
  <c r="AO43" i="38"/>
  <c r="O43" i="38"/>
  <c r="AA43" i="38"/>
  <c r="AN43" i="38"/>
  <c r="Z43" i="38"/>
  <c r="AM43" i="38"/>
  <c r="M43" i="38"/>
  <c r="W43" i="38"/>
  <c r="AJ43" i="38"/>
  <c r="V43" i="38"/>
  <c r="AI43" i="38"/>
  <c r="K43" i="38"/>
  <c r="S43" i="38"/>
  <c r="AF43" i="38"/>
  <c r="R43" i="38"/>
  <c r="AE43" i="38"/>
  <c r="P42" i="38"/>
  <c r="AC42" i="38"/>
  <c r="AP42" i="38"/>
  <c r="AB42" i="38"/>
  <c r="AO42" i="38"/>
  <c r="O42" i="38"/>
  <c r="AA42" i="38"/>
  <c r="AN42" i="38"/>
  <c r="Z42" i="38"/>
  <c r="AM42" i="38"/>
  <c r="M42" i="38"/>
  <c r="W42" i="38"/>
  <c r="AJ42" i="38"/>
  <c r="V42" i="38"/>
  <c r="AI42" i="38"/>
  <c r="K42" i="38"/>
  <c r="S42" i="38"/>
  <c r="AF42" i="38"/>
  <c r="R42" i="38"/>
  <c r="AE42" i="38"/>
  <c r="P41" i="38"/>
  <c r="AC41" i="38"/>
  <c r="AP41" i="38"/>
  <c r="AB41" i="38"/>
  <c r="AO41" i="38"/>
  <c r="O41" i="38"/>
  <c r="AA41" i="38"/>
  <c r="AN41" i="38"/>
  <c r="Z41" i="38"/>
  <c r="AM41" i="38"/>
  <c r="M41" i="38"/>
  <c r="W41" i="38"/>
  <c r="AJ41" i="38"/>
  <c r="V41" i="38"/>
  <c r="AI41" i="38"/>
  <c r="K41" i="38"/>
  <c r="S41" i="38"/>
  <c r="AF41" i="38"/>
  <c r="R41" i="38"/>
  <c r="AE41" i="38"/>
  <c r="P40" i="38"/>
  <c r="AC40" i="38"/>
  <c r="AP40" i="38"/>
  <c r="AB40" i="38"/>
  <c r="AO40" i="38"/>
  <c r="O40" i="38"/>
  <c r="AA40" i="38"/>
  <c r="AN40" i="38"/>
  <c r="Z40" i="38"/>
  <c r="AM40" i="38"/>
  <c r="M40" i="38"/>
  <c r="W40" i="38"/>
  <c r="AJ40" i="38"/>
  <c r="V40" i="38"/>
  <c r="AI40" i="38"/>
  <c r="K40" i="38"/>
  <c r="S40" i="38"/>
  <c r="AF40" i="38"/>
  <c r="R40" i="38"/>
  <c r="AE40" i="38"/>
  <c r="P39" i="38"/>
  <c r="AC39" i="38"/>
  <c r="AP39" i="38"/>
  <c r="AB39" i="38"/>
  <c r="AO39" i="38"/>
  <c r="O39" i="38"/>
  <c r="AA39" i="38"/>
  <c r="AN39" i="38"/>
  <c r="Z39" i="38"/>
  <c r="AM39" i="38"/>
  <c r="M39" i="38"/>
  <c r="W39" i="38"/>
  <c r="AJ39" i="38"/>
  <c r="V39" i="38"/>
  <c r="AI39" i="38"/>
  <c r="K39" i="38"/>
  <c r="S39" i="38"/>
  <c r="AF39" i="38"/>
  <c r="R39" i="38"/>
  <c r="AE39" i="38"/>
  <c r="P38" i="38"/>
  <c r="AC38" i="38"/>
  <c r="AP38" i="38"/>
  <c r="AB38" i="38"/>
  <c r="AO38" i="38"/>
  <c r="O38" i="38"/>
  <c r="AA38" i="38"/>
  <c r="AN38" i="38"/>
  <c r="Z38" i="38"/>
  <c r="AM38" i="38"/>
  <c r="M38" i="38"/>
  <c r="W38" i="38"/>
  <c r="AJ38" i="38"/>
  <c r="V38" i="38"/>
  <c r="AI38" i="38"/>
  <c r="K38" i="38"/>
  <c r="S38" i="38"/>
  <c r="AF38" i="38"/>
  <c r="R38" i="38"/>
  <c r="AE38" i="38"/>
  <c r="P37" i="38"/>
  <c r="AC37" i="38"/>
  <c r="AP37" i="38"/>
  <c r="AB37" i="38"/>
  <c r="AO37" i="38"/>
  <c r="O37" i="38"/>
  <c r="AA37" i="38"/>
  <c r="AN37" i="38"/>
  <c r="Z37" i="38"/>
  <c r="AM37" i="38"/>
  <c r="M37" i="38"/>
  <c r="W37" i="38"/>
  <c r="AJ37" i="38"/>
  <c r="V37" i="38"/>
  <c r="AI37" i="38"/>
  <c r="K37" i="38"/>
  <c r="S37" i="38"/>
  <c r="AF37" i="38"/>
  <c r="R37" i="38"/>
  <c r="AE37" i="38"/>
  <c r="P36" i="38"/>
  <c r="AC36" i="38"/>
  <c r="AP36" i="38"/>
  <c r="AB36" i="38"/>
  <c r="AO36" i="38"/>
  <c r="O36" i="38"/>
  <c r="AA36" i="38"/>
  <c r="AN36" i="38"/>
  <c r="Z36" i="38"/>
  <c r="AM36" i="38"/>
  <c r="M36" i="38"/>
  <c r="W36" i="38"/>
  <c r="AJ36" i="38"/>
  <c r="V36" i="38"/>
  <c r="AI36" i="38"/>
  <c r="K36" i="38"/>
  <c r="S36" i="38"/>
  <c r="AF36" i="38"/>
  <c r="R36" i="38"/>
  <c r="AE36" i="38"/>
  <c r="P35" i="38"/>
  <c r="AC35" i="38"/>
  <c r="AP35" i="38"/>
  <c r="AB35" i="38"/>
  <c r="AO35" i="38"/>
  <c r="O35" i="38"/>
  <c r="AA35" i="38"/>
  <c r="AN35" i="38"/>
  <c r="Z35" i="38"/>
  <c r="AM35" i="38"/>
  <c r="M35" i="38"/>
  <c r="W35" i="38"/>
  <c r="AJ35" i="38"/>
  <c r="V35" i="38"/>
  <c r="AI35" i="38"/>
  <c r="K35" i="38"/>
  <c r="S35" i="38"/>
  <c r="AF35" i="38"/>
  <c r="R35" i="38"/>
  <c r="AE35" i="38"/>
  <c r="P34" i="38"/>
  <c r="AC34" i="38"/>
  <c r="AP34" i="38"/>
  <c r="AB34" i="38"/>
  <c r="AO34" i="38"/>
  <c r="O34" i="38"/>
  <c r="AA34" i="38"/>
  <c r="AN34" i="38"/>
  <c r="Z34" i="38"/>
  <c r="AM34" i="38"/>
  <c r="M34" i="38"/>
  <c r="W34" i="38"/>
  <c r="AJ34" i="38"/>
  <c r="V34" i="38"/>
  <c r="AI34" i="38"/>
  <c r="K34" i="38"/>
  <c r="S34" i="38"/>
  <c r="AF34" i="38"/>
  <c r="R34" i="38"/>
  <c r="AE34" i="38"/>
  <c r="P33" i="38"/>
  <c r="AC33" i="38"/>
  <c r="AP33" i="38"/>
  <c r="AB33" i="38"/>
  <c r="AO33" i="38"/>
  <c r="O33" i="38"/>
  <c r="AA33" i="38"/>
  <c r="AN33" i="38"/>
  <c r="Z33" i="38"/>
  <c r="AM33" i="38"/>
  <c r="M33" i="38"/>
  <c r="W33" i="38"/>
  <c r="AJ33" i="38"/>
  <c r="V33" i="38"/>
  <c r="AI33" i="38"/>
  <c r="K33" i="38"/>
  <c r="S33" i="38"/>
  <c r="AF33" i="38"/>
  <c r="R33" i="38"/>
  <c r="AE33" i="38"/>
  <c r="P32" i="38"/>
  <c r="AC32" i="38"/>
  <c r="AP32" i="38"/>
  <c r="AB32" i="38"/>
  <c r="AO32" i="38"/>
  <c r="O32" i="38"/>
  <c r="AA32" i="38"/>
  <c r="AN32" i="38"/>
  <c r="Z32" i="38"/>
  <c r="AM32" i="38"/>
  <c r="M32" i="38"/>
  <c r="W32" i="38"/>
  <c r="AJ32" i="38"/>
  <c r="V32" i="38"/>
  <c r="AI32" i="38"/>
  <c r="K32" i="38"/>
  <c r="S32" i="38"/>
  <c r="AF32" i="38"/>
  <c r="R32" i="38"/>
  <c r="AE32" i="38"/>
  <c r="P31" i="38"/>
  <c r="AC31" i="38"/>
  <c r="AP31" i="38"/>
  <c r="AB31" i="38"/>
  <c r="AO31" i="38"/>
  <c r="O31" i="38"/>
  <c r="AA31" i="38"/>
  <c r="AN31" i="38"/>
  <c r="Z31" i="38"/>
  <c r="AM31" i="38"/>
  <c r="M31" i="38"/>
  <c r="W31" i="38"/>
  <c r="AJ31" i="38"/>
  <c r="V31" i="38"/>
  <c r="AI31" i="38"/>
  <c r="K31" i="38"/>
  <c r="S31" i="38"/>
  <c r="AF31" i="38"/>
  <c r="R31" i="38"/>
  <c r="AE31" i="38"/>
  <c r="P30" i="38"/>
  <c r="AC30" i="38"/>
  <c r="AP30" i="38"/>
  <c r="AB30" i="38"/>
  <c r="AO30" i="38"/>
  <c r="O30" i="38"/>
  <c r="AA30" i="38"/>
  <c r="AN30" i="38"/>
  <c r="Z30" i="38"/>
  <c r="AM30" i="38"/>
  <c r="M30" i="38"/>
  <c r="W30" i="38"/>
  <c r="AJ30" i="38"/>
  <c r="V30" i="38"/>
  <c r="AI30" i="38"/>
  <c r="K30" i="38"/>
  <c r="S30" i="38"/>
  <c r="AF30" i="38"/>
  <c r="R30" i="38"/>
  <c r="AE30" i="38"/>
  <c r="P29" i="38"/>
  <c r="AC29" i="38"/>
  <c r="AP29" i="38"/>
  <c r="AB29" i="38"/>
  <c r="AO29" i="38"/>
  <c r="O29" i="38"/>
  <c r="AA29" i="38"/>
  <c r="AN29" i="38"/>
  <c r="Z29" i="38"/>
  <c r="AM29" i="38"/>
  <c r="M29" i="38"/>
  <c r="W29" i="38"/>
  <c r="AJ29" i="38"/>
  <c r="V29" i="38"/>
  <c r="AI29" i="38"/>
  <c r="K29" i="38"/>
  <c r="S29" i="38"/>
  <c r="AF29" i="38"/>
  <c r="R29" i="38"/>
  <c r="AE29" i="38"/>
  <c r="P28" i="38"/>
  <c r="AC28" i="38"/>
  <c r="AP28" i="38"/>
  <c r="AB28" i="38"/>
  <c r="AO28" i="38"/>
  <c r="O28" i="38"/>
  <c r="AA28" i="38"/>
  <c r="AN28" i="38"/>
  <c r="Z28" i="38"/>
  <c r="AM28" i="38"/>
  <c r="M28" i="38"/>
  <c r="W28" i="38"/>
  <c r="AJ28" i="38"/>
  <c r="V28" i="38"/>
  <c r="AI28" i="38"/>
  <c r="K28" i="38"/>
  <c r="S28" i="38"/>
  <c r="AF28" i="38"/>
  <c r="R28" i="38"/>
  <c r="AE28" i="38"/>
  <c r="P27" i="38"/>
  <c r="AC27" i="38"/>
  <c r="AP27" i="38"/>
  <c r="AB27" i="38"/>
  <c r="AO27" i="38"/>
  <c r="O27" i="38"/>
  <c r="AA27" i="38"/>
  <c r="AN27" i="38"/>
  <c r="Z27" i="38"/>
  <c r="AM27" i="38"/>
  <c r="M27" i="38"/>
  <c r="W27" i="38"/>
  <c r="AJ27" i="38"/>
  <c r="V27" i="38"/>
  <c r="AI27" i="38"/>
  <c r="K27" i="38"/>
  <c r="S27" i="38"/>
  <c r="AF27" i="38"/>
  <c r="R27" i="38"/>
  <c r="AE27" i="38"/>
  <c r="P26" i="38"/>
  <c r="AC26" i="38"/>
  <c r="AP26" i="38"/>
  <c r="AB26" i="38"/>
  <c r="AO26" i="38"/>
  <c r="O26" i="38"/>
  <c r="AA26" i="38"/>
  <c r="AN26" i="38"/>
  <c r="Z26" i="38"/>
  <c r="AM26" i="38"/>
  <c r="M26" i="38"/>
  <c r="W26" i="38"/>
  <c r="AJ26" i="38"/>
  <c r="V26" i="38"/>
  <c r="AI26" i="38"/>
  <c r="K26" i="38"/>
  <c r="S26" i="38"/>
  <c r="AF26" i="38"/>
  <c r="R26" i="38"/>
  <c r="AE26" i="38"/>
  <c r="P25" i="38"/>
  <c r="AC25" i="38"/>
  <c r="AP25" i="38"/>
  <c r="AB25" i="38"/>
  <c r="AO25" i="38"/>
  <c r="O25" i="38"/>
  <c r="AA25" i="38"/>
  <c r="AN25" i="38"/>
  <c r="Z25" i="38"/>
  <c r="AM25" i="38"/>
  <c r="M25" i="38"/>
  <c r="W25" i="38"/>
  <c r="AJ25" i="38"/>
  <c r="V25" i="38"/>
  <c r="AI25" i="38"/>
  <c r="K25" i="38"/>
  <c r="S25" i="38"/>
  <c r="AF25" i="38"/>
  <c r="R25" i="38"/>
  <c r="AE25" i="38"/>
  <c r="P24" i="38"/>
  <c r="AC24" i="38"/>
  <c r="AP24" i="38"/>
  <c r="AB24" i="38"/>
  <c r="AO24" i="38"/>
  <c r="O24" i="38"/>
  <c r="AA24" i="38"/>
  <c r="AN24" i="38"/>
  <c r="Z24" i="38"/>
  <c r="AM24" i="38"/>
  <c r="M24" i="38"/>
  <c r="W24" i="38"/>
  <c r="AJ24" i="38"/>
  <c r="V24" i="38"/>
  <c r="AI24" i="38"/>
  <c r="K24" i="38"/>
  <c r="S24" i="38"/>
  <c r="AF24" i="38"/>
  <c r="R24" i="38"/>
  <c r="AE24" i="38"/>
  <c r="P23" i="38"/>
  <c r="AC23" i="38"/>
  <c r="AP23" i="38"/>
  <c r="AB23" i="38"/>
  <c r="AO23" i="38"/>
  <c r="O23" i="38"/>
  <c r="AA23" i="38"/>
  <c r="AN23" i="38"/>
  <c r="Z23" i="38"/>
  <c r="AM23" i="38"/>
  <c r="M23" i="38"/>
  <c r="W23" i="38"/>
  <c r="AJ23" i="38"/>
  <c r="V23" i="38"/>
  <c r="AI23" i="38"/>
  <c r="K23" i="38"/>
  <c r="S23" i="38"/>
  <c r="AF23" i="38"/>
  <c r="R23" i="38"/>
  <c r="AE23" i="38"/>
  <c r="P22" i="38"/>
  <c r="AC22" i="38"/>
  <c r="AP22" i="38"/>
  <c r="AB22" i="38"/>
  <c r="AO22" i="38"/>
  <c r="O22" i="38"/>
  <c r="AA22" i="38"/>
  <c r="AN22" i="38"/>
  <c r="Z22" i="38"/>
  <c r="AM22" i="38"/>
  <c r="M22" i="38"/>
  <c r="W22" i="38"/>
  <c r="AJ22" i="38"/>
  <c r="V22" i="38"/>
  <c r="AI22" i="38"/>
  <c r="K22" i="38"/>
  <c r="S22" i="38"/>
  <c r="AF22" i="38"/>
  <c r="R22" i="38"/>
  <c r="AE22" i="38"/>
  <c r="P21" i="38"/>
  <c r="AC21" i="38"/>
  <c r="AP21" i="38"/>
  <c r="AB21" i="38"/>
  <c r="AO21" i="38"/>
  <c r="O21" i="38"/>
  <c r="AA21" i="38"/>
  <c r="AN21" i="38"/>
  <c r="Z21" i="38"/>
  <c r="AM21" i="38"/>
  <c r="M21" i="38"/>
  <c r="W21" i="38"/>
  <c r="AJ21" i="38"/>
  <c r="V21" i="38"/>
  <c r="AI21" i="38"/>
  <c r="K21" i="38"/>
  <c r="S21" i="38"/>
  <c r="AF21" i="38"/>
  <c r="R21" i="38"/>
  <c r="AE21" i="38"/>
  <c r="P20" i="38"/>
  <c r="AC20" i="38"/>
  <c r="AP20" i="38"/>
  <c r="AB20" i="38"/>
  <c r="AO20" i="38"/>
  <c r="O20" i="38"/>
  <c r="AA20" i="38"/>
  <c r="AN20" i="38"/>
  <c r="Z20" i="38"/>
  <c r="AM20" i="38"/>
  <c r="M20" i="38"/>
  <c r="W20" i="38"/>
  <c r="AJ20" i="38"/>
  <c r="V20" i="38"/>
  <c r="AI20" i="38"/>
  <c r="K20" i="38"/>
  <c r="S20" i="38"/>
  <c r="AF20" i="38"/>
  <c r="R20" i="38"/>
  <c r="AE20" i="38"/>
  <c r="P19" i="38"/>
  <c r="AC19" i="38"/>
  <c r="AP19" i="38"/>
  <c r="AB19" i="38"/>
  <c r="AO19" i="38"/>
  <c r="O19" i="38"/>
  <c r="AA19" i="38"/>
  <c r="AN19" i="38"/>
  <c r="Z19" i="38"/>
  <c r="AM19" i="38"/>
  <c r="M19" i="38"/>
  <c r="W19" i="38"/>
  <c r="AJ19" i="38"/>
  <c r="V19" i="38"/>
  <c r="AI19" i="38"/>
  <c r="K19" i="38"/>
  <c r="S19" i="38"/>
  <c r="AF19" i="38"/>
  <c r="R19" i="38"/>
  <c r="AE19" i="38"/>
  <c r="P18" i="38"/>
  <c r="AC18" i="38"/>
  <c r="AP18" i="38"/>
  <c r="AB18" i="38"/>
  <c r="AO18" i="38"/>
  <c r="O18" i="38"/>
  <c r="AA18" i="38"/>
  <c r="AN18" i="38"/>
  <c r="Z18" i="38"/>
  <c r="AM18" i="38"/>
  <c r="M18" i="38"/>
  <c r="W18" i="38"/>
  <c r="AJ18" i="38"/>
  <c r="V18" i="38"/>
  <c r="AI18" i="38"/>
  <c r="K18" i="38"/>
  <c r="S18" i="38"/>
  <c r="AF18" i="38"/>
  <c r="R18" i="38"/>
  <c r="AE18" i="38"/>
  <c r="P17" i="38"/>
  <c r="AC17" i="38"/>
  <c r="AP17" i="38"/>
  <c r="AB17" i="38"/>
  <c r="AO17" i="38"/>
  <c r="O17" i="38"/>
  <c r="AA17" i="38"/>
  <c r="AN17" i="38"/>
  <c r="Z17" i="38"/>
  <c r="AM17" i="38"/>
  <c r="M17" i="38"/>
  <c r="W17" i="38"/>
  <c r="AJ17" i="38"/>
  <c r="V17" i="38"/>
  <c r="AI17" i="38"/>
  <c r="K17" i="38"/>
  <c r="S17" i="38"/>
  <c r="AF17" i="38"/>
  <c r="R17" i="38"/>
  <c r="AE17" i="38"/>
  <c r="P16" i="38"/>
  <c r="AC16" i="38"/>
  <c r="AP16" i="38"/>
  <c r="AB16" i="38"/>
  <c r="AO16" i="38"/>
  <c r="O16" i="38"/>
  <c r="AA16" i="38"/>
  <c r="AN16" i="38"/>
  <c r="Z16" i="38"/>
  <c r="AM16" i="38"/>
  <c r="M16" i="38"/>
  <c r="W16" i="38"/>
  <c r="AJ16" i="38"/>
  <c r="V16" i="38"/>
  <c r="AI16" i="38"/>
  <c r="K16" i="38"/>
  <c r="S16" i="38"/>
  <c r="AF16" i="38"/>
  <c r="R16" i="38"/>
  <c r="AE16" i="38"/>
  <c r="P15" i="38"/>
  <c r="AC15" i="38"/>
  <c r="AP15" i="38"/>
  <c r="AB15" i="38"/>
  <c r="AO15" i="38"/>
  <c r="O15" i="38"/>
  <c r="AA15" i="38"/>
  <c r="AN15" i="38"/>
  <c r="Z15" i="38"/>
  <c r="AM15" i="38"/>
  <c r="M15" i="38"/>
  <c r="W15" i="38"/>
  <c r="AJ15" i="38"/>
  <c r="V15" i="38"/>
  <c r="AI15" i="38"/>
  <c r="K15" i="38"/>
  <c r="S15" i="38"/>
  <c r="AF15" i="38"/>
  <c r="R15" i="38"/>
  <c r="AE15" i="38"/>
  <c r="P14" i="38"/>
  <c r="AC14" i="38"/>
  <c r="AP14" i="38"/>
  <c r="AB14" i="38"/>
  <c r="AO14" i="38"/>
  <c r="O14" i="38"/>
  <c r="AA14" i="38"/>
  <c r="AN14" i="38"/>
  <c r="Z14" i="38"/>
  <c r="AM14" i="38"/>
  <c r="M14" i="38"/>
  <c r="W14" i="38"/>
  <c r="AJ14" i="38"/>
  <c r="V14" i="38"/>
  <c r="AI14" i="38"/>
  <c r="K14" i="38"/>
  <c r="S14" i="38"/>
  <c r="AF14" i="38"/>
  <c r="R14" i="38"/>
  <c r="AE14" i="38"/>
  <c r="P13" i="38"/>
  <c r="AC13" i="38"/>
  <c r="AP13" i="38"/>
  <c r="AB13" i="38"/>
  <c r="AO13" i="38"/>
  <c r="O13" i="38"/>
  <c r="AA13" i="38"/>
  <c r="AN13" i="38"/>
  <c r="Z13" i="38"/>
  <c r="AM13" i="38"/>
  <c r="M13" i="38"/>
  <c r="W13" i="38"/>
  <c r="AJ13" i="38"/>
  <c r="V13" i="38"/>
  <c r="AI13" i="38"/>
  <c r="K13" i="38"/>
  <c r="S13" i="38"/>
  <c r="AF13" i="38"/>
  <c r="R13" i="38"/>
  <c r="AE13" i="38"/>
  <c r="P12" i="38"/>
  <c r="AC12" i="38"/>
  <c r="AP12" i="38"/>
  <c r="AB12" i="38"/>
  <c r="AO12" i="38"/>
  <c r="O12" i="38"/>
  <c r="AA12" i="38"/>
  <c r="AN12" i="38"/>
  <c r="Z12" i="38"/>
  <c r="AM12" i="38"/>
  <c r="M12" i="38"/>
  <c r="W12" i="38"/>
  <c r="AJ12" i="38"/>
  <c r="V12" i="38"/>
  <c r="AI12" i="38"/>
  <c r="K12" i="38"/>
  <c r="S12" i="38"/>
  <c r="AF12" i="38"/>
  <c r="R12" i="38"/>
  <c r="AE12" i="38"/>
  <c r="P11" i="38"/>
  <c r="AC11" i="38"/>
  <c r="AP11" i="38"/>
  <c r="AB11" i="38"/>
  <c r="AO11" i="38"/>
  <c r="O11" i="38"/>
  <c r="AA11" i="38"/>
  <c r="AN11" i="38"/>
  <c r="Z11" i="38"/>
  <c r="AM11" i="38"/>
  <c r="M11" i="38"/>
  <c r="W11" i="38"/>
  <c r="AJ11" i="38"/>
  <c r="V11" i="38"/>
  <c r="AI11" i="38"/>
  <c r="K11" i="38"/>
  <c r="S11" i="38"/>
  <c r="AF11" i="38"/>
  <c r="R11" i="38"/>
  <c r="AE11" i="38"/>
  <c r="P10" i="38"/>
  <c r="AC10" i="38"/>
  <c r="AP10" i="38"/>
  <c r="AB10" i="38"/>
  <c r="AO10" i="38"/>
  <c r="O10" i="38"/>
  <c r="AA10" i="38"/>
  <c r="AN10" i="38"/>
  <c r="Z10" i="38"/>
  <c r="AM10" i="38"/>
  <c r="M10" i="38"/>
  <c r="W10" i="38"/>
  <c r="AJ10" i="38"/>
  <c r="V10" i="38"/>
  <c r="AI10" i="38"/>
  <c r="K10" i="38"/>
  <c r="S10" i="38"/>
  <c r="AF10" i="38"/>
  <c r="R10" i="38"/>
  <c r="AE10" i="38"/>
  <c r="P9" i="38"/>
  <c r="AC9" i="38"/>
  <c r="AP9" i="38"/>
  <c r="AB9" i="38"/>
  <c r="AO9" i="38"/>
  <c r="O9" i="38"/>
  <c r="AA9" i="38"/>
  <c r="AN9" i="38"/>
  <c r="Z9" i="38"/>
  <c r="AM9" i="38"/>
  <c r="M9" i="38"/>
  <c r="W9" i="38"/>
  <c r="AJ9" i="38"/>
  <c r="V9" i="38"/>
  <c r="AI9" i="38"/>
  <c r="K9" i="38"/>
  <c r="S9" i="38"/>
  <c r="AF9" i="38"/>
  <c r="R9" i="38"/>
  <c r="AE9" i="38"/>
  <c r="P8" i="38"/>
  <c r="AB8" i="38"/>
  <c r="AO8" i="38"/>
  <c r="O8" i="38"/>
  <c r="AA8" i="38"/>
  <c r="AN8" i="38"/>
  <c r="Z8" i="38"/>
  <c r="AM8" i="38"/>
  <c r="M8" i="38"/>
  <c r="W8" i="38"/>
  <c r="AJ8" i="38"/>
  <c r="V8" i="38"/>
  <c r="AI8" i="38"/>
  <c r="K8" i="38"/>
  <c r="S8" i="38"/>
  <c r="AF8" i="38"/>
  <c r="R8" i="38"/>
  <c r="AE8" i="38"/>
  <c r="F9" i="38"/>
  <c r="F10" i="38"/>
  <c r="F11" i="38"/>
  <c r="F12" i="38"/>
  <c r="F13" i="38"/>
  <c r="F14" i="38"/>
  <c r="F15" i="38"/>
  <c r="F16" i="38"/>
  <c r="F17" i="38"/>
  <c r="F18" i="38"/>
  <c r="F19" i="38"/>
  <c r="F20" i="38"/>
  <c r="F21" i="38"/>
  <c r="F22" i="38"/>
  <c r="F23" i="38"/>
  <c r="F24" i="38"/>
  <c r="F25" i="38"/>
  <c r="F26" i="38"/>
  <c r="F27" i="38"/>
  <c r="F28" i="38"/>
  <c r="F29" i="38"/>
  <c r="F30" i="38"/>
  <c r="F31" i="38"/>
  <c r="F32" i="38"/>
  <c r="F33" i="38"/>
  <c r="F34" i="38"/>
  <c r="F35" i="38"/>
  <c r="F36" i="38"/>
  <c r="F37" i="38"/>
  <c r="F38" i="38"/>
  <c r="F39" i="38"/>
  <c r="F40" i="38"/>
  <c r="F41" i="38"/>
  <c r="F42" i="38"/>
  <c r="F43" i="38"/>
  <c r="F44" i="38"/>
  <c r="F45" i="38"/>
  <c r="F46" i="38"/>
  <c r="F47" i="38"/>
  <c r="F48" i="38"/>
  <c r="F49" i="38"/>
  <c r="F50" i="38"/>
  <c r="F51" i="38"/>
  <c r="F52" i="38"/>
  <c r="F53" i="38"/>
  <c r="F54" i="38"/>
  <c r="F55" i="38"/>
  <c r="F56" i="38"/>
  <c r="F57" i="38"/>
  <c r="F58" i="38"/>
  <c r="F59" i="38"/>
  <c r="F60" i="38"/>
  <c r="F61" i="38"/>
  <c r="F62" i="38"/>
  <c r="F63" i="38"/>
  <c r="F64" i="38"/>
  <c r="F65" i="38"/>
  <c r="F66" i="38"/>
  <c r="F67" i="38"/>
  <c r="F68" i="38"/>
  <c r="F69" i="38"/>
  <c r="F70" i="38"/>
  <c r="F71" i="38"/>
  <c r="F72" i="38"/>
  <c r="F73" i="38"/>
  <c r="F74" i="38"/>
  <c r="F75" i="38"/>
  <c r="F76" i="38"/>
  <c r="F77" i="38"/>
  <c r="F78" i="38"/>
  <c r="F79" i="38"/>
  <c r="F80" i="38"/>
  <c r="F8" i="38"/>
  <c r="CV5" i="38"/>
  <c r="CY1" i="38"/>
  <c r="HL13" i="22"/>
  <c r="HN13" i="22"/>
  <c r="HP13" i="22"/>
  <c r="CY8" i="38"/>
  <c r="K14" i="22"/>
  <c r="G9" i="38"/>
  <c r="K15" i="22"/>
  <c r="G10" i="38"/>
  <c r="K16" i="22"/>
  <c r="G11" i="38"/>
  <c r="K17" i="22"/>
  <c r="G12" i="38"/>
  <c r="K18" i="22"/>
  <c r="G13" i="38"/>
  <c r="K19" i="22"/>
  <c r="G14" i="38"/>
  <c r="K20" i="22"/>
  <c r="G15" i="38"/>
  <c r="K21" i="22"/>
  <c r="G16" i="38"/>
  <c r="K22" i="22"/>
  <c r="G17" i="38"/>
  <c r="K23" i="22"/>
  <c r="G18" i="38"/>
  <c r="K24" i="22"/>
  <c r="G19" i="38"/>
  <c r="K25" i="22"/>
  <c r="G20" i="38"/>
  <c r="K26" i="22"/>
  <c r="G21" i="38"/>
  <c r="K27" i="22"/>
  <c r="G22" i="38"/>
  <c r="K28" i="22"/>
  <c r="G23" i="38"/>
  <c r="K29" i="22"/>
  <c r="G24" i="38"/>
  <c r="K30" i="22"/>
  <c r="G25" i="38"/>
  <c r="K31" i="22"/>
  <c r="G26" i="38"/>
  <c r="K32" i="22"/>
  <c r="G27" i="38"/>
  <c r="K33" i="22"/>
  <c r="G28" i="38"/>
  <c r="K34" i="22"/>
  <c r="G29" i="38"/>
  <c r="K35" i="22"/>
  <c r="G30" i="38"/>
  <c r="K36" i="22"/>
  <c r="G31" i="38"/>
  <c r="K37" i="22"/>
  <c r="G32" i="38"/>
  <c r="K38" i="22"/>
  <c r="G33" i="38"/>
  <c r="K39" i="22"/>
  <c r="G34" i="38"/>
  <c r="K40" i="22"/>
  <c r="G35" i="38"/>
  <c r="K41" i="22"/>
  <c r="G36" i="38"/>
  <c r="K42" i="22"/>
  <c r="G37" i="38"/>
  <c r="K43" i="22"/>
  <c r="G38" i="38"/>
  <c r="K44" i="22"/>
  <c r="G39" i="38"/>
  <c r="K45" i="22"/>
  <c r="G40" i="38"/>
  <c r="K46" i="22"/>
  <c r="G41" i="38"/>
  <c r="K47" i="22"/>
  <c r="G42" i="38"/>
  <c r="K48" i="22"/>
  <c r="G43" i="38"/>
  <c r="K49" i="22"/>
  <c r="G44" i="38"/>
  <c r="K50" i="22"/>
  <c r="G45" i="38"/>
  <c r="K51" i="22"/>
  <c r="G46" i="38"/>
  <c r="K52" i="22"/>
  <c r="G47" i="38"/>
  <c r="K53" i="22"/>
  <c r="G48" i="38"/>
  <c r="K54" i="22"/>
  <c r="G49" i="38"/>
  <c r="K55" i="22"/>
  <c r="G50" i="38"/>
  <c r="K56" i="22"/>
  <c r="G51" i="38"/>
  <c r="K57" i="22"/>
  <c r="G52" i="38"/>
  <c r="K58" i="22"/>
  <c r="G53" i="38"/>
  <c r="K59" i="22"/>
  <c r="G54" i="38"/>
  <c r="K60" i="22"/>
  <c r="G55" i="38"/>
  <c r="K61" i="22"/>
  <c r="G56" i="38"/>
  <c r="K62" i="22"/>
  <c r="G57" i="38"/>
  <c r="K63" i="22"/>
  <c r="G58" i="38"/>
  <c r="K64" i="22"/>
  <c r="G59" i="38"/>
  <c r="K65" i="22"/>
  <c r="G60" i="38"/>
  <c r="K66" i="22"/>
  <c r="G61" i="38"/>
  <c r="K67" i="22"/>
  <c r="G62" i="38"/>
  <c r="K68" i="22"/>
  <c r="G63" i="38"/>
  <c r="K69" i="22"/>
  <c r="G64" i="38"/>
  <c r="K70" i="22"/>
  <c r="G65" i="38"/>
  <c r="G66" i="38"/>
  <c r="G67" i="38"/>
  <c r="G68" i="38"/>
  <c r="G69" i="38"/>
  <c r="G70" i="38"/>
  <c r="G71" i="38"/>
  <c r="G72" i="38"/>
  <c r="G73" i="38"/>
  <c r="G74" i="38"/>
  <c r="G75" i="38"/>
  <c r="G76" i="38"/>
  <c r="G77" i="38"/>
  <c r="G78" i="38"/>
  <c r="G79" i="38"/>
  <c r="G80" i="38"/>
  <c r="K13" i="22"/>
  <c r="G8" i="38"/>
  <c r="DM90" i="22"/>
  <c r="CD9" i="38"/>
  <c r="CE9" i="38"/>
  <c r="CF9" i="38"/>
  <c r="CD10" i="38"/>
  <c r="CE10" i="38"/>
  <c r="CF10" i="38"/>
  <c r="CD11" i="38"/>
  <c r="CE11" i="38"/>
  <c r="CF11" i="38"/>
  <c r="CD12" i="38"/>
  <c r="CE12" i="38"/>
  <c r="CF12" i="38"/>
  <c r="CD13" i="38"/>
  <c r="CE13" i="38"/>
  <c r="CF13" i="38"/>
  <c r="CD14" i="38"/>
  <c r="CE14" i="38"/>
  <c r="CF14" i="38"/>
  <c r="CD15" i="38"/>
  <c r="CE15" i="38"/>
  <c r="CF15" i="38"/>
  <c r="CD16" i="38"/>
  <c r="CE16" i="38"/>
  <c r="CF16" i="38"/>
  <c r="CD17" i="38"/>
  <c r="CE17" i="38"/>
  <c r="CF17" i="38"/>
  <c r="CD18" i="38"/>
  <c r="CE18" i="38"/>
  <c r="CF18" i="38"/>
  <c r="CD19" i="38"/>
  <c r="CE19" i="38"/>
  <c r="CF19" i="38"/>
  <c r="CD20" i="38"/>
  <c r="CE20" i="38"/>
  <c r="CF20" i="38"/>
  <c r="CD21" i="38"/>
  <c r="CE21" i="38"/>
  <c r="CF21" i="38"/>
  <c r="CD22" i="38"/>
  <c r="CE22" i="38"/>
  <c r="CF22" i="38"/>
  <c r="CD23" i="38"/>
  <c r="CE23" i="38"/>
  <c r="CF23" i="38"/>
  <c r="CD24" i="38"/>
  <c r="CE24" i="38"/>
  <c r="CF24" i="38"/>
  <c r="CD25" i="38"/>
  <c r="CE25" i="38"/>
  <c r="CF25" i="38"/>
  <c r="CD26" i="38"/>
  <c r="CE26" i="38"/>
  <c r="CF26" i="38"/>
  <c r="CD27" i="38"/>
  <c r="CE27" i="38"/>
  <c r="CF27" i="38"/>
  <c r="CD28" i="38"/>
  <c r="CE28" i="38"/>
  <c r="CF28" i="38"/>
  <c r="CD29" i="38"/>
  <c r="CE29" i="38"/>
  <c r="CF29" i="38"/>
  <c r="CD30" i="38"/>
  <c r="CE30" i="38"/>
  <c r="CF30" i="38"/>
  <c r="CD31" i="38"/>
  <c r="CE31" i="38"/>
  <c r="CF31" i="38"/>
  <c r="CD32" i="38"/>
  <c r="CE32" i="38"/>
  <c r="CF32" i="38"/>
  <c r="CD33" i="38"/>
  <c r="CE33" i="38"/>
  <c r="CF33" i="38"/>
  <c r="CD34" i="38"/>
  <c r="CE34" i="38"/>
  <c r="CF34" i="38"/>
  <c r="CD35" i="38"/>
  <c r="CE35" i="38"/>
  <c r="CF35" i="38"/>
  <c r="CD36" i="38"/>
  <c r="CE36" i="38"/>
  <c r="CF36" i="38"/>
  <c r="CD37" i="38"/>
  <c r="CE37" i="38"/>
  <c r="CF37" i="38"/>
  <c r="CD38" i="38"/>
  <c r="CE38" i="38"/>
  <c r="CF38" i="38"/>
  <c r="CD39" i="38"/>
  <c r="CE39" i="38"/>
  <c r="CF39" i="38"/>
  <c r="CD40" i="38"/>
  <c r="CE40" i="38"/>
  <c r="CF40" i="38"/>
  <c r="CD41" i="38"/>
  <c r="CE41" i="38"/>
  <c r="CF41" i="38"/>
  <c r="CD42" i="38"/>
  <c r="CE42" i="38"/>
  <c r="CF42" i="38"/>
  <c r="CD43" i="38"/>
  <c r="CE43" i="38"/>
  <c r="CF43" i="38"/>
  <c r="CD44" i="38"/>
  <c r="CE44" i="38"/>
  <c r="CF44" i="38"/>
  <c r="CD45" i="38"/>
  <c r="CE45" i="38"/>
  <c r="CF45" i="38"/>
  <c r="CD46" i="38"/>
  <c r="CE46" i="38"/>
  <c r="CF46" i="38"/>
  <c r="CD47" i="38"/>
  <c r="CE47" i="38"/>
  <c r="CF47" i="38"/>
  <c r="CD48" i="38"/>
  <c r="CE48" i="38"/>
  <c r="CF48" i="38"/>
  <c r="CD49" i="38"/>
  <c r="CE49" i="38"/>
  <c r="CF49" i="38"/>
  <c r="CD50" i="38"/>
  <c r="CE50" i="38"/>
  <c r="CF50" i="38"/>
  <c r="CD51" i="38"/>
  <c r="CE51" i="38"/>
  <c r="CF51" i="38"/>
  <c r="CD52" i="38"/>
  <c r="CE52" i="38"/>
  <c r="CF52" i="38"/>
  <c r="CD53" i="38"/>
  <c r="CE53" i="38"/>
  <c r="CF53" i="38"/>
  <c r="CD54" i="38"/>
  <c r="CE54" i="38"/>
  <c r="CF54" i="38"/>
  <c r="CD55" i="38"/>
  <c r="CE55" i="38"/>
  <c r="CF55" i="38"/>
  <c r="CD56" i="38"/>
  <c r="CE56" i="38"/>
  <c r="CF56" i="38"/>
  <c r="CD57" i="38"/>
  <c r="CE57" i="38"/>
  <c r="CF57" i="38"/>
  <c r="CD58" i="38"/>
  <c r="CE58" i="38"/>
  <c r="CF58" i="38"/>
  <c r="CD59" i="38"/>
  <c r="CE59" i="38"/>
  <c r="CF59" i="38"/>
  <c r="CD60" i="38"/>
  <c r="CE60" i="38"/>
  <c r="CF60" i="38"/>
  <c r="CD61" i="38"/>
  <c r="CE61" i="38"/>
  <c r="CF61" i="38"/>
  <c r="CD62" i="38"/>
  <c r="CE62" i="38"/>
  <c r="CF62" i="38"/>
  <c r="CD63" i="38"/>
  <c r="CE63" i="38"/>
  <c r="CF63" i="38"/>
  <c r="CD64" i="38"/>
  <c r="CE64" i="38"/>
  <c r="CF64" i="38"/>
  <c r="CD65" i="38"/>
  <c r="CE65" i="38"/>
  <c r="CF65" i="38"/>
  <c r="CD66" i="38"/>
  <c r="CE66" i="38"/>
  <c r="CF66" i="38"/>
  <c r="CD67" i="38"/>
  <c r="CE67" i="38"/>
  <c r="CF67" i="38"/>
  <c r="CD68" i="38"/>
  <c r="CE68" i="38"/>
  <c r="CF68" i="38"/>
  <c r="CD69" i="38"/>
  <c r="CE69" i="38"/>
  <c r="CF69" i="38"/>
  <c r="CD70" i="38"/>
  <c r="CE70" i="38"/>
  <c r="CF70" i="38"/>
  <c r="CD71" i="38"/>
  <c r="CE71" i="38"/>
  <c r="CF71" i="38"/>
  <c r="CD72" i="38"/>
  <c r="CE72" i="38"/>
  <c r="CF72" i="38"/>
  <c r="CD73" i="38"/>
  <c r="CE73" i="38"/>
  <c r="CF73" i="38"/>
  <c r="CD74" i="38"/>
  <c r="CE74" i="38"/>
  <c r="CF74" i="38"/>
  <c r="CD75" i="38"/>
  <c r="CE75" i="38"/>
  <c r="CF75" i="38"/>
  <c r="CD76" i="38"/>
  <c r="CE76" i="38"/>
  <c r="CF76" i="38"/>
  <c r="CD77" i="38"/>
  <c r="CE77" i="38"/>
  <c r="CF77" i="38"/>
  <c r="CD78" i="38"/>
  <c r="CE78" i="38"/>
  <c r="CF78" i="38"/>
  <c r="CD79" i="38"/>
  <c r="CE79" i="38"/>
  <c r="CF79" i="38"/>
  <c r="CD80" i="38"/>
  <c r="CE80" i="38"/>
  <c r="CF80" i="38"/>
  <c r="AC8" i="38"/>
  <c r="CF8" i="38"/>
  <c r="CE8" i="38"/>
  <c r="CD8" i="38"/>
  <c r="CC8" i="38"/>
  <c r="BW8" i="38"/>
  <c r="HF14" i="22"/>
  <c r="HH14" i="22"/>
  <c r="HJ14" i="22"/>
  <c r="CW9" i="38"/>
  <c r="CY2" i="38"/>
  <c r="HG14" i="22"/>
  <c r="HI14" i="22"/>
  <c r="HK14" i="22"/>
  <c r="CX9" i="38"/>
  <c r="HL14" i="22"/>
  <c r="HN14" i="22"/>
  <c r="HP14" i="22"/>
  <c r="CY9" i="38"/>
  <c r="HM14" i="22"/>
  <c r="HO14" i="22"/>
  <c r="HQ14" i="22"/>
  <c r="CZ9" i="38"/>
  <c r="CY3" i="38"/>
  <c r="HR14" i="22"/>
  <c r="HT14" i="22"/>
  <c r="HV14" i="22"/>
  <c r="DA9" i="38"/>
  <c r="CY4" i="38"/>
  <c r="HS14" i="22"/>
  <c r="HU14" i="22"/>
  <c r="HW14" i="22"/>
  <c r="DB9" i="38"/>
  <c r="HF15" i="22"/>
  <c r="HH15" i="22"/>
  <c r="HJ15" i="22"/>
  <c r="CW10" i="38"/>
  <c r="HG15" i="22"/>
  <c r="HI15" i="22"/>
  <c r="HK15" i="22"/>
  <c r="CX10" i="38"/>
  <c r="HL15" i="22"/>
  <c r="HN15" i="22"/>
  <c r="HP15" i="22"/>
  <c r="CY10" i="38"/>
  <c r="HM15" i="22"/>
  <c r="HO15" i="22"/>
  <c r="HQ15" i="22"/>
  <c r="CZ10" i="38"/>
  <c r="HR15" i="22"/>
  <c r="HT15" i="22"/>
  <c r="HV15" i="22"/>
  <c r="DA10" i="38"/>
  <c r="HS15" i="22"/>
  <c r="HU15" i="22"/>
  <c r="HW15" i="22"/>
  <c r="DB10" i="38"/>
  <c r="HF16" i="22"/>
  <c r="HH16" i="22"/>
  <c r="HJ16" i="22"/>
  <c r="CW11" i="38"/>
  <c r="HG16" i="22"/>
  <c r="HI16" i="22"/>
  <c r="HK16" i="22"/>
  <c r="CX11" i="38"/>
  <c r="HL16" i="22"/>
  <c r="HN16" i="22"/>
  <c r="HP16" i="22"/>
  <c r="CY11" i="38"/>
  <c r="HM16" i="22"/>
  <c r="HO16" i="22"/>
  <c r="HQ16" i="22"/>
  <c r="CZ11" i="38"/>
  <c r="HR16" i="22"/>
  <c r="HT16" i="22"/>
  <c r="HV16" i="22"/>
  <c r="DA11" i="38"/>
  <c r="HS16" i="22"/>
  <c r="HU16" i="22"/>
  <c r="HW16" i="22"/>
  <c r="DB11" i="38"/>
  <c r="HF17" i="22"/>
  <c r="HH17" i="22"/>
  <c r="HJ17" i="22"/>
  <c r="CW12" i="38"/>
  <c r="HG17" i="22"/>
  <c r="HI17" i="22"/>
  <c r="HK17" i="22"/>
  <c r="CX12" i="38"/>
  <c r="HL17" i="22"/>
  <c r="HN17" i="22"/>
  <c r="HP17" i="22"/>
  <c r="CY12" i="38"/>
  <c r="HM17" i="22"/>
  <c r="HO17" i="22"/>
  <c r="HQ17" i="22"/>
  <c r="CZ12" i="38"/>
  <c r="HR17" i="22"/>
  <c r="HT17" i="22"/>
  <c r="HV17" i="22"/>
  <c r="DA12" i="38"/>
  <c r="HS17" i="22"/>
  <c r="HU17" i="22"/>
  <c r="HW17" i="22"/>
  <c r="DB12" i="38"/>
  <c r="HF18" i="22"/>
  <c r="HH18" i="22"/>
  <c r="HJ18" i="22"/>
  <c r="CW13" i="38"/>
  <c r="HG18" i="22"/>
  <c r="HI18" i="22"/>
  <c r="HK18" i="22"/>
  <c r="CX13" i="38"/>
  <c r="HL18" i="22"/>
  <c r="HN18" i="22"/>
  <c r="HP18" i="22"/>
  <c r="CY13" i="38"/>
  <c r="HM18" i="22"/>
  <c r="HO18" i="22"/>
  <c r="HQ18" i="22"/>
  <c r="CZ13" i="38"/>
  <c r="HR18" i="22"/>
  <c r="HT18" i="22"/>
  <c r="HV18" i="22"/>
  <c r="DA13" i="38"/>
  <c r="HS18" i="22"/>
  <c r="HU18" i="22"/>
  <c r="HW18" i="22"/>
  <c r="DB13" i="38"/>
  <c r="HF19" i="22"/>
  <c r="HH19" i="22"/>
  <c r="HJ19" i="22"/>
  <c r="CW14" i="38"/>
  <c r="HG19" i="22"/>
  <c r="HI19" i="22"/>
  <c r="HK19" i="22"/>
  <c r="CX14" i="38"/>
  <c r="HL19" i="22"/>
  <c r="HN19" i="22"/>
  <c r="HP19" i="22"/>
  <c r="CY14" i="38"/>
  <c r="HM19" i="22"/>
  <c r="HO19" i="22"/>
  <c r="HQ19" i="22"/>
  <c r="CZ14" i="38"/>
  <c r="HR19" i="22"/>
  <c r="HT19" i="22"/>
  <c r="HV19" i="22"/>
  <c r="DA14" i="38"/>
  <c r="HS19" i="22"/>
  <c r="HU19" i="22"/>
  <c r="HW19" i="22"/>
  <c r="DB14" i="38"/>
  <c r="HF20" i="22"/>
  <c r="HH20" i="22"/>
  <c r="HJ20" i="22"/>
  <c r="CW15" i="38"/>
  <c r="HG20" i="22"/>
  <c r="HI20" i="22"/>
  <c r="HK20" i="22"/>
  <c r="CX15" i="38"/>
  <c r="HL20" i="22"/>
  <c r="HN20" i="22"/>
  <c r="HP20" i="22"/>
  <c r="CY15" i="38"/>
  <c r="HM20" i="22"/>
  <c r="HO20" i="22"/>
  <c r="HQ20" i="22"/>
  <c r="CZ15" i="38"/>
  <c r="HR20" i="22"/>
  <c r="HT20" i="22"/>
  <c r="HV20" i="22"/>
  <c r="DA15" i="38"/>
  <c r="HS20" i="22"/>
  <c r="HU20" i="22"/>
  <c r="HW20" i="22"/>
  <c r="DB15" i="38"/>
  <c r="HF21" i="22"/>
  <c r="HH21" i="22"/>
  <c r="HJ21" i="22"/>
  <c r="CW16" i="38"/>
  <c r="HG21" i="22"/>
  <c r="HI21" i="22"/>
  <c r="HK21" i="22"/>
  <c r="CX16" i="38"/>
  <c r="HL21" i="22"/>
  <c r="HN21" i="22"/>
  <c r="HP21" i="22"/>
  <c r="CY16" i="38"/>
  <c r="HM21" i="22"/>
  <c r="HO21" i="22"/>
  <c r="HQ21" i="22"/>
  <c r="CZ16" i="38"/>
  <c r="HR21" i="22"/>
  <c r="HT21" i="22"/>
  <c r="HV21" i="22"/>
  <c r="DA16" i="38"/>
  <c r="HS21" i="22"/>
  <c r="HU21" i="22"/>
  <c r="HW21" i="22"/>
  <c r="DB16" i="38"/>
  <c r="HF22" i="22"/>
  <c r="HH22" i="22"/>
  <c r="HJ22" i="22"/>
  <c r="CW17" i="38"/>
  <c r="HG22" i="22"/>
  <c r="HI22" i="22"/>
  <c r="HK22" i="22"/>
  <c r="CX17" i="38"/>
  <c r="HL22" i="22"/>
  <c r="HN22" i="22"/>
  <c r="HP22" i="22"/>
  <c r="CY17" i="38"/>
  <c r="HM22" i="22"/>
  <c r="HO22" i="22"/>
  <c r="HQ22" i="22"/>
  <c r="CZ17" i="38"/>
  <c r="HR22" i="22"/>
  <c r="HT22" i="22"/>
  <c r="HV22" i="22"/>
  <c r="DA17" i="38"/>
  <c r="HS22" i="22"/>
  <c r="HU22" i="22"/>
  <c r="HW22" i="22"/>
  <c r="DB17" i="38"/>
  <c r="HF23" i="22"/>
  <c r="HH23" i="22"/>
  <c r="HJ23" i="22"/>
  <c r="CW18" i="38"/>
  <c r="HG23" i="22"/>
  <c r="HI23" i="22"/>
  <c r="HK23" i="22"/>
  <c r="CX18" i="38"/>
  <c r="HL23" i="22"/>
  <c r="HN23" i="22"/>
  <c r="HP23" i="22"/>
  <c r="CY18" i="38"/>
  <c r="HM23" i="22"/>
  <c r="HO23" i="22"/>
  <c r="HQ23" i="22"/>
  <c r="CZ18" i="38"/>
  <c r="HR23" i="22"/>
  <c r="HT23" i="22"/>
  <c r="HV23" i="22"/>
  <c r="DA18" i="38"/>
  <c r="HS23" i="22"/>
  <c r="HU23" i="22"/>
  <c r="HW23" i="22"/>
  <c r="DB18" i="38"/>
  <c r="HF24" i="22"/>
  <c r="HH24" i="22"/>
  <c r="HJ24" i="22"/>
  <c r="CW19" i="38"/>
  <c r="HG24" i="22"/>
  <c r="HI24" i="22"/>
  <c r="HK24" i="22"/>
  <c r="CX19" i="38"/>
  <c r="HL24" i="22"/>
  <c r="HN24" i="22"/>
  <c r="HP24" i="22"/>
  <c r="CY19" i="38"/>
  <c r="HM24" i="22"/>
  <c r="HO24" i="22"/>
  <c r="HQ24" i="22"/>
  <c r="CZ19" i="38"/>
  <c r="HR24" i="22"/>
  <c r="HT24" i="22"/>
  <c r="HV24" i="22"/>
  <c r="DA19" i="38"/>
  <c r="HS24" i="22"/>
  <c r="HU24" i="22"/>
  <c r="HW24" i="22"/>
  <c r="DB19" i="38"/>
  <c r="HF25" i="22"/>
  <c r="HH25" i="22"/>
  <c r="HJ25" i="22"/>
  <c r="CW20" i="38"/>
  <c r="HG25" i="22"/>
  <c r="HI25" i="22"/>
  <c r="HK25" i="22"/>
  <c r="CX20" i="38"/>
  <c r="HL25" i="22"/>
  <c r="HN25" i="22"/>
  <c r="HP25" i="22"/>
  <c r="CY20" i="38"/>
  <c r="HM25" i="22"/>
  <c r="HO25" i="22"/>
  <c r="HQ25" i="22"/>
  <c r="CZ20" i="38"/>
  <c r="HR25" i="22"/>
  <c r="HT25" i="22"/>
  <c r="HV25" i="22"/>
  <c r="DA20" i="38"/>
  <c r="HS25" i="22"/>
  <c r="HU25" i="22"/>
  <c r="HW25" i="22"/>
  <c r="DB20" i="38"/>
  <c r="HF26" i="22"/>
  <c r="HH26" i="22"/>
  <c r="HJ26" i="22"/>
  <c r="CW21" i="38"/>
  <c r="HG26" i="22"/>
  <c r="HI26" i="22"/>
  <c r="HK26" i="22"/>
  <c r="CX21" i="38"/>
  <c r="HL26" i="22"/>
  <c r="HN26" i="22"/>
  <c r="HP26" i="22"/>
  <c r="CY21" i="38"/>
  <c r="HM26" i="22"/>
  <c r="HO26" i="22"/>
  <c r="HQ26" i="22"/>
  <c r="CZ21" i="38"/>
  <c r="HR26" i="22"/>
  <c r="HT26" i="22"/>
  <c r="HV26" i="22"/>
  <c r="DA21" i="38"/>
  <c r="HS26" i="22"/>
  <c r="HU26" i="22"/>
  <c r="HW26" i="22"/>
  <c r="DB21" i="38"/>
  <c r="HF27" i="22"/>
  <c r="HH27" i="22"/>
  <c r="HJ27" i="22"/>
  <c r="CW22" i="38"/>
  <c r="HG27" i="22"/>
  <c r="HI27" i="22"/>
  <c r="HK27" i="22"/>
  <c r="CX22" i="38"/>
  <c r="HL27" i="22"/>
  <c r="HN27" i="22"/>
  <c r="HP27" i="22"/>
  <c r="CY22" i="38"/>
  <c r="HM27" i="22"/>
  <c r="HO27" i="22"/>
  <c r="HQ27" i="22"/>
  <c r="CZ22" i="38"/>
  <c r="HR27" i="22"/>
  <c r="HT27" i="22"/>
  <c r="HV27" i="22"/>
  <c r="DA22" i="38"/>
  <c r="HS27" i="22"/>
  <c r="HU27" i="22"/>
  <c r="HW27" i="22"/>
  <c r="DB22" i="38"/>
  <c r="HF28" i="22"/>
  <c r="HH28" i="22"/>
  <c r="HJ28" i="22"/>
  <c r="CW23" i="38"/>
  <c r="HG28" i="22"/>
  <c r="HI28" i="22"/>
  <c r="HK28" i="22"/>
  <c r="CX23" i="38"/>
  <c r="HL28" i="22"/>
  <c r="HN28" i="22"/>
  <c r="HP28" i="22"/>
  <c r="CY23" i="38"/>
  <c r="HM28" i="22"/>
  <c r="HO28" i="22"/>
  <c r="HQ28" i="22"/>
  <c r="CZ23" i="38"/>
  <c r="HR28" i="22"/>
  <c r="HT28" i="22"/>
  <c r="HV28" i="22"/>
  <c r="DA23" i="38"/>
  <c r="HS28" i="22"/>
  <c r="HU28" i="22"/>
  <c r="HW28" i="22"/>
  <c r="DB23" i="38"/>
  <c r="HF29" i="22"/>
  <c r="HH29" i="22"/>
  <c r="HJ29" i="22"/>
  <c r="CW24" i="38"/>
  <c r="HG29" i="22"/>
  <c r="HI29" i="22"/>
  <c r="HK29" i="22"/>
  <c r="CX24" i="38"/>
  <c r="HL29" i="22"/>
  <c r="HN29" i="22"/>
  <c r="HP29" i="22"/>
  <c r="CY24" i="38"/>
  <c r="HM29" i="22"/>
  <c r="HO29" i="22"/>
  <c r="HQ29" i="22"/>
  <c r="CZ24" i="38"/>
  <c r="HR29" i="22"/>
  <c r="HT29" i="22"/>
  <c r="HV29" i="22"/>
  <c r="DA24" i="38"/>
  <c r="HS29" i="22"/>
  <c r="HU29" i="22"/>
  <c r="HW29" i="22"/>
  <c r="DB24" i="38"/>
  <c r="HF30" i="22"/>
  <c r="HH30" i="22"/>
  <c r="HJ30" i="22"/>
  <c r="CW25" i="38"/>
  <c r="HG30" i="22"/>
  <c r="HI30" i="22"/>
  <c r="HK30" i="22"/>
  <c r="CX25" i="38"/>
  <c r="HL30" i="22"/>
  <c r="HN30" i="22"/>
  <c r="HP30" i="22"/>
  <c r="CY25" i="38"/>
  <c r="HM30" i="22"/>
  <c r="HO30" i="22"/>
  <c r="HQ30" i="22"/>
  <c r="CZ25" i="38"/>
  <c r="HR30" i="22"/>
  <c r="HT30" i="22"/>
  <c r="HV30" i="22"/>
  <c r="DA25" i="38"/>
  <c r="HS30" i="22"/>
  <c r="HU30" i="22"/>
  <c r="HW30" i="22"/>
  <c r="DB25" i="38"/>
  <c r="HF31" i="22"/>
  <c r="HH31" i="22"/>
  <c r="HJ31" i="22"/>
  <c r="CW26" i="38"/>
  <c r="HG31" i="22"/>
  <c r="HI31" i="22"/>
  <c r="HK31" i="22"/>
  <c r="CX26" i="38"/>
  <c r="HL31" i="22"/>
  <c r="HN31" i="22"/>
  <c r="HP31" i="22"/>
  <c r="CY26" i="38"/>
  <c r="HM31" i="22"/>
  <c r="HO31" i="22"/>
  <c r="HQ31" i="22"/>
  <c r="CZ26" i="38"/>
  <c r="HR31" i="22"/>
  <c r="HT31" i="22"/>
  <c r="HV31" i="22"/>
  <c r="DA26" i="38"/>
  <c r="HS31" i="22"/>
  <c r="HU31" i="22"/>
  <c r="HW31" i="22"/>
  <c r="DB26" i="38"/>
  <c r="HF32" i="22"/>
  <c r="HH32" i="22"/>
  <c r="HJ32" i="22"/>
  <c r="CW27" i="38"/>
  <c r="HG32" i="22"/>
  <c r="HI32" i="22"/>
  <c r="HK32" i="22"/>
  <c r="CX27" i="38"/>
  <c r="HL32" i="22"/>
  <c r="HN32" i="22"/>
  <c r="HP32" i="22"/>
  <c r="CY27" i="38"/>
  <c r="HM32" i="22"/>
  <c r="HO32" i="22"/>
  <c r="HQ32" i="22"/>
  <c r="CZ27" i="38"/>
  <c r="HR32" i="22"/>
  <c r="HT32" i="22"/>
  <c r="HV32" i="22"/>
  <c r="DA27" i="38"/>
  <c r="HS32" i="22"/>
  <c r="HU32" i="22"/>
  <c r="HW32" i="22"/>
  <c r="DB27" i="38"/>
  <c r="HF33" i="22"/>
  <c r="HH33" i="22"/>
  <c r="HJ33" i="22"/>
  <c r="CW28" i="38"/>
  <c r="HG33" i="22"/>
  <c r="HI33" i="22"/>
  <c r="HK33" i="22"/>
  <c r="CX28" i="38"/>
  <c r="HL33" i="22"/>
  <c r="HN33" i="22"/>
  <c r="HP33" i="22"/>
  <c r="CY28" i="38"/>
  <c r="HM33" i="22"/>
  <c r="HO33" i="22"/>
  <c r="HQ33" i="22"/>
  <c r="CZ28" i="38"/>
  <c r="HR33" i="22"/>
  <c r="HT33" i="22"/>
  <c r="HV33" i="22"/>
  <c r="DA28" i="38"/>
  <c r="HS33" i="22"/>
  <c r="HU33" i="22"/>
  <c r="HW33" i="22"/>
  <c r="DB28" i="38"/>
  <c r="HF34" i="22"/>
  <c r="HH34" i="22"/>
  <c r="HJ34" i="22"/>
  <c r="CW29" i="38"/>
  <c r="HG34" i="22"/>
  <c r="HI34" i="22"/>
  <c r="HK34" i="22"/>
  <c r="CX29" i="38"/>
  <c r="HL34" i="22"/>
  <c r="HN34" i="22"/>
  <c r="HP34" i="22"/>
  <c r="CY29" i="38"/>
  <c r="HM34" i="22"/>
  <c r="HO34" i="22"/>
  <c r="HQ34" i="22"/>
  <c r="CZ29" i="38"/>
  <c r="HR34" i="22"/>
  <c r="HT34" i="22"/>
  <c r="HV34" i="22"/>
  <c r="DA29" i="38"/>
  <c r="HS34" i="22"/>
  <c r="HU34" i="22"/>
  <c r="HW34" i="22"/>
  <c r="DB29" i="38"/>
  <c r="HF35" i="22"/>
  <c r="HH35" i="22"/>
  <c r="HJ35" i="22"/>
  <c r="CW30" i="38"/>
  <c r="HG35" i="22"/>
  <c r="HI35" i="22"/>
  <c r="HK35" i="22"/>
  <c r="CX30" i="38"/>
  <c r="HL35" i="22"/>
  <c r="HN35" i="22"/>
  <c r="HP35" i="22"/>
  <c r="CY30" i="38"/>
  <c r="HM35" i="22"/>
  <c r="HO35" i="22"/>
  <c r="HQ35" i="22"/>
  <c r="CZ30" i="38"/>
  <c r="HR35" i="22"/>
  <c r="HT35" i="22"/>
  <c r="HV35" i="22"/>
  <c r="DA30" i="38"/>
  <c r="HS35" i="22"/>
  <c r="HU35" i="22"/>
  <c r="HW35" i="22"/>
  <c r="DB30" i="38"/>
  <c r="HF36" i="22"/>
  <c r="HH36" i="22"/>
  <c r="HJ36" i="22"/>
  <c r="CW31" i="38"/>
  <c r="HG36" i="22"/>
  <c r="HI36" i="22"/>
  <c r="HK36" i="22"/>
  <c r="CX31" i="38"/>
  <c r="HL36" i="22"/>
  <c r="HN36" i="22"/>
  <c r="HP36" i="22"/>
  <c r="CY31" i="38"/>
  <c r="HM36" i="22"/>
  <c r="HO36" i="22"/>
  <c r="HQ36" i="22"/>
  <c r="CZ31" i="38"/>
  <c r="HR36" i="22"/>
  <c r="HT36" i="22"/>
  <c r="HV36" i="22"/>
  <c r="DA31" i="38"/>
  <c r="HS36" i="22"/>
  <c r="HU36" i="22"/>
  <c r="HW36" i="22"/>
  <c r="DB31" i="38"/>
  <c r="HF37" i="22"/>
  <c r="HH37" i="22"/>
  <c r="HJ37" i="22"/>
  <c r="CW32" i="38"/>
  <c r="HG37" i="22"/>
  <c r="HI37" i="22"/>
  <c r="HK37" i="22"/>
  <c r="CX32" i="38"/>
  <c r="HL37" i="22"/>
  <c r="HN37" i="22"/>
  <c r="HP37" i="22"/>
  <c r="CY32" i="38"/>
  <c r="HM37" i="22"/>
  <c r="HO37" i="22"/>
  <c r="HQ37" i="22"/>
  <c r="CZ32" i="38"/>
  <c r="HR37" i="22"/>
  <c r="HT37" i="22"/>
  <c r="HV37" i="22"/>
  <c r="DA32" i="38"/>
  <c r="HS37" i="22"/>
  <c r="HU37" i="22"/>
  <c r="HW37" i="22"/>
  <c r="DB32" i="38"/>
  <c r="HF38" i="22"/>
  <c r="HH38" i="22"/>
  <c r="HJ38" i="22"/>
  <c r="CW33" i="38"/>
  <c r="HG38" i="22"/>
  <c r="HI38" i="22"/>
  <c r="HK38" i="22"/>
  <c r="CX33" i="38"/>
  <c r="HL38" i="22"/>
  <c r="HN38" i="22"/>
  <c r="HP38" i="22"/>
  <c r="CY33" i="38"/>
  <c r="HM38" i="22"/>
  <c r="HO38" i="22"/>
  <c r="HQ38" i="22"/>
  <c r="CZ33" i="38"/>
  <c r="HR38" i="22"/>
  <c r="HT38" i="22"/>
  <c r="HV38" i="22"/>
  <c r="DA33" i="38"/>
  <c r="HS38" i="22"/>
  <c r="HU38" i="22"/>
  <c r="HW38" i="22"/>
  <c r="DB33" i="38"/>
  <c r="HF39" i="22"/>
  <c r="HH39" i="22"/>
  <c r="HJ39" i="22"/>
  <c r="CW34" i="38"/>
  <c r="HG39" i="22"/>
  <c r="HI39" i="22"/>
  <c r="HK39" i="22"/>
  <c r="CX34" i="38"/>
  <c r="HL39" i="22"/>
  <c r="HN39" i="22"/>
  <c r="HP39" i="22"/>
  <c r="CY34" i="38"/>
  <c r="HM39" i="22"/>
  <c r="HO39" i="22"/>
  <c r="HQ39" i="22"/>
  <c r="CZ34" i="38"/>
  <c r="HR39" i="22"/>
  <c r="HT39" i="22"/>
  <c r="HV39" i="22"/>
  <c r="DA34" i="38"/>
  <c r="HS39" i="22"/>
  <c r="HU39" i="22"/>
  <c r="HW39" i="22"/>
  <c r="DB34" i="38"/>
  <c r="HF40" i="22"/>
  <c r="HH40" i="22"/>
  <c r="HJ40" i="22"/>
  <c r="CW35" i="38"/>
  <c r="HG40" i="22"/>
  <c r="HI40" i="22"/>
  <c r="HK40" i="22"/>
  <c r="CX35" i="38"/>
  <c r="HL40" i="22"/>
  <c r="HN40" i="22"/>
  <c r="HP40" i="22"/>
  <c r="CY35" i="38"/>
  <c r="HM40" i="22"/>
  <c r="HO40" i="22"/>
  <c r="HQ40" i="22"/>
  <c r="CZ35" i="38"/>
  <c r="HR40" i="22"/>
  <c r="HT40" i="22"/>
  <c r="HV40" i="22"/>
  <c r="DA35" i="38"/>
  <c r="HS40" i="22"/>
  <c r="HU40" i="22"/>
  <c r="HW40" i="22"/>
  <c r="DB35" i="38"/>
  <c r="HF41" i="22"/>
  <c r="HH41" i="22"/>
  <c r="HJ41" i="22"/>
  <c r="CW36" i="38"/>
  <c r="HG41" i="22"/>
  <c r="HI41" i="22"/>
  <c r="HK41" i="22"/>
  <c r="CX36" i="38"/>
  <c r="HL41" i="22"/>
  <c r="HN41" i="22"/>
  <c r="HP41" i="22"/>
  <c r="CY36" i="38"/>
  <c r="HM41" i="22"/>
  <c r="HO41" i="22"/>
  <c r="HQ41" i="22"/>
  <c r="CZ36" i="38"/>
  <c r="HR41" i="22"/>
  <c r="HT41" i="22"/>
  <c r="HV41" i="22"/>
  <c r="DA36" i="38"/>
  <c r="HS41" i="22"/>
  <c r="HU41" i="22"/>
  <c r="HW41" i="22"/>
  <c r="DB36" i="38"/>
  <c r="HF42" i="22"/>
  <c r="HH42" i="22"/>
  <c r="HJ42" i="22"/>
  <c r="CW37" i="38"/>
  <c r="HG42" i="22"/>
  <c r="HI42" i="22"/>
  <c r="HK42" i="22"/>
  <c r="CX37" i="38"/>
  <c r="HL42" i="22"/>
  <c r="HN42" i="22"/>
  <c r="HP42" i="22"/>
  <c r="CY37" i="38"/>
  <c r="HM42" i="22"/>
  <c r="HO42" i="22"/>
  <c r="HQ42" i="22"/>
  <c r="CZ37" i="38"/>
  <c r="HR42" i="22"/>
  <c r="HT42" i="22"/>
  <c r="HV42" i="22"/>
  <c r="DA37" i="38"/>
  <c r="HS42" i="22"/>
  <c r="HU42" i="22"/>
  <c r="HW42" i="22"/>
  <c r="DB37" i="38"/>
  <c r="HF43" i="22"/>
  <c r="HH43" i="22"/>
  <c r="HJ43" i="22"/>
  <c r="CW38" i="38"/>
  <c r="HG43" i="22"/>
  <c r="HI43" i="22"/>
  <c r="HK43" i="22"/>
  <c r="CX38" i="38"/>
  <c r="HL43" i="22"/>
  <c r="HN43" i="22"/>
  <c r="HP43" i="22"/>
  <c r="CY38" i="38"/>
  <c r="HM43" i="22"/>
  <c r="HO43" i="22"/>
  <c r="HQ43" i="22"/>
  <c r="CZ38" i="38"/>
  <c r="HR43" i="22"/>
  <c r="HT43" i="22"/>
  <c r="HV43" i="22"/>
  <c r="DA38" i="38"/>
  <c r="HS43" i="22"/>
  <c r="HU43" i="22"/>
  <c r="HW43" i="22"/>
  <c r="DB38" i="38"/>
  <c r="HF44" i="22"/>
  <c r="HH44" i="22"/>
  <c r="HJ44" i="22"/>
  <c r="CW39" i="38"/>
  <c r="HG44" i="22"/>
  <c r="HI44" i="22"/>
  <c r="HK44" i="22"/>
  <c r="CX39" i="38"/>
  <c r="HL44" i="22"/>
  <c r="HN44" i="22"/>
  <c r="HP44" i="22"/>
  <c r="CY39" i="38"/>
  <c r="HM44" i="22"/>
  <c r="HO44" i="22"/>
  <c r="HQ44" i="22"/>
  <c r="CZ39" i="38"/>
  <c r="HR44" i="22"/>
  <c r="HT44" i="22"/>
  <c r="HV44" i="22"/>
  <c r="DA39" i="38"/>
  <c r="HS44" i="22"/>
  <c r="HU44" i="22"/>
  <c r="HW44" i="22"/>
  <c r="DB39" i="38"/>
  <c r="HF45" i="22"/>
  <c r="HH45" i="22"/>
  <c r="HJ45" i="22"/>
  <c r="CW40" i="38"/>
  <c r="HG45" i="22"/>
  <c r="HI45" i="22"/>
  <c r="HK45" i="22"/>
  <c r="CX40" i="38"/>
  <c r="HL45" i="22"/>
  <c r="HN45" i="22"/>
  <c r="HP45" i="22"/>
  <c r="CY40" i="38"/>
  <c r="HM45" i="22"/>
  <c r="HO45" i="22"/>
  <c r="HQ45" i="22"/>
  <c r="CZ40" i="38"/>
  <c r="HR45" i="22"/>
  <c r="HT45" i="22"/>
  <c r="HV45" i="22"/>
  <c r="DA40" i="38"/>
  <c r="HS45" i="22"/>
  <c r="HU45" i="22"/>
  <c r="HW45" i="22"/>
  <c r="DB40" i="38"/>
  <c r="HF46" i="22"/>
  <c r="HH46" i="22"/>
  <c r="HJ46" i="22"/>
  <c r="CW41" i="38"/>
  <c r="HG46" i="22"/>
  <c r="HI46" i="22"/>
  <c r="HK46" i="22"/>
  <c r="CX41" i="38"/>
  <c r="HL46" i="22"/>
  <c r="HN46" i="22"/>
  <c r="HP46" i="22"/>
  <c r="CY41" i="38"/>
  <c r="HM46" i="22"/>
  <c r="HO46" i="22"/>
  <c r="HQ46" i="22"/>
  <c r="CZ41" i="38"/>
  <c r="HR46" i="22"/>
  <c r="HT46" i="22"/>
  <c r="HV46" i="22"/>
  <c r="DA41" i="38"/>
  <c r="HS46" i="22"/>
  <c r="HU46" i="22"/>
  <c r="HW46" i="22"/>
  <c r="DB41" i="38"/>
  <c r="HF47" i="22"/>
  <c r="HH47" i="22"/>
  <c r="HJ47" i="22"/>
  <c r="CW42" i="38"/>
  <c r="HG47" i="22"/>
  <c r="HI47" i="22"/>
  <c r="HK47" i="22"/>
  <c r="CX42" i="38"/>
  <c r="HL47" i="22"/>
  <c r="HN47" i="22"/>
  <c r="HP47" i="22"/>
  <c r="CY42" i="38"/>
  <c r="HM47" i="22"/>
  <c r="HO47" i="22"/>
  <c r="HQ47" i="22"/>
  <c r="CZ42" i="38"/>
  <c r="HR47" i="22"/>
  <c r="HT47" i="22"/>
  <c r="HV47" i="22"/>
  <c r="DA42" i="38"/>
  <c r="HS47" i="22"/>
  <c r="HU47" i="22"/>
  <c r="HW47" i="22"/>
  <c r="DB42" i="38"/>
  <c r="HF48" i="22"/>
  <c r="HH48" i="22"/>
  <c r="HJ48" i="22"/>
  <c r="CW43" i="38"/>
  <c r="HG48" i="22"/>
  <c r="HI48" i="22"/>
  <c r="HK48" i="22"/>
  <c r="CX43" i="38"/>
  <c r="HL48" i="22"/>
  <c r="HN48" i="22"/>
  <c r="HP48" i="22"/>
  <c r="CY43" i="38"/>
  <c r="HM48" i="22"/>
  <c r="HO48" i="22"/>
  <c r="HQ48" i="22"/>
  <c r="CZ43" i="38"/>
  <c r="HR48" i="22"/>
  <c r="HT48" i="22"/>
  <c r="HV48" i="22"/>
  <c r="DA43" i="38"/>
  <c r="HS48" i="22"/>
  <c r="HU48" i="22"/>
  <c r="HW48" i="22"/>
  <c r="DB43" i="38"/>
  <c r="HF49" i="22"/>
  <c r="HH49" i="22"/>
  <c r="HJ49" i="22"/>
  <c r="CW44" i="38"/>
  <c r="HG49" i="22"/>
  <c r="HI49" i="22"/>
  <c r="HK49" i="22"/>
  <c r="CX44" i="38"/>
  <c r="HL49" i="22"/>
  <c r="HN49" i="22"/>
  <c r="HP49" i="22"/>
  <c r="CY44" i="38"/>
  <c r="HM49" i="22"/>
  <c r="HO49" i="22"/>
  <c r="HQ49" i="22"/>
  <c r="CZ44" i="38"/>
  <c r="HR49" i="22"/>
  <c r="HT49" i="22"/>
  <c r="HV49" i="22"/>
  <c r="DA44" i="38"/>
  <c r="HS49" i="22"/>
  <c r="HU49" i="22"/>
  <c r="HW49" i="22"/>
  <c r="DB44" i="38"/>
  <c r="HF50" i="22"/>
  <c r="HH50" i="22"/>
  <c r="HJ50" i="22"/>
  <c r="CW45" i="38"/>
  <c r="HG50" i="22"/>
  <c r="HI50" i="22"/>
  <c r="HK50" i="22"/>
  <c r="CX45" i="38"/>
  <c r="HL50" i="22"/>
  <c r="HN50" i="22"/>
  <c r="HP50" i="22"/>
  <c r="CY45" i="38"/>
  <c r="HM50" i="22"/>
  <c r="HO50" i="22"/>
  <c r="HQ50" i="22"/>
  <c r="CZ45" i="38"/>
  <c r="HR50" i="22"/>
  <c r="HT50" i="22"/>
  <c r="HV50" i="22"/>
  <c r="DA45" i="38"/>
  <c r="HS50" i="22"/>
  <c r="HU50" i="22"/>
  <c r="HW50" i="22"/>
  <c r="DB45" i="38"/>
  <c r="HF51" i="22"/>
  <c r="HH51" i="22"/>
  <c r="HJ51" i="22"/>
  <c r="CW46" i="38"/>
  <c r="HG51" i="22"/>
  <c r="HI51" i="22"/>
  <c r="HK51" i="22"/>
  <c r="CX46" i="38"/>
  <c r="HL51" i="22"/>
  <c r="HN51" i="22"/>
  <c r="HP51" i="22"/>
  <c r="CY46" i="38"/>
  <c r="HM51" i="22"/>
  <c r="HO51" i="22"/>
  <c r="HQ51" i="22"/>
  <c r="CZ46" i="38"/>
  <c r="HR51" i="22"/>
  <c r="HT51" i="22"/>
  <c r="HV51" i="22"/>
  <c r="DA46" i="38"/>
  <c r="HS51" i="22"/>
  <c r="HU51" i="22"/>
  <c r="HW51" i="22"/>
  <c r="DB46" i="38"/>
  <c r="HF52" i="22"/>
  <c r="HH52" i="22"/>
  <c r="HJ52" i="22"/>
  <c r="CW47" i="38"/>
  <c r="HG52" i="22"/>
  <c r="HI52" i="22"/>
  <c r="HK52" i="22"/>
  <c r="CX47" i="38"/>
  <c r="HL52" i="22"/>
  <c r="HN52" i="22"/>
  <c r="HP52" i="22"/>
  <c r="CY47" i="38"/>
  <c r="HM52" i="22"/>
  <c r="HO52" i="22"/>
  <c r="HQ52" i="22"/>
  <c r="CZ47" i="38"/>
  <c r="HR52" i="22"/>
  <c r="HT52" i="22"/>
  <c r="HV52" i="22"/>
  <c r="DA47" i="38"/>
  <c r="HS52" i="22"/>
  <c r="HU52" i="22"/>
  <c r="HW52" i="22"/>
  <c r="DB47" i="38"/>
  <c r="HF53" i="22"/>
  <c r="HH53" i="22"/>
  <c r="HJ53" i="22"/>
  <c r="CW48" i="38"/>
  <c r="HG53" i="22"/>
  <c r="HI53" i="22"/>
  <c r="HK53" i="22"/>
  <c r="CX48" i="38"/>
  <c r="HL53" i="22"/>
  <c r="HN53" i="22"/>
  <c r="HP53" i="22"/>
  <c r="CY48" i="38"/>
  <c r="HM53" i="22"/>
  <c r="HO53" i="22"/>
  <c r="HQ53" i="22"/>
  <c r="CZ48" i="38"/>
  <c r="HR53" i="22"/>
  <c r="HT53" i="22"/>
  <c r="HV53" i="22"/>
  <c r="DA48" i="38"/>
  <c r="HS53" i="22"/>
  <c r="HU53" i="22"/>
  <c r="HW53" i="22"/>
  <c r="DB48" i="38"/>
  <c r="HF54" i="22"/>
  <c r="HH54" i="22"/>
  <c r="HJ54" i="22"/>
  <c r="CW49" i="38"/>
  <c r="HG54" i="22"/>
  <c r="HI54" i="22"/>
  <c r="HK54" i="22"/>
  <c r="CX49" i="38"/>
  <c r="HL54" i="22"/>
  <c r="HN54" i="22"/>
  <c r="HP54" i="22"/>
  <c r="CY49" i="38"/>
  <c r="HM54" i="22"/>
  <c r="HO54" i="22"/>
  <c r="HQ54" i="22"/>
  <c r="CZ49" i="38"/>
  <c r="HR54" i="22"/>
  <c r="HT54" i="22"/>
  <c r="HV54" i="22"/>
  <c r="DA49" i="38"/>
  <c r="HS54" i="22"/>
  <c r="HU54" i="22"/>
  <c r="HW54" i="22"/>
  <c r="DB49" i="38"/>
  <c r="HF55" i="22"/>
  <c r="HH55" i="22"/>
  <c r="HJ55" i="22"/>
  <c r="CW50" i="38"/>
  <c r="HG55" i="22"/>
  <c r="HI55" i="22"/>
  <c r="HK55" i="22"/>
  <c r="CX50" i="38"/>
  <c r="HL55" i="22"/>
  <c r="HN55" i="22"/>
  <c r="HP55" i="22"/>
  <c r="CY50" i="38"/>
  <c r="HM55" i="22"/>
  <c r="HO55" i="22"/>
  <c r="HQ55" i="22"/>
  <c r="CZ50" i="38"/>
  <c r="HR55" i="22"/>
  <c r="HT55" i="22"/>
  <c r="HV55" i="22"/>
  <c r="DA50" i="38"/>
  <c r="HS55" i="22"/>
  <c r="HU55" i="22"/>
  <c r="HW55" i="22"/>
  <c r="DB50" i="38"/>
  <c r="HF56" i="22"/>
  <c r="HH56" i="22"/>
  <c r="HJ56" i="22"/>
  <c r="CW51" i="38"/>
  <c r="HG56" i="22"/>
  <c r="HI56" i="22"/>
  <c r="HK56" i="22"/>
  <c r="CX51" i="38"/>
  <c r="HL56" i="22"/>
  <c r="HN56" i="22"/>
  <c r="HP56" i="22"/>
  <c r="CY51" i="38"/>
  <c r="HM56" i="22"/>
  <c r="HO56" i="22"/>
  <c r="HQ56" i="22"/>
  <c r="CZ51" i="38"/>
  <c r="HR56" i="22"/>
  <c r="HT56" i="22"/>
  <c r="HV56" i="22"/>
  <c r="DA51" i="38"/>
  <c r="HS56" i="22"/>
  <c r="HU56" i="22"/>
  <c r="HW56" i="22"/>
  <c r="DB51" i="38"/>
  <c r="HF57" i="22"/>
  <c r="HH57" i="22"/>
  <c r="HJ57" i="22"/>
  <c r="CW52" i="38"/>
  <c r="HG57" i="22"/>
  <c r="HI57" i="22"/>
  <c r="HK57" i="22"/>
  <c r="CX52" i="38"/>
  <c r="HL57" i="22"/>
  <c r="HN57" i="22"/>
  <c r="HP57" i="22"/>
  <c r="CY52" i="38"/>
  <c r="HM57" i="22"/>
  <c r="HO57" i="22"/>
  <c r="HQ57" i="22"/>
  <c r="CZ52" i="38"/>
  <c r="HR57" i="22"/>
  <c r="HT57" i="22"/>
  <c r="HV57" i="22"/>
  <c r="DA52" i="38"/>
  <c r="HS57" i="22"/>
  <c r="HU57" i="22"/>
  <c r="HW57" i="22"/>
  <c r="DB52" i="38"/>
  <c r="HF58" i="22"/>
  <c r="HH58" i="22"/>
  <c r="HJ58" i="22"/>
  <c r="CW53" i="38"/>
  <c r="HG58" i="22"/>
  <c r="HI58" i="22"/>
  <c r="HK58" i="22"/>
  <c r="CX53" i="38"/>
  <c r="HL58" i="22"/>
  <c r="HN58" i="22"/>
  <c r="HP58" i="22"/>
  <c r="CY53" i="38"/>
  <c r="HM58" i="22"/>
  <c r="HO58" i="22"/>
  <c r="HQ58" i="22"/>
  <c r="CZ53" i="38"/>
  <c r="HR58" i="22"/>
  <c r="HT58" i="22"/>
  <c r="HV58" i="22"/>
  <c r="DA53" i="38"/>
  <c r="HS58" i="22"/>
  <c r="HU58" i="22"/>
  <c r="HW58" i="22"/>
  <c r="DB53" i="38"/>
  <c r="HF59" i="22"/>
  <c r="HH59" i="22"/>
  <c r="HJ59" i="22"/>
  <c r="CW54" i="38"/>
  <c r="HG59" i="22"/>
  <c r="HI59" i="22"/>
  <c r="HK59" i="22"/>
  <c r="CX54" i="38"/>
  <c r="HL59" i="22"/>
  <c r="HN59" i="22"/>
  <c r="HP59" i="22"/>
  <c r="CY54" i="38"/>
  <c r="HM59" i="22"/>
  <c r="HO59" i="22"/>
  <c r="HQ59" i="22"/>
  <c r="CZ54" i="38"/>
  <c r="HR59" i="22"/>
  <c r="HT59" i="22"/>
  <c r="HV59" i="22"/>
  <c r="DA54" i="38"/>
  <c r="HS59" i="22"/>
  <c r="HU59" i="22"/>
  <c r="HW59" i="22"/>
  <c r="DB54" i="38"/>
  <c r="HF60" i="22"/>
  <c r="HH60" i="22"/>
  <c r="HJ60" i="22"/>
  <c r="CW55" i="38"/>
  <c r="HG60" i="22"/>
  <c r="HI60" i="22"/>
  <c r="HK60" i="22"/>
  <c r="CX55" i="38"/>
  <c r="HL60" i="22"/>
  <c r="HN60" i="22"/>
  <c r="HP60" i="22"/>
  <c r="CY55" i="38"/>
  <c r="HM60" i="22"/>
  <c r="HO60" i="22"/>
  <c r="HQ60" i="22"/>
  <c r="CZ55" i="38"/>
  <c r="HR60" i="22"/>
  <c r="HT60" i="22"/>
  <c r="HV60" i="22"/>
  <c r="DA55" i="38"/>
  <c r="HS60" i="22"/>
  <c r="HU60" i="22"/>
  <c r="HW60" i="22"/>
  <c r="DB55" i="38"/>
  <c r="HF61" i="22"/>
  <c r="HH61" i="22"/>
  <c r="HJ61" i="22"/>
  <c r="CW56" i="38"/>
  <c r="HG61" i="22"/>
  <c r="HI61" i="22"/>
  <c r="HK61" i="22"/>
  <c r="CX56" i="38"/>
  <c r="HL61" i="22"/>
  <c r="HN61" i="22"/>
  <c r="HP61" i="22"/>
  <c r="CY56" i="38"/>
  <c r="HM61" i="22"/>
  <c r="HO61" i="22"/>
  <c r="HQ61" i="22"/>
  <c r="CZ56" i="38"/>
  <c r="HR61" i="22"/>
  <c r="HT61" i="22"/>
  <c r="HV61" i="22"/>
  <c r="DA56" i="38"/>
  <c r="HS61" i="22"/>
  <c r="HU61" i="22"/>
  <c r="HW61" i="22"/>
  <c r="DB56" i="38"/>
  <c r="HF62" i="22"/>
  <c r="HH62" i="22"/>
  <c r="HJ62" i="22"/>
  <c r="CW57" i="38"/>
  <c r="HG62" i="22"/>
  <c r="HI62" i="22"/>
  <c r="HK62" i="22"/>
  <c r="CX57" i="38"/>
  <c r="HL62" i="22"/>
  <c r="HN62" i="22"/>
  <c r="HP62" i="22"/>
  <c r="CY57" i="38"/>
  <c r="HM62" i="22"/>
  <c r="HO62" i="22"/>
  <c r="HQ62" i="22"/>
  <c r="CZ57" i="38"/>
  <c r="HR62" i="22"/>
  <c r="HT62" i="22"/>
  <c r="HV62" i="22"/>
  <c r="DA57" i="38"/>
  <c r="HS62" i="22"/>
  <c r="HU62" i="22"/>
  <c r="HW62" i="22"/>
  <c r="DB57" i="38"/>
  <c r="HF63" i="22"/>
  <c r="HH63" i="22"/>
  <c r="HJ63" i="22"/>
  <c r="CW58" i="38"/>
  <c r="HG63" i="22"/>
  <c r="HI63" i="22"/>
  <c r="HK63" i="22"/>
  <c r="CX58" i="38"/>
  <c r="HL63" i="22"/>
  <c r="HN63" i="22"/>
  <c r="HP63" i="22"/>
  <c r="CY58" i="38"/>
  <c r="HM63" i="22"/>
  <c r="HO63" i="22"/>
  <c r="HQ63" i="22"/>
  <c r="CZ58" i="38"/>
  <c r="HR63" i="22"/>
  <c r="HT63" i="22"/>
  <c r="HV63" i="22"/>
  <c r="DA58" i="38"/>
  <c r="HS63" i="22"/>
  <c r="HU63" i="22"/>
  <c r="HW63" i="22"/>
  <c r="DB58" i="38"/>
  <c r="HF64" i="22"/>
  <c r="HH64" i="22"/>
  <c r="HJ64" i="22"/>
  <c r="CW59" i="38"/>
  <c r="HG64" i="22"/>
  <c r="HI64" i="22"/>
  <c r="HK64" i="22"/>
  <c r="CX59" i="38"/>
  <c r="HL64" i="22"/>
  <c r="HN64" i="22"/>
  <c r="HP64" i="22"/>
  <c r="CY59" i="38"/>
  <c r="HM64" i="22"/>
  <c r="HO64" i="22"/>
  <c r="HQ64" i="22"/>
  <c r="CZ59" i="38"/>
  <c r="HR64" i="22"/>
  <c r="HT64" i="22"/>
  <c r="HV64" i="22"/>
  <c r="DA59" i="38"/>
  <c r="HS64" i="22"/>
  <c r="HU64" i="22"/>
  <c r="HW64" i="22"/>
  <c r="DB59" i="38"/>
  <c r="HF65" i="22"/>
  <c r="HH65" i="22"/>
  <c r="HJ65" i="22"/>
  <c r="CW60" i="38"/>
  <c r="HG65" i="22"/>
  <c r="HI65" i="22"/>
  <c r="HK65" i="22"/>
  <c r="CX60" i="38"/>
  <c r="HL65" i="22"/>
  <c r="HN65" i="22"/>
  <c r="HP65" i="22"/>
  <c r="CY60" i="38"/>
  <c r="HM65" i="22"/>
  <c r="HO65" i="22"/>
  <c r="HQ65" i="22"/>
  <c r="CZ60" i="38"/>
  <c r="HR65" i="22"/>
  <c r="HT65" i="22"/>
  <c r="HV65" i="22"/>
  <c r="DA60" i="38"/>
  <c r="HS65" i="22"/>
  <c r="HU65" i="22"/>
  <c r="HW65" i="22"/>
  <c r="DB60" i="38"/>
  <c r="HF66" i="22"/>
  <c r="HH66" i="22"/>
  <c r="HJ66" i="22"/>
  <c r="CW61" i="38"/>
  <c r="HG66" i="22"/>
  <c r="HI66" i="22"/>
  <c r="HK66" i="22"/>
  <c r="CX61" i="38"/>
  <c r="HL66" i="22"/>
  <c r="HN66" i="22"/>
  <c r="HP66" i="22"/>
  <c r="CY61" i="38"/>
  <c r="HM66" i="22"/>
  <c r="HO66" i="22"/>
  <c r="HQ66" i="22"/>
  <c r="CZ61" i="38"/>
  <c r="HR66" i="22"/>
  <c r="HT66" i="22"/>
  <c r="HV66" i="22"/>
  <c r="DA61" i="38"/>
  <c r="HS66" i="22"/>
  <c r="HU66" i="22"/>
  <c r="HW66" i="22"/>
  <c r="DB61" i="38"/>
  <c r="HF67" i="22"/>
  <c r="HH67" i="22"/>
  <c r="HJ67" i="22"/>
  <c r="CW62" i="38"/>
  <c r="HG67" i="22"/>
  <c r="HI67" i="22"/>
  <c r="HK67" i="22"/>
  <c r="CX62" i="38"/>
  <c r="HL67" i="22"/>
  <c r="HN67" i="22"/>
  <c r="HP67" i="22"/>
  <c r="CY62" i="38"/>
  <c r="HM67" i="22"/>
  <c r="HO67" i="22"/>
  <c r="HQ67" i="22"/>
  <c r="CZ62" i="38"/>
  <c r="HR67" i="22"/>
  <c r="HT67" i="22"/>
  <c r="HV67" i="22"/>
  <c r="DA62" i="38"/>
  <c r="HS67" i="22"/>
  <c r="HU67" i="22"/>
  <c r="HW67" i="22"/>
  <c r="DB62" i="38"/>
  <c r="HF68" i="22"/>
  <c r="HH68" i="22"/>
  <c r="HJ68" i="22"/>
  <c r="CW63" i="38"/>
  <c r="HG68" i="22"/>
  <c r="HI68" i="22"/>
  <c r="HK68" i="22"/>
  <c r="CX63" i="38"/>
  <c r="HL68" i="22"/>
  <c r="HN68" i="22"/>
  <c r="HP68" i="22"/>
  <c r="CY63" i="38"/>
  <c r="HM68" i="22"/>
  <c r="HO68" i="22"/>
  <c r="HQ68" i="22"/>
  <c r="CZ63" i="38"/>
  <c r="HR68" i="22"/>
  <c r="HT68" i="22"/>
  <c r="HV68" i="22"/>
  <c r="DA63" i="38"/>
  <c r="HS68" i="22"/>
  <c r="HU68" i="22"/>
  <c r="HW68" i="22"/>
  <c r="DB63" i="38"/>
  <c r="HF69" i="22"/>
  <c r="HH69" i="22"/>
  <c r="HJ69" i="22"/>
  <c r="CW64" i="38"/>
  <c r="HG69" i="22"/>
  <c r="HI69" i="22"/>
  <c r="HK69" i="22"/>
  <c r="CX64" i="38"/>
  <c r="HL69" i="22"/>
  <c r="HN69" i="22"/>
  <c r="HP69" i="22"/>
  <c r="CY64" i="38"/>
  <c r="HM69" i="22"/>
  <c r="HO69" i="22"/>
  <c r="HQ69" i="22"/>
  <c r="CZ64" i="38"/>
  <c r="HR69" i="22"/>
  <c r="HT69" i="22"/>
  <c r="HV69" i="22"/>
  <c r="DA64" i="38"/>
  <c r="HS69" i="22"/>
  <c r="HU69" i="22"/>
  <c r="HW69" i="22"/>
  <c r="DB64" i="38"/>
  <c r="HF70" i="22"/>
  <c r="HH70" i="22"/>
  <c r="HJ70" i="22"/>
  <c r="CW65" i="38"/>
  <c r="HG70" i="22"/>
  <c r="HI70" i="22"/>
  <c r="HK70" i="22"/>
  <c r="CX65" i="38"/>
  <c r="HL70" i="22"/>
  <c r="HN70" i="22"/>
  <c r="HP70" i="22"/>
  <c r="CY65" i="38"/>
  <c r="HM70" i="22"/>
  <c r="HO70" i="22"/>
  <c r="HQ70" i="22"/>
  <c r="CZ65" i="38"/>
  <c r="HR70" i="22"/>
  <c r="HT70" i="22"/>
  <c r="HV70" i="22"/>
  <c r="DA65" i="38"/>
  <c r="HS70" i="22"/>
  <c r="HU70" i="22"/>
  <c r="HW70" i="22"/>
  <c r="DB65" i="38"/>
  <c r="HF71" i="22"/>
  <c r="HH71" i="22"/>
  <c r="HJ71" i="22"/>
  <c r="CW66" i="38"/>
  <c r="HG71" i="22"/>
  <c r="HI71" i="22"/>
  <c r="HK71" i="22"/>
  <c r="CX66" i="38"/>
  <c r="HL71" i="22"/>
  <c r="HN71" i="22"/>
  <c r="HP71" i="22"/>
  <c r="CY66" i="38"/>
  <c r="HM71" i="22"/>
  <c r="HO71" i="22"/>
  <c r="HQ71" i="22"/>
  <c r="CZ66" i="38"/>
  <c r="HR71" i="22"/>
  <c r="HT71" i="22"/>
  <c r="HV71" i="22"/>
  <c r="DA66" i="38"/>
  <c r="HS71" i="22"/>
  <c r="HU71" i="22"/>
  <c r="HW71" i="22"/>
  <c r="DB66" i="38"/>
  <c r="HF72" i="22"/>
  <c r="HH72" i="22"/>
  <c r="HJ72" i="22"/>
  <c r="CW67" i="38"/>
  <c r="HG72" i="22"/>
  <c r="HI72" i="22"/>
  <c r="HK72" i="22"/>
  <c r="CX67" i="38"/>
  <c r="HL72" i="22"/>
  <c r="HN72" i="22"/>
  <c r="HP72" i="22"/>
  <c r="CY67" i="38"/>
  <c r="HM72" i="22"/>
  <c r="HO72" i="22"/>
  <c r="HQ72" i="22"/>
  <c r="CZ67" i="38"/>
  <c r="HR72" i="22"/>
  <c r="HT72" i="22"/>
  <c r="HV72" i="22"/>
  <c r="DA67" i="38"/>
  <c r="HS72" i="22"/>
  <c r="HU72" i="22"/>
  <c r="HW72" i="22"/>
  <c r="DB67" i="38"/>
  <c r="HF73" i="22"/>
  <c r="HH73" i="22"/>
  <c r="HJ73" i="22"/>
  <c r="CW68" i="38"/>
  <c r="HG73" i="22"/>
  <c r="HI73" i="22"/>
  <c r="HK73" i="22"/>
  <c r="CX68" i="38"/>
  <c r="HL73" i="22"/>
  <c r="HN73" i="22"/>
  <c r="HP73" i="22"/>
  <c r="CY68" i="38"/>
  <c r="HM73" i="22"/>
  <c r="HO73" i="22"/>
  <c r="HQ73" i="22"/>
  <c r="CZ68" i="38"/>
  <c r="HR73" i="22"/>
  <c r="HT73" i="22"/>
  <c r="HV73" i="22"/>
  <c r="DA68" i="38"/>
  <c r="HS73" i="22"/>
  <c r="HU73" i="22"/>
  <c r="HW73" i="22"/>
  <c r="DB68" i="38"/>
  <c r="HF74" i="22"/>
  <c r="HH74" i="22"/>
  <c r="HJ74" i="22"/>
  <c r="CW69" i="38"/>
  <c r="HG74" i="22"/>
  <c r="HI74" i="22"/>
  <c r="HK74" i="22"/>
  <c r="CX69" i="38"/>
  <c r="HL74" i="22"/>
  <c r="HN74" i="22"/>
  <c r="HP74" i="22"/>
  <c r="CY69" i="38"/>
  <c r="HM74" i="22"/>
  <c r="HO74" i="22"/>
  <c r="HQ74" i="22"/>
  <c r="CZ69" i="38"/>
  <c r="HR74" i="22"/>
  <c r="HT74" i="22"/>
  <c r="HV74" i="22"/>
  <c r="DA69" i="38"/>
  <c r="HS74" i="22"/>
  <c r="HU74" i="22"/>
  <c r="HW74" i="22"/>
  <c r="DB69" i="38"/>
  <c r="HF75" i="22"/>
  <c r="HH75" i="22"/>
  <c r="HJ75" i="22"/>
  <c r="CW70" i="38"/>
  <c r="HG75" i="22"/>
  <c r="HI75" i="22"/>
  <c r="HK75" i="22"/>
  <c r="CX70" i="38"/>
  <c r="HL75" i="22"/>
  <c r="HN75" i="22"/>
  <c r="HP75" i="22"/>
  <c r="CY70" i="38"/>
  <c r="HM75" i="22"/>
  <c r="HO75" i="22"/>
  <c r="HQ75" i="22"/>
  <c r="CZ70" i="38"/>
  <c r="HR75" i="22"/>
  <c r="HT75" i="22"/>
  <c r="HV75" i="22"/>
  <c r="DA70" i="38"/>
  <c r="HS75" i="22"/>
  <c r="HU75" i="22"/>
  <c r="HW75" i="22"/>
  <c r="DB70" i="38"/>
  <c r="HF76" i="22"/>
  <c r="HH76" i="22"/>
  <c r="HJ76" i="22"/>
  <c r="CW71" i="38"/>
  <c r="HG76" i="22"/>
  <c r="HI76" i="22"/>
  <c r="HK76" i="22"/>
  <c r="CX71" i="38"/>
  <c r="HL76" i="22"/>
  <c r="HN76" i="22"/>
  <c r="HP76" i="22"/>
  <c r="CY71" i="38"/>
  <c r="HM76" i="22"/>
  <c r="HO76" i="22"/>
  <c r="HQ76" i="22"/>
  <c r="CZ71" i="38"/>
  <c r="HR76" i="22"/>
  <c r="HT76" i="22"/>
  <c r="HV76" i="22"/>
  <c r="DA71" i="38"/>
  <c r="HS76" i="22"/>
  <c r="HU76" i="22"/>
  <c r="HW76" i="22"/>
  <c r="DB71" i="38"/>
  <c r="HF77" i="22"/>
  <c r="HH77" i="22"/>
  <c r="HJ77" i="22"/>
  <c r="CW72" i="38"/>
  <c r="HG77" i="22"/>
  <c r="HI77" i="22"/>
  <c r="HK77" i="22"/>
  <c r="CX72" i="38"/>
  <c r="HL77" i="22"/>
  <c r="HN77" i="22"/>
  <c r="HP77" i="22"/>
  <c r="CY72" i="38"/>
  <c r="HM77" i="22"/>
  <c r="HO77" i="22"/>
  <c r="HQ77" i="22"/>
  <c r="CZ72" i="38"/>
  <c r="HR77" i="22"/>
  <c r="HT77" i="22"/>
  <c r="HV77" i="22"/>
  <c r="DA72" i="38"/>
  <c r="HS77" i="22"/>
  <c r="HU77" i="22"/>
  <c r="HW77" i="22"/>
  <c r="DB72" i="38"/>
  <c r="HF78" i="22"/>
  <c r="HH78" i="22"/>
  <c r="HJ78" i="22"/>
  <c r="CW73" i="38"/>
  <c r="HG78" i="22"/>
  <c r="HI78" i="22"/>
  <c r="HK78" i="22"/>
  <c r="CX73" i="38"/>
  <c r="HL78" i="22"/>
  <c r="HN78" i="22"/>
  <c r="HP78" i="22"/>
  <c r="CY73" i="38"/>
  <c r="HM78" i="22"/>
  <c r="HO78" i="22"/>
  <c r="HQ78" i="22"/>
  <c r="CZ73" i="38"/>
  <c r="HR78" i="22"/>
  <c r="HT78" i="22"/>
  <c r="HV78" i="22"/>
  <c r="DA73" i="38"/>
  <c r="HS78" i="22"/>
  <c r="HU78" i="22"/>
  <c r="HW78" i="22"/>
  <c r="DB73" i="38"/>
  <c r="HF79" i="22"/>
  <c r="HH79" i="22"/>
  <c r="HJ79" i="22"/>
  <c r="CW74" i="38"/>
  <c r="HG79" i="22"/>
  <c r="HI79" i="22"/>
  <c r="HK79" i="22"/>
  <c r="CX74" i="38"/>
  <c r="HL79" i="22"/>
  <c r="HN79" i="22"/>
  <c r="HP79" i="22"/>
  <c r="CY74" i="38"/>
  <c r="HM79" i="22"/>
  <c r="HO79" i="22"/>
  <c r="HQ79" i="22"/>
  <c r="CZ74" i="38"/>
  <c r="HR79" i="22"/>
  <c r="HT79" i="22"/>
  <c r="HV79" i="22"/>
  <c r="DA74" i="38"/>
  <c r="HS79" i="22"/>
  <c r="HU79" i="22"/>
  <c r="HW79" i="22"/>
  <c r="DB74" i="38"/>
  <c r="HF80" i="22"/>
  <c r="HH80" i="22"/>
  <c r="HJ80" i="22"/>
  <c r="CW75" i="38"/>
  <c r="HG80" i="22"/>
  <c r="HI80" i="22"/>
  <c r="HK80" i="22"/>
  <c r="CX75" i="38"/>
  <c r="HL80" i="22"/>
  <c r="HN80" i="22"/>
  <c r="HP80" i="22"/>
  <c r="CY75" i="38"/>
  <c r="HM80" i="22"/>
  <c r="HO80" i="22"/>
  <c r="HQ80" i="22"/>
  <c r="CZ75" i="38"/>
  <c r="HR80" i="22"/>
  <c r="HT80" i="22"/>
  <c r="HV80" i="22"/>
  <c r="DA75" i="38"/>
  <c r="HS80" i="22"/>
  <c r="HU80" i="22"/>
  <c r="HW80" i="22"/>
  <c r="DB75" i="38"/>
  <c r="HF81" i="22"/>
  <c r="HH81" i="22"/>
  <c r="HJ81" i="22"/>
  <c r="CW76" i="38"/>
  <c r="HG81" i="22"/>
  <c r="HI81" i="22"/>
  <c r="HK81" i="22"/>
  <c r="CX76" i="38"/>
  <c r="HL81" i="22"/>
  <c r="HN81" i="22"/>
  <c r="HP81" i="22"/>
  <c r="CY76" i="38"/>
  <c r="HM81" i="22"/>
  <c r="HO81" i="22"/>
  <c r="HQ81" i="22"/>
  <c r="CZ76" i="38"/>
  <c r="HR81" i="22"/>
  <c r="HT81" i="22"/>
  <c r="HV81" i="22"/>
  <c r="DA76" i="38"/>
  <c r="HS81" i="22"/>
  <c r="HU81" i="22"/>
  <c r="HW81" i="22"/>
  <c r="DB76" i="38"/>
  <c r="HF82" i="22"/>
  <c r="HH82" i="22"/>
  <c r="HJ82" i="22"/>
  <c r="CW77" i="38"/>
  <c r="HG82" i="22"/>
  <c r="HI82" i="22"/>
  <c r="HK82" i="22"/>
  <c r="CX77" i="38"/>
  <c r="HL82" i="22"/>
  <c r="HN82" i="22"/>
  <c r="HP82" i="22"/>
  <c r="CY77" i="38"/>
  <c r="HM82" i="22"/>
  <c r="HO82" i="22"/>
  <c r="HQ82" i="22"/>
  <c r="CZ77" i="38"/>
  <c r="HR82" i="22"/>
  <c r="HT82" i="22"/>
  <c r="HV82" i="22"/>
  <c r="DA77" i="38"/>
  <c r="HS82" i="22"/>
  <c r="HU82" i="22"/>
  <c r="HW82" i="22"/>
  <c r="DB77" i="38"/>
  <c r="HF83" i="22"/>
  <c r="HH83" i="22"/>
  <c r="HJ83" i="22"/>
  <c r="CW78" i="38"/>
  <c r="HG83" i="22"/>
  <c r="HI83" i="22"/>
  <c r="HK83" i="22"/>
  <c r="CX78" i="38"/>
  <c r="HL83" i="22"/>
  <c r="HN83" i="22"/>
  <c r="HP83" i="22"/>
  <c r="CY78" i="38"/>
  <c r="HM83" i="22"/>
  <c r="HO83" i="22"/>
  <c r="HQ83" i="22"/>
  <c r="CZ78" i="38"/>
  <c r="HR83" i="22"/>
  <c r="HT83" i="22"/>
  <c r="HV83" i="22"/>
  <c r="DA78" i="38"/>
  <c r="HS83" i="22"/>
  <c r="HU83" i="22"/>
  <c r="HW83" i="22"/>
  <c r="DB78" i="38"/>
  <c r="HF84" i="22"/>
  <c r="HH84" i="22"/>
  <c r="HJ84" i="22"/>
  <c r="CW79" i="38"/>
  <c r="HG84" i="22"/>
  <c r="HI84" i="22"/>
  <c r="HK84" i="22"/>
  <c r="CX79" i="38"/>
  <c r="HL84" i="22"/>
  <c r="HN84" i="22"/>
  <c r="HP84" i="22"/>
  <c r="CY79" i="38"/>
  <c r="HM84" i="22"/>
  <c r="HO84" i="22"/>
  <c r="HQ84" i="22"/>
  <c r="CZ79" i="38"/>
  <c r="HR84" i="22"/>
  <c r="HT84" i="22"/>
  <c r="HV84" i="22"/>
  <c r="DA79" i="38"/>
  <c r="HS84" i="22"/>
  <c r="HU84" i="22"/>
  <c r="HW84" i="22"/>
  <c r="DB79" i="38"/>
  <c r="HF85" i="22"/>
  <c r="HH85" i="22"/>
  <c r="HJ85" i="22"/>
  <c r="CW80" i="38"/>
  <c r="HG85" i="22"/>
  <c r="HI85" i="22"/>
  <c r="HK85" i="22"/>
  <c r="CX80" i="38"/>
  <c r="HL85" i="22"/>
  <c r="HN85" i="22"/>
  <c r="HP85" i="22"/>
  <c r="CY80" i="38"/>
  <c r="HM85" i="22"/>
  <c r="HO85" i="22"/>
  <c r="HQ85" i="22"/>
  <c r="CZ80" i="38"/>
  <c r="HR85" i="22"/>
  <c r="HT85" i="22"/>
  <c r="HV85" i="22"/>
  <c r="DA80" i="38"/>
  <c r="HS85" i="22"/>
  <c r="HU85" i="22"/>
  <c r="HW85" i="22"/>
  <c r="DB80" i="38"/>
  <c r="HS13" i="22"/>
  <c r="HU13" i="22"/>
  <c r="HW13" i="22"/>
  <c r="DB8" i="38"/>
  <c r="HR13" i="22"/>
  <c r="HT13" i="22"/>
  <c r="HV13" i="22"/>
  <c r="DA8" i="38"/>
  <c r="HM13" i="22"/>
  <c r="HO13" i="22"/>
  <c r="HQ13" i="22"/>
  <c r="CZ8" i="38"/>
  <c r="AD13" i="22"/>
  <c r="AE13" i="22"/>
  <c r="HG13" i="22"/>
  <c r="AF13" i="22"/>
  <c r="AG13" i="22"/>
  <c r="HI13" i="22"/>
  <c r="AH13" i="22"/>
  <c r="AI13" i="22"/>
  <c r="HK13" i="22"/>
  <c r="CX8" i="38"/>
  <c r="HF13" i="22"/>
  <c r="HH13" i="22"/>
  <c r="HJ13" i="22"/>
  <c r="CW8" i="38"/>
  <c r="DC9" i="38"/>
  <c r="DD9" i="38"/>
  <c r="DC10" i="38"/>
  <c r="DD10" i="38"/>
  <c r="DC11" i="38"/>
  <c r="DD11" i="38"/>
  <c r="DC12" i="38"/>
  <c r="DD12" i="38"/>
  <c r="DC13" i="38"/>
  <c r="DD13" i="38"/>
  <c r="DC14" i="38"/>
  <c r="DD14" i="38"/>
  <c r="DC15" i="38"/>
  <c r="DD15" i="38"/>
  <c r="DC16" i="38"/>
  <c r="DD16" i="38"/>
  <c r="DC17" i="38"/>
  <c r="DD17" i="38"/>
  <c r="DC18" i="38"/>
  <c r="DD18" i="38"/>
  <c r="DC19" i="38"/>
  <c r="DD19" i="38"/>
  <c r="DC20" i="38"/>
  <c r="DD20" i="38"/>
  <c r="DC21" i="38"/>
  <c r="DD21" i="38"/>
  <c r="DC22" i="38"/>
  <c r="DD22" i="38"/>
  <c r="DC23" i="38"/>
  <c r="DD23" i="38"/>
  <c r="DC24" i="38"/>
  <c r="DD24" i="38"/>
  <c r="DC25" i="38"/>
  <c r="DD25" i="38"/>
  <c r="DC26" i="38"/>
  <c r="DD26" i="38"/>
  <c r="DC27" i="38"/>
  <c r="DD27" i="38"/>
  <c r="DC28" i="38"/>
  <c r="DD28" i="38"/>
  <c r="DC29" i="38"/>
  <c r="DD29" i="38"/>
  <c r="DC30" i="38"/>
  <c r="DD30" i="38"/>
  <c r="DC31" i="38"/>
  <c r="DD31" i="38"/>
  <c r="DC32" i="38"/>
  <c r="DD32" i="38"/>
  <c r="DC33" i="38"/>
  <c r="DD33" i="38"/>
  <c r="DC34" i="38"/>
  <c r="DD34" i="38"/>
  <c r="DC35" i="38"/>
  <c r="DD35" i="38"/>
  <c r="DC36" i="38"/>
  <c r="DD36" i="38"/>
  <c r="DC37" i="38"/>
  <c r="DD37" i="38"/>
  <c r="DC38" i="38"/>
  <c r="DD38" i="38"/>
  <c r="DC39" i="38"/>
  <c r="DD39" i="38"/>
  <c r="DC40" i="38"/>
  <c r="DD40" i="38"/>
  <c r="DC41" i="38"/>
  <c r="DD41" i="38"/>
  <c r="DC42" i="38"/>
  <c r="DD42" i="38"/>
  <c r="DC43" i="38"/>
  <c r="DD43" i="38"/>
  <c r="DC44" i="38"/>
  <c r="DD44" i="38"/>
  <c r="DC45" i="38"/>
  <c r="DD45" i="38"/>
  <c r="DC46" i="38"/>
  <c r="DD46" i="38"/>
  <c r="DC47" i="38"/>
  <c r="DD47" i="38"/>
  <c r="DC48" i="38"/>
  <c r="DD48" i="38"/>
  <c r="DC49" i="38"/>
  <c r="DD49" i="38"/>
  <c r="DC50" i="38"/>
  <c r="DD50" i="38"/>
  <c r="DC51" i="38"/>
  <c r="DD51" i="38"/>
  <c r="DC52" i="38"/>
  <c r="DD52" i="38"/>
  <c r="DC53" i="38"/>
  <c r="DD53" i="38"/>
  <c r="DC54" i="38"/>
  <c r="DD54" i="38"/>
  <c r="DC55" i="38"/>
  <c r="DD55" i="38"/>
  <c r="DC56" i="38"/>
  <c r="DD56" i="38"/>
  <c r="DC57" i="38"/>
  <c r="DD57" i="38"/>
  <c r="DC58" i="38"/>
  <c r="DD58" i="38"/>
  <c r="DC59" i="38"/>
  <c r="DD59" i="38"/>
  <c r="DC60" i="38"/>
  <c r="DD60" i="38"/>
  <c r="DC61" i="38"/>
  <c r="DD61" i="38"/>
  <c r="DC62" i="38"/>
  <c r="DD62" i="38"/>
  <c r="DC63" i="38"/>
  <c r="DD63" i="38"/>
  <c r="DC64" i="38"/>
  <c r="DD64" i="38"/>
  <c r="DC65" i="38"/>
  <c r="DD65" i="38"/>
  <c r="DC66" i="38"/>
  <c r="DD66" i="38"/>
  <c r="DC67" i="38"/>
  <c r="DD67" i="38"/>
  <c r="DC68" i="38"/>
  <c r="DD68" i="38"/>
  <c r="DC69" i="38"/>
  <c r="DD69" i="38"/>
  <c r="DC70" i="38"/>
  <c r="DD70" i="38"/>
  <c r="DC71" i="38"/>
  <c r="DD71" i="38"/>
  <c r="DC72" i="38"/>
  <c r="DD72" i="38"/>
  <c r="DC73" i="38"/>
  <c r="DD73" i="38"/>
  <c r="DC74" i="38"/>
  <c r="DD74" i="38"/>
  <c r="DC75" i="38"/>
  <c r="DD75" i="38"/>
  <c r="DC76" i="38"/>
  <c r="DD76" i="38"/>
  <c r="DC77" i="38"/>
  <c r="DD77" i="38"/>
  <c r="DC78" i="38"/>
  <c r="DD78" i="38"/>
  <c r="DC79" i="38"/>
  <c r="DD79" i="38"/>
  <c r="DC80" i="38"/>
  <c r="DD80" i="38"/>
  <c r="DD8" i="38"/>
  <c r="DC8" i="38"/>
  <c r="AW8" i="38"/>
  <c r="BC8" i="38"/>
  <c r="AP8" i="38"/>
  <c r="BD8" i="38"/>
  <c r="BD9" i="38"/>
  <c r="BD10" i="38"/>
  <c r="BD11" i="38"/>
  <c r="BD12" i="38"/>
  <c r="BD13" i="38"/>
  <c r="BD14" i="38"/>
  <c r="BD15" i="38"/>
  <c r="BD16" i="38"/>
  <c r="BD17" i="38"/>
  <c r="BD18" i="38"/>
  <c r="BD19" i="38"/>
  <c r="BD20" i="38"/>
  <c r="BD21" i="38"/>
  <c r="BD22" i="38"/>
  <c r="BD23" i="38"/>
  <c r="BD24" i="38"/>
  <c r="BD25" i="38"/>
  <c r="BD26" i="38"/>
  <c r="BD27" i="38"/>
  <c r="BD28" i="38"/>
  <c r="BD29" i="38"/>
  <c r="BD30" i="38"/>
  <c r="BD31" i="38"/>
  <c r="BD32" i="38"/>
  <c r="BD33" i="38"/>
  <c r="BD34" i="38"/>
  <c r="BD35" i="38"/>
  <c r="BD36" i="38"/>
  <c r="BD37" i="38"/>
  <c r="BD38" i="38"/>
  <c r="BD39" i="38"/>
  <c r="BD40" i="38"/>
  <c r="BD41" i="38"/>
  <c r="BD42" i="38"/>
  <c r="BD43" i="38"/>
  <c r="BD44" i="38"/>
  <c r="BD45" i="38"/>
  <c r="BD46" i="38"/>
  <c r="BD47" i="38"/>
  <c r="BD48" i="38"/>
  <c r="BD49" i="38"/>
  <c r="BD50" i="38"/>
  <c r="BD51" i="38"/>
  <c r="BD52" i="38"/>
  <c r="BD53" i="38"/>
  <c r="BD54" i="38"/>
  <c r="BD55" i="38"/>
  <c r="BD56" i="38"/>
  <c r="BD57" i="38"/>
  <c r="BD58" i="38"/>
  <c r="BD59" i="38"/>
  <c r="BD60" i="38"/>
  <c r="BD61" i="38"/>
  <c r="BD62" i="38"/>
  <c r="BD63" i="38"/>
  <c r="BD64" i="38"/>
  <c r="BD65" i="38"/>
  <c r="BD66" i="38"/>
  <c r="BD67" i="38"/>
  <c r="BD68" i="38"/>
  <c r="BD69" i="38"/>
  <c r="BD70" i="38"/>
  <c r="BD71" i="38"/>
  <c r="BD72" i="38"/>
  <c r="BD73" i="38"/>
  <c r="BD74" i="38"/>
  <c r="BD75" i="38"/>
  <c r="BD76" i="38"/>
  <c r="BD77" i="38"/>
  <c r="BD78" i="38"/>
  <c r="BD79" i="38"/>
  <c r="BD80" i="38"/>
  <c r="BE8" i="38"/>
  <c r="BE9" i="38"/>
  <c r="BE10" i="38"/>
  <c r="BE11" i="38"/>
  <c r="BE12" i="38"/>
  <c r="BE13" i="38"/>
  <c r="BE14" i="38"/>
  <c r="BE15" i="38"/>
  <c r="BE16" i="38"/>
  <c r="BE17" i="38"/>
  <c r="BE18" i="38"/>
  <c r="BE19" i="38"/>
  <c r="BE20" i="38"/>
  <c r="BE21" i="38"/>
  <c r="BE22" i="38"/>
  <c r="BE23" i="38"/>
  <c r="BE24" i="38"/>
  <c r="BE25" i="38"/>
  <c r="BE26" i="38"/>
  <c r="BE27" i="38"/>
  <c r="BE28" i="38"/>
  <c r="BE29" i="38"/>
  <c r="BE30" i="38"/>
  <c r="BE31" i="38"/>
  <c r="BE32" i="38"/>
  <c r="BE33" i="38"/>
  <c r="BE34" i="38"/>
  <c r="BE35" i="38"/>
  <c r="BE36" i="38"/>
  <c r="BE37" i="38"/>
  <c r="BE38" i="38"/>
  <c r="BE39" i="38"/>
  <c r="BE40" i="38"/>
  <c r="BE41" i="38"/>
  <c r="BE42" i="38"/>
  <c r="BE43" i="38"/>
  <c r="BE44" i="38"/>
  <c r="BE45" i="38"/>
  <c r="BE46" i="38"/>
  <c r="BE47" i="38"/>
  <c r="BE48" i="38"/>
  <c r="BE49" i="38"/>
  <c r="BE50" i="38"/>
  <c r="BE51" i="38"/>
  <c r="BE52" i="38"/>
  <c r="BE53" i="38"/>
  <c r="BE54" i="38"/>
  <c r="BE55" i="38"/>
  <c r="BE56" i="38"/>
  <c r="BE57" i="38"/>
  <c r="BE58" i="38"/>
  <c r="BE59" i="38"/>
  <c r="BE60" i="38"/>
  <c r="BE61" i="38"/>
  <c r="BE62" i="38"/>
  <c r="BE63" i="38"/>
  <c r="BE64" i="38"/>
  <c r="BE65" i="38"/>
  <c r="BE66" i="38"/>
  <c r="BE67" i="38"/>
  <c r="BE68" i="38"/>
  <c r="BE69" i="38"/>
  <c r="BE70" i="38"/>
  <c r="BE71" i="38"/>
  <c r="BE72" i="38"/>
  <c r="BE73" i="38"/>
  <c r="BE74" i="38"/>
  <c r="BE75" i="38"/>
  <c r="BE76" i="38"/>
  <c r="BE77" i="38"/>
  <c r="BE78" i="38"/>
  <c r="BE79" i="38"/>
  <c r="BE80" i="38"/>
  <c r="BF8" i="38"/>
  <c r="BF9" i="38"/>
  <c r="BF10" i="38"/>
  <c r="BF11" i="38"/>
  <c r="BF12" i="38"/>
  <c r="BF13" i="38"/>
  <c r="BF14" i="38"/>
  <c r="BF15" i="38"/>
  <c r="BF16" i="38"/>
  <c r="BF17" i="38"/>
  <c r="BF18" i="38"/>
  <c r="BF19" i="38"/>
  <c r="BF20" i="38"/>
  <c r="BF21" i="38"/>
  <c r="BF22" i="38"/>
  <c r="BF23" i="38"/>
  <c r="BF24" i="38"/>
  <c r="BF25" i="38"/>
  <c r="BF26" i="38"/>
  <c r="BF27" i="38"/>
  <c r="BF28" i="38"/>
  <c r="BF29" i="38"/>
  <c r="BF30" i="38"/>
  <c r="BF31" i="38"/>
  <c r="BF32" i="38"/>
  <c r="BF33" i="38"/>
  <c r="BF34" i="38"/>
  <c r="BF35" i="38"/>
  <c r="BF36" i="38"/>
  <c r="BF37" i="38"/>
  <c r="BF38" i="38"/>
  <c r="BF39" i="38"/>
  <c r="BF40" i="38"/>
  <c r="BF41" i="38"/>
  <c r="BF42" i="38"/>
  <c r="BF43" i="38"/>
  <c r="BF44" i="38"/>
  <c r="BF45" i="38"/>
  <c r="BF46" i="38"/>
  <c r="BF47" i="38"/>
  <c r="BF48" i="38"/>
  <c r="BF49" i="38"/>
  <c r="BF50" i="38"/>
  <c r="BF51" i="38"/>
  <c r="BF52" i="38"/>
  <c r="BF53" i="38"/>
  <c r="BF54" i="38"/>
  <c r="BF55" i="38"/>
  <c r="BF56" i="38"/>
  <c r="BF57" i="38"/>
  <c r="BF58" i="38"/>
  <c r="BF59" i="38"/>
  <c r="BF60" i="38"/>
  <c r="BF61" i="38"/>
  <c r="BF62" i="38"/>
  <c r="BF63" i="38"/>
  <c r="BF64" i="38"/>
  <c r="BF65" i="38"/>
  <c r="BF66" i="38"/>
  <c r="BF67" i="38"/>
  <c r="BF68" i="38"/>
  <c r="BF69" i="38"/>
  <c r="BF70" i="38"/>
  <c r="BF71" i="38"/>
  <c r="BF72" i="38"/>
  <c r="BF73" i="38"/>
  <c r="BF74" i="38"/>
  <c r="BF75" i="38"/>
  <c r="BF76" i="38"/>
  <c r="BF77" i="38"/>
  <c r="BF78" i="38"/>
  <c r="BF79" i="38"/>
  <c r="BF80" i="38"/>
  <c r="BH9" i="38"/>
  <c r="BI9" i="38"/>
  <c r="BJ9" i="38"/>
  <c r="BK9" i="38"/>
  <c r="BL9" i="38"/>
  <c r="BM9" i="38"/>
  <c r="BN9" i="38"/>
  <c r="BO9" i="38"/>
  <c r="BP9" i="38"/>
  <c r="BH10" i="38"/>
  <c r="BI10" i="38"/>
  <c r="BJ10" i="38"/>
  <c r="BK10" i="38"/>
  <c r="BL10" i="38"/>
  <c r="BM10" i="38"/>
  <c r="BN10" i="38"/>
  <c r="BO10" i="38"/>
  <c r="BP10" i="38"/>
  <c r="BH11" i="38"/>
  <c r="BI11" i="38"/>
  <c r="BJ11" i="38"/>
  <c r="BK11" i="38"/>
  <c r="BL11" i="38"/>
  <c r="BM11" i="38"/>
  <c r="BN11" i="38"/>
  <c r="BO11" i="38"/>
  <c r="BP11" i="38"/>
  <c r="BH12" i="38"/>
  <c r="BI12" i="38"/>
  <c r="BJ12" i="38"/>
  <c r="BK12" i="38"/>
  <c r="BL12" i="38"/>
  <c r="BM12" i="38"/>
  <c r="BN12" i="38"/>
  <c r="BO12" i="38"/>
  <c r="BP12" i="38"/>
  <c r="BH13" i="38"/>
  <c r="BI13" i="38"/>
  <c r="BJ13" i="38"/>
  <c r="BK13" i="38"/>
  <c r="BL13" i="38"/>
  <c r="BM13" i="38"/>
  <c r="BN13" i="38"/>
  <c r="BO13" i="38"/>
  <c r="BP13" i="38"/>
  <c r="BH14" i="38"/>
  <c r="BI14" i="38"/>
  <c r="BJ14" i="38"/>
  <c r="BK14" i="38"/>
  <c r="BL14" i="38"/>
  <c r="BM14" i="38"/>
  <c r="BN14" i="38"/>
  <c r="BO14" i="38"/>
  <c r="BP14" i="38"/>
  <c r="BH15" i="38"/>
  <c r="BI15" i="38"/>
  <c r="BJ15" i="38"/>
  <c r="BK15" i="38"/>
  <c r="BL15" i="38"/>
  <c r="BM15" i="38"/>
  <c r="BN15" i="38"/>
  <c r="BO15" i="38"/>
  <c r="BP15" i="38"/>
  <c r="BH16" i="38"/>
  <c r="BI16" i="38"/>
  <c r="BJ16" i="38"/>
  <c r="BK16" i="38"/>
  <c r="BL16" i="38"/>
  <c r="BM16" i="38"/>
  <c r="BN16" i="38"/>
  <c r="BO16" i="38"/>
  <c r="BP16" i="38"/>
  <c r="BH17" i="38"/>
  <c r="BI17" i="38"/>
  <c r="BJ17" i="38"/>
  <c r="BK17" i="38"/>
  <c r="BL17" i="38"/>
  <c r="BM17" i="38"/>
  <c r="BN17" i="38"/>
  <c r="BO17" i="38"/>
  <c r="BP17" i="38"/>
  <c r="BH18" i="38"/>
  <c r="BI18" i="38"/>
  <c r="BJ18" i="38"/>
  <c r="BK18" i="38"/>
  <c r="BL18" i="38"/>
  <c r="BM18" i="38"/>
  <c r="BN18" i="38"/>
  <c r="BO18" i="38"/>
  <c r="BP18" i="38"/>
  <c r="BH19" i="38"/>
  <c r="BI19" i="38"/>
  <c r="BJ19" i="38"/>
  <c r="BK19" i="38"/>
  <c r="BL19" i="38"/>
  <c r="BM19" i="38"/>
  <c r="BN19" i="38"/>
  <c r="BO19" i="38"/>
  <c r="BP19" i="38"/>
  <c r="BH20" i="38"/>
  <c r="BI20" i="38"/>
  <c r="BJ20" i="38"/>
  <c r="BK20" i="38"/>
  <c r="BL20" i="38"/>
  <c r="BM20" i="38"/>
  <c r="BN20" i="38"/>
  <c r="BO20" i="38"/>
  <c r="BP20" i="38"/>
  <c r="BH21" i="38"/>
  <c r="BI21" i="38"/>
  <c r="BJ21" i="38"/>
  <c r="BK21" i="38"/>
  <c r="BL21" i="38"/>
  <c r="BM21" i="38"/>
  <c r="BN21" i="38"/>
  <c r="BO21" i="38"/>
  <c r="BP21" i="38"/>
  <c r="BH22" i="38"/>
  <c r="BI22" i="38"/>
  <c r="BJ22" i="38"/>
  <c r="BK22" i="38"/>
  <c r="BL22" i="38"/>
  <c r="BM22" i="38"/>
  <c r="BN22" i="38"/>
  <c r="BO22" i="38"/>
  <c r="BP22" i="38"/>
  <c r="BH23" i="38"/>
  <c r="BI23" i="38"/>
  <c r="BJ23" i="38"/>
  <c r="BK23" i="38"/>
  <c r="BL23" i="38"/>
  <c r="BM23" i="38"/>
  <c r="BN23" i="38"/>
  <c r="BO23" i="38"/>
  <c r="BP23" i="38"/>
  <c r="BH24" i="38"/>
  <c r="BI24" i="38"/>
  <c r="BJ24" i="38"/>
  <c r="BK24" i="38"/>
  <c r="BL24" i="38"/>
  <c r="BM24" i="38"/>
  <c r="BN24" i="38"/>
  <c r="BO24" i="38"/>
  <c r="BP24" i="38"/>
  <c r="BH25" i="38"/>
  <c r="BI25" i="38"/>
  <c r="BJ25" i="38"/>
  <c r="BK25" i="38"/>
  <c r="BL25" i="38"/>
  <c r="BM25" i="38"/>
  <c r="BN25" i="38"/>
  <c r="BO25" i="38"/>
  <c r="BP25" i="38"/>
  <c r="BH26" i="38"/>
  <c r="BI26" i="38"/>
  <c r="BJ26" i="38"/>
  <c r="BK26" i="38"/>
  <c r="BL26" i="38"/>
  <c r="BM26" i="38"/>
  <c r="BN26" i="38"/>
  <c r="BO26" i="38"/>
  <c r="BP26" i="38"/>
  <c r="BH27" i="38"/>
  <c r="BI27" i="38"/>
  <c r="BJ27" i="38"/>
  <c r="BK27" i="38"/>
  <c r="BL27" i="38"/>
  <c r="BM27" i="38"/>
  <c r="BN27" i="38"/>
  <c r="BO27" i="38"/>
  <c r="BP27" i="38"/>
  <c r="BH28" i="38"/>
  <c r="BI28" i="38"/>
  <c r="BJ28" i="38"/>
  <c r="BK28" i="38"/>
  <c r="BL28" i="38"/>
  <c r="BM28" i="38"/>
  <c r="BN28" i="38"/>
  <c r="BO28" i="38"/>
  <c r="BP28" i="38"/>
  <c r="BH29" i="38"/>
  <c r="BI29" i="38"/>
  <c r="BJ29" i="38"/>
  <c r="BK29" i="38"/>
  <c r="BL29" i="38"/>
  <c r="BM29" i="38"/>
  <c r="BN29" i="38"/>
  <c r="BO29" i="38"/>
  <c r="BP29" i="38"/>
  <c r="BH30" i="38"/>
  <c r="BI30" i="38"/>
  <c r="BJ30" i="38"/>
  <c r="BK30" i="38"/>
  <c r="BL30" i="38"/>
  <c r="BM30" i="38"/>
  <c r="BN30" i="38"/>
  <c r="BO30" i="38"/>
  <c r="BP30" i="38"/>
  <c r="BH31" i="38"/>
  <c r="BI31" i="38"/>
  <c r="BJ31" i="38"/>
  <c r="BK31" i="38"/>
  <c r="BL31" i="38"/>
  <c r="BM31" i="38"/>
  <c r="BN31" i="38"/>
  <c r="BO31" i="38"/>
  <c r="BP31" i="38"/>
  <c r="BH32" i="38"/>
  <c r="BI32" i="38"/>
  <c r="BJ32" i="38"/>
  <c r="BK32" i="38"/>
  <c r="BL32" i="38"/>
  <c r="BM32" i="38"/>
  <c r="BN32" i="38"/>
  <c r="BO32" i="38"/>
  <c r="BP32" i="38"/>
  <c r="BH33" i="38"/>
  <c r="BI33" i="38"/>
  <c r="BJ33" i="38"/>
  <c r="BK33" i="38"/>
  <c r="BL33" i="38"/>
  <c r="BM33" i="38"/>
  <c r="BN33" i="38"/>
  <c r="BO33" i="38"/>
  <c r="BP33" i="38"/>
  <c r="BH34" i="38"/>
  <c r="BI34" i="38"/>
  <c r="BJ34" i="38"/>
  <c r="BK34" i="38"/>
  <c r="BL34" i="38"/>
  <c r="BM34" i="38"/>
  <c r="BN34" i="38"/>
  <c r="BO34" i="38"/>
  <c r="BP34" i="38"/>
  <c r="BH35" i="38"/>
  <c r="BI35" i="38"/>
  <c r="BJ35" i="38"/>
  <c r="BK35" i="38"/>
  <c r="BL35" i="38"/>
  <c r="BM35" i="38"/>
  <c r="BN35" i="38"/>
  <c r="BO35" i="38"/>
  <c r="BP35" i="38"/>
  <c r="BH36" i="38"/>
  <c r="BI36" i="38"/>
  <c r="BJ36" i="38"/>
  <c r="BK36" i="38"/>
  <c r="BL36" i="38"/>
  <c r="BM36" i="38"/>
  <c r="BN36" i="38"/>
  <c r="BO36" i="38"/>
  <c r="BP36" i="38"/>
  <c r="BH37" i="38"/>
  <c r="BI37" i="38"/>
  <c r="BJ37" i="38"/>
  <c r="BK37" i="38"/>
  <c r="BL37" i="38"/>
  <c r="BM37" i="38"/>
  <c r="BN37" i="38"/>
  <c r="BO37" i="38"/>
  <c r="BP37" i="38"/>
  <c r="BH38" i="38"/>
  <c r="BI38" i="38"/>
  <c r="BJ38" i="38"/>
  <c r="BK38" i="38"/>
  <c r="BL38" i="38"/>
  <c r="BM38" i="38"/>
  <c r="BN38" i="38"/>
  <c r="BO38" i="38"/>
  <c r="BP38" i="38"/>
  <c r="BH39" i="38"/>
  <c r="BI39" i="38"/>
  <c r="BJ39" i="38"/>
  <c r="BK39" i="38"/>
  <c r="BL39" i="38"/>
  <c r="BM39" i="38"/>
  <c r="BN39" i="38"/>
  <c r="BO39" i="38"/>
  <c r="BP39" i="38"/>
  <c r="BH40" i="38"/>
  <c r="BI40" i="38"/>
  <c r="BJ40" i="38"/>
  <c r="BK40" i="38"/>
  <c r="BL40" i="38"/>
  <c r="BM40" i="38"/>
  <c r="BN40" i="38"/>
  <c r="BO40" i="38"/>
  <c r="BP40" i="38"/>
  <c r="BH41" i="38"/>
  <c r="BI41" i="38"/>
  <c r="BJ41" i="38"/>
  <c r="BK41" i="38"/>
  <c r="BL41" i="38"/>
  <c r="BM41" i="38"/>
  <c r="BN41" i="38"/>
  <c r="BO41" i="38"/>
  <c r="BP41" i="38"/>
  <c r="BH42" i="38"/>
  <c r="BI42" i="38"/>
  <c r="BJ42" i="38"/>
  <c r="BK42" i="38"/>
  <c r="BL42" i="38"/>
  <c r="BM42" i="38"/>
  <c r="BN42" i="38"/>
  <c r="BO42" i="38"/>
  <c r="BP42" i="38"/>
  <c r="BH43" i="38"/>
  <c r="BI43" i="38"/>
  <c r="BJ43" i="38"/>
  <c r="BK43" i="38"/>
  <c r="BL43" i="38"/>
  <c r="BM43" i="38"/>
  <c r="BN43" i="38"/>
  <c r="BO43" i="38"/>
  <c r="BP43" i="38"/>
  <c r="BH44" i="38"/>
  <c r="BI44" i="38"/>
  <c r="BJ44" i="38"/>
  <c r="BK44" i="38"/>
  <c r="BL44" i="38"/>
  <c r="BM44" i="38"/>
  <c r="BN44" i="38"/>
  <c r="BO44" i="38"/>
  <c r="BP44" i="38"/>
  <c r="BH45" i="38"/>
  <c r="BI45" i="38"/>
  <c r="BJ45" i="38"/>
  <c r="BK45" i="38"/>
  <c r="BL45" i="38"/>
  <c r="BM45" i="38"/>
  <c r="BN45" i="38"/>
  <c r="BO45" i="38"/>
  <c r="BP45" i="38"/>
  <c r="BH46" i="38"/>
  <c r="BI46" i="38"/>
  <c r="BJ46" i="38"/>
  <c r="BK46" i="38"/>
  <c r="BL46" i="38"/>
  <c r="BM46" i="38"/>
  <c r="BN46" i="38"/>
  <c r="BO46" i="38"/>
  <c r="BP46" i="38"/>
  <c r="BH47" i="38"/>
  <c r="BI47" i="38"/>
  <c r="BJ47" i="38"/>
  <c r="BK47" i="38"/>
  <c r="BL47" i="38"/>
  <c r="BM47" i="38"/>
  <c r="BN47" i="38"/>
  <c r="BO47" i="38"/>
  <c r="BP47" i="38"/>
  <c r="BH48" i="38"/>
  <c r="BI48" i="38"/>
  <c r="BJ48" i="38"/>
  <c r="BK48" i="38"/>
  <c r="BL48" i="38"/>
  <c r="BM48" i="38"/>
  <c r="BN48" i="38"/>
  <c r="BO48" i="38"/>
  <c r="BP48" i="38"/>
  <c r="BH49" i="38"/>
  <c r="BI49" i="38"/>
  <c r="BJ49" i="38"/>
  <c r="BK49" i="38"/>
  <c r="BL49" i="38"/>
  <c r="BM49" i="38"/>
  <c r="BN49" i="38"/>
  <c r="BO49" i="38"/>
  <c r="BP49" i="38"/>
  <c r="BH50" i="38"/>
  <c r="BI50" i="38"/>
  <c r="BJ50" i="38"/>
  <c r="BK50" i="38"/>
  <c r="BL50" i="38"/>
  <c r="BM50" i="38"/>
  <c r="BN50" i="38"/>
  <c r="BO50" i="38"/>
  <c r="BP50" i="38"/>
  <c r="BH51" i="38"/>
  <c r="BI51" i="38"/>
  <c r="BJ51" i="38"/>
  <c r="BK51" i="38"/>
  <c r="BL51" i="38"/>
  <c r="BM51" i="38"/>
  <c r="BN51" i="38"/>
  <c r="BO51" i="38"/>
  <c r="BP51" i="38"/>
  <c r="BH52" i="38"/>
  <c r="BI52" i="38"/>
  <c r="BJ52" i="38"/>
  <c r="BK52" i="38"/>
  <c r="BL52" i="38"/>
  <c r="BM52" i="38"/>
  <c r="BN52" i="38"/>
  <c r="BO52" i="38"/>
  <c r="BP52" i="38"/>
  <c r="BH53" i="38"/>
  <c r="BI53" i="38"/>
  <c r="BJ53" i="38"/>
  <c r="BK53" i="38"/>
  <c r="BL53" i="38"/>
  <c r="BM53" i="38"/>
  <c r="BN53" i="38"/>
  <c r="BO53" i="38"/>
  <c r="BP53" i="38"/>
  <c r="BH54" i="38"/>
  <c r="BI54" i="38"/>
  <c r="BJ54" i="38"/>
  <c r="BK54" i="38"/>
  <c r="BL54" i="38"/>
  <c r="BM54" i="38"/>
  <c r="BN54" i="38"/>
  <c r="BO54" i="38"/>
  <c r="BP54" i="38"/>
  <c r="BH55" i="38"/>
  <c r="BI55" i="38"/>
  <c r="BJ55" i="38"/>
  <c r="BK55" i="38"/>
  <c r="BL55" i="38"/>
  <c r="BM55" i="38"/>
  <c r="BN55" i="38"/>
  <c r="BO55" i="38"/>
  <c r="BP55" i="38"/>
  <c r="BH56" i="38"/>
  <c r="BI56" i="38"/>
  <c r="BJ56" i="38"/>
  <c r="BK56" i="38"/>
  <c r="BL56" i="38"/>
  <c r="BM56" i="38"/>
  <c r="BN56" i="38"/>
  <c r="BO56" i="38"/>
  <c r="BP56" i="38"/>
  <c r="BH57" i="38"/>
  <c r="BI57" i="38"/>
  <c r="BJ57" i="38"/>
  <c r="BK57" i="38"/>
  <c r="BL57" i="38"/>
  <c r="BM57" i="38"/>
  <c r="BN57" i="38"/>
  <c r="BO57" i="38"/>
  <c r="BP57" i="38"/>
  <c r="BH58" i="38"/>
  <c r="BI58" i="38"/>
  <c r="BJ58" i="38"/>
  <c r="BK58" i="38"/>
  <c r="BL58" i="38"/>
  <c r="BM58" i="38"/>
  <c r="BN58" i="38"/>
  <c r="BO58" i="38"/>
  <c r="BP58" i="38"/>
  <c r="BH59" i="38"/>
  <c r="BI59" i="38"/>
  <c r="BJ59" i="38"/>
  <c r="BK59" i="38"/>
  <c r="BL59" i="38"/>
  <c r="BM59" i="38"/>
  <c r="BN59" i="38"/>
  <c r="BO59" i="38"/>
  <c r="BP59" i="38"/>
  <c r="BH60" i="38"/>
  <c r="BI60" i="38"/>
  <c r="BJ60" i="38"/>
  <c r="BK60" i="38"/>
  <c r="BL60" i="38"/>
  <c r="BM60" i="38"/>
  <c r="BN60" i="38"/>
  <c r="BO60" i="38"/>
  <c r="BP60" i="38"/>
  <c r="BH61" i="38"/>
  <c r="BI61" i="38"/>
  <c r="BJ61" i="38"/>
  <c r="BK61" i="38"/>
  <c r="BL61" i="38"/>
  <c r="BM61" i="38"/>
  <c r="BN61" i="38"/>
  <c r="BO61" i="38"/>
  <c r="BP61" i="38"/>
  <c r="BH62" i="38"/>
  <c r="BI62" i="38"/>
  <c r="BJ62" i="38"/>
  <c r="BK62" i="38"/>
  <c r="BL62" i="38"/>
  <c r="BM62" i="38"/>
  <c r="BN62" i="38"/>
  <c r="BO62" i="38"/>
  <c r="BP62" i="38"/>
  <c r="BH63" i="38"/>
  <c r="BI63" i="38"/>
  <c r="BJ63" i="38"/>
  <c r="BK63" i="38"/>
  <c r="BL63" i="38"/>
  <c r="BM63" i="38"/>
  <c r="BN63" i="38"/>
  <c r="BO63" i="38"/>
  <c r="BP63" i="38"/>
  <c r="BH64" i="38"/>
  <c r="BI64" i="38"/>
  <c r="BJ64" i="38"/>
  <c r="BK64" i="38"/>
  <c r="BL64" i="38"/>
  <c r="BM64" i="38"/>
  <c r="BN64" i="38"/>
  <c r="BO64" i="38"/>
  <c r="BP64" i="38"/>
  <c r="BH65" i="38"/>
  <c r="BI65" i="38"/>
  <c r="BJ65" i="38"/>
  <c r="BK65" i="38"/>
  <c r="BL65" i="38"/>
  <c r="BM65" i="38"/>
  <c r="BN65" i="38"/>
  <c r="BO65" i="38"/>
  <c r="BP65" i="38"/>
  <c r="BH66" i="38"/>
  <c r="BI66" i="38"/>
  <c r="BJ66" i="38"/>
  <c r="BK66" i="38"/>
  <c r="BL66" i="38"/>
  <c r="BM66" i="38"/>
  <c r="BN66" i="38"/>
  <c r="BO66" i="38"/>
  <c r="BP66" i="38"/>
  <c r="BH67" i="38"/>
  <c r="BI67" i="38"/>
  <c r="BJ67" i="38"/>
  <c r="BK67" i="38"/>
  <c r="BL67" i="38"/>
  <c r="BM67" i="38"/>
  <c r="BN67" i="38"/>
  <c r="BO67" i="38"/>
  <c r="BP67" i="38"/>
  <c r="BH68" i="38"/>
  <c r="BI68" i="38"/>
  <c r="BJ68" i="38"/>
  <c r="BK68" i="38"/>
  <c r="BL68" i="38"/>
  <c r="BM68" i="38"/>
  <c r="BN68" i="38"/>
  <c r="BO68" i="38"/>
  <c r="BP68" i="38"/>
  <c r="BH69" i="38"/>
  <c r="BI69" i="38"/>
  <c r="BJ69" i="38"/>
  <c r="BK69" i="38"/>
  <c r="BL69" i="38"/>
  <c r="BM69" i="38"/>
  <c r="BN69" i="38"/>
  <c r="BO69" i="38"/>
  <c r="BP69" i="38"/>
  <c r="BH70" i="38"/>
  <c r="BI70" i="38"/>
  <c r="BJ70" i="38"/>
  <c r="BK70" i="38"/>
  <c r="BL70" i="38"/>
  <c r="BM70" i="38"/>
  <c r="BN70" i="38"/>
  <c r="BO70" i="38"/>
  <c r="BP70" i="38"/>
  <c r="BH71" i="38"/>
  <c r="BI71" i="38"/>
  <c r="BJ71" i="38"/>
  <c r="BK71" i="38"/>
  <c r="BL71" i="38"/>
  <c r="BM71" i="38"/>
  <c r="BN71" i="38"/>
  <c r="BO71" i="38"/>
  <c r="BP71" i="38"/>
  <c r="BH72" i="38"/>
  <c r="BI72" i="38"/>
  <c r="BJ72" i="38"/>
  <c r="BK72" i="38"/>
  <c r="BL72" i="38"/>
  <c r="BM72" i="38"/>
  <c r="BN72" i="38"/>
  <c r="BO72" i="38"/>
  <c r="BP72" i="38"/>
  <c r="BH73" i="38"/>
  <c r="BI73" i="38"/>
  <c r="BJ73" i="38"/>
  <c r="BK73" i="38"/>
  <c r="BL73" i="38"/>
  <c r="BM73" i="38"/>
  <c r="BN73" i="38"/>
  <c r="BO73" i="38"/>
  <c r="BP73" i="38"/>
  <c r="BH74" i="38"/>
  <c r="BI74" i="38"/>
  <c r="BJ74" i="38"/>
  <c r="BK74" i="38"/>
  <c r="BL74" i="38"/>
  <c r="BM74" i="38"/>
  <c r="BN74" i="38"/>
  <c r="BO74" i="38"/>
  <c r="BP74" i="38"/>
  <c r="BH75" i="38"/>
  <c r="BI75" i="38"/>
  <c r="BJ75" i="38"/>
  <c r="BK75" i="38"/>
  <c r="BL75" i="38"/>
  <c r="BM75" i="38"/>
  <c r="BN75" i="38"/>
  <c r="BO75" i="38"/>
  <c r="BP75" i="38"/>
  <c r="BH76" i="38"/>
  <c r="BI76" i="38"/>
  <c r="BJ76" i="38"/>
  <c r="BK76" i="38"/>
  <c r="BL76" i="38"/>
  <c r="BM76" i="38"/>
  <c r="BN76" i="38"/>
  <c r="BO76" i="38"/>
  <c r="BP76" i="38"/>
  <c r="BH77" i="38"/>
  <c r="BI77" i="38"/>
  <c r="BJ77" i="38"/>
  <c r="BK77" i="38"/>
  <c r="BL77" i="38"/>
  <c r="BM77" i="38"/>
  <c r="BN77" i="38"/>
  <c r="BO77" i="38"/>
  <c r="BP77" i="38"/>
  <c r="BH78" i="38"/>
  <c r="BI78" i="38"/>
  <c r="BJ78" i="38"/>
  <c r="BK78" i="38"/>
  <c r="BL78" i="38"/>
  <c r="BM78" i="38"/>
  <c r="BN78" i="38"/>
  <c r="BO78" i="38"/>
  <c r="BP78" i="38"/>
  <c r="BH79" i="38"/>
  <c r="BI79" i="38"/>
  <c r="BJ79" i="38"/>
  <c r="BK79" i="38"/>
  <c r="BL79" i="38"/>
  <c r="BM79" i="38"/>
  <c r="BN79" i="38"/>
  <c r="BO79" i="38"/>
  <c r="BP79" i="38"/>
  <c r="BH80" i="38"/>
  <c r="BI80" i="38"/>
  <c r="BJ80" i="38"/>
  <c r="BK80" i="38"/>
  <c r="BL80" i="38"/>
  <c r="BM80" i="38"/>
  <c r="BN80" i="38"/>
  <c r="BO80" i="38"/>
  <c r="BP80" i="38"/>
  <c r="BP8" i="38"/>
  <c r="BO8" i="38"/>
  <c r="BN8" i="38"/>
  <c r="BM8" i="38"/>
  <c r="BL8" i="38"/>
  <c r="BK8" i="38"/>
  <c r="BJ8" i="38"/>
  <c r="BI8" i="38"/>
  <c r="BH8" i="38"/>
  <c r="HR86" i="22"/>
  <c r="HR87" i="22"/>
  <c r="HR88" i="22"/>
  <c r="HR89" i="22"/>
  <c r="HR90" i="22"/>
  <c r="D189" i="34"/>
  <c r="E189" i="34"/>
  <c r="F189" i="34"/>
  <c r="G189" i="34"/>
  <c r="H189" i="34"/>
  <c r="D190" i="34"/>
  <c r="E190" i="34"/>
  <c r="F190" i="34"/>
  <c r="G190" i="34"/>
  <c r="H190" i="34"/>
  <c r="D191" i="34"/>
  <c r="E191" i="34"/>
  <c r="F191" i="34"/>
  <c r="G191" i="34"/>
  <c r="H191" i="34"/>
  <c r="D192" i="34"/>
  <c r="E192" i="34"/>
  <c r="F192" i="34"/>
  <c r="G192" i="34"/>
  <c r="H192" i="34"/>
  <c r="D193" i="34"/>
  <c r="E193" i="34"/>
  <c r="F193" i="34"/>
  <c r="G193" i="34"/>
  <c r="H193" i="34"/>
  <c r="D194" i="34"/>
  <c r="E194" i="34"/>
  <c r="F194" i="34"/>
  <c r="G194" i="34"/>
  <c r="H194" i="34"/>
  <c r="D195" i="34"/>
  <c r="E195" i="34"/>
  <c r="F195" i="34"/>
  <c r="G195" i="34"/>
  <c r="H195" i="34"/>
  <c r="D196" i="34"/>
  <c r="E196" i="34"/>
  <c r="F196" i="34"/>
  <c r="G196" i="34"/>
  <c r="H196" i="34"/>
  <c r="C190" i="34"/>
  <c r="C191" i="34"/>
  <c r="C192" i="34"/>
  <c r="C193" i="34"/>
  <c r="C194" i="34"/>
  <c r="C195" i="34"/>
  <c r="C196" i="34"/>
  <c r="C189" i="34"/>
  <c r="B190" i="34"/>
  <c r="B191" i="34"/>
  <c r="B192" i="34"/>
  <c r="B193" i="34"/>
  <c r="B194" i="34"/>
  <c r="B195" i="34"/>
  <c r="B196" i="34"/>
  <c r="B189" i="34"/>
  <c r="G2" i="30"/>
  <c r="BY59" i="33"/>
  <c r="BY58" i="33"/>
  <c r="BY57" i="33"/>
  <c r="CC59" i="33"/>
  <c r="CC58" i="33"/>
  <c r="CC57" i="33"/>
  <c r="CC56" i="33"/>
  <c r="CC55" i="33"/>
  <c r="CC54" i="33"/>
  <c r="CC52" i="33"/>
  <c r="CC51" i="33"/>
  <c r="CA59" i="33"/>
  <c r="CA58" i="33"/>
  <c r="CA57" i="33"/>
  <c r="CA56" i="33"/>
  <c r="CA55" i="33"/>
  <c r="CA54" i="33"/>
  <c r="CA53" i="33"/>
  <c r="CA52" i="33"/>
  <c r="CA51" i="33"/>
  <c r="BY55" i="33"/>
  <c r="BY54" i="33"/>
  <c r="BY53" i="33"/>
  <c r="BY52" i="33"/>
  <c r="BY51" i="33"/>
  <c r="C79" i="34"/>
  <c r="H153" i="34"/>
  <c r="H154" i="34"/>
  <c r="H155" i="34"/>
  <c r="H156" i="34"/>
  <c r="H157" i="34"/>
  <c r="H152" i="34"/>
  <c r="D260" i="7"/>
  <c r="D261" i="7"/>
  <c r="D262" i="7"/>
  <c r="AG38"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260" i="7"/>
  <c r="D351" i="7"/>
  <c r="D350" i="7"/>
  <c r="D349" i="7"/>
  <c r="D348" i="7"/>
  <c r="D347" i="7"/>
  <c r="D346" i="7"/>
  <c r="D345" i="7"/>
  <c r="D344" i="7"/>
  <c r="D343" i="7"/>
  <c r="D342" i="7"/>
  <c r="D341" i="7"/>
  <c r="D340" i="7"/>
  <c r="D339" i="7"/>
  <c r="D338" i="7"/>
  <c r="D337" i="7"/>
  <c r="D336" i="7"/>
  <c r="D335" i="7"/>
  <c r="D334" i="7"/>
  <c r="D333" i="7"/>
  <c r="D332" i="7"/>
  <c r="D331" i="7"/>
  <c r="D330" i="7"/>
  <c r="D329" i="7"/>
  <c r="D328" i="7"/>
  <c r="D327" i="7"/>
  <c r="D326" i="7"/>
  <c r="D325" i="7"/>
  <c r="D324" i="7"/>
  <c r="D323" i="7"/>
  <c r="D322" i="7"/>
  <c r="D321" i="7"/>
  <c r="D320" i="7"/>
  <c r="D319" i="7"/>
  <c r="D318" i="7"/>
  <c r="D317" i="7"/>
  <c r="D316" i="7"/>
  <c r="D315" i="7"/>
  <c r="D314" i="7"/>
  <c r="D313" i="7"/>
  <c r="D312" i="7"/>
  <c r="D311" i="7"/>
  <c r="D310" i="7"/>
  <c r="D309" i="7"/>
  <c r="D308" i="7"/>
  <c r="D307" i="7"/>
  <c r="D306" i="7"/>
  <c r="D305" i="7"/>
  <c r="D304" i="7"/>
  <c r="D303" i="7"/>
  <c r="D302" i="7"/>
  <c r="D301" i="7"/>
  <c r="D300" i="7"/>
  <c r="D299" i="7"/>
  <c r="D298" i="7"/>
  <c r="D297" i="7"/>
  <c r="D296" i="7"/>
  <c r="D295" i="7"/>
  <c r="D294" i="7"/>
  <c r="D293" i="7"/>
  <c r="D292" i="7"/>
  <c r="D291" i="7"/>
  <c r="D290" i="7"/>
  <c r="D289" i="7"/>
  <c r="D288" i="7"/>
  <c r="D287" i="7"/>
  <c r="D286" i="7"/>
  <c r="D285" i="7"/>
  <c r="D284" i="7"/>
  <c r="D283" i="7"/>
  <c r="D282" i="7"/>
  <c r="D281" i="7"/>
  <c r="D280" i="7"/>
  <c r="D279" i="7"/>
  <c r="D278" i="7"/>
  <c r="D277" i="7"/>
  <c r="D276" i="7"/>
  <c r="D275" i="7"/>
  <c r="D274" i="7"/>
  <c r="D273" i="7"/>
  <c r="D272" i="7"/>
  <c r="D271" i="7"/>
  <c r="D270" i="7"/>
  <c r="D269" i="7"/>
  <c r="D268" i="7"/>
  <c r="D267" i="7"/>
  <c r="D266" i="7"/>
  <c r="D265" i="7"/>
  <c r="D264" i="7"/>
  <c r="D263" i="7"/>
  <c r="R351" i="7"/>
  <c r="R350" i="7"/>
  <c r="R349" i="7"/>
  <c r="R348" i="7"/>
  <c r="R347" i="7"/>
  <c r="R346" i="7"/>
  <c r="R345" i="7"/>
  <c r="R344" i="7"/>
  <c r="R343" i="7"/>
  <c r="R342" i="7"/>
  <c r="R341" i="7"/>
  <c r="R340" i="7"/>
  <c r="R339" i="7"/>
  <c r="R338" i="7"/>
  <c r="R337" i="7"/>
  <c r="R336" i="7"/>
  <c r="R335" i="7"/>
  <c r="R334" i="7"/>
  <c r="R333" i="7"/>
  <c r="R332" i="7"/>
  <c r="R331" i="7"/>
  <c r="R330" i="7"/>
  <c r="R329" i="7"/>
  <c r="R328" i="7"/>
  <c r="R327" i="7"/>
  <c r="R326" i="7"/>
  <c r="R325" i="7"/>
  <c r="R324" i="7"/>
  <c r="R323" i="7"/>
  <c r="R322" i="7"/>
  <c r="R321" i="7"/>
  <c r="R320" i="7"/>
  <c r="R319" i="7"/>
  <c r="R318" i="7"/>
  <c r="R317" i="7"/>
  <c r="R316" i="7"/>
  <c r="R315" i="7"/>
  <c r="R314" i="7"/>
  <c r="R313" i="7"/>
  <c r="R312" i="7"/>
  <c r="R311" i="7"/>
  <c r="R310" i="7"/>
  <c r="R309" i="7"/>
  <c r="R308" i="7"/>
  <c r="R307" i="7"/>
  <c r="R306" i="7"/>
  <c r="R305" i="7"/>
  <c r="R304" i="7"/>
  <c r="R303" i="7"/>
  <c r="R302" i="7"/>
  <c r="R301" i="7"/>
  <c r="R300" i="7"/>
  <c r="R299" i="7"/>
  <c r="R298" i="7"/>
  <c r="R297" i="7"/>
  <c r="R296" i="7"/>
  <c r="R295" i="7"/>
  <c r="R294" i="7"/>
  <c r="R293" i="7"/>
  <c r="R292" i="7"/>
  <c r="R291" i="7"/>
  <c r="R290" i="7"/>
  <c r="R289" i="7"/>
  <c r="R288" i="7"/>
  <c r="R287" i="7"/>
  <c r="R286" i="7"/>
  <c r="R285" i="7"/>
  <c r="R284" i="7"/>
  <c r="R283" i="7"/>
  <c r="R282" i="7"/>
  <c r="R281" i="7"/>
  <c r="R280" i="7"/>
  <c r="R279" i="7"/>
  <c r="R278" i="7"/>
  <c r="R277" i="7"/>
  <c r="R276" i="7"/>
  <c r="R275" i="7"/>
  <c r="R274" i="7"/>
  <c r="R273" i="7"/>
  <c r="R272" i="7"/>
  <c r="R271" i="7"/>
  <c r="R270" i="7"/>
  <c r="R269" i="7"/>
  <c r="R268" i="7"/>
  <c r="R267" i="7"/>
  <c r="R266" i="7"/>
  <c r="R265" i="7"/>
  <c r="R264" i="7"/>
  <c r="R263" i="7"/>
  <c r="R262" i="7"/>
  <c r="R261" i="7"/>
  <c r="R260" i="7"/>
  <c r="N351" i="7"/>
  <c r="N350" i="7"/>
  <c r="N349" i="7"/>
  <c r="N348" i="7"/>
  <c r="N347" i="7"/>
  <c r="N346" i="7"/>
  <c r="N345" i="7"/>
  <c r="N344" i="7"/>
  <c r="N343" i="7"/>
  <c r="N342" i="7"/>
  <c r="N341" i="7"/>
  <c r="N340" i="7"/>
  <c r="N339" i="7"/>
  <c r="N338" i="7"/>
  <c r="N337" i="7"/>
  <c r="N336" i="7"/>
  <c r="N335" i="7"/>
  <c r="N334" i="7"/>
  <c r="N333" i="7"/>
  <c r="N332" i="7"/>
  <c r="N331" i="7"/>
  <c r="N330" i="7"/>
  <c r="N329" i="7"/>
  <c r="N328" i="7"/>
  <c r="N327" i="7"/>
  <c r="N326" i="7"/>
  <c r="N325" i="7"/>
  <c r="N324" i="7"/>
  <c r="N323" i="7"/>
  <c r="N322" i="7"/>
  <c r="N321" i="7"/>
  <c r="N320" i="7"/>
  <c r="N319" i="7"/>
  <c r="N318" i="7"/>
  <c r="N317" i="7"/>
  <c r="N316" i="7"/>
  <c r="N315" i="7"/>
  <c r="N314" i="7"/>
  <c r="N313" i="7"/>
  <c r="N312" i="7"/>
  <c r="N311" i="7"/>
  <c r="N310" i="7"/>
  <c r="N309" i="7"/>
  <c r="N308" i="7"/>
  <c r="N307" i="7"/>
  <c r="N306" i="7"/>
  <c r="N305" i="7"/>
  <c r="N304" i="7"/>
  <c r="N303" i="7"/>
  <c r="N302" i="7"/>
  <c r="N301" i="7"/>
  <c r="N300" i="7"/>
  <c r="N299" i="7"/>
  <c r="N298" i="7"/>
  <c r="N297" i="7"/>
  <c r="N296" i="7"/>
  <c r="N295" i="7"/>
  <c r="N294" i="7"/>
  <c r="N293" i="7"/>
  <c r="N292" i="7"/>
  <c r="N291" i="7"/>
  <c r="N290" i="7"/>
  <c r="N289" i="7"/>
  <c r="N288" i="7"/>
  <c r="N287" i="7"/>
  <c r="N286" i="7"/>
  <c r="N285" i="7"/>
  <c r="N284" i="7"/>
  <c r="N283" i="7"/>
  <c r="N282" i="7"/>
  <c r="N281" i="7"/>
  <c r="N261" i="7"/>
  <c r="N262" i="7"/>
  <c r="N263" i="7"/>
  <c r="N264" i="7"/>
  <c r="N265" i="7"/>
  <c r="N266" i="7"/>
  <c r="N267" i="7"/>
  <c r="N268" i="7"/>
  <c r="N269" i="7"/>
  <c r="N270" i="7"/>
  <c r="N271" i="7"/>
  <c r="N272" i="7"/>
  <c r="N273" i="7"/>
  <c r="N274" i="7"/>
  <c r="N275" i="7"/>
  <c r="N276" i="7"/>
  <c r="N277" i="7"/>
  <c r="N278" i="7"/>
  <c r="N279" i="7"/>
  <c r="N280" i="7"/>
  <c r="N260" i="7"/>
  <c r="L21" i="25"/>
  <c r="L41" i="25"/>
  <c r="L20" i="25"/>
  <c r="L40" i="25"/>
  <c r="L19" i="25"/>
  <c r="L39" i="25"/>
  <c r="L18" i="25"/>
  <c r="L38" i="25"/>
  <c r="L17" i="25"/>
  <c r="L37" i="25"/>
  <c r="L32" i="25"/>
  <c r="L31" i="25"/>
  <c r="L30" i="25"/>
  <c r="L29" i="25"/>
  <c r="L28" i="25"/>
  <c r="K21" i="25"/>
  <c r="K41" i="25"/>
  <c r="K20" i="25"/>
  <c r="K40" i="25"/>
  <c r="K19" i="25"/>
  <c r="K39" i="25"/>
  <c r="K18" i="25"/>
  <c r="K38" i="25"/>
  <c r="K17" i="25"/>
  <c r="K37" i="25"/>
  <c r="K32" i="25"/>
  <c r="K31" i="25"/>
  <c r="K30" i="25"/>
  <c r="K29" i="25"/>
  <c r="K28" i="25"/>
  <c r="AA189" i="36"/>
  <c r="Z189" i="36"/>
  <c r="Y189" i="36"/>
  <c r="X189"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T183" i="36"/>
  <c r="C21" i="23"/>
  <c r="O21" i="23"/>
  <c r="FP21" i="23"/>
  <c r="D21" i="23"/>
  <c r="P21" i="23"/>
  <c r="FQ21" i="23"/>
  <c r="E21" i="23"/>
  <c r="Q21" i="23"/>
  <c r="FR21" i="23"/>
  <c r="F21" i="23"/>
  <c r="R21" i="23"/>
  <c r="FS21" i="23"/>
  <c r="G21" i="23"/>
  <c r="S21" i="23"/>
  <c r="FT21" i="23"/>
  <c r="H21" i="23"/>
  <c r="T21" i="23"/>
  <c r="FU21" i="23"/>
  <c r="I21" i="23"/>
  <c r="U21" i="23"/>
  <c r="FV21" i="23"/>
  <c r="J21" i="23"/>
  <c r="V21" i="23"/>
  <c r="FW21" i="23"/>
  <c r="K21" i="23"/>
  <c r="W21" i="23"/>
  <c r="FX21" i="23"/>
  <c r="L21" i="23"/>
  <c r="X21" i="23"/>
  <c r="FY21" i="23"/>
  <c r="M21" i="23"/>
  <c r="Y21" i="23"/>
  <c r="FZ21" i="23"/>
  <c r="N21" i="23"/>
  <c r="Z21" i="23"/>
  <c r="GA21" i="23"/>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V183" i="36"/>
  <c r="Z183" i="36"/>
  <c r="G121" i="36"/>
  <c r="G122" i="36"/>
  <c r="G123" i="36"/>
  <c r="G124" i="36"/>
  <c r="G125" i="36"/>
  <c r="G126" i="36"/>
  <c r="G127" i="36"/>
  <c r="G128" i="36"/>
  <c r="G129" i="36"/>
  <c r="G130" i="36"/>
  <c r="G131" i="36"/>
  <c r="G132" i="36"/>
  <c r="G133" i="36"/>
  <c r="G134" i="36"/>
  <c r="G135" i="36"/>
  <c r="G136" i="36"/>
  <c r="G137" i="36"/>
  <c r="G138" i="36"/>
  <c r="G139" i="36"/>
  <c r="G140" i="36"/>
  <c r="G141" i="36"/>
  <c r="G142" i="36"/>
  <c r="G143" i="36"/>
  <c r="G144" i="36"/>
  <c r="G145" i="36"/>
  <c r="G146" i="36"/>
  <c r="G147" i="36"/>
  <c r="G148" i="36"/>
  <c r="G149" i="36"/>
  <c r="G150" i="36"/>
  <c r="G151" i="36"/>
  <c r="G152" i="36"/>
  <c r="G153" i="36"/>
  <c r="G154" i="36"/>
  <c r="G155" i="36"/>
  <c r="G156" i="36"/>
  <c r="G157" i="36"/>
  <c r="G158" i="36"/>
  <c r="G159" i="36"/>
  <c r="G160" i="36"/>
  <c r="G161" i="36"/>
  <c r="G162" i="36"/>
  <c r="G163" i="36"/>
  <c r="G164" i="36"/>
  <c r="G165" i="36"/>
  <c r="S183" i="36"/>
  <c r="I121" i="36"/>
  <c r="I122" i="36"/>
  <c r="I123" i="36"/>
  <c r="I124" i="36"/>
  <c r="I125" i="36"/>
  <c r="I126" i="36"/>
  <c r="I127" i="36"/>
  <c r="I128" i="36"/>
  <c r="I129" i="36"/>
  <c r="I130" i="36"/>
  <c r="I131" i="36"/>
  <c r="I132" i="36"/>
  <c r="I133" i="36"/>
  <c r="I134" i="36"/>
  <c r="I135" i="36"/>
  <c r="I136" i="36"/>
  <c r="I137" i="36"/>
  <c r="I138" i="36"/>
  <c r="I139" i="36"/>
  <c r="I140" i="36"/>
  <c r="I141" i="36"/>
  <c r="I142" i="36"/>
  <c r="I143" i="36"/>
  <c r="I144" i="36"/>
  <c r="I145" i="36"/>
  <c r="I146" i="36"/>
  <c r="I147" i="36"/>
  <c r="I148" i="36"/>
  <c r="I149" i="36"/>
  <c r="I150" i="36"/>
  <c r="I151" i="36"/>
  <c r="I152" i="36"/>
  <c r="I153" i="36"/>
  <c r="I154" i="36"/>
  <c r="I155" i="36"/>
  <c r="I156" i="36"/>
  <c r="I157" i="36"/>
  <c r="I158" i="36"/>
  <c r="I159" i="36"/>
  <c r="I160" i="36"/>
  <c r="I161" i="36"/>
  <c r="I162" i="36"/>
  <c r="I163" i="36"/>
  <c r="I164" i="36"/>
  <c r="I165" i="36"/>
  <c r="U183" i="36"/>
  <c r="Y183" i="36"/>
  <c r="D121" i="36"/>
  <c r="D122" i="36"/>
  <c r="D123" i="36"/>
  <c r="D124" i="36"/>
  <c r="D125" i="36"/>
  <c r="D126" i="36"/>
  <c r="D127" i="36"/>
  <c r="D128" i="36"/>
  <c r="D129" i="36"/>
  <c r="D130" i="36"/>
  <c r="D131" i="36"/>
  <c r="D132" i="36"/>
  <c r="D133" i="36"/>
  <c r="D134" i="36"/>
  <c r="D135" i="36"/>
  <c r="D136" i="36"/>
  <c r="D137" i="36"/>
  <c r="D138" i="36"/>
  <c r="D139" i="36"/>
  <c r="D140" i="36"/>
  <c r="D141" i="36"/>
  <c r="D142" i="36"/>
  <c r="D143" i="36"/>
  <c r="D144" i="36"/>
  <c r="D145" i="36"/>
  <c r="D146" i="36"/>
  <c r="D147" i="36"/>
  <c r="D148" i="36"/>
  <c r="D149" i="36"/>
  <c r="D150" i="36"/>
  <c r="D151" i="36"/>
  <c r="D152" i="36"/>
  <c r="D153" i="36"/>
  <c r="D154" i="36"/>
  <c r="D155" i="36"/>
  <c r="D156" i="36"/>
  <c r="D157" i="36"/>
  <c r="D158" i="36"/>
  <c r="D159" i="36"/>
  <c r="D160" i="36"/>
  <c r="D161" i="36"/>
  <c r="D162" i="36"/>
  <c r="D163" i="36"/>
  <c r="D164" i="36"/>
  <c r="D165" i="36"/>
  <c r="P183" i="36"/>
  <c r="F121" i="36"/>
  <c r="F122" i="36"/>
  <c r="F123" i="36"/>
  <c r="F124" i="36"/>
  <c r="F125" i="36"/>
  <c r="F126" i="36"/>
  <c r="F127" i="36"/>
  <c r="F128" i="36"/>
  <c r="F129" i="36"/>
  <c r="F130" i="36"/>
  <c r="F131" i="36"/>
  <c r="F132" i="36"/>
  <c r="F133" i="36"/>
  <c r="F134" i="36"/>
  <c r="F135" i="36"/>
  <c r="F136" i="36"/>
  <c r="F137" i="36"/>
  <c r="F138" i="36"/>
  <c r="F139" i="36"/>
  <c r="F140" i="36"/>
  <c r="F141" i="36"/>
  <c r="F142" i="36"/>
  <c r="F143" i="36"/>
  <c r="F144" i="36"/>
  <c r="F145" i="36"/>
  <c r="F146" i="36"/>
  <c r="F147" i="36"/>
  <c r="F148" i="36"/>
  <c r="F149" i="36"/>
  <c r="F150" i="36"/>
  <c r="F151" i="36"/>
  <c r="F152" i="36"/>
  <c r="F153" i="36"/>
  <c r="F154" i="36"/>
  <c r="F155" i="36"/>
  <c r="F156" i="36"/>
  <c r="F157" i="36"/>
  <c r="F158" i="36"/>
  <c r="F159" i="36"/>
  <c r="F160" i="36"/>
  <c r="F161" i="36"/>
  <c r="F162" i="36"/>
  <c r="F163" i="36"/>
  <c r="F164" i="36"/>
  <c r="F165" i="36"/>
  <c r="R183" i="36"/>
  <c r="X183" i="36"/>
  <c r="C121" i="36"/>
  <c r="C122" i="36"/>
  <c r="C123" i="36"/>
  <c r="C124" i="36"/>
  <c r="C125" i="36"/>
  <c r="C126" i="36"/>
  <c r="C127" i="36"/>
  <c r="C128" i="36"/>
  <c r="C129" i="36"/>
  <c r="C130" i="36"/>
  <c r="C131" i="36"/>
  <c r="C132" i="36"/>
  <c r="C133" i="36"/>
  <c r="C134" i="36"/>
  <c r="C135" i="36"/>
  <c r="C136" i="36"/>
  <c r="C137" i="36"/>
  <c r="C138" i="36"/>
  <c r="C139" i="36"/>
  <c r="C140" i="36"/>
  <c r="C141" i="36"/>
  <c r="C142" i="36"/>
  <c r="C143" i="36"/>
  <c r="C144" i="36"/>
  <c r="C145" i="36"/>
  <c r="C146" i="36"/>
  <c r="C147" i="36"/>
  <c r="C148" i="36"/>
  <c r="C149" i="36"/>
  <c r="C150" i="36"/>
  <c r="C151" i="36"/>
  <c r="C152" i="36"/>
  <c r="C153" i="36"/>
  <c r="C154" i="36"/>
  <c r="C155" i="36"/>
  <c r="C156" i="36"/>
  <c r="C157" i="36"/>
  <c r="C158" i="36"/>
  <c r="C159" i="36"/>
  <c r="C160" i="36"/>
  <c r="C161" i="36"/>
  <c r="C162" i="36"/>
  <c r="C163" i="36"/>
  <c r="C164" i="36"/>
  <c r="C165" i="36"/>
  <c r="O183"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Q183" i="36"/>
  <c r="W183" i="36"/>
  <c r="H166" i="36"/>
  <c r="H167" i="36"/>
  <c r="H168" i="36"/>
  <c r="H169" i="36"/>
  <c r="H170" i="36"/>
  <c r="H171" i="36"/>
  <c r="H172" i="36"/>
  <c r="H173" i="36"/>
  <c r="H174" i="36"/>
  <c r="H175" i="36"/>
  <c r="H176" i="36"/>
  <c r="H177" i="36"/>
  <c r="H178" i="36"/>
  <c r="T181" i="36"/>
  <c r="J166" i="36"/>
  <c r="J167" i="36"/>
  <c r="J168" i="36"/>
  <c r="J169" i="36"/>
  <c r="J170" i="36"/>
  <c r="J171" i="36"/>
  <c r="J172" i="36"/>
  <c r="J173" i="36"/>
  <c r="J174" i="36"/>
  <c r="J175" i="36"/>
  <c r="J176" i="36"/>
  <c r="J177" i="36"/>
  <c r="J178" i="36"/>
  <c r="V181" i="36"/>
  <c r="Z181" i="36"/>
  <c r="H179" i="36"/>
  <c r="H180" i="36"/>
  <c r="H181" i="36"/>
  <c r="H182" i="36"/>
  <c r="H183" i="36"/>
  <c r="H184" i="36"/>
  <c r="H185" i="36"/>
  <c r="H186" i="36"/>
  <c r="H187" i="36"/>
  <c r="H188" i="36"/>
  <c r="H189" i="36"/>
  <c r="H190" i="36"/>
  <c r="H191" i="36"/>
  <c r="H192" i="36"/>
  <c r="H193" i="36"/>
  <c r="T182" i="36"/>
  <c r="J179" i="36"/>
  <c r="J180" i="36"/>
  <c r="J181" i="36"/>
  <c r="J182" i="36"/>
  <c r="J183" i="36"/>
  <c r="J184" i="36"/>
  <c r="J185" i="36"/>
  <c r="J186" i="36"/>
  <c r="J187" i="36"/>
  <c r="J188" i="36"/>
  <c r="J189" i="36"/>
  <c r="J190" i="36"/>
  <c r="J191" i="36"/>
  <c r="J192" i="36"/>
  <c r="J193" i="36"/>
  <c r="V182" i="36"/>
  <c r="Z182" i="36"/>
  <c r="G166" i="36"/>
  <c r="G167" i="36"/>
  <c r="G168" i="36"/>
  <c r="G169" i="36"/>
  <c r="G170" i="36"/>
  <c r="G171" i="36"/>
  <c r="G172" i="36"/>
  <c r="G173" i="36"/>
  <c r="G174" i="36"/>
  <c r="G175" i="36"/>
  <c r="G176" i="36"/>
  <c r="G177" i="36"/>
  <c r="G178" i="36"/>
  <c r="G179" i="36"/>
  <c r="G180" i="36"/>
  <c r="G181" i="36"/>
  <c r="G182" i="36"/>
  <c r="G183" i="36"/>
  <c r="G184" i="36"/>
  <c r="G185" i="36"/>
  <c r="G186" i="36"/>
  <c r="G187" i="36"/>
  <c r="G188" i="36"/>
  <c r="G189" i="36"/>
  <c r="G190" i="36"/>
  <c r="G191" i="36"/>
  <c r="G192" i="36"/>
  <c r="G193" i="36"/>
  <c r="S182" i="36"/>
  <c r="I166" i="36"/>
  <c r="I167" i="36"/>
  <c r="I168" i="36"/>
  <c r="I169" i="36"/>
  <c r="I170" i="36"/>
  <c r="I171" i="36"/>
  <c r="I172" i="36"/>
  <c r="I173" i="36"/>
  <c r="I174" i="36"/>
  <c r="I175" i="36"/>
  <c r="I176" i="36"/>
  <c r="I177" i="36"/>
  <c r="I178" i="36"/>
  <c r="I179" i="36"/>
  <c r="I180" i="36"/>
  <c r="I181" i="36"/>
  <c r="I182" i="36"/>
  <c r="I183" i="36"/>
  <c r="I184" i="36"/>
  <c r="I185" i="36"/>
  <c r="I186" i="36"/>
  <c r="I187" i="36"/>
  <c r="I188" i="36"/>
  <c r="I189" i="36"/>
  <c r="I190" i="36"/>
  <c r="I191" i="36"/>
  <c r="I192" i="36"/>
  <c r="I193" i="36"/>
  <c r="U182" i="36"/>
  <c r="Y182" i="36"/>
  <c r="S181" i="36"/>
  <c r="U181" i="36"/>
  <c r="Y181" i="36"/>
  <c r="C166" i="36"/>
  <c r="C167" i="36"/>
  <c r="C168" i="36"/>
  <c r="C169" i="36"/>
  <c r="C170" i="36"/>
  <c r="C171" i="36"/>
  <c r="C172" i="36"/>
  <c r="C173" i="36"/>
  <c r="C174" i="36"/>
  <c r="C175" i="36"/>
  <c r="C176" i="36"/>
  <c r="C177" i="36"/>
  <c r="C178" i="36"/>
  <c r="C179" i="36"/>
  <c r="C180" i="36"/>
  <c r="C181" i="36"/>
  <c r="C182" i="36"/>
  <c r="C183" i="36"/>
  <c r="C184" i="36"/>
  <c r="C185" i="36"/>
  <c r="C186" i="36"/>
  <c r="C187" i="36"/>
  <c r="C188" i="36"/>
  <c r="C189" i="36"/>
  <c r="C190" i="36"/>
  <c r="C191" i="36"/>
  <c r="C192" i="36"/>
  <c r="C193" i="36"/>
  <c r="O182"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Q182" i="36"/>
  <c r="W182" i="36"/>
  <c r="D166" i="36"/>
  <c r="D167" i="36"/>
  <c r="D168" i="36"/>
  <c r="D169" i="36"/>
  <c r="D170" i="36"/>
  <c r="D171" i="36"/>
  <c r="D172" i="36"/>
  <c r="D173" i="36"/>
  <c r="D174" i="36"/>
  <c r="D175" i="36"/>
  <c r="D176" i="36"/>
  <c r="D177" i="36"/>
  <c r="D178" i="36"/>
  <c r="D179" i="36"/>
  <c r="D180" i="36"/>
  <c r="D181" i="36"/>
  <c r="D182" i="36"/>
  <c r="D183" i="36"/>
  <c r="D184" i="36"/>
  <c r="D185" i="36"/>
  <c r="D186" i="36"/>
  <c r="D187" i="36"/>
  <c r="D188" i="36"/>
  <c r="D189" i="36"/>
  <c r="D190" i="36"/>
  <c r="D191" i="36"/>
  <c r="D192" i="36"/>
  <c r="D193" i="36"/>
  <c r="P182" i="36"/>
  <c r="F166" i="36"/>
  <c r="F167" i="36"/>
  <c r="F168" i="36"/>
  <c r="F169" i="36"/>
  <c r="F170" i="36"/>
  <c r="F171" i="36"/>
  <c r="F172" i="36"/>
  <c r="F173" i="36"/>
  <c r="F174" i="36"/>
  <c r="F175" i="36"/>
  <c r="F176" i="36"/>
  <c r="F177" i="36"/>
  <c r="F178" i="36"/>
  <c r="F179" i="36"/>
  <c r="F180" i="36"/>
  <c r="F181" i="36"/>
  <c r="F182" i="36"/>
  <c r="F183" i="36"/>
  <c r="F184" i="36"/>
  <c r="F185" i="36"/>
  <c r="F186" i="36"/>
  <c r="F187" i="36"/>
  <c r="F188" i="36"/>
  <c r="F189" i="36"/>
  <c r="F190" i="36"/>
  <c r="F191" i="36"/>
  <c r="F192" i="36"/>
  <c r="F193" i="36"/>
  <c r="R182" i="36"/>
  <c r="X182" i="36"/>
  <c r="P181" i="36"/>
  <c r="R181" i="36"/>
  <c r="X181" i="36"/>
  <c r="O181" i="36"/>
  <c r="Q181" i="36"/>
  <c r="W181" i="36"/>
  <c r="C66" i="36"/>
  <c r="E66" i="36"/>
  <c r="G66" i="36"/>
  <c r="D66" i="36"/>
  <c r="F66" i="36"/>
  <c r="H66" i="36"/>
  <c r="C67" i="36"/>
  <c r="E67" i="36"/>
  <c r="G67" i="36"/>
  <c r="D67" i="36"/>
  <c r="F67" i="36"/>
  <c r="H67" i="36"/>
  <c r="C68" i="36"/>
  <c r="E68" i="36"/>
  <c r="G68" i="36"/>
  <c r="D68" i="36"/>
  <c r="F68" i="36"/>
  <c r="H68" i="36"/>
  <c r="C69" i="36"/>
  <c r="E69" i="36"/>
  <c r="G69" i="36"/>
  <c r="D69" i="36"/>
  <c r="F69" i="36"/>
  <c r="H69" i="36"/>
  <c r="C70" i="36"/>
  <c r="E70" i="36"/>
  <c r="G70" i="36"/>
  <c r="D70" i="36"/>
  <c r="F70" i="36"/>
  <c r="H70" i="36"/>
  <c r="C71" i="36"/>
  <c r="E71" i="36"/>
  <c r="G71" i="36"/>
  <c r="D71" i="36"/>
  <c r="F71" i="36"/>
  <c r="H71" i="36"/>
  <c r="C72" i="36"/>
  <c r="E72" i="36"/>
  <c r="G72" i="36"/>
  <c r="D72" i="36"/>
  <c r="F72" i="36"/>
  <c r="H72" i="36"/>
  <c r="C73" i="36"/>
  <c r="E73" i="36"/>
  <c r="G73" i="36"/>
  <c r="D73" i="36"/>
  <c r="F73" i="36"/>
  <c r="H73" i="36"/>
  <c r="C74" i="36"/>
  <c r="E74" i="36"/>
  <c r="G74" i="36"/>
  <c r="D74" i="36"/>
  <c r="F74" i="36"/>
  <c r="H74" i="36"/>
  <c r="C75" i="36"/>
  <c r="E75" i="36"/>
  <c r="G75" i="36"/>
  <c r="D75" i="36"/>
  <c r="F75" i="36"/>
  <c r="H75" i="36"/>
  <c r="C76" i="36"/>
  <c r="E76" i="36"/>
  <c r="G76" i="36"/>
  <c r="D76" i="36"/>
  <c r="F76" i="36"/>
  <c r="H76" i="36"/>
  <c r="C77" i="36"/>
  <c r="E77" i="36"/>
  <c r="G77" i="36"/>
  <c r="D77" i="36"/>
  <c r="F77" i="36"/>
  <c r="H77" i="36"/>
  <c r="C78" i="36"/>
  <c r="E78" i="36"/>
  <c r="G78" i="36"/>
  <c r="D78" i="36"/>
  <c r="F78" i="36"/>
  <c r="H78" i="36"/>
  <c r="C79" i="36"/>
  <c r="E79" i="36"/>
  <c r="G79" i="36"/>
  <c r="D79" i="36"/>
  <c r="F79" i="36"/>
  <c r="H79" i="36"/>
  <c r="C80" i="36"/>
  <c r="E80" i="36"/>
  <c r="G80" i="36"/>
  <c r="D80" i="36"/>
  <c r="F80" i="36"/>
  <c r="H80" i="36"/>
  <c r="C81" i="36"/>
  <c r="E81" i="36"/>
  <c r="G81" i="36"/>
  <c r="D81" i="36"/>
  <c r="F81" i="36"/>
  <c r="H81" i="36"/>
  <c r="C82" i="36"/>
  <c r="E82" i="36"/>
  <c r="G82" i="36"/>
  <c r="D82" i="36"/>
  <c r="F82" i="36"/>
  <c r="H82" i="36"/>
  <c r="C83" i="36"/>
  <c r="E83" i="36"/>
  <c r="G83" i="36"/>
  <c r="D83" i="36"/>
  <c r="F83" i="36"/>
  <c r="H83" i="36"/>
  <c r="C84" i="36"/>
  <c r="E84" i="36"/>
  <c r="G84" i="36"/>
  <c r="D84" i="36"/>
  <c r="F84" i="36"/>
  <c r="H84" i="36"/>
  <c r="C85" i="36"/>
  <c r="E85" i="36"/>
  <c r="G85" i="36"/>
  <c r="D85" i="36"/>
  <c r="F85" i="36"/>
  <c r="H85" i="36"/>
  <c r="C86" i="36"/>
  <c r="E86" i="36"/>
  <c r="G86" i="36"/>
  <c r="D86" i="36"/>
  <c r="F86" i="36"/>
  <c r="H86" i="36"/>
  <c r="C87" i="36"/>
  <c r="E87" i="36"/>
  <c r="G87" i="36"/>
  <c r="D87" i="36"/>
  <c r="F87" i="36"/>
  <c r="H87" i="36"/>
  <c r="C88" i="36"/>
  <c r="E88" i="36"/>
  <c r="G88" i="36"/>
  <c r="D88" i="36"/>
  <c r="F88" i="36"/>
  <c r="H88" i="36"/>
  <c r="C89" i="36"/>
  <c r="E89" i="36"/>
  <c r="G89" i="36"/>
  <c r="D89" i="36"/>
  <c r="F89" i="36"/>
  <c r="H89" i="36"/>
  <c r="C90" i="36"/>
  <c r="E90" i="36"/>
  <c r="G90" i="36"/>
  <c r="D90" i="36"/>
  <c r="F90" i="36"/>
  <c r="H90" i="36"/>
  <c r="C91" i="36"/>
  <c r="E91" i="36"/>
  <c r="G91" i="36"/>
  <c r="D91" i="36"/>
  <c r="F91" i="36"/>
  <c r="H91" i="36"/>
  <c r="C92" i="36"/>
  <c r="E92" i="36"/>
  <c r="G92" i="36"/>
  <c r="D92" i="36"/>
  <c r="F92" i="36"/>
  <c r="H92" i="36"/>
  <c r="C93" i="36"/>
  <c r="E93" i="36"/>
  <c r="G93" i="36"/>
  <c r="D93" i="36"/>
  <c r="F93" i="36"/>
  <c r="H93" i="36"/>
  <c r="C94" i="36"/>
  <c r="E94" i="36"/>
  <c r="G94" i="36"/>
  <c r="D94" i="36"/>
  <c r="F94" i="36"/>
  <c r="H94" i="36"/>
  <c r="C95" i="36"/>
  <c r="E95" i="36"/>
  <c r="G95" i="36"/>
  <c r="D95" i="36"/>
  <c r="F95" i="36"/>
  <c r="H95" i="36"/>
  <c r="C96" i="36"/>
  <c r="E96" i="36"/>
  <c r="G96" i="36"/>
  <c r="D96" i="36"/>
  <c r="F96" i="36"/>
  <c r="H96" i="36"/>
  <c r="C97" i="36"/>
  <c r="E97" i="36"/>
  <c r="G97" i="36"/>
  <c r="D97" i="36"/>
  <c r="F97" i="36"/>
  <c r="H97" i="36"/>
  <c r="C98" i="36"/>
  <c r="E98" i="36"/>
  <c r="G98" i="36"/>
  <c r="D98" i="36"/>
  <c r="F98" i="36"/>
  <c r="H98" i="36"/>
  <c r="C99" i="36"/>
  <c r="E99" i="36"/>
  <c r="G99" i="36"/>
  <c r="D99" i="36"/>
  <c r="F99" i="36"/>
  <c r="H99" i="36"/>
  <c r="C100" i="36"/>
  <c r="E100" i="36"/>
  <c r="G100" i="36"/>
  <c r="D100" i="36"/>
  <c r="F100" i="36"/>
  <c r="H100" i="36"/>
  <c r="C101" i="36"/>
  <c r="E101" i="36"/>
  <c r="G101" i="36"/>
  <c r="D101" i="36"/>
  <c r="F101" i="36"/>
  <c r="H101" i="36"/>
  <c r="C102" i="36"/>
  <c r="E102" i="36"/>
  <c r="G102" i="36"/>
  <c r="D102" i="36"/>
  <c r="F102" i="36"/>
  <c r="H102" i="36"/>
  <c r="C103" i="36"/>
  <c r="E103" i="36"/>
  <c r="G103" i="36"/>
  <c r="D103" i="36"/>
  <c r="F103" i="36"/>
  <c r="H103" i="36"/>
  <c r="C104" i="36"/>
  <c r="E104" i="36"/>
  <c r="G104" i="36"/>
  <c r="D104" i="36"/>
  <c r="F104" i="36"/>
  <c r="H104" i="36"/>
  <c r="C105" i="36"/>
  <c r="E105" i="36"/>
  <c r="G105" i="36"/>
  <c r="D105" i="36"/>
  <c r="F105" i="36"/>
  <c r="H105" i="36"/>
  <c r="C106" i="36"/>
  <c r="E106" i="36"/>
  <c r="G106" i="36"/>
  <c r="D106" i="36"/>
  <c r="F106" i="36"/>
  <c r="H106" i="36"/>
  <c r="C107" i="36"/>
  <c r="E107" i="36"/>
  <c r="G107" i="36"/>
  <c r="D107" i="36"/>
  <c r="F107" i="36"/>
  <c r="H107" i="36"/>
  <c r="C36" i="36"/>
  <c r="E36" i="36"/>
  <c r="G36" i="36"/>
  <c r="D36" i="36"/>
  <c r="F36" i="36"/>
  <c r="H36" i="36"/>
  <c r="C37" i="36"/>
  <c r="E37" i="36"/>
  <c r="G37" i="36"/>
  <c r="D37" i="36"/>
  <c r="F37" i="36"/>
  <c r="H37" i="36"/>
  <c r="C38" i="36"/>
  <c r="E38" i="36"/>
  <c r="G38" i="36"/>
  <c r="D38" i="36"/>
  <c r="F38" i="36"/>
  <c r="H38" i="36"/>
  <c r="C39" i="36"/>
  <c r="E39" i="36"/>
  <c r="G39" i="36"/>
  <c r="D39" i="36"/>
  <c r="F39" i="36"/>
  <c r="H39" i="36"/>
  <c r="C40" i="36"/>
  <c r="E40" i="36"/>
  <c r="G40" i="36"/>
  <c r="D40" i="36"/>
  <c r="F40" i="36"/>
  <c r="H40" i="36"/>
  <c r="C41" i="36"/>
  <c r="E41" i="36"/>
  <c r="G41" i="36"/>
  <c r="D41" i="36"/>
  <c r="F41" i="36"/>
  <c r="H41" i="36"/>
  <c r="C42" i="36"/>
  <c r="E42" i="36"/>
  <c r="G42" i="36"/>
  <c r="D42" i="36"/>
  <c r="F42" i="36"/>
  <c r="H42" i="36"/>
  <c r="C43" i="36"/>
  <c r="E43" i="36"/>
  <c r="G43" i="36"/>
  <c r="D43" i="36"/>
  <c r="F43" i="36"/>
  <c r="H43" i="36"/>
  <c r="C44" i="36"/>
  <c r="E44" i="36"/>
  <c r="G44" i="36"/>
  <c r="D44" i="36"/>
  <c r="F44" i="36"/>
  <c r="H44" i="36"/>
  <c r="C45" i="36"/>
  <c r="E45" i="36"/>
  <c r="G45" i="36"/>
  <c r="D45" i="36"/>
  <c r="F45" i="36"/>
  <c r="H45" i="36"/>
  <c r="C46" i="36"/>
  <c r="E46" i="36"/>
  <c r="G46" i="36"/>
  <c r="D46" i="36"/>
  <c r="F46" i="36"/>
  <c r="H46" i="36"/>
  <c r="C47" i="36"/>
  <c r="E47" i="36"/>
  <c r="G47" i="36"/>
  <c r="D47" i="36"/>
  <c r="F47" i="36"/>
  <c r="H47" i="36"/>
  <c r="C48" i="36"/>
  <c r="E48" i="36"/>
  <c r="G48" i="36"/>
  <c r="D48" i="36"/>
  <c r="F48" i="36"/>
  <c r="H48" i="36"/>
  <c r="C49" i="36"/>
  <c r="E49" i="36"/>
  <c r="G49" i="36"/>
  <c r="D49" i="36"/>
  <c r="F49" i="36"/>
  <c r="H49" i="36"/>
  <c r="C50" i="36"/>
  <c r="E50" i="36"/>
  <c r="G50" i="36"/>
  <c r="D50" i="36"/>
  <c r="F50" i="36"/>
  <c r="H50" i="36"/>
  <c r="C51" i="36"/>
  <c r="E51" i="36"/>
  <c r="G51" i="36"/>
  <c r="D51" i="36"/>
  <c r="F51" i="36"/>
  <c r="H51" i="36"/>
  <c r="C52" i="36"/>
  <c r="E52" i="36"/>
  <c r="G52" i="36"/>
  <c r="D52" i="36"/>
  <c r="F52" i="36"/>
  <c r="H52" i="36"/>
  <c r="C53" i="36"/>
  <c r="E53" i="36"/>
  <c r="G53" i="36"/>
  <c r="D53" i="36"/>
  <c r="F53" i="36"/>
  <c r="H53" i="36"/>
  <c r="C54" i="36"/>
  <c r="E54" i="36"/>
  <c r="G54" i="36"/>
  <c r="D54" i="36"/>
  <c r="F54" i="36"/>
  <c r="H54" i="36"/>
  <c r="C55" i="36"/>
  <c r="E55" i="36"/>
  <c r="G55" i="36"/>
  <c r="D55" i="36"/>
  <c r="F55" i="36"/>
  <c r="H55" i="36"/>
  <c r="C56" i="36"/>
  <c r="E56" i="36"/>
  <c r="G56" i="36"/>
  <c r="D56" i="36"/>
  <c r="F56" i="36"/>
  <c r="H56" i="36"/>
  <c r="C57" i="36"/>
  <c r="E57" i="36"/>
  <c r="G57" i="36"/>
  <c r="D57" i="36"/>
  <c r="F57" i="36"/>
  <c r="H57" i="36"/>
  <c r="C58" i="36"/>
  <c r="E58" i="36"/>
  <c r="G58" i="36"/>
  <c r="D58" i="36"/>
  <c r="F58" i="36"/>
  <c r="H58" i="36"/>
  <c r="C59" i="36"/>
  <c r="E59" i="36"/>
  <c r="G59" i="36"/>
  <c r="D59" i="36"/>
  <c r="F59" i="36"/>
  <c r="H59" i="36"/>
  <c r="C60" i="36"/>
  <c r="E60" i="36"/>
  <c r="G60" i="36"/>
  <c r="D60" i="36"/>
  <c r="F60" i="36"/>
  <c r="H60" i="36"/>
  <c r="C61" i="36"/>
  <c r="E61" i="36"/>
  <c r="G61" i="36"/>
  <c r="D61" i="36"/>
  <c r="F61" i="36"/>
  <c r="H61" i="36"/>
  <c r="C62" i="36"/>
  <c r="E62" i="36"/>
  <c r="G62" i="36"/>
  <c r="D62" i="36"/>
  <c r="F62" i="36"/>
  <c r="H62" i="36"/>
  <c r="C63" i="36"/>
  <c r="E63" i="36"/>
  <c r="G63" i="36"/>
  <c r="D63" i="36"/>
  <c r="F63" i="36"/>
  <c r="H63" i="36"/>
  <c r="C64" i="36"/>
  <c r="E64" i="36"/>
  <c r="G64" i="36"/>
  <c r="D64" i="36"/>
  <c r="F64" i="36"/>
  <c r="H64" i="36"/>
  <c r="C65" i="36"/>
  <c r="E65" i="36"/>
  <c r="G65" i="36"/>
  <c r="D65" i="36"/>
  <c r="F65" i="36"/>
  <c r="H65" i="36"/>
  <c r="D35" i="36"/>
  <c r="F35" i="36"/>
  <c r="H35" i="36"/>
  <c r="C35" i="36"/>
  <c r="E35" i="36"/>
  <c r="G35" i="36"/>
  <c r="I31" i="30"/>
  <c r="G10" i="30"/>
  <c r="I32" i="30"/>
  <c r="G11" i="30"/>
  <c r="I33" i="30"/>
  <c r="G12" i="30"/>
  <c r="I34" i="30"/>
  <c r="G13" i="30"/>
  <c r="I35" i="30"/>
  <c r="G14" i="30"/>
  <c r="I36" i="30"/>
  <c r="G15" i="30"/>
  <c r="I37" i="30"/>
  <c r="G16" i="30"/>
  <c r="I38" i="30"/>
  <c r="G17" i="30"/>
  <c r="I39" i="30"/>
  <c r="G18" i="30"/>
  <c r="I40" i="30"/>
  <c r="G19" i="30"/>
  <c r="I41" i="30"/>
  <c r="I42" i="30"/>
  <c r="I43" i="30"/>
  <c r="I44" i="30"/>
  <c r="I45" i="30"/>
  <c r="I46" i="30"/>
  <c r="I47" i="30"/>
  <c r="I48" i="30"/>
  <c r="I49" i="30"/>
  <c r="I50" i="30"/>
  <c r="I51" i="30"/>
  <c r="I52" i="30"/>
  <c r="I53" i="30"/>
  <c r="I54" i="30"/>
  <c r="I55" i="30"/>
  <c r="I56" i="30"/>
  <c r="I57" i="30"/>
  <c r="I58" i="30"/>
  <c r="I59" i="30"/>
  <c r="I60" i="30"/>
  <c r="I61" i="30"/>
  <c r="I62" i="30"/>
  <c r="I63" i="30"/>
  <c r="I64" i="30"/>
  <c r="I65" i="30"/>
  <c r="I66" i="30"/>
  <c r="I67" i="30"/>
  <c r="I68" i="30"/>
  <c r="I69" i="30"/>
  <c r="I70" i="30"/>
  <c r="I71" i="30"/>
  <c r="I72" i="30"/>
  <c r="I73" i="30"/>
  <c r="I74" i="30"/>
  <c r="I75" i="30"/>
  <c r="I76" i="30"/>
  <c r="I77" i="30"/>
  <c r="I78" i="30"/>
  <c r="C94" i="23"/>
  <c r="C95" i="23"/>
  <c r="C96" i="23"/>
  <c r="C97" i="23"/>
  <c r="E94" i="23"/>
  <c r="E95" i="23"/>
  <c r="E96" i="23"/>
  <c r="E97" i="23"/>
  <c r="G94" i="23"/>
  <c r="G95" i="23"/>
  <c r="G96" i="23"/>
  <c r="G97" i="23"/>
  <c r="I94" i="23"/>
  <c r="I95" i="23"/>
  <c r="I96" i="23"/>
  <c r="I97" i="23"/>
  <c r="K94" i="23"/>
  <c r="K95" i="23"/>
  <c r="K96" i="23"/>
  <c r="K97" i="23"/>
  <c r="M94" i="23"/>
  <c r="M95" i="23"/>
  <c r="M96" i="23"/>
  <c r="M97" i="23"/>
  <c r="O94" i="23"/>
  <c r="O95" i="23"/>
  <c r="O96" i="23"/>
  <c r="O97" i="23"/>
  <c r="Q94" i="23"/>
  <c r="Q95" i="23"/>
  <c r="Q96" i="23"/>
  <c r="Q97" i="23"/>
  <c r="S94" i="23"/>
  <c r="S95" i="23"/>
  <c r="S96" i="23"/>
  <c r="S97" i="23"/>
  <c r="U94" i="23"/>
  <c r="U95" i="23"/>
  <c r="U96" i="23"/>
  <c r="U97" i="23"/>
  <c r="W94" i="23"/>
  <c r="W95" i="23"/>
  <c r="W96" i="23"/>
  <c r="W97" i="23"/>
  <c r="Y94" i="23"/>
  <c r="Y95" i="23"/>
  <c r="Y96" i="23"/>
  <c r="Y97" i="23"/>
  <c r="M14" i="33"/>
  <c r="AF25" i="33"/>
  <c r="D94" i="23"/>
  <c r="D95" i="23"/>
  <c r="D96" i="23"/>
  <c r="D97" i="23"/>
  <c r="F94" i="23"/>
  <c r="F95" i="23"/>
  <c r="F96" i="23"/>
  <c r="F97" i="23"/>
  <c r="H94" i="23"/>
  <c r="H95" i="23"/>
  <c r="H96" i="23"/>
  <c r="H97" i="23"/>
  <c r="J94" i="23"/>
  <c r="J95" i="23"/>
  <c r="J96" i="23"/>
  <c r="J97" i="23"/>
  <c r="L94" i="23"/>
  <c r="L95" i="23"/>
  <c r="L96" i="23"/>
  <c r="L97" i="23"/>
  <c r="N94" i="23"/>
  <c r="N95" i="23"/>
  <c r="N96" i="23"/>
  <c r="N97" i="23"/>
  <c r="P94" i="23"/>
  <c r="P95" i="23"/>
  <c r="P96" i="23"/>
  <c r="P97" i="23"/>
  <c r="R94" i="23"/>
  <c r="R95" i="23"/>
  <c r="R96" i="23"/>
  <c r="R97" i="23"/>
  <c r="T94" i="23"/>
  <c r="T95" i="23"/>
  <c r="T96" i="23"/>
  <c r="T97" i="23"/>
  <c r="V94" i="23"/>
  <c r="V95" i="23"/>
  <c r="V96" i="23"/>
  <c r="V97" i="23"/>
  <c r="X94" i="23"/>
  <c r="X95" i="23"/>
  <c r="X96" i="23"/>
  <c r="X97" i="23"/>
  <c r="Z94" i="23"/>
  <c r="Z95" i="23"/>
  <c r="Z96" i="23"/>
  <c r="Z97" i="23"/>
  <c r="N14" i="33"/>
  <c r="AG25" i="33"/>
  <c r="AV25" i="33"/>
  <c r="AV21" i="33"/>
  <c r="AV20" i="33"/>
  <c r="AV19" i="33"/>
  <c r="AY94" i="23"/>
  <c r="AY95" i="23"/>
  <c r="AY96" i="23"/>
  <c r="AY97" i="23"/>
  <c r="BA94" i="23"/>
  <c r="BA95" i="23"/>
  <c r="BA96" i="23"/>
  <c r="BA97" i="23"/>
  <c r="BC94" i="23"/>
  <c r="BC95" i="23"/>
  <c r="BC96" i="23"/>
  <c r="BC97" i="23"/>
  <c r="BE94" i="23"/>
  <c r="BE95" i="23"/>
  <c r="BE96" i="23"/>
  <c r="BE97" i="23"/>
  <c r="BG94" i="23"/>
  <c r="BG95" i="23"/>
  <c r="BG96" i="23"/>
  <c r="BG97" i="23"/>
  <c r="BI94" i="23"/>
  <c r="BI95" i="23"/>
  <c r="BI96" i="23"/>
  <c r="BI97" i="23"/>
  <c r="BK94" i="23"/>
  <c r="BK95" i="23"/>
  <c r="BK96" i="23"/>
  <c r="BK97" i="23"/>
  <c r="BM94" i="23"/>
  <c r="BM95" i="23"/>
  <c r="BM96" i="23"/>
  <c r="BM97" i="23"/>
  <c r="BO94" i="23"/>
  <c r="BO95" i="23"/>
  <c r="BO96" i="23"/>
  <c r="BO97" i="23"/>
  <c r="BQ94" i="23"/>
  <c r="BQ95" i="23"/>
  <c r="BQ96" i="23"/>
  <c r="BQ97" i="23"/>
  <c r="BS94" i="23"/>
  <c r="BS95" i="23"/>
  <c r="BS96" i="23"/>
  <c r="BS97" i="23"/>
  <c r="BU94" i="23"/>
  <c r="BU95" i="23"/>
  <c r="BU96" i="23"/>
  <c r="BU97" i="23"/>
  <c r="BW94" i="23"/>
  <c r="BW95" i="23"/>
  <c r="BW96" i="23"/>
  <c r="BW97" i="23"/>
  <c r="BY94" i="23"/>
  <c r="BY95" i="23"/>
  <c r="BY96" i="23"/>
  <c r="BY97" i="23"/>
  <c r="CA94" i="23"/>
  <c r="CA95" i="23"/>
  <c r="CA96" i="23"/>
  <c r="CA97" i="23"/>
  <c r="M20" i="33"/>
  <c r="AF13" i="33"/>
  <c r="AF14" i="33"/>
  <c r="AA94" i="23"/>
  <c r="AA95" i="23"/>
  <c r="AA96" i="23"/>
  <c r="AA97" i="23"/>
  <c r="AC94" i="23"/>
  <c r="AC95" i="23"/>
  <c r="AC96" i="23"/>
  <c r="AC97" i="23"/>
  <c r="AE94" i="23"/>
  <c r="AE95" i="23"/>
  <c r="AE96" i="23"/>
  <c r="AE97" i="23"/>
  <c r="AG94" i="23"/>
  <c r="AG95" i="23"/>
  <c r="AG96" i="23"/>
  <c r="AG97" i="23"/>
  <c r="AI94" i="23"/>
  <c r="AI95" i="23"/>
  <c r="AI96" i="23"/>
  <c r="AI97" i="23"/>
  <c r="AK94" i="23"/>
  <c r="AK95" i="23"/>
  <c r="AK96" i="23"/>
  <c r="AK97" i="23"/>
  <c r="AM94" i="23"/>
  <c r="AM95" i="23"/>
  <c r="AM96" i="23"/>
  <c r="AM97" i="23"/>
  <c r="AO94" i="23"/>
  <c r="AO95" i="23"/>
  <c r="AO96" i="23"/>
  <c r="AO97" i="23"/>
  <c r="AQ94" i="23"/>
  <c r="AQ95" i="23"/>
  <c r="AQ96" i="23"/>
  <c r="AQ97" i="23"/>
  <c r="AS94" i="23"/>
  <c r="AS95" i="23"/>
  <c r="AS96" i="23"/>
  <c r="AS97" i="23"/>
  <c r="AU94" i="23"/>
  <c r="AU95" i="23"/>
  <c r="AU96" i="23"/>
  <c r="AU97" i="23"/>
  <c r="AW94" i="23"/>
  <c r="AW95" i="23"/>
  <c r="AW96" i="23"/>
  <c r="AW97" i="23"/>
  <c r="M15" i="33"/>
  <c r="AF12" i="33"/>
  <c r="AF15" i="33"/>
  <c r="AF16" i="33"/>
  <c r="AZ94" i="23"/>
  <c r="AZ95" i="23"/>
  <c r="AZ96" i="23"/>
  <c r="AZ97" i="23"/>
  <c r="BB94" i="23"/>
  <c r="BB95" i="23"/>
  <c r="BB96" i="23"/>
  <c r="BB97" i="23"/>
  <c r="BD94" i="23"/>
  <c r="BD95" i="23"/>
  <c r="BD96" i="23"/>
  <c r="BD97" i="23"/>
  <c r="BF94" i="23"/>
  <c r="BF95" i="23"/>
  <c r="BF96" i="23"/>
  <c r="BF97" i="23"/>
  <c r="BH94" i="23"/>
  <c r="BH95" i="23"/>
  <c r="BH96" i="23"/>
  <c r="BH97" i="23"/>
  <c r="BJ94" i="23"/>
  <c r="BJ95" i="23"/>
  <c r="BJ96" i="23"/>
  <c r="BJ97" i="23"/>
  <c r="BL94" i="23"/>
  <c r="BL95" i="23"/>
  <c r="BL96" i="23"/>
  <c r="BL97" i="23"/>
  <c r="BN94" i="23"/>
  <c r="BN95" i="23"/>
  <c r="BN96" i="23"/>
  <c r="BN97" i="23"/>
  <c r="BP94" i="23"/>
  <c r="BP95" i="23"/>
  <c r="BP96" i="23"/>
  <c r="BP97" i="23"/>
  <c r="BR94" i="23"/>
  <c r="BR95" i="23"/>
  <c r="BR96" i="23"/>
  <c r="BR97" i="23"/>
  <c r="BT94" i="23"/>
  <c r="BT95" i="23"/>
  <c r="BT96" i="23"/>
  <c r="BT97" i="23"/>
  <c r="BV94" i="23"/>
  <c r="BV95" i="23"/>
  <c r="BV96" i="23"/>
  <c r="BV97" i="23"/>
  <c r="BX94" i="23"/>
  <c r="BX95" i="23"/>
  <c r="BX96" i="23"/>
  <c r="BX97" i="23"/>
  <c r="BZ94" i="23"/>
  <c r="BZ95" i="23"/>
  <c r="BZ96" i="23"/>
  <c r="BZ97" i="23"/>
  <c r="CB94" i="23"/>
  <c r="CB95" i="23"/>
  <c r="CB96" i="23"/>
  <c r="CB97" i="23"/>
  <c r="N20" i="33"/>
  <c r="AG13" i="33"/>
  <c r="AG14" i="33"/>
  <c r="AB94" i="23"/>
  <c r="AB95" i="23"/>
  <c r="AB96" i="23"/>
  <c r="AB97" i="23"/>
  <c r="AD94" i="23"/>
  <c r="AD95" i="23"/>
  <c r="AD96" i="23"/>
  <c r="AD97" i="23"/>
  <c r="AF94" i="23"/>
  <c r="AF95" i="23"/>
  <c r="AF96" i="23"/>
  <c r="AF97" i="23"/>
  <c r="AH94" i="23"/>
  <c r="AH95" i="23"/>
  <c r="AH96" i="23"/>
  <c r="AH97" i="23"/>
  <c r="AJ94" i="23"/>
  <c r="AJ95" i="23"/>
  <c r="AJ96" i="23"/>
  <c r="AJ97" i="23"/>
  <c r="AL94" i="23"/>
  <c r="AL95" i="23"/>
  <c r="AL96" i="23"/>
  <c r="AL97" i="23"/>
  <c r="AN94" i="23"/>
  <c r="AN95" i="23"/>
  <c r="AN96" i="23"/>
  <c r="AN97" i="23"/>
  <c r="AP94" i="23"/>
  <c r="AP95" i="23"/>
  <c r="AP96" i="23"/>
  <c r="AP97" i="23"/>
  <c r="AR94" i="23"/>
  <c r="AR95" i="23"/>
  <c r="AR96" i="23"/>
  <c r="AR97" i="23"/>
  <c r="AT94" i="23"/>
  <c r="AT95" i="23"/>
  <c r="AT96" i="23"/>
  <c r="AT97" i="23"/>
  <c r="AV94" i="23"/>
  <c r="AV95" i="23"/>
  <c r="AV96" i="23"/>
  <c r="AV97" i="23"/>
  <c r="AX94" i="23"/>
  <c r="AX95" i="23"/>
  <c r="AX96" i="23"/>
  <c r="AX97" i="23"/>
  <c r="N15" i="33"/>
  <c r="AG12" i="33"/>
  <c r="AG15" i="33"/>
  <c r="AG16" i="33"/>
  <c r="AV16" i="33"/>
  <c r="AV15" i="33"/>
  <c r="AV14" i="33"/>
  <c r="AV13" i="33"/>
  <c r="AV12" i="33"/>
  <c r="G14" i="33"/>
  <c r="AB25" i="33"/>
  <c r="H14" i="33"/>
  <c r="AC25" i="33"/>
  <c r="AT25" i="33"/>
  <c r="E14" i="33"/>
  <c r="Z25" i="33"/>
  <c r="F14" i="33"/>
  <c r="AA25" i="33"/>
  <c r="AR25" i="33"/>
  <c r="C14" i="33"/>
  <c r="X25" i="33"/>
  <c r="D14" i="33"/>
  <c r="Y25" i="33"/>
  <c r="AP25" i="33"/>
  <c r="G22" i="33"/>
  <c r="AB20" i="33"/>
  <c r="G16" i="33"/>
  <c r="AB19" i="33"/>
  <c r="G21" i="33"/>
  <c r="AB21" i="33"/>
  <c r="AB22" i="33"/>
  <c r="H16" i="33"/>
  <c r="AC19" i="33"/>
  <c r="H22" i="33"/>
  <c r="AC20" i="33"/>
  <c r="H21" i="33"/>
  <c r="AC21" i="33"/>
  <c r="AC22" i="33"/>
  <c r="AT22" i="33"/>
  <c r="AT21" i="33"/>
  <c r="AT20" i="33"/>
  <c r="AT19" i="33"/>
  <c r="E22" i="33"/>
  <c r="Z20" i="33"/>
  <c r="E16" i="33"/>
  <c r="Z19" i="33"/>
  <c r="E21" i="33"/>
  <c r="Z21" i="33"/>
  <c r="Z22" i="33"/>
  <c r="F22" i="33"/>
  <c r="AA20" i="33"/>
  <c r="F16" i="33"/>
  <c r="AA19" i="33"/>
  <c r="F21" i="33"/>
  <c r="AA21" i="33"/>
  <c r="AA22" i="33"/>
  <c r="AR22" i="33"/>
  <c r="AR21" i="33"/>
  <c r="AR20" i="33"/>
  <c r="AR19" i="33"/>
  <c r="C22" i="33"/>
  <c r="X20" i="33"/>
  <c r="C16" i="33"/>
  <c r="X19" i="33"/>
  <c r="C21" i="33"/>
  <c r="X21" i="33"/>
  <c r="X22" i="33"/>
  <c r="D22" i="33"/>
  <c r="Y20" i="33"/>
  <c r="D16" i="33"/>
  <c r="Y19" i="33"/>
  <c r="D21" i="33"/>
  <c r="Y21" i="33"/>
  <c r="Y22" i="33"/>
  <c r="AP22" i="33"/>
  <c r="AP21" i="33"/>
  <c r="AP20" i="33"/>
  <c r="AP19" i="33"/>
  <c r="G20" i="33"/>
  <c r="AB13" i="33"/>
  <c r="AB14" i="33"/>
  <c r="G15" i="33"/>
  <c r="AB12" i="33"/>
  <c r="AB15" i="33"/>
  <c r="AB16" i="33"/>
  <c r="AC14" i="33"/>
  <c r="H15" i="33"/>
  <c r="AC12" i="33"/>
  <c r="H20" i="33"/>
  <c r="AC13" i="33"/>
  <c r="AC15" i="33"/>
  <c r="AC16" i="33"/>
  <c r="AT16" i="33"/>
  <c r="AT15" i="33"/>
  <c r="AT14" i="33"/>
  <c r="AT13" i="33"/>
  <c r="AT12" i="33"/>
  <c r="E20" i="33"/>
  <c r="Z13" i="33"/>
  <c r="Z14" i="33"/>
  <c r="E15" i="33"/>
  <c r="Z12" i="33"/>
  <c r="Z15" i="33"/>
  <c r="Z16" i="33"/>
  <c r="F20" i="33"/>
  <c r="AA13" i="33"/>
  <c r="AA14" i="33"/>
  <c r="F15" i="33"/>
  <c r="AA12" i="33"/>
  <c r="AA15" i="33"/>
  <c r="AA16" i="33"/>
  <c r="AR16" i="33"/>
  <c r="AR15" i="33"/>
  <c r="AR14" i="33"/>
  <c r="AR13" i="33"/>
  <c r="AR12" i="33"/>
  <c r="C20" i="33"/>
  <c r="X13" i="33"/>
  <c r="X14" i="33"/>
  <c r="C15" i="33"/>
  <c r="X12" i="33"/>
  <c r="X15" i="33"/>
  <c r="X16" i="33"/>
  <c r="D20" i="33"/>
  <c r="Y13" i="33"/>
  <c r="Y14" i="33"/>
  <c r="D15" i="33"/>
  <c r="Y12" i="33"/>
  <c r="Y15" i="33"/>
  <c r="Y16" i="33"/>
  <c r="AP16" i="33"/>
  <c r="AP15" i="33"/>
  <c r="AP14" i="33"/>
  <c r="AP13" i="33"/>
  <c r="AP12" i="33"/>
  <c r="J22" i="33"/>
  <c r="W20" i="33"/>
  <c r="J16" i="33"/>
  <c r="W19" i="33"/>
  <c r="J21" i="33"/>
  <c r="W21" i="33"/>
  <c r="W22" i="33"/>
  <c r="DA98" i="23"/>
  <c r="DE98" i="23"/>
  <c r="DG98" i="23"/>
  <c r="DK98" i="23"/>
  <c r="DM98" i="23"/>
  <c r="DQ98" i="23"/>
  <c r="DS98" i="23"/>
  <c r="DW98" i="23"/>
  <c r="DY98" i="23"/>
  <c r="EC98" i="23"/>
  <c r="DC98" i="23"/>
  <c r="DI98" i="23"/>
  <c r="DO98" i="23"/>
  <c r="DU98" i="23"/>
  <c r="EA98" i="23"/>
  <c r="K22" i="33"/>
  <c r="AD20" i="33"/>
  <c r="CC98" i="23"/>
  <c r="CE98" i="23"/>
  <c r="CG98" i="23"/>
  <c r="CI98" i="23"/>
  <c r="CK98" i="23"/>
  <c r="CM98" i="23"/>
  <c r="CO98" i="23"/>
  <c r="CQ98" i="23"/>
  <c r="CS98" i="23"/>
  <c r="CU98" i="23"/>
  <c r="CW98" i="23"/>
  <c r="CY98" i="23"/>
  <c r="K16" i="33"/>
  <c r="AD19" i="33"/>
  <c r="EI98" i="23"/>
  <c r="EO98" i="23"/>
  <c r="EU98" i="23"/>
  <c r="FA98" i="23"/>
  <c r="FG98" i="23"/>
  <c r="EE98" i="23"/>
  <c r="EK98" i="23"/>
  <c r="EQ98" i="23"/>
  <c r="EW98" i="23"/>
  <c r="FC98" i="23"/>
  <c r="EG98" i="23"/>
  <c r="EM98" i="23"/>
  <c r="ES98" i="23"/>
  <c r="EY98" i="23"/>
  <c r="FE98" i="23"/>
  <c r="K21" i="33"/>
  <c r="AD21" i="33"/>
  <c r="AD22" i="33"/>
  <c r="DB98" i="23"/>
  <c r="DF98" i="23"/>
  <c r="DH98" i="23"/>
  <c r="DL98" i="23"/>
  <c r="DN98" i="23"/>
  <c r="DR98" i="23"/>
  <c r="DD98" i="23"/>
  <c r="DJ98" i="23"/>
  <c r="DP98" i="23"/>
  <c r="DT98" i="23"/>
  <c r="DV98" i="23"/>
  <c r="DX98" i="23"/>
  <c r="DZ98" i="23"/>
  <c r="EB98" i="23"/>
  <c r="ED98" i="23"/>
  <c r="L22" i="33"/>
  <c r="AE20" i="33"/>
  <c r="CD98" i="23"/>
  <c r="CF98" i="23"/>
  <c r="CH98" i="23"/>
  <c r="CJ98" i="23"/>
  <c r="CL98" i="23"/>
  <c r="CN98" i="23"/>
  <c r="CP98" i="23"/>
  <c r="CR98" i="23"/>
  <c r="CT98" i="23"/>
  <c r="CV98" i="23"/>
  <c r="CX98" i="23"/>
  <c r="CZ98" i="23"/>
  <c r="L16" i="33"/>
  <c r="AE19" i="33"/>
  <c r="EJ98" i="23"/>
  <c r="EP98" i="23"/>
  <c r="EV98" i="23"/>
  <c r="FB98" i="23"/>
  <c r="FH98" i="23"/>
  <c r="EF98" i="23"/>
  <c r="EL98" i="23"/>
  <c r="ER98" i="23"/>
  <c r="EX98" i="23"/>
  <c r="FD98" i="23"/>
  <c r="EH98" i="23"/>
  <c r="EN98" i="23"/>
  <c r="ET98" i="23"/>
  <c r="EZ98" i="23"/>
  <c r="FF98" i="23"/>
  <c r="L21" i="33"/>
  <c r="AE21" i="33"/>
  <c r="AE22" i="33"/>
  <c r="I22" i="33"/>
  <c r="V20" i="33"/>
  <c r="I16" i="33"/>
  <c r="V19" i="33"/>
  <c r="I21" i="33"/>
  <c r="V21" i="33"/>
  <c r="V22" i="33"/>
  <c r="DM86" i="22"/>
  <c r="DM87" i="22"/>
  <c r="DO86" i="22"/>
  <c r="DO87" i="22"/>
  <c r="L37" i="33"/>
  <c r="DL86" i="22"/>
  <c r="DL87" i="22"/>
  <c r="DN86" i="22"/>
  <c r="DN87" i="22"/>
  <c r="L36" i="33"/>
  <c r="S39" i="33"/>
  <c r="T39" i="33"/>
  <c r="U39" i="33"/>
  <c r="S41" i="33"/>
  <c r="T41" i="33"/>
  <c r="U41" i="33"/>
  <c r="S37" i="33"/>
  <c r="T37" i="33"/>
  <c r="U37" i="33"/>
  <c r="AY98" i="23"/>
  <c r="BA98" i="23"/>
  <c r="BC98" i="23"/>
  <c r="BE98" i="23"/>
  <c r="BG98" i="23"/>
  <c r="BI98" i="23"/>
  <c r="BK98" i="23"/>
  <c r="BM98" i="23"/>
  <c r="BO98" i="23"/>
  <c r="BQ98" i="23"/>
  <c r="BS98" i="23"/>
  <c r="BU98" i="23"/>
  <c r="BW98" i="23"/>
  <c r="BY98" i="23"/>
  <c r="CA98" i="23"/>
  <c r="K20" i="33"/>
  <c r="AD13" i="33"/>
  <c r="T38" i="33"/>
  <c r="AZ98" i="23"/>
  <c r="BB98" i="23"/>
  <c r="BD98" i="23"/>
  <c r="BF98" i="23"/>
  <c r="BH98" i="23"/>
  <c r="BJ98" i="23"/>
  <c r="BL98" i="23"/>
  <c r="BN98" i="23"/>
  <c r="BP98" i="23"/>
  <c r="BR98" i="23"/>
  <c r="BT98" i="23"/>
  <c r="BV98" i="23"/>
  <c r="BX98" i="23"/>
  <c r="BZ98" i="23"/>
  <c r="CB98" i="23"/>
  <c r="L20" i="33"/>
  <c r="AE13" i="33"/>
  <c r="S38" i="33"/>
  <c r="U38" i="33"/>
  <c r="AE14" i="33"/>
  <c r="S40" i="33"/>
  <c r="AD14" i="33"/>
  <c r="T40" i="33"/>
  <c r="U40" i="33"/>
  <c r="AB98" i="23"/>
  <c r="AD98" i="23"/>
  <c r="AF98" i="23"/>
  <c r="AH98" i="23"/>
  <c r="AJ98" i="23"/>
  <c r="AL98" i="23"/>
  <c r="AN98" i="23"/>
  <c r="AP98" i="23"/>
  <c r="AR98" i="23"/>
  <c r="AT98" i="23"/>
  <c r="AV98" i="23"/>
  <c r="AX98" i="23"/>
  <c r="L15" i="33"/>
  <c r="AE12" i="33"/>
  <c r="S36" i="33"/>
  <c r="AA98" i="23"/>
  <c r="AC98" i="23"/>
  <c r="AE98" i="23"/>
  <c r="AG98" i="23"/>
  <c r="AI98" i="23"/>
  <c r="AK98" i="23"/>
  <c r="AM98" i="23"/>
  <c r="AO98" i="23"/>
  <c r="AQ98" i="23"/>
  <c r="AS98" i="23"/>
  <c r="AU98" i="23"/>
  <c r="AW98" i="23"/>
  <c r="K15" i="33"/>
  <c r="AD12" i="33"/>
  <c r="T36" i="33"/>
  <c r="U36" i="33"/>
  <c r="AE15" i="33"/>
  <c r="AD15" i="33"/>
  <c r="W15" i="33"/>
  <c r="V15" i="33"/>
  <c r="W14" i="33"/>
  <c r="V14" i="33"/>
  <c r="D98" i="23"/>
  <c r="F98" i="23"/>
  <c r="H98" i="23"/>
  <c r="J98" i="23"/>
  <c r="L98" i="23"/>
  <c r="N98" i="23"/>
  <c r="P98" i="23"/>
  <c r="R98" i="23"/>
  <c r="T98" i="23"/>
  <c r="V98" i="23"/>
  <c r="X98" i="23"/>
  <c r="Z98" i="23"/>
  <c r="L14" i="33"/>
  <c r="AE25" i="33"/>
  <c r="C98" i="23"/>
  <c r="E98" i="23"/>
  <c r="G98" i="23"/>
  <c r="I98" i="23"/>
  <c r="K98" i="23"/>
  <c r="M98" i="23"/>
  <c r="O98" i="23"/>
  <c r="Q98" i="23"/>
  <c r="S98" i="23"/>
  <c r="U98" i="23"/>
  <c r="W98" i="23"/>
  <c r="Y98" i="23"/>
  <c r="K14" i="33"/>
  <c r="AD25" i="33"/>
  <c r="AE16" i="33"/>
  <c r="AD16" i="33"/>
  <c r="K90" i="22"/>
  <c r="L11" i="33"/>
  <c r="J90" i="22"/>
  <c r="K11" i="33"/>
  <c r="I90" i="22"/>
  <c r="L10" i="33"/>
  <c r="H47" i="22"/>
  <c r="H13" i="22"/>
  <c r="H14" i="22"/>
  <c r="H15" i="22"/>
  <c r="H16" i="22"/>
  <c r="H17" i="22"/>
  <c r="H18" i="22"/>
  <c r="H19" i="22"/>
  <c r="H20" i="22"/>
  <c r="H21" i="22"/>
  <c r="H22" i="22"/>
  <c r="H23" i="22"/>
  <c r="H24" i="22"/>
  <c r="H25" i="22"/>
  <c r="H26" i="22"/>
  <c r="H27" i="22"/>
  <c r="H28" i="22"/>
  <c r="H29" i="22"/>
  <c r="H30" i="22"/>
  <c r="H31" i="22"/>
  <c r="H32" i="22"/>
  <c r="H33" i="22"/>
  <c r="H34" i="22"/>
  <c r="H35" i="22"/>
  <c r="H36" i="22"/>
  <c r="H37" i="22"/>
  <c r="H38" i="22"/>
  <c r="H39" i="22"/>
  <c r="H40" i="22"/>
  <c r="H41" i="22"/>
  <c r="H42" i="22"/>
  <c r="H43" i="22"/>
  <c r="H44" i="22"/>
  <c r="H45" i="22"/>
  <c r="H46" i="22"/>
  <c r="H48" i="22"/>
  <c r="H49" i="22"/>
  <c r="H50" i="22"/>
  <c r="H51" i="22"/>
  <c r="H52" i="22"/>
  <c r="H53" i="22"/>
  <c r="H54" i="22"/>
  <c r="H55" i="22"/>
  <c r="H56" i="22"/>
  <c r="H90" i="22"/>
  <c r="K10" i="33"/>
  <c r="G90" i="22"/>
  <c r="L9" i="33"/>
  <c r="F90" i="22"/>
  <c r="K9" i="33"/>
  <c r="NC13" i="22"/>
  <c r="NC14" i="22"/>
  <c r="NC15" i="22"/>
  <c r="NC16" i="22"/>
  <c r="NC17" i="22"/>
  <c r="NC18" i="22"/>
  <c r="NC19" i="22"/>
  <c r="NC20" i="22"/>
  <c r="NC21" i="22"/>
  <c r="NC22" i="22"/>
  <c r="NC23" i="22"/>
  <c r="NC24" i="22"/>
  <c r="NC25" i="22"/>
  <c r="NC26" i="22"/>
  <c r="NC27" i="22"/>
  <c r="NC28" i="22"/>
  <c r="NC29" i="22"/>
  <c r="NC30" i="22"/>
  <c r="NC31" i="22"/>
  <c r="NC32" i="22"/>
  <c r="NC33" i="22"/>
  <c r="NC34" i="22"/>
  <c r="NC35" i="22"/>
  <c r="NC36" i="22"/>
  <c r="NC37" i="22"/>
  <c r="NC38" i="22"/>
  <c r="NC39" i="22"/>
  <c r="NC40" i="22"/>
  <c r="NC41" i="22"/>
  <c r="NC42" i="22"/>
  <c r="NC43" i="22"/>
  <c r="NC44" i="22"/>
  <c r="NC45" i="22"/>
  <c r="NC46" i="22"/>
  <c r="NC47" i="22"/>
  <c r="NC48" i="22"/>
  <c r="NC49" i="22"/>
  <c r="NC50" i="22"/>
  <c r="NC51" i="22"/>
  <c r="NC52" i="22"/>
  <c r="NC53" i="22"/>
  <c r="NC54" i="22"/>
  <c r="NC55" i="22"/>
  <c r="NC56" i="22"/>
  <c r="NC57" i="22"/>
  <c r="NC58" i="22"/>
  <c r="NC59" i="22"/>
  <c r="NC60" i="22"/>
  <c r="NC61" i="22"/>
  <c r="NC62" i="22"/>
  <c r="NC63" i="22"/>
  <c r="NC64" i="22"/>
  <c r="NC65" i="22"/>
  <c r="NC90" i="22"/>
  <c r="NB13" i="22"/>
  <c r="NB14" i="22"/>
  <c r="NB15" i="22"/>
  <c r="NB16" i="22"/>
  <c r="NB17" i="22"/>
  <c r="NB18" i="22"/>
  <c r="NB19" i="22"/>
  <c r="NB20" i="22"/>
  <c r="NB21" i="22"/>
  <c r="NB22" i="22"/>
  <c r="NB23" i="22"/>
  <c r="NB24" i="22"/>
  <c r="NB25" i="22"/>
  <c r="NB26" i="22"/>
  <c r="NB27" i="22"/>
  <c r="NB28" i="22"/>
  <c r="NB29" i="22"/>
  <c r="NB30" i="22"/>
  <c r="NB31" i="22"/>
  <c r="NB32" i="22"/>
  <c r="NB33" i="22"/>
  <c r="NB34" i="22"/>
  <c r="NB35" i="22"/>
  <c r="NB36" i="22"/>
  <c r="NB37" i="22"/>
  <c r="NB38" i="22"/>
  <c r="NB39" i="22"/>
  <c r="NB40" i="22"/>
  <c r="NB41" i="22"/>
  <c r="NB42" i="22"/>
  <c r="NB43" i="22"/>
  <c r="NB44" i="22"/>
  <c r="NB45" i="22"/>
  <c r="NB46" i="22"/>
  <c r="NB47" i="22"/>
  <c r="NB48" i="22"/>
  <c r="NB49" i="22"/>
  <c r="NB50" i="22"/>
  <c r="NB51" i="22"/>
  <c r="NB52" i="22"/>
  <c r="NB53" i="22"/>
  <c r="NB54" i="22"/>
  <c r="NB55" i="22"/>
  <c r="NB56" i="22"/>
  <c r="NB57" i="22"/>
  <c r="NB58" i="22"/>
  <c r="NB59" i="22"/>
  <c r="NB60" i="22"/>
  <c r="NB61" i="22"/>
  <c r="NB62" i="22"/>
  <c r="NB63" i="22"/>
  <c r="NB64" i="22"/>
  <c r="NB65" i="22"/>
  <c r="NB90" i="22"/>
  <c r="NA13" i="22"/>
  <c r="NA14" i="22"/>
  <c r="NA15" i="22"/>
  <c r="NA16" i="22"/>
  <c r="NA17" i="22"/>
  <c r="NA18" i="22"/>
  <c r="NA19" i="22"/>
  <c r="NA20" i="22"/>
  <c r="NA21" i="22"/>
  <c r="NA22" i="22"/>
  <c r="NA23" i="22"/>
  <c r="NA24" i="22"/>
  <c r="NA25" i="22"/>
  <c r="NA26" i="22"/>
  <c r="NA27" i="22"/>
  <c r="NA28" i="22"/>
  <c r="NA29" i="22"/>
  <c r="NA30" i="22"/>
  <c r="NA31" i="22"/>
  <c r="NA32" i="22"/>
  <c r="NA33" i="22"/>
  <c r="NA34" i="22"/>
  <c r="NA35" i="22"/>
  <c r="NA36" i="22"/>
  <c r="NA37" i="22"/>
  <c r="NA38" i="22"/>
  <c r="NA39" i="22"/>
  <c r="NA40" i="22"/>
  <c r="NA41" i="22"/>
  <c r="NA42" i="22"/>
  <c r="NA43" i="22"/>
  <c r="NA44" i="22"/>
  <c r="NA45" i="22"/>
  <c r="NA46" i="22"/>
  <c r="NA47" i="22"/>
  <c r="NA48" i="22"/>
  <c r="NA49" i="22"/>
  <c r="NA50" i="22"/>
  <c r="NA51" i="22"/>
  <c r="NA52" i="22"/>
  <c r="NA53" i="22"/>
  <c r="NA54" i="22"/>
  <c r="NA55" i="22"/>
  <c r="NA56" i="22"/>
  <c r="NA57" i="22"/>
  <c r="NA58" i="22"/>
  <c r="NA59" i="22"/>
  <c r="NA60" i="22"/>
  <c r="NA61" i="22"/>
  <c r="NA62" i="22"/>
  <c r="NA63" i="22"/>
  <c r="NA64" i="22"/>
  <c r="NA65" i="22"/>
  <c r="NA90" i="22"/>
  <c r="MZ13" i="22"/>
  <c r="MZ14" i="22"/>
  <c r="MZ15" i="22"/>
  <c r="MZ16" i="22"/>
  <c r="MZ17" i="22"/>
  <c r="MZ18" i="22"/>
  <c r="MZ19" i="22"/>
  <c r="MZ20" i="22"/>
  <c r="MZ21" i="22"/>
  <c r="MZ22" i="22"/>
  <c r="MZ23" i="22"/>
  <c r="MZ24" i="22"/>
  <c r="MZ25" i="22"/>
  <c r="MZ26" i="22"/>
  <c r="MZ27" i="22"/>
  <c r="MZ28" i="22"/>
  <c r="MZ29" i="22"/>
  <c r="MZ30" i="22"/>
  <c r="MZ31" i="22"/>
  <c r="MZ32" i="22"/>
  <c r="MZ33" i="22"/>
  <c r="MZ34" i="22"/>
  <c r="MZ35" i="22"/>
  <c r="MZ36" i="22"/>
  <c r="MZ37" i="22"/>
  <c r="MZ38" i="22"/>
  <c r="MZ39" i="22"/>
  <c r="MZ40" i="22"/>
  <c r="MZ41" i="22"/>
  <c r="MZ42" i="22"/>
  <c r="MZ43" i="22"/>
  <c r="MZ44" i="22"/>
  <c r="MZ45" i="22"/>
  <c r="MZ46" i="22"/>
  <c r="MZ47" i="22"/>
  <c r="MZ48" i="22"/>
  <c r="MZ49" i="22"/>
  <c r="MZ50" i="22"/>
  <c r="MZ51" i="22"/>
  <c r="MZ52" i="22"/>
  <c r="MZ53" i="22"/>
  <c r="MZ54" i="22"/>
  <c r="MZ55" i="22"/>
  <c r="MZ56" i="22"/>
  <c r="MZ57" i="22"/>
  <c r="MZ58" i="22"/>
  <c r="MZ59" i="22"/>
  <c r="MZ60" i="22"/>
  <c r="MZ61" i="22"/>
  <c r="MZ62" i="22"/>
  <c r="MZ63" i="22"/>
  <c r="MZ64" i="22"/>
  <c r="MZ65" i="22"/>
  <c r="MZ90" i="22"/>
  <c r="MY13" i="22"/>
  <c r="MY14" i="22"/>
  <c r="MY15" i="22"/>
  <c r="MY16" i="22"/>
  <c r="MY17" i="22"/>
  <c r="MY18" i="22"/>
  <c r="MY19" i="22"/>
  <c r="MY20" i="22"/>
  <c r="MY21" i="22"/>
  <c r="MY22" i="22"/>
  <c r="MY23" i="22"/>
  <c r="MY24" i="22"/>
  <c r="MY25" i="22"/>
  <c r="MY26" i="22"/>
  <c r="MY27" i="22"/>
  <c r="MY28" i="22"/>
  <c r="MY29" i="22"/>
  <c r="MY30" i="22"/>
  <c r="MY31" i="22"/>
  <c r="MY32" i="22"/>
  <c r="MY33" i="22"/>
  <c r="MY34" i="22"/>
  <c r="MY35" i="22"/>
  <c r="MY36" i="22"/>
  <c r="MY37" i="22"/>
  <c r="MY38" i="22"/>
  <c r="MY39" i="22"/>
  <c r="MY40" i="22"/>
  <c r="MY41" i="22"/>
  <c r="MY42" i="22"/>
  <c r="MY43" i="22"/>
  <c r="MY44" i="22"/>
  <c r="MY45" i="22"/>
  <c r="MY46" i="22"/>
  <c r="MY47" i="22"/>
  <c r="MY48" i="22"/>
  <c r="MY49" i="22"/>
  <c r="MY50" i="22"/>
  <c r="MY51" i="22"/>
  <c r="MY52" i="22"/>
  <c r="MY53" i="22"/>
  <c r="MY54" i="22"/>
  <c r="MY55" i="22"/>
  <c r="MY56" i="22"/>
  <c r="MY57" i="22"/>
  <c r="MY58" i="22"/>
  <c r="MY59" i="22"/>
  <c r="MY60" i="22"/>
  <c r="MY61" i="22"/>
  <c r="MY62" i="22"/>
  <c r="MY63" i="22"/>
  <c r="MY64" i="22"/>
  <c r="MY65" i="22"/>
  <c r="MY90" i="22"/>
  <c r="MX13" i="22"/>
  <c r="MX14" i="22"/>
  <c r="MX15" i="22"/>
  <c r="MX16" i="22"/>
  <c r="MX17" i="22"/>
  <c r="MX18" i="22"/>
  <c r="MX19" i="22"/>
  <c r="MX20" i="22"/>
  <c r="MX21" i="22"/>
  <c r="MX22" i="22"/>
  <c r="MX23" i="22"/>
  <c r="MX24" i="22"/>
  <c r="MX25" i="22"/>
  <c r="MX26" i="22"/>
  <c r="MX27" i="22"/>
  <c r="MX28" i="22"/>
  <c r="MX29" i="22"/>
  <c r="MX30" i="22"/>
  <c r="MX31" i="22"/>
  <c r="MX32" i="22"/>
  <c r="MX33" i="22"/>
  <c r="MX34" i="22"/>
  <c r="MX35" i="22"/>
  <c r="MX36" i="22"/>
  <c r="MX37" i="22"/>
  <c r="MX38" i="22"/>
  <c r="MX39" i="22"/>
  <c r="MX40" i="22"/>
  <c r="MX41" i="22"/>
  <c r="MX42" i="22"/>
  <c r="MX43" i="22"/>
  <c r="MX44" i="22"/>
  <c r="MX45" i="22"/>
  <c r="MX46" i="22"/>
  <c r="MX47" i="22"/>
  <c r="MX48" i="22"/>
  <c r="MX49" i="22"/>
  <c r="MX50" i="22"/>
  <c r="MX51" i="22"/>
  <c r="MX52" i="22"/>
  <c r="MX53" i="22"/>
  <c r="MX54" i="22"/>
  <c r="MX55" i="22"/>
  <c r="MX56" i="22"/>
  <c r="MX57" i="22"/>
  <c r="MX58" i="22"/>
  <c r="MX59" i="22"/>
  <c r="MX60" i="22"/>
  <c r="MX61" i="22"/>
  <c r="MX62" i="22"/>
  <c r="MX63" i="22"/>
  <c r="MX64" i="22"/>
  <c r="MX65" i="22"/>
  <c r="MX90" i="22"/>
  <c r="MW13" i="22"/>
  <c r="MW14" i="22"/>
  <c r="MW15" i="22"/>
  <c r="MW16" i="22"/>
  <c r="MW17" i="22"/>
  <c r="MW18" i="22"/>
  <c r="MW19" i="22"/>
  <c r="MW20" i="22"/>
  <c r="MW21" i="22"/>
  <c r="MW22" i="22"/>
  <c r="MW23" i="22"/>
  <c r="MW24" i="22"/>
  <c r="MW25" i="22"/>
  <c r="MW26" i="22"/>
  <c r="MW27" i="22"/>
  <c r="MW28" i="22"/>
  <c r="MW29" i="22"/>
  <c r="MW30" i="22"/>
  <c r="MW31" i="22"/>
  <c r="MW32" i="22"/>
  <c r="MW33" i="22"/>
  <c r="MW34" i="22"/>
  <c r="MW35" i="22"/>
  <c r="MW36" i="22"/>
  <c r="MW37" i="22"/>
  <c r="MW38" i="22"/>
  <c r="MW39" i="22"/>
  <c r="MW40" i="22"/>
  <c r="MW41" i="22"/>
  <c r="MW42" i="22"/>
  <c r="MW43" i="22"/>
  <c r="MW44" i="22"/>
  <c r="MW45" i="22"/>
  <c r="MW46" i="22"/>
  <c r="MW47" i="22"/>
  <c r="MW48" i="22"/>
  <c r="MW49" i="22"/>
  <c r="MW50" i="22"/>
  <c r="MW51" i="22"/>
  <c r="MW52" i="22"/>
  <c r="MW53" i="22"/>
  <c r="MW54" i="22"/>
  <c r="MW55" i="22"/>
  <c r="MW56" i="22"/>
  <c r="MW57" i="22"/>
  <c r="MW58" i="22"/>
  <c r="MW59" i="22"/>
  <c r="MW60" i="22"/>
  <c r="MW61" i="22"/>
  <c r="MW62" i="22"/>
  <c r="MW63" i="22"/>
  <c r="MW64" i="22"/>
  <c r="MW65" i="22"/>
  <c r="MW90" i="22"/>
  <c r="MV13" i="22"/>
  <c r="MV14" i="22"/>
  <c r="MV15" i="22"/>
  <c r="MV16" i="22"/>
  <c r="MV17" i="22"/>
  <c r="MV18" i="22"/>
  <c r="MV19" i="22"/>
  <c r="MV20" i="22"/>
  <c r="MV21" i="22"/>
  <c r="MV22" i="22"/>
  <c r="MV23" i="22"/>
  <c r="MV24" i="22"/>
  <c r="MV25" i="22"/>
  <c r="MV26" i="22"/>
  <c r="MV27" i="22"/>
  <c r="MV28" i="22"/>
  <c r="MV29" i="22"/>
  <c r="MV30" i="22"/>
  <c r="MV31" i="22"/>
  <c r="MV32" i="22"/>
  <c r="MV33" i="22"/>
  <c r="MV34" i="22"/>
  <c r="MV35" i="22"/>
  <c r="MV36" i="22"/>
  <c r="MV37" i="22"/>
  <c r="MV38" i="22"/>
  <c r="MV39" i="22"/>
  <c r="MV40" i="22"/>
  <c r="MV41" i="22"/>
  <c r="MV42" i="22"/>
  <c r="MV43" i="22"/>
  <c r="MV44" i="22"/>
  <c r="MV45" i="22"/>
  <c r="MV46" i="22"/>
  <c r="MV47" i="22"/>
  <c r="MV48" i="22"/>
  <c r="MV49" i="22"/>
  <c r="MV50" i="22"/>
  <c r="MV51" i="22"/>
  <c r="MV52" i="22"/>
  <c r="MV53" i="22"/>
  <c r="MV54" i="22"/>
  <c r="MV55" i="22"/>
  <c r="MV56" i="22"/>
  <c r="MV57" i="22"/>
  <c r="MV58" i="22"/>
  <c r="MV59" i="22"/>
  <c r="MV60" i="22"/>
  <c r="MV61" i="22"/>
  <c r="MV62" i="22"/>
  <c r="MV63" i="22"/>
  <c r="MV64" i="22"/>
  <c r="MV65" i="22"/>
  <c r="MV90" i="22"/>
  <c r="MU13" i="22"/>
  <c r="MU14" i="22"/>
  <c r="MU15" i="22"/>
  <c r="MU16" i="22"/>
  <c r="MU17" i="22"/>
  <c r="MU18" i="22"/>
  <c r="MU19" i="22"/>
  <c r="MU20" i="22"/>
  <c r="MU21" i="22"/>
  <c r="MU22" i="22"/>
  <c r="MU23" i="22"/>
  <c r="MU24" i="22"/>
  <c r="MU25" i="22"/>
  <c r="MU26" i="22"/>
  <c r="MU27" i="22"/>
  <c r="MU28" i="22"/>
  <c r="MU29" i="22"/>
  <c r="MU30" i="22"/>
  <c r="MU31" i="22"/>
  <c r="MU32" i="22"/>
  <c r="MU33" i="22"/>
  <c r="MU34" i="22"/>
  <c r="MU35" i="22"/>
  <c r="MU36" i="22"/>
  <c r="MU37" i="22"/>
  <c r="MU38" i="22"/>
  <c r="MU39" i="22"/>
  <c r="MU40" i="22"/>
  <c r="MU41" i="22"/>
  <c r="MU42" i="22"/>
  <c r="MU43" i="22"/>
  <c r="MU44" i="22"/>
  <c r="MU45" i="22"/>
  <c r="MU46" i="22"/>
  <c r="MU47" i="22"/>
  <c r="MU48" i="22"/>
  <c r="MU49" i="22"/>
  <c r="MU50" i="22"/>
  <c r="MU51" i="22"/>
  <c r="MU52" i="22"/>
  <c r="MU53" i="22"/>
  <c r="MU54" i="22"/>
  <c r="MU55" i="22"/>
  <c r="MU56" i="22"/>
  <c r="MU57" i="22"/>
  <c r="MU58" i="22"/>
  <c r="MU59" i="22"/>
  <c r="MU60" i="22"/>
  <c r="MU61" i="22"/>
  <c r="MU62" i="22"/>
  <c r="MU63" i="22"/>
  <c r="MU64" i="22"/>
  <c r="MU65" i="22"/>
  <c r="MU90" i="22"/>
  <c r="MT13" i="22"/>
  <c r="MT14" i="22"/>
  <c r="MT15" i="22"/>
  <c r="MT16" i="22"/>
  <c r="MT17" i="22"/>
  <c r="MT18" i="22"/>
  <c r="MT19" i="22"/>
  <c r="MT20" i="22"/>
  <c r="MT21" i="22"/>
  <c r="MT22" i="22"/>
  <c r="MT23" i="22"/>
  <c r="MT24" i="22"/>
  <c r="MT25" i="22"/>
  <c r="MT26" i="22"/>
  <c r="MT27" i="22"/>
  <c r="MT28" i="22"/>
  <c r="MT29" i="22"/>
  <c r="MT30" i="22"/>
  <c r="MT31" i="22"/>
  <c r="MT32" i="22"/>
  <c r="MT33" i="22"/>
  <c r="MT34" i="22"/>
  <c r="MT35" i="22"/>
  <c r="MT36" i="22"/>
  <c r="MT37" i="22"/>
  <c r="MT38" i="22"/>
  <c r="MT39" i="22"/>
  <c r="MT40" i="22"/>
  <c r="MT41" i="22"/>
  <c r="MT42" i="22"/>
  <c r="MT43" i="22"/>
  <c r="MT44" i="22"/>
  <c r="MT45" i="22"/>
  <c r="MT46" i="22"/>
  <c r="MT47" i="22"/>
  <c r="MT48" i="22"/>
  <c r="MT49" i="22"/>
  <c r="MT50" i="22"/>
  <c r="MT51" i="22"/>
  <c r="MT52" i="22"/>
  <c r="MT53" i="22"/>
  <c r="MT54" i="22"/>
  <c r="MT55" i="22"/>
  <c r="MT56" i="22"/>
  <c r="MT57" i="22"/>
  <c r="MT58" i="22"/>
  <c r="MT59" i="22"/>
  <c r="MT60" i="22"/>
  <c r="MT61" i="22"/>
  <c r="MT62" i="22"/>
  <c r="MT63" i="22"/>
  <c r="MT64" i="22"/>
  <c r="MT65" i="22"/>
  <c r="MT90" i="22"/>
  <c r="MS13" i="22"/>
  <c r="MS14" i="22"/>
  <c r="MS15" i="22"/>
  <c r="MS16" i="22"/>
  <c r="MS17" i="22"/>
  <c r="MS18" i="22"/>
  <c r="MS19" i="22"/>
  <c r="MS20" i="22"/>
  <c r="MS21" i="22"/>
  <c r="MS22" i="22"/>
  <c r="MS23" i="22"/>
  <c r="MS24" i="22"/>
  <c r="MS25" i="22"/>
  <c r="MS26" i="22"/>
  <c r="MS27" i="22"/>
  <c r="MS28" i="22"/>
  <c r="MS29" i="22"/>
  <c r="MS30" i="22"/>
  <c r="MS31" i="22"/>
  <c r="MS32" i="22"/>
  <c r="MS33" i="22"/>
  <c r="MS34" i="22"/>
  <c r="MS35" i="22"/>
  <c r="MS36" i="22"/>
  <c r="MS37" i="22"/>
  <c r="MS38" i="22"/>
  <c r="MS39" i="22"/>
  <c r="MS40" i="22"/>
  <c r="MS41" i="22"/>
  <c r="MS42" i="22"/>
  <c r="MS43" i="22"/>
  <c r="MS44" i="22"/>
  <c r="MS45" i="22"/>
  <c r="MS46" i="22"/>
  <c r="MS47" i="22"/>
  <c r="MS48" i="22"/>
  <c r="MS49" i="22"/>
  <c r="MS50" i="22"/>
  <c r="MS51" i="22"/>
  <c r="MS52" i="22"/>
  <c r="MS53" i="22"/>
  <c r="MS54" i="22"/>
  <c r="MS55" i="22"/>
  <c r="MS56" i="22"/>
  <c r="MS57" i="22"/>
  <c r="MS58" i="22"/>
  <c r="MS59" i="22"/>
  <c r="MS60" i="22"/>
  <c r="MS61" i="22"/>
  <c r="MS62" i="22"/>
  <c r="MS63" i="22"/>
  <c r="MS64" i="22"/>
  <c r="MS65" i="22"/>
  <c r="MS90" i="22"/>
  <c r="MR13" i="22"/>
  <c r="MR14" i="22"/>
  <c r="MR15" i="22"/>
  <c r="MR16" i="22"/>
  <c r="MR17" i="22"/>
  <c r="MR18" i="22"/>
  <c r="MR19" i="22"/>
  <c r="MR20" i="22"/>
  <c r="MR21" i="22"/>
  <c r="MR22" i="22"/>
  <c r="MR23" i="22"/>
  <c r="MR24" i="22"/>
  <c r="MR25" i="22"/>
  <c r="MR26" i="22"/>
  <c r="MR27" i="22"/>
  <c r="MR28" i="22"/>
  <c r="MR29" i="22"/>
  <c r="MR30" i="22"/>
  <c r="MR31" i="22"/>
  <c r="MR32" i="22"/>
  <c r="MR33" i="22"/>
  <c r="MR34" i="22"/>
  <c r="MR35" i="22"/>
  <c r="MR36" i="22"/>
  <c r="MR37" i="22"/>
  <c r="MR38" i="22"/>
  <c r="MR39" i="22"/>
  <c r="MR40" i="22"/>
  <c r="MR41" i="22"/>
  <c r="MR42" i="22"/>
  <c r="MR43" i="22"/>
  <c r="MR44" i="22"/>
  <c r="MR45" i="22"/>
  <c r="MR46" i="22"/>
  <c r="MR47" i="22"/>
  <c r="MR48" i="22"/>
  <c r="MR49" i="22"/>
  <c r="MR50" i="22"/>
  <c r="MR51" i="22"/>
  <c r="MR52" i="22"/>
  <c r="MR53" i="22"/>
  <c r="MR54" i="22"/>
  <c r="MR55" i="22"/>
  <c r="MR56" i="22"/>
  <c r="MR57" i="22"/>
  <c r="MR58" i="22"/>
  <c r="MR59" i="22"/>
  <c r="MR60" i="22"/>
  <c r="MR61" i="22"/>
  <c r="MR62" i="22"/>
  <c r="MR63" i="22"/>
  <c r="MR64" i="22"/>
  <c r="MR65" i="22"/>
  <c r="MR90" i="22"/>
  <c r="MQ13" i="22"/>
  <c r="MQ14" i="22"/>
  <c r="MQ15" i="22"/>
  <c r="MQ16" i="22"/>
  <c r="MQ17" i="22"/>
  <c r="MQ18" i="22"/>
  <c r="MQ19" i="22"/>
  <c r="MQ20" i="22"/>
  <c r="MQ21" i="22"/>
  <c r="MQ22" i="22"/>
  <c r="MQ23" i="22"/>
  <c r="MQ24" i="22"/>
  <c r="MQ25" i="22"/>
  <c r="MQ26" i="22"/>
  <c r="MQ27" i="22"/>
  <c r="MQ28" i="22"/>
  <c r="MQ29" i="22"/>
  <c r="MQ30" i="22"/>
  <c r="MQ31" i="22"/>
  <c r="MQ32" i="22"/>
  <c r="MQ33" i="22"/>
  <c r="MQ34" i="22"/>
  <c r="MQ35" i="22"/>
  <c r="MQ36" i="22"/>
  <c r="MQ37" i="22"/>
  <c r="MQ38" i="22"/>
  <c r="MQ39" i="22"/>
  <c r="MQ40" i="22"/>
  <c r="MQ41" i="22"/>
  <c r="MQ42" i="22"/>
  <c r="MQ43" i="22"/>
  <c r="MQ44" i="22"/>
  <c r="MQ45" i="22"/>
  <c r="MQ46" i="22"/>
  <c r="MQ47" i="22"/>
  <c r="MQ48" i="22"/>
  <c r="MQ49" i="22"/>
  <c r="MQ50" i="22"/>
  <c r="MQ51" i="22"/>
  <c r="MQ52" i="22"/>
  <c r="MQ53" i="22"/>
  <c r="MQ54" i="22"/>
  <c r="MQ55" i="22"/>
  <c r="MQ56" i="22"/>
  <c r="MQ57" i="22"/>
  <c r="MQ58" i="22"/>
  <c r="MQ59" i="22"/>
  <c r="MQ60" i="22"/>
  <c r="MQ61" i="22"/>
  <c r="MQ62" i="22"/>
  <c r="MQ63" i="22"/>
  <c r="MQ64" i="22"/>
  <c r="MQ65" i="22"/>
  <c r="MQ90" i="22"/>
  <c r="MP13" i="22"/>
  <c r="MP14" i="22"/>
  <c r="MP15" i="22"/>
  <c r="MP16" i="22"/>
  <c r="MP17" i="22"/>
  <c r="MP18" i="22"/>
  <c r="MP19" i="22"/>
  <c r="MP20" i="22"/>
  <c r="MP21" i="22"/>
  <c r="MP22" i="22"/>
  <c r="MP23" i="22"/>
  <c r="MP24" i="22"/>
  <c r="MP25" i="22"/>
  <c r="MP26" i="22"/>
  <c r="MP27" i="22"/>
  <c r="MP28" i="22"/>
  <c r="MP29" i="22"/>
  <c r="MP30" i="22"/>
  <c r="MP31" i="22"/>
  <c r="MP32" i="22"/>
  <c r="MP33" i="22"/>
  <c r="MP34" i="22"/>
  <c r="MP35" i="22"/>
  <c r="MP36" i="22"/>
  <c r="MP37" i="22"/>
  <c r="MP38" i="22"/>
  <c r="MP39" i="22"/>
  <c r="MP40" i="22"/>
  <c r="MP41" i="22"/>
  <c r="MP42" i="22"/>
  <c r="MP43" i="22"/>
  <c r="MP44" i="22"/>
  <c r="MP45" i="22"/>
  <c r="MP46" i="22"/>
  <c r="MP47" i="22"/>
  <c r="MP48" i="22"/>
  <c r="MP49" i="22"/>
  <c r="MP50" i="22"/>
  <c r="MP51" i="22"/>
  <c r="MP52" i="22"/>
  <c r="MP53" i="22"/>
  <c r="MP54" i="22"/>
  <c r="MP55" i="22"/>
  <c r="MP56" i="22"/>
  <c r="MP57" i="22"/>
  <c r="MP58" i="22"/>
  <c r="MP59" i="22"/>
  <c r="MP60" i="22"/>
  <c r="MP61" i="22"/>
  <c r="MP62" i="22"/>
  <c r="MP63" i="22"/>
  <c r="MP64" i="22"/>
  <c r="MP65" i="22"/>
  <c r="MP90" i="22"/>
  <c r="MO13" i="22"/>
  <c r="MO14" i="22"/>
  <c r="MO15" i="22"/>
  <c r="MO16" i="22"/>
  <c r="MO17" i="22"/>
  <c r="MO18" i="22"/>
  <c r="MO19" i="22"/>
  <c r="MO20" i="22"/>
  <c r="MO21" i="22"/>
  <c r="MO22" i="22"/>
  <c r="MO23" i="22"/>
  <c r="MO24" i="22"/>
  <c r="MO25" i="22"/>
  <c r="MO26" i="22"/>
  <c r="MO27" i="22"/>
  <c r="MO28" i="22"/>
  <c r="MO29" i="22"/>
  <c r="MO30" i="22"/>
  <c r="MO31" i="22"/>
  <c r="MO32" i="22"/>
  <c r="MO33" i="22"/>
  <c r="MO34" i="22"/>
  <c r="MO35" i="22"/>
  <c r="MO36" i="22"/>
  <c r="MO37" i="22"/>
  <c r="MO38" i="22"/>
  <c r="MO39" i="22"/>
  <c r="MO40" i="22"/>
  <c r="MO41" i="22"/>
  <c r="MO42" i="22"/>
  <c r="MO43" i="22"/>
  <c r="MO44" i="22"/>
  <c r="MO45" i="22"/>
  <c r="MO46" i="22"/>
  <c r="MO47" i="22"/>
  <c r="MO48" i="22"/>
  <c r="MO49" i="22"/>
  <c r="MO50" i="22"/>
  <c r="MO51" i="22"/>
  <c r="MO52" i="22"/>
  <c r="MO53" i="22"/>
  <c r="MO54" i="22"/>
  <c r="MO55" i="22"/>
  <c r="MO56" i="22"/>
  <c r="MO57" i="22"/>
  <c r="MO58" i="22"/>
  <c r="MO59" i="22"/>
  <c r="MO60" i="22"/>
  <c r="MO61" i="22"/>
  <c r="MO62" i="22"/>
  <c r="MO63" i="22"/>
  <c r="MO64" i="22"/>
  <c r="MO65" i="22"/>
  <c r="MO90" i="22"/>
  <c r="MN13" i="22"/>
  <c r="MN14" i="22"/>
  <c r="MN15" i="22"/>
  <c r="MN16" i="22"/>
  <c r="MN17" i="22"/>
  <c r="MN18" i="22"/>
  <c r="MN19" i="22"/>
  <c r="MN20" i="22"/>
  <c r="MN21" i="22"/>
  <c r="MN22" i="22"/>
  <c r="MN23" i="22"/>
  <c r="MN24" i="22"/>
  <c r="MN25" i="22"/>
  <c r="MN26" i="22"/>
  <c r="MN27" i="22"/>
  <c r="MN28" i="22"/>
  <c r="MN29" i="22"/>
  <c r="MN30" i="22"/>
  <c r="MN31" i="22"/>
  <c r="MN32" i="22"/>
  <c r="MN33" i="22"/>
  <c r="MN34" i="22"/>
  <c r="MN35" i="22"/>
  <c r="MN36" i="22"/>
  <c r="MN37" i="22"/>
  <c r="MN38" i="22"/>
  <c r="MN39" i="22"/>
  <c r="MN40" i="22"/>
  <c r="MN41" i="22"/>
  <c r="MN42" i="22"/>
  <c r="MN43" i="22"/>
  <c r="MN44" i="22"/>
  <c r="MN45" i="22"/>
  <c r="MN46" i="22"/>
  <c r="MN47" i="22"/>
  <c r="MN48" i="22"/>
  <c r="MN49" i="22"/>
  <c r="MN50" i="22"/>
  <c r="MN51" i="22"/>
  <c r="MN52" i="22"/>
  <c r="MN53" i="22"/>
  <c r="MN54" i="22"/>
  <c r="MN55" i="22"/>
  <c r="MN56" i="22"/>
  <c r="MN57" i="22"/>
  <c r="MN58" i="22"/>
  <c r="MN59" i="22"/>
  <c r="MN60" i="22"/>
  <c r="MN61" i="22"/>
  <c r="MN62" i="22"/>
  <c r="MN63" i="22"/>
  <c r="MN64" i="22"/>
  <c r="MN65" i="22"/>
  <c r="MN90" i="22"/>
  <c r="MM13" i="22"/>
  <c r="MM14" i="22"/>
  <c r="MM15" i="22"/>
  <c r="MM16" i="22"/>
  <c r="MM17" i="22"/>
  <c r="MM18" i="22"/>
  <c r="MM19" i="22"/>
  <c r="MM20" i="22"/>
  <c r="MM21" i="22"/>
  <c r="MM22" i="22"/>
  <c r="MM23" i="22"/>
  <c r="MM24" i="22"/>
  <c r="MM25" i="22"/>
  <c r="MM26" i="22"/>
  <c r="MM27" i="22"/>
  <c r="MM28" i="22"/>
  <c r="MM29" i="22"/>
  <c r="MM30" i="22"/>
  <c r="MM31" i="22"/>
  <c r="MM32" i="22"/>
  <c r="MM33" i="22"/>
  <c r="MM34" i="22"/>
  <c r="MM35" i="22"/>
  <c r="MM36" i="22"/>
  <c r="MM37" i="22"/>
  <c r="MM38" i="22"/>
  <c r="MM39" i="22"/>
  <c r="MM40" i="22"/>
  <c r="MM41" i="22"/>
  <c r="MM42" i="22"/>
  <c r="MM43" i="22"/>
  <c r="MM44" i="22"/>
  <c r="MM45" i="22"/>
  <c r="MM46" i="22"/>
  <c r="MM47" i="22"/>
  <c r="MM48" i="22"/>
  <c r="MM49" i="22"/>
  <c r="MM50" i="22"/>
  <c r="MM51" i="22"/>
  <c r="MM52" i="22"/>
  <c r="MM53" i="22"/>
  <c r="MM54" i="22"/>
  <c r="MM55" i="22"/>
  <c r="MM56" i="22"/>
  <c r="MM57" i="22"/>
  <c r="MM58" i="22"/>
  <c r="MM59" i="22"/>
  <c r="MM60" i="22"/>
  <c r="MM61" i="22"/>
  <c r="MM62" i="22"/>
  <c r="MM63" i="22"/>
  <c r="MM64" i="22"/>
  <c r="MM65" i="22"/>
  <c r="MM90" i="22"/>
  <c r="ML13" i="22"/>
  <c r="ML14" i="22"/>
  <c r="ML15" i="22"/>
  <c r="ML16" i="22"/>
  <c r="ML17" i="22"/>
  <c r="ML18" i="22"/>
  <c r="ML19" i="22"/>
  <c r="ML20" i="22"/>
  <c r="ML21" i="22"/>
  <c r="ML22" i="22"/>
  <c r="ML23" i="22"/>
  <c r="ML24" i="22"/>
  <c r="ML25" i="22"/>
  <c r="ML26" i="22"/>
  <c r="ML27" i="22"/>
  <c r="ML28" i="22"/>
  <c r="ML29" i="22"/>
  <c r="ML30" i="22"/>
  <c r="ML31" i="22"/>
  <c r="ML32" i="22"/>
  <c r="ML33" i="22"/>
  <c r="ML34" i="22"/>
  <c r="ML35" i="22"/>
  <c r="ML36" i="22"/>
  <c r="ML37" i="22"/>
  <c r="ML38" i="22"/>
  <c r="ML39" i="22"/>
  <c r="ML40" i="22"/>
  <c r="ML41" i="22"/>
  <c r="ML42" i="22"/>
  <c r="ML43" i="22"/>
  <c r="ML44" i="22"/>
  <c r="ML45" i="22"/>
  <c r="ML46" i="22"/>
  <c r="ML47" i="22"/>
  <c r="ML48" i="22"/>
  <c r="ML49" i="22"/>
  <c r="ML50" i="22"/>
  <c r="ML51" i="22"/>
  <c r="ML52" i="22"/>
  <c r="ML53" i="22"/>
  <c r="ML54" i="22"/>
  <c r="ML55" i="22"/>
  <c r="ML56" i="22"/>
  <c r="ML57" i="22"/>
  <c r="ML58" i="22"/>
  <c r="ML59" i="22"/>
  <c r="ML60" i="22"/>
  <c r="ML61" i="22"/>
  <c r="ML62" i="22"/>
  <c r="ML63" i="22"/>
  <c r="ML64" i="22"/>
  <c r="ML65" i="22"/>
  <c r="ML90" i="22"/>
  <c r="MK13" i="22"/>
  <c r="MK14" i="22"/>
  <c r="MK15" i="22"/>
  <c r="MK16" i="22"/>
  <c r="MK17" i="22"/>
  <c r="MK18" i="22"/>
  <c r="MK19" i="22"/>
  <c r="MK20" i="22"/>
  <c r="MK21" i="22"/>
  <c r="MK22" i="22"/>
  <c r="MK23" i="22"/>
  <c r="MK24" i="22"/>
  <c r="MK25" i="22"/>
  <c r="MK26" i="22"/>
  <c r="MK27" i="22"/>
  <c r="MK28" i="22"/>
  <c r="MK29" i="22"/>
  <c r="MK30" i="22"/>
  <c r="MK31" i="22"/>
  <c r="MK32" i="22"/>
  <c r="MK33" i="22"/>
  <c r="MK34" i="22"/>
  <c r="MK35" i="22"/>
  <c r="MK36" i="22"/>
  <c r="MK37" i="22"/>
  <c r="MK38" i="22"/>
  <c r="MK39" i="22"/>
  <c r="MK40" i="22"/>
  <c r="MK41" i="22"/>
  <c r="MK42" i="22"/>
  <c r="MK43" i="22"/>
  <c r="MK44" i="22"/>
  <c r="MK45" i="22"/>
  <c r="MK46" i="22"/>
  <c r="MK47" i="22"/>
  <c r="MK48" i="22"/>
  <c r="MK49" i="22"/>
  <c r="MK50" i="22"/>
  <c r="MK51" i="22"/>
  <c r="MK52" i="22"/>
  <c r="MK53" i="22"/>
  <c r="MK54" i="22"/>
  <c r="MK55" i="22"/>
  <c r="MK56" i="22"/>
  <c r="MK57" i="22"/>
  <c r="MK58" i="22"/>
  <c r="MK59" i="22"/>
  <c r="MK60" i="22"/>
  <c r="MK61" i="22"/>
  <c r="MK62" i="22"/>
  <c r="MK63" i="22"/>
  <c r="MK64" i="22"/>
  <c r="MK65" i="22"/>
  <c r="MK90" i="22"/>
  <c r="MJ13" i="22"/>
  <c r="MJ14" i="22"/>
  <c r="MJ15" i="22"/>
  <c r="MJ16" i="22"/>
  <c r="MJ17" i="22"/>
  <c r="MJ18" i="22"/>
  <c r="MJ19" i="22"/>
  <c r="MJ20" i="22"/>
  <c r="MJ21" i="22"/>
  <c r="MJ22" i="22"/>
  <c r="MJ23" i="22"/>
  <c r="MJ24" i="22"/>
  <c r="MJ25" i="22"/>
  <c r="MJ26" i="22"/>
  <c r="MJ27" i="22"/>
  <c r="MJ28" i="22"/>
  <c r="MJ29" i="22"/>
  <c r="MJ30" i="22"/>
  <c r="MJ31" i="22"/>
  <c r="MJ32" i="22"/>
  <c r="MJ33" i="22"/>
  <c r="MJ34" i="22"/>
  <c r="MJ35" i="22"/>
  <c r="MJ36" i="22"/>
  <c r="MJ37" i="22"/>
  <c r="MJ38" i="22"/>
  <c r="MJ39" i="22"/>
  <c r="MJ40" i="22"/>
  <c r="MJ41" i="22"/>
  <c r="MJ42" i="22"/>
  <c r="MJ43" i="22"/>
  <c r="MJ44" i="22"/>
  <c r="MJ45" i="22"/>
  <c r="MJ46" i="22"/>
  <c r="MJ47" i="22"/>
  <c r="MJ48" i="22"/>
  <c r="MJ49" i="22"/>
  <c r="MJ50" i="22"/>
  <c r="MJ51" i="22"/>
  <c r="MJ52" i="22"/>
  <c r="MJ53" i="22"/>
  <c r="MJ54" i="22"/>
  <c r="MJ55" i="22"/>
  <c r="MJ56" i="22"/>
  <c r="MJ57" i="22"/>
  <c r="MJ58" i="22"/>
  <c r="MJ59" i="22"/>
  <c r="MJ60" i="22"/>
  <c r="MJ61" i="22"/>
  <c r="MJ62" i="22"/>
  <c r="MJ63" i="22"/>
  <c r="MJ64" i="22"/>
  <c r="MJ65" i="22"/>
  <c r="MJ90" i="22"/>
  <c r="MI13" i="22"/>
  <c r="MI14" i="22"/>
  <c r="MI15" i="22"/>
  <c r="MI16" i="22"/>
  <c r="MI17" i="22"/>
  <c r="MI18" i="22"/>
  <c r="MI19" i="22"/>
  <c r="MI20" i="22"/>
  <c r="MI21" i="22"/>
  <c r="MI22" i="22"/>
  <c r="MI23" i="22"/>
  <c r="MI24" i="22"/>
  <c r="MI25" i="22"/>
  <c r="MI26" i="22"/>
  <c r="MI27" i="22"/>
  <c r="MI28" i="22"/>
  <c r="MI29" i="22"/>
  <c r="MI30" i="22"/>
  <c r="MI31" i="22"/>
  <c r="MI32" i="22"/>
  <c r="MI33" i="22"/>
  <c r="MI34" i="22"/>
  <c r="MI35" i="22"/>
  <c r="MI36" i="22"/>
  <c r="MI37" i="22"/>
  <c r="MI38" i="22"/>
  <c r="MI39" i="22"/>
  <c r="MI40" i="22"/>
  <c r="MI41" i="22"/>
  <c r="MI42" i="22"/>
  <c r="MI43" i="22"/>
  <c r="MI44" i="22"/>
  <c r="MI45" i="22"/>
  <c r="MI46" i="22"/>
  <c r="MI47" i="22"/>
  <c r="MI48" i="22"/>
  <c r="MI49" i="22"/>
  <c r="MI50" i="22"/>
  <c r="MI51" i="22"/>
  <c r="MI52" i="22"/>
  <c r="MI53" i="22"/>
  <c r="MI54" i="22"/>
  <c r="MI55" i="22"/>
  <c r="MI56" i="22"/>
  <c r="MI57" i="22"/>
  <c r="MI58" i="22"/>
  <c r="MI59" i="22"/>
  <c r="MI60" i="22"/>
  <c r="MI61" i="22"/>
  <c r="MI62" i="22"/>
  <c r="MI63" i="22"/>
  <c r="MI64" i="22"/>
  <c r="MI65" i="22"/>
  <c r="MI90" i="22"/>
  <c r="MH13" i="22"/>
  <c r="MH14" i="22"/>
  <c r="MH15" i="22"/>
  <c r="MH16" i="22"/>
  <c r="MH17" i="22"/>
  <c r="MH18" i="22"/>
  <c r="MH19" i="22"/>
  <c r="MH20" i="22"/>
  <c r="MH21" i="22"/>
  <c r="MH22" i="22"/>
  <c r="MH23" i="22"/>
  <c r="MH24" i="22"/>
  <c r="MH25" i="22"/>
  <c r="MH26" i="22"/>
  <c r="MH27" i="22"/>
  <c r="MH28" i="22"/>
  <c r="MH29" i="22"/>
  <c r="MH30" i="22"/>
  <c r="MH31" i="22"/>
  <c r="MH32" i="22"/>
  <c r="MH33" i="22"/>
  <c r="MH34" i="22"/>
  <c r="MH35" i="22"/>
  <c r="MH36" i="22"/>
  <c r="MH37" i="22"/>
  <c r="MH38" i="22"/>
  <c r="MH39" i="22"/>
  <c r="MH40" i="22"/>
  <c r="MH41" i="22"/>
  <c r="MH42" i="22"/>
  <c r="MH43" i="22"/>
  <c r="MH44" i="22"/>
  <c r="MH45" i="22"/>
  <c r="MH46" i="22"/>
  <c r="MH47" i="22"/>
  <c r="MH48" i="22"/>
  <c r="MH49" i="22"/>
  <c r="MH50" i="22"/>
  <c r="MH51" i="22"/>
  <c r="MH52" i="22"/>
  <c r="MH53" i="22"/>
  <c r="MH54" i="22"/>
  <c r="MH55" i="22"/>
  <c r="MH56" i="22"/>
  <c r="MH57" i="22"/>
  <c r="MH58" i="22"/>
  <c r="MH59" i="22"/>
  <c r="MH60" i="22"/>
  <c r="MH61" i="22"/>
  <c r="MH62" i="22"/>
  <c r="MH63" i="22"/>
  <c r="MH64" i="22"/>
  <c r="MH65" i="22"/>
  <c r="MH90" i="22"/>
  <c r="MG13" i="22"/>
  <c r="MG14" i="22"/>
  <c r="MG15" i="22"/>
  <c r="MG16" i="22"/>
  <c r="MG17" i="22"/>
  <c r="MG18" i="22"/>
  <c r="MG19" i="22"/>
  <c r="MG20" i="22"/>
  <c r="MG21" i="22"/>
  <c r="MG22" i="22"/>
  <c r="MG23" i="22"/>
  <c r="MG24" i="22"/>
  <c r="MG25" i="22"/>
  <c r="MG26" i="22"/>
  <c r="MG27" i="22"/>
  <c r="MG28" i="22"/>
  <c r="MG29" i="22"/>
  <c r="MG30" i="22"/>
  <c r="MG31" i="22"/>
  <c r="MG32" i="22"/>
  <c r="MG33" i="22"/>
  <c r="MG34" i="22"/>
  <c r="MG35" i="22"/>
  <c r="MG36" i="22"/>
  <c r="MG37" i="22"/>
  <c r="MG38" i="22"/>
  <c r="MG39" i="22"/>
  <c r="MG40" i="22"/>
  <c r="MG41" i="22"/>
  <c r="MG42" i="22"/>
  <c r="MG43" i="22"/>
  <c r="MG44" i="22"/>
  <c r="MG45" i="22"/>
  <c r="MG46" i="22"/>
  <c r="MG47" i="22"/>
  <c r="MG48" i="22"/>
  <c r="MG49" i="22"/>
  <c r="MG50" i="22"/>
  <c r="MG51" i="22"/>
  <c r="MG52" i="22"/>
  <c r="MG53" i="22"/>
  <c r="MG54" i="22"/>
  <c r="MG55" i="22"/>
  <c r="MG56" i="22"/>
  <c r="MG57" i="22"/>
  <c r="MG58" i="22"/>
  <c r="MG59" i="22"/>
  <c r="MG60" i="22"/>
  <c r="MG61" i="22"/>
  <c r="MG62" i="22"/>
  <c r="MG63" i="22"/>
  <c r="MG64" i="22"/>
  <c r="MG65" i="22"/>
  <c r="MG90" i="22"/>
  <c r="MF13" i="22"/>
  <c r="MF14" i="22"/>
  <c r="MF15" i="22"/>
  <c r="MF16" i="22"/>
  <c r="MF17" i="22"/>
  <c r="MF18" i="22"/>
  <c r="MF19" i="22"/>
  <c r="MF20" i="22"/>
  <c r="MF21" i="22"/>
  <c r="MF22" i="22"/>
  <c r="MF23" i="22"/>
  <c r="MF24" i="22"/>
  <c r="MF25" i="22"/>
  <c r="MF26" i="22"/>
  <c r="MF27" i="22"/>
  <c r="MF28" i="22"/>
  <c r="MF29" i="22"/>
  <c r="MF30" i="22"/>
  <c r="MF31" i="22"/>
  <c r="MF32" i="22"/>
  <c r="MF33" i="22"/>
  <c r="MF34" i="22"/>
  <c r="MF35" i="22"/>
  <c r="MF36" i="22"/>
  <c r="MF37" i="22"/>
  <c r="MF38" i="22"/>
  <c r="MF39" i="22"/>
  <c r="MF40" i="22"/>
  <c r="MF41" i="22"/>
  <c r="MF42" i="22"/>
  <c r="MF43" i="22"/>
  <c r="MF44" i="22"/>
  <c r="MF45" i="22"/>
  <c r="MF46" i="22"/>
  <c r="MF47" i="22"/>
  <c r="MF48" i="22"/>
  <c r="MF49" i="22"/>
  <c r="MF50" i="22"/>
  <c r="MF51" i="22"/>
  <c r="MF52" i="22"/>
  <c r="MF53" i="22"/>
  <c r="MF54" i="22"/>
  <c r="MF55" i="22"/>
  <c r="MF56" i="22"/>
  <c r="MF57" i="22"/>
  <c r="MF58" i="22"/>
  <c r="MF59" i="22"/>
  <c r="MF60" i="22"/>
  <c r="MF61" i="22"/>
  <c r="MF62" i="22"/>
  <c r="MF63" i="22"/>
  <c r="MF64" i="22"/>
  <c r="MF65" i="22"/>
  <c r="MF90" i="22"/>
  <c r="ME13" i="22"/>
  <c r="ME14" i="22"/>
  <c r="ME15" i="22"/>
  <c r="ME16" i="22"/>
  <c r="ME17" i="22"/>
  <c r="ME18" i="22"/>
  <c r="ME19" i="22"/>
  <c r="ME20" i="22"/>
  <c r="ME21" i="22"/>
  <c r="ME22" i="22"/>
  <c r="ME23" i="22"/>
  <c r="ME24" i="22"/>
  <c r="ME25" i="22"/>
  <c r="ME26" i="22"/>
  <c r="ME27" i="22"/>
  <c r="ME28" i="22"/>
  <c r="ME29" i="22"/>
  <c r="ME30" i="22"/>
  <c r="ME31" i="22"/>
  <c r="ME32" i="22"/>
  <c r="ME33" i="22"/>
  <c r="ME34" i="22"/>
  <c r="ME35" i="22"/>
  <c r="ME36" i="22"/>
  <c r="ME37" i="22"/>
  <c r="ME38" i="22"/>
  <c r="ME39" i="22"/>
  <c r="ME40" i="22"/>
  <c r="ME41" i="22"/>
  <c r="ME42" i="22"/>
  <c r="ME43" i="22"/>
  <c r="ME44" i="22"/>
  <c r="ME45" i="22"/>
  <c r="ME46" i="22"/>
  <c r="ME47" i="22"/>
  <c r="ME48" i="22"/>
  <c r="ME49" i="22"/>
  <c r="ME50" i="22"/>
  <c r="ME51" i="22"/>
  <c r="ME52" i="22"/>
  <c r="ME53" i="22"/>
  <c r="ME54" i="22"/>
  <c r="ME55" i="22"/>
  <c r="ME56" i="22"/>
  <c r="ME57" i="22"/>
  <c r="ME58" i="22"/>
  <c r="ME59" i="22"/>
  <c r="ME60" i="22"/>
  <c r="ME61" i="22"/>
  <c r="ME62" i="22"/>
  <c r="ME63" i="22"/>
  <c r="ME64" i="22"/>
  <c r="ME65" i="22"/>
  <c r="ME90" i="22"/>
  <c r="MD13" i="22"/>
  <c r="MD14" i="22"/>
  <c r="MD15" i="22"/>
  <c r="MD16" i="22"/>
  <c r="MD17" i="22"/>
  <c r="MD18" i="22"/>
  <c r="MD19" i="22"/>
  <c r="MD20" i="22"/>
  <c r="MD21" i="22"/>
  <c r="MD22" i="22"/>
  <c r="MD23" i="22"/>
  <c r="MD24" i="22"/>
  <c r="MD25" i="22"/>
  <c r="MD26" i="22"/>
  <c r="MD27" i="22"/>
  <c r="MD28" i="22"/>
  <c r="MD29" i="22"/>
  <c r="MD30" i="22"/>
  <c r="MD31" i="22"/>
  <c r="MD32" i="22"/>
  <c r="MD33" i="22"/>
  <c r="MD34" i="22"/>
  <c r="MD35" i="22"/>
  <c r="MD36" i="22"/>
  <c r="MD37" i="22"/>
  <c r="MD38" i="22"/>
  <c r="MD39" i="22"/>
  <c r="MD40" i="22"/>
  <c r="MD41" i="22"/>
  <c r="MD42" i="22"/>
  <c r="MD43" i="22"/>
  <c r="MD44" i="22"/>
  <c r="MD45" i="22"/>
  <c r="MD46" i="22"/>
  <c r="MD47" i="22"/>
  <c r="MD48" i="22"/>
  <c r="MD49" i="22"/>
  <c r="MD50" i="22"/>
  <c r="MD51" i="22"/>
  <c r="MD52" i="22"/>
  <c r="MD53" i="22"/>
  <c r="MD54" i="22"/>
  <c r="MD55" i="22"/>
  <c r="MD56" i="22"/>
  <c r="MD57" i="22"/>
  <c r="MD58" i="22"/>
  <c r="MD59" i="22"/>
  <c r="MD60" i="22"/>
  <c r="MD61" i="22"/>
  <c r="MD62" i="22"/>
  <c r="MD63" i="22"/>
  <c r="MD64" i="22"/>
  <c r="MD65" i="22"/>
  <c r="MD90" i="22"/>
  <c r="MC13" i="22"/>
  <c r="MC14" i="22"/>
  <c r="MC15" i="22"/>
  <c r="MC16" i="22"/>
  <c r="MC17" i="22"/>
  <c r="MC18" i="22"/>
  <c r="MC19" i="22"/>
  <c r="MC20" i="22"/>
  <c r="MC21" i="22"/>
  <c r="MC22" i="22"/>
  <c r="MC23" i="22"/>
  <c r="MC24" i="22"/>
  <c r="MC25" i="22"/>
  <c r="MC26" i="22"/>
  <c r="MC27" i="22"/>
  <c r="MC28" i="22"/>
  <c r="MC29" i="22"/>
  <c r="MC30" i="22"/>
  <c r="MC31" i="22"/>
  <c r="MC32" i="22"/>
  <c r="MC33" i="22"/>
  <c r="MC34" i="22"/>
  <c r="MC35" i="22"/>
  <c r="MC36" i="22"/>
  <c r="MC37" i="22"/>
  <c r="MC38" i="22"/>
  <c r="MC39" i="22"/>
  <c r="MC40" i="22"/>
  <c r="MC41" i="22"/>
  <c r="MC42" i="22"/>
  <c r="MC43" i="22"/>
  <c r="MC44" i="22"/>
  <c r="MC45" i="22"/>
  <c r="MC46" i="22"/>
  <c r="MC47" i="22"/>
  <c r="MC48" i="22"/>
  <c r="MC49" i="22"/>
  <c r="MC50" i="22"/>
  <c r="MC51" i="22"/>
  <c r="MC52" i="22"/>
  <c r="MC53" i="22"/>
  <c r="MC54" i="22"/>
  <c r="MC55" i="22"/>
  <c r="MC56" i="22"/>
  <c r="MC57" i="22"/>
  <c r="MC58" i="22"/>
  <c r="MC59" i="22"/>
  <c r="MC60" i="22"/>
  <c r="MC61" i="22"/>
  <c r="MC62" i="22"/>
  <c r="MC63" i="22"/>
  <c r="MC64" i="22"/>
  <c r="MC65" i="22"/>
  <c r="MC90" i="22"/>
  <c r="MB13" i="22"/>
  <c r="MB14" i="22"/>
  <c r="MB15" i="22"/>
  <c r="MB16" i="22"/>
  <c r="MB17" i="22"/>
  <c r="MB18" i="22"/>
  <c r="MB19" i="22"/>
  <c r="MB20" i="22"/>
  <c r="MB21" i="22"/>
  <c r="MB22" i="22"/>
  <c r="MB23" i="22"/>
  <c r="MB24" i="22"/>
  <c r="MB25" i="22"/>
  <c r="MB26" i="22"/>
  <c r="MB27" i="22"/>
  <c r="MB28" i="22"/>
  <c r="MB29" i="22"/>
  <c r="MB30" i="22"/>
  <c r="MB31" i="22"/>
  <c r="MB32" i="22"/>
  <c r="MB33" i="22"/>
  <c r="MB34" i="22"/>
  <c r="MB35" i="22"/>
  <c r="MB36" i="22"/>
  <c r="MB37" i="22"/>
  <c r="MB38" i="22"/>
  <c r="MB39" i="22"/>
  <c r="MB40" i="22"/>
  <c r="MB41" i="22"/>
  <c r="MB42" i="22"/>
  <c r="MB43" i="22"/>
  <c r="MB44" i="22"/>
  <c r="MB45" i="22"/>
  <c r="MB46" i="22"/>
  <c r="MB47" i="22"/>
  <c r="MB48" i="22"/>
  <c r="MB49" i="22"/>
  <c r="MB50" i="22"/>
  <c r="MB51" i="22"/>
  <c r="MB52" i="22"/>
  <c r="MB53" i="22"/>
  <c r="MB54" i="22"/>
  <c r="MB55" i="22"/>
  <c r="MB56" i="22"/>
  <c r="MB57" i="22"/>
  <c r="MB58" i="22"/>
  <c r="MB59" i="22"/>
  <c r="MB60" i="22"/>
  <c r="MB61" i="22"/>
  <c r="MB62" i="22"/>
  <c r="MB63" i="22"/>
  <c r="MB64" i="22"/>
  <c r="MB65" i="22"/>
  <c r="MB90" i="22"/>
  <c r="MA13" i="22"/>
  <c r="MA14" i="22"/>
  <c r="MA15" i="22"/>
  <c r="MA16" i="22"/>
  <c r="MA17" i="22"/>
  <c r="MA18" i="22"/>
  <c r="MA19" i="22"/>
  <c r="MA20" i="22"/>
  <c r="MA21" i="22"/>
  <c r="MA22" i="22"/>
  <c r="MA23" i="22"/>
  <c r="MA24" i="22"/>
  <c r="MA25" i="22"/>
  <c r="MA26" i="22"/>
  <c r="MA27" i="22"/>
  <c r="MA28" i="22"/>
  <c r="MA29" i="22"/>
  <c r="MA30" i="22"/>
  <c r="MA31" i="22"/>
  <c r="MA32" i="22"/>
  <c r="MA33" i="22"/>
  <c r="MA34" i="22"/>
  <c r="MA35" i="22"/>
  <c r="MA36" i="22"/>
  <c r="MA37" i="22"/>
  <c r="MA38" i="22"/>
  <c r="MA39" i="22"/>
  <c r="MA40" i="22"/>
  <c r="MA41" i="22"/>
  <c r="MA42" i="22"/>
  <c r="MA43" i="22"/>
  <c r="MA44" i="22"/>
  <c r="MA45" i="22"/>
  <c r="MA46" i="22"/>
  <c r="MA47" i="22"/>
  <c r="MA48" i="22"/>
  <c r="MA49" i="22"/>
  <c r="MA50" i="22"/>
  <c r="MA51" i="22"/>
  <c r="MA52" i="22"/>
  <c r="MA53" i="22"/>
  <c r="MA54" i="22"/>
  <c r="MA55" i="22"/>
  <c r="MA56" i="22"/>
  <c r="MA57" i="22"/>
  <c r="MA58" i="22"/>
  <c r="MA59" i="22"/>
  <c r="MA60" i="22"/>
  <c r="MA61" i="22"/>
  <c r="MA62" i="22"/>
  <c r="MA63" i="22"/>
  <c r="MA64" i="22"/>
  <c r="MA65" i="22"/>
  <c r="MA90" i="22"/>
  <c r="LZ13" i="22"/>
  <c r="LZ14" i="22"/>
  <c r="LZ15" i="22"/>
  <c r="LZ16" i="22"/>
  <c r="LZ17" i="22"/>
  <c r="LZ18" i="22"/>
  <c r="LZ19" i="22"/>
  <c r="LZ20" i="22"/>
  <c r="LZ21" i="22"/>
  <c r="LZ22" i="22"/>
  <c r="LZ23" i="22"/>
  <c r="LZ24" i="22"/>
  <c r="LZ25" i="22"/>
  <c r="LZ26" i="22"/>
  <c r="LZ27" i="22"/>
  <c r="LZ28" i="22"/>
  <c r="LZ29" i="22"/>
  <c r="LZ30" i="22"/>
  <c r="LZ31" i="22"/>
  <c r="LZ32" i="22"/>
  <c r="LZ33" i="22"/>
  <c r="LZ34" i="22"/>
  <c r="LZ35" i="22"/>
  <c r="LZ36" i="22"/>
  <c r="LZ37" i="22"/>
  <c r="LZ38" i="22"/>
  <c r="LZ39" i="22"/>
  <c r="LZ40" i="22"/>
  <c r="LZ41" i="22"/>
  <c r="LZ42" i="22"/>
  <c r="LZ43" i="22"/>
  <c r="LZ44" i="22"/>
  <c r="LZ45" i="22"/>
  <c r="LZ46" i="22"/>
  <c r="LZ47" i="22"/>
  <c r="LZ48" i="22"/>
  <c r="LZ49" i="22"/>
  <c r="LZ50" i="22"/>
  <c r="LZ51" i="22"/>
  <c r="LZ52" i="22"/>
  <c r="LZ53" i="22"/>
  <c r="LZ54" i="22"/>
  <c r="LZ55" i="22"/>
  <c r="LZ56" i="22"/>
  <c r="LZ57" i="22"/>
  <c r="LZ58" i="22"/>
  <c r="LZ59" i="22"/>
  <c r="LZ60" i="22"/>
  <c r="LZ61" i="22"/>
  <c r="LZ62" i="22"/>
  <c r="LZ63" i="22"/>
  <c r="LZ64" i="22"/>
  <c r="LZ65" i="22"/>
  <c r="LZ90" i="22"/>
  <c r="LY13" i="22"/>
  <c r="LY14" i="22"/>
  <c r="LY15" i="22"/>
  <c r="LY16" i="22"/>
  <c r="LY17" i="22"/>
  <c r="LY18" i="22"/>
  <c r="LY19" i="22"/>
  <c r="LY20" i="22"/>
  <c r="LY21" i="22"/>
  <c r="LY22" i="22"/>
  <c r="LY23" i="22"/>
  <c r="LY24" i="22"/>
  <c r="LY25" i="22"/>
  <c r="LY26" i="22"/>
  <c r="LY27" i="22"/>
  <c r="LY28" i="22"/>
  <c r="LY29" i="22"/>
  <c r="LY30" i="22"/>
  <c r="LY31" i="22"/>
  <c r="LY32" i="22"/>
  <c r="LY33" i="22"/>
  <c r="LY34" i="22"/>
  <c r="LY35" i="22"/>
  <c r="LY36" i="22"/>
  <c r="LY37" i="22"/>
  <c r="LY38" i="22"/>
  <c r="LY39" i="22"/>
  <c r="LY40" i="22"/>
  <c r="LY41" i="22"/>
  <c r="LY42" i="22"/>
  <c r="LY43" i="22"/>
  <c r="LY44" i="22"/>
  <c r="LY45" i="22"/>
  <c r="LY46" i="22"/>
  <c r="LY47" i="22"/>
  <c r="LY48" i="22"/>
  <c r="LY49" i="22"/>
  <c r="LY50" i="22"/>
  <c r="LY51" i="22"/>
  <c r="LY52" i="22"/>
  <c r="LY53" i="22"/>
  <c r="LY54" i="22"/>
  <c r="LY55" i="22"/>
  <c r="LY56" i="22"/>
  <c r="LY57" i="22"/>
  <c r="LY58" i="22"/>
  <c r="LY59" i="22"/>
  <c r="LY60" i="22"/>
  <c r="LY61" i="22"/>
  <c r="LY62" i="22"/>
  <c r="LY63" i="22"/>
  <c r="LY64" i="22"/>
  <c r="LY65" i="22"/>
  <c r="LY90" i="22"/>
  <c r="LX13" i="22"/>
  <c r="LX14" i="22"/>
  <c r="LX15" i="22"/>
  <c r="LX16" i="22"/>
  <c r="LX17" i="22"/>
  <c r="LX18" i="22"/>
  <c r="LX19" i="22"/>
  <c r="LX20" i="22"/>
  <c r="LX21" i="22"/>
  <c r="LX22" i="22"/>
  <c r="LX23" i="22"/>
  <c r="LX24" i="22"/>
  <c r="LX25" i="22"/>
  <c r="LX26" i="22"/>
  <c r="LX27" i="22"/>
  <c r="LX28" i="22"/>
  <c r="LX29" i="22"/>
  <c r="LX30" i="22"/>
  <c r="LX31" i="22"/>
  <c r="LX32" i="22"/>
  <c r="LX33" i="22"/>
  <c r="LX34" i="22"/>
  <c r="LX35" i="22"/>
  <c r="LX36" i="22"/>
  <c r="LX37" i="22"/>
  <c r="LX38" i="22"/>
  <c r="LX39" i="22"/>
  <c r="LX40" i="22"/>
  <c r="LX41" i="22"/>
  <c r="LX42" i="22"/>
  <c r="LX43" i="22"/>
  <c r="LX44" i="22"/>
  <c r="LX45" i="22"/>
  <c r="LX46" i="22"/>
  <c r="LX47" i="22"/>
  <c r="LX48" i="22"/>
  <c r="LX49" i="22"/>
  <c r="LX50" i="22"/>
  <c r="LX51" i="22"/>
  <c r="LX52" i="22"/>
  <c r="LX53" i="22"/>
  <c r="LX54" i="22"/>
  <c r="LX55" i="22"/>
  <c r="LX56" i="22"/>
  <c r="LX57" i="22"/>
  <c r="LX58" i="22"/>
  <c r="LX59" i="22"/>
  <c r="LX60" i="22"/>
  <c r="LX61" i="22"/>
  <c r="LX62" i="22"/>
  <c r="LX63" i="22"/>
  <c r="LX64" i="22"/>
  <c r="LX65" i="22"/>
  <c r="LX90" i="22"/>
  <c r="LW13" i="22"/>
  <c r="LW14" i="22"/>
  <c r="LW15" i="22"/>
  <c r="LW16" i="22"/>
  <c r="LW17" i="22"/>
  <c r="LW18" i="22"/>
  <c r="LW19" i="22"/>
  <c r="LW20" i="22"/>
  <c r="LW21" i="22"/>
  <c r="LW22" i="22"/>
  <c r="LW23" i="22"/>
  <c r="LW24" i="22"/>
  <c r="LW25" i="22"/>
  <c r="LW26" i="22"/>
  <c r="LW27" i="22"/>
  <c r="LW28" i="22"/>
  <c r="LW29" i="22"/>
  <c r="LW30" i="22"/>
  <c r="LW31" i="22"/>
  <c r="LW32" i="22"/>
  <c r="LW33" i="22"/>
  <c r="LW34" i="22"/>
  <c r="LW35" i="22"/>
  <c r="LW36" i="22"/>
  <c r="LW37" i="22"/>
  <c r="LW38" i="22"/>
  <c r="LW39" i="22"/>
  <c r="LW40" i="22"/>
  <c r="LW41" i="22"/>
  <c r="LW42" i="22"/>
  <c r="LW43" i="22"/>
  <c r="LW44" i="22"/>
  <c r="LW45" i="22"/>
  <c r="LW46" i="22"/>
  <c r="LW47" i="22"/>
  <c r="LW48" i="22"/>
  <c r="LW49" i="22"/>
  <c r="LW50" i="22"/>
  <c r="LW51" i="22"/>
  <c r="LW52" i="22"/>
  <c r="LW53" i="22"/>
  <c r="LW54" i="22"/>
  <c r="LW55" i="22"/>
  <c r="LW56" i="22"/>
  <c r="LW57" i="22"/>
  <c r="LW58" i="22"/>
  <c r="LW59" i="22"/>
  <c r="LW60" i="22"/>
  <c r="LW61" i="22"/>
  <c r="LW62" i="22"/>
  <c r="LW63" i="22"/>
  <c r="LW64" i="22"/>
  <c r="LW65" i="22"/>
  <c r="LW90" i="22"/>
  <c r="LV13" i="22"/>
  <c r="LV14" i="22"/>
  <c r="LV15" i="22"/>
  <c r="LV16" i="22"/>
  <c r="LV17" i="22"/>
  <c r="LV18" i="22"/>
  <c r="LV19" i="22"/>
  <c r="LV20" i="22"/>
  <c r="LV21" i="22"/>
  <c r="LV22" i="22"/>
  <c r="LV23" i="22"/>
  <c r="LV24" i="22"/>
  <c r="LV25" i="22"/>
  <c r="LV26" i="22"/>
  <c r="LV27" i="22"/>
  <c r="LV28" i="22"/>
  <c r="LV29" i="22"/>
  <c r="LV30" i="22"/>
  <c r="LV31" i="22"/>
  <c r="LV32" i="22"/>
  <c r="LV33" i="22"/>
  <c r="LV34" i="22"/>
  <c r="LV35" i="22"/>
  <c r="LV36" i="22"/>
  <c r="LV37" i="22"/>
  <c r="LV38" i="22"/>
  <c r="LV39" i="22"/>
  <c r="LV40" i="22"/>
  <c r="LV41" i="22"/>
  <c r="LV42" i="22"/>
  <c r="LV43" i="22"/>
  <c r="LV44" i="22"/>
  <c r="LV45" i="22"/>
  <c r="LV46" i="22"/>
  <c r="LV47" i="22"/>
  <c r="LV48" i="22"/>
  <c r="LV49" i="22"/>
  <c r="LV50" i="22"/>
  <c r="LV51" i="22"/>
  <c r="LV52" i="22"/>
  <c r="LV53" i="22"/>
  <c r="LV54" i="22"/>
  <c r="LV55" i="22"/>
  <c r="LV56" i="22"/>
  <c r="LV57" i="22"/>
  <c r="LV58" i="22"/>
  <c r="LV59" i="22"/>
  <c r="LV60" i="22"/>
  <c r="LV61" i="22"/>
  <c r="LV62" i="22"/>
  <c r="LV63" i="22"/>
  <c r="LV64" i="22"/>
  <c r="LV65" i="22"/>
  <c r="LV90" i="22"/>
  <c r="LU13" i="22"/>
  <c r="LU14" i="22"/>
  <c r="LU15" i="22"/>
  <c r="LU16" i="22"/>
  <c r="LU17" i="22"/>
  <c r="LU18" i="22"/>
  <c r="LU19" i="22"/>
  <c r="LU20" i="22"/>
  <c r="LU21" i="22"/>
  <c r="LU22" i="22"/>
  <c r="LU23" i="22"/>
  <c r="LU24" i="22"/>
  <c r="LU25" i="22"/>
  <c r="LU26" i="22"/>
  <c r="LU27" i="22"/>
  <c r="LU28" i="22"/>
  <c r="LU29" i="22"/>
  <c r="LU30" i="22"/>
  <c r="LU31" i="22"/>
  <c r="LU32" i="22"/>
  <c r="LU33" i="22"/>
  <c r="LU34" i="22"/>
  <c r="LU35" i="22"/>
  <c r="LU36" i="22"/>
  <c r="LU37" i="22"/>
  <c r="LU38" i="22"/>
  <c r="LU39" i="22"/>
  <c r="LU40" i="22"/>
  <c r="LU41" i="22"/>
  <c r="LU42" i="22"/>
  <c r="LU43" i="22"/>
  <c r="LU44" i="22"/>
  <c r="LU45" i="22"/>
  <c r="LU46" i="22"/>
  <c r="LU47" i="22"/>
  <c r="LU48" i="22"/>
  <c r="LU49" i="22"/>
  <c r="LU50" i="22"/>
  <c r="LU51" i="22"/>
  <c r="LU52" i="22"/>
  <c r="LU53" i="22"/>
  <c r="LU54" i="22"/>
  <c r="LU55" i="22"/>
  <c r="LU56" i="22"/>
  <c r="LU57" i="22"/>
  <c r="LU58" i="22"/>
  <c r="LU59" i="22"/>
  <c r="LU60" i="22"/>
  <c r="LU61" i="22"/>
  <c r="LU62" i="22"/>
  <c r="LU63" i="22"/>
  <c r="LU64" i="22"/>
  <c r="LU65" i="22"/>
  <c r="LU90" i="22"/>
  <c r="LT13" i="22"/>
  <c r="LT14" i="22"/>
  <c r="LT15" i="22"/>
  <c r="LT16" i="22"/>
  <c r="LT17" i="22"/>
  <c r="LT18" i="22"/>
  <c r="LT19" i="22"/>
  <c r="LT20" i="22"/>
  <c r="LT21" i="22"/>
  <c r="LT22" i="22"/>
  <c r="LT23" i="22"/>
  <c r="LT24" i="22"/>
  <c r="LT25" i="22"/>
  <c r="LT26" i="22"/>
  <c r="LT27" i="22"/>
  <c r="LT28" i="22"/>
  <c r="LT29" i="22"/>
  <c r="LT30" i="22"/>
  <c r="LT31" i="22"/>
  <c r="LT32" i="22"/>
  <c r="LT33" i="22"/>
  <c r="LT34" i="22"/>
  <c r="LT35" i="22"/>
  <c r="LT36" i="22"/>
  <c r="LT37" i="22"/>
  <c r="LT38" i="22"/>
  <c r="LT39" i="22"/>
  <c r="LT40" i="22"/>
  <c r="LT41" i="22"/>
  <c r="LT42" i="22"/>
  <c r="LT43" i="22"/>
  <c r="LT44" i="22"/>
  <c r="LT45" i="22"/>
  <c r="LT46" i="22"/>
  <c r="LT47" i="22"/>
  <c r="LT48" i="22"/>
  <c r="LT49" i="22"/>
  <c r="LT50" i="22"/>
  <c r="LT51" i="22"/>
  <c r="LT52" i="22"/>
  <c r="LT53" i="22"/>
  <c r="LT54" i="22"/>
  <c r="LT55" i="22"/>
  <c r="LT56" i="22"/>
  <c r="LT57" i="22"/>
  <c r="LT58" i="22"/>
  <c r="LT59" i="22"/>
  <c r="LT60" i="22"/>
  <c r="LT61" i="22"/>
  <c r="LT62" i="22"/>
  <c r="LT63" i="22"/>
  <c r="LT64" i="22"/>
  <c r="LT65" i="22"/>
  <c r="LT90" i="22"/>
  <c r="LS13" i="22"/>
  <c r="LS14" i="22"/>
  <c r="LS15" i="22"/>
  <c r="LS16" i="22"/>
  <c r="LS17" i="22"/>
  <c r="LS18" i="22"/>
  <c r="LS19" i="22"/>
  <c r="LS20" i="22"/>
  <c r="LS21" i="22"/>
  <c r="LS22" i="22"/>
  <c r="LS23" i="22"/>
  <c r="LS24" i="22"/>
  <c r="LS25" i="22"/>
  <c r="LS26" i="22"/>
  <c r="LS27" i="22"/>
  <c r="LS28" i="22"/>
  <c r="LS29" i="22"/>
  <c r="LS30" i="22"/>
  <c r="LS31" i="22"/>
  <c r="LS32" i="22"/>
  <c r="LS33" i="22"/>
  <c r="LS34" i="22"/>
  <c r="LS35" i="22"/>
  <c r="LS36" i="22"/>
  <c r="LS37" i="22"/>
  <c r="LS38" i="22"/>
  <c r="LS39" i="22"/>
  <c r="LS40" i="22"/>
  <c r="LS41" i="22"/>
  <c r="LS42" i="22"/>
  <c r="LS43" i="22"/>
  <c r="LS44" i="22"/>
  <c r="LS45" i="22"/>
  <c r="LS46" i="22"/>
  <c r="LS47" i="22"/>
  <c r="LS48" i="22"/>
  <c r="LS49" i="22"/>
  <c r="LS50" i="22"/>
  <c r="LS51" i="22"/>
  <c r="LS52" i="22"/>
  <c r="LS53" i="22"/>
  <c r="LS54" i="22"/>
  <c r="LS55" i="22"/>
  <c r="LS56" i="22"/>
  <c r="LS57" i="22"/>
  <c r="LS58" i="22"/>
  <c r="LS59" i="22"/>
  <c r="LS60" i="22"/>
  <c r="LS61" i="22"/>
  <c r="LS62" i="22"/>
  <c r="LS63" i="22"/>
  <c r="LS64" i="22"/>
  <c r="LS65" i="22"/>
  <c r="LS90" i="22"/>
  <c r="LR13" i="22"/>
  <c r="LR14" i="22"/>
  <c r="LR15" i="22"/>
  <c r="LR16" i="22"/>
  <c r="LR17" i="22"/>
  <c r="LR18" i="22"/>
  <c r="LR19" i="22"/>
  <c r="LR20" i="22"/>
  <c r="LR21" i="22"/>
  <c r="LR22" i="22"/>
  <c r="LR23" i="22"/>
  <c r="LR24" i="22"/>
  <c r="LR25" i="22"/>
  <c r="LR26" i="22"/>
  <c r="LR27" i="22"/>
  <c r="LR28" i="22"/>
  <c r="LR29" i="22"/>
  <c r="LR30" i="22"/>
  <c r="LR31" i="22"/>
  <c r="LR32" i="22"/>
  <c r="LR33" i="22"/>
  <c r="LR34" i="22"/>
  <c r="LR35" i="22"/>
  <c r="LR36" i="22"/>
  <c r="LR37" i="22"/>
  <c r="LR38" i="22"/>
  <c r="LR39" i="22"/>
  <c r="LR40" i="22"/>
  <c r="LR41" i="22"/>
  <c r="LR42" i="22"/>
  <c r="LR43" i="22"/>
  <c r="LR44" i="22"/>
  <c r="LR45" i="22"/>
  <c r="LR46" i="22"/>
  <c r="LR47" i="22"/>
  <c r="LR48" i="22"/>
  <c r="LR49" i="22"/>
  <c r="LR50" i="22"/>
  <c r="LR51" i="22"/>
  <c r="LR52" i="22"/>
  <c r="LR53" i="22"/>
  <c r="LR54" i="22"/>
  <c r="LR55" i="22"/>
  <c r="LR56" i="22"/>
  <c r="LR57" i="22"/>
  <c r="LR58" i="22"/>
  <c r="LR59" i="22"/>
  <c r="LR60" i="22"/>
  <c r="LR61" i="22"/>
  <c r="LR62" i="22"/>
  <c r="LR63" i="22"/>
  <c r="LR64" i="22"/>
  <c r="LR65" i="22"/>
  <c r="LR90" i="22"/>
  <c r="LQ13" i="22"/>
  <c r="LQ14" i="22"/>
  <c r="LQ15" i="22"/>
  <c r="LQ16" i="22"/>
  <c r="LQ17" i="22"/>
  <c r="LQ18" i="22"/>
  <c r="LQ19" i="22"/>
  <c r="LQ20" i="22"/>
  <c r="LQ21" i="22"/>
  <c r="LQ22" i="22"/>
  <c r="LQ23" i="22"/>
  <c r="LQ24" i="22"/>
  <c r="LQ25" i="22"/>
  <c r="LQ26" i="22"/>
  <c r="LQ27" i="22"/>
  <c r="LQ28" i="22"/>
  <c r="LQ29" i="22"/>
  <c r="LQ30" i="22"/>
  <c r="LQ31" i="22"/>
  <c r="LQ32" i="22"/>
  <c r="LQ33" i="22"/>
  <c r="LQ34" i="22"/>
  <c r="LQ35" i="22"/>
  <c r="LQ36" i="22"/>
  <c r="LQ37" i="22"/>
  <c r="LQ38" i="22"/>
  <c r="LQ39" i="22"/>
  <c r="LQ40" i="22"/>
  <c r="LQ41" i="22"/>
  <c r="LQ42" i="22"/>
  <c r="LQ43" i="22"/>
  <c r="LQ44" i="22"/>
  <c r="LQ45" i="22"/>
  <c r="LQ46" i="22"/>
  <c r="LQ47" i="22"/>
  <c r="LQ48" i="22"/>
  <c r="LQ49" i="22"/>
  <c r="LQ50" i="22"/>
  <c r="LQ51" i="22"/>
  <c r="LQ52" i="22"/>
  <c r="LQ53" i="22"/>
  <c r="LQ54" i="22"/>
  <c r="LQ55" i="22"/>
  <c r="LQ56" i="22"/>
  <c r="LQ57" i="22"/>
  <c r="LQ58" i="22"/>
  <c r="LQ59" i="22"/>
  <c r="LQ60" i="22"/>
  <c r="LQ61" i="22"/>
  <c r="LQ62" i="22"/>
  <c r="LQ63" i="22"/>
  <c r="LQ64" i="22"/>
  <c r="LQ65" i="22"/>
  <c r="LQ90" i="22"/>
  <c r="LP13" i="22"/>
  <c r="LP14" i="22"/>
  <c r="LP15" i="22"/>
  <c r="LP16" i="22"/>
  <c r="LP17" i="22"/>
  <c r="LP18" i="22"/>
  <c r="LP19" i="22"/>
  <c r="LP20" i="22"/>
  <c r="LP21" i="22"/>
  <c r="LP22" i="22"/>
  <c r="LP23" i="22"/>
  <c r="LP24" i="22"/>
  <c r="LP25" i="22"/>
  <c r="LP26" i="22"/>
  <c r="LP27" i="22"/>
  <c r="LP28" i="22"/>
  <c r="LP29" i="22"/>
  <c r="LP30" i="22"/>
  <c r="LP31" i="22"/>
  <c r="LP32" i="22"/>
  <c r="LP33" i="22"/>
  <c r="LP34" i="22"/>
  <c r="LP35" i="22"/>
  <c r="LP36" i="22"/>
  <c r="LP37" i="22"/>
  <c r="LP38" i="22"/>
  <c r="LP39" i="22"/>
  <c r="LP40" i="22"/>
  <c r="LP41" i="22"/>
  <c r="LP42" i="22"/>
  <c r="LP43" i="22"/>
  <c r="LP44" i="22"/>
  <c r="LP45" i="22"/>
  <c r="LP46" i="22"/>
  <c r="LP47" i="22"/>
  <c r="LP48" i="22"/>
  <c r="LP49" i="22"/>
  <c r="LP50" i="22"/>
  <c r="LP51" i="22"/>
  <c r="LP52" i="22"/>
  <c r="LP53" i="22"/>
  <c r="LP54" i="22"/>
  <c r="LP55" i="22"/>
  <c r="LP56" i="22"/>
  <c r="LP57" i="22"/>
  <c r="LP58" i="22"/>
  <c r="LP59" i="22"/>
  <c r="LP60" i="22"/>
  <c r="LP61" i="22"/>
  <c r="LP62" i="22"/>
  <c r="LP63" i="22"/>
  <c r="LP64" i="22"/>
  <c r="LP65" i="22"/>
  <c r="LP90" i="22"/>
  <c r="LO13" i="22"/>
  <c r="LO14" i="22"/>
  <c r="LO15" i="22"/>
  <c r="LO16" i="22"/>
  <c r="LO17" i="22"/>
  <c r="LO18" i="22"/>
  <c r="LO19" i="22"/>
  <c r="LO20" i="22"/>
  <c r="LO21" i="22"/>
  <c r="LO22" i="22"/>
  <c r="LO23" i="22"/>
  <c r="LO24" i="22"/>
  <c r="LO25" i="22"/>
  <c r="LO26" i="22"/>
  <c r="LO27" i="22"/>
  <c r="LO28" i="22"/>
  <c r="LO29" i="22"/>
  <c r="LO30" i="22"/>
  <c r="LO31" i="22"/>
  <c r="LO32" i="22"/>
  <c r="LO33" i="22"/>
  <c r="LO34" i="22"/>
  <c r="LO35" i="22"/>
  <c r="LO36" i="22"/>
  <c r="LO37" i="22"/>
  <c r="LO38" i="22"/>
  <c r="LO39" i="22"/>
  <c r="LO40" i="22"/>
  <c r="LO41" i="22"/>
  <c r="LO42" i="22"/>
  <c r="LO43" i="22"/>
  <c r="LO44" i="22"/>
  <c r="LO45" i="22"/>
  <c r="LO46" i="22"/>
  <c r="LO47" i="22"/>
  <c r="LO48" i="22"/>
  <c r="LO49" i="22"/>
  <c r="LO50" i="22"/>
  <c r="LO51" i="22"/>
  <c r="LO52" i="22"/>
  <c r="LO53" i="22"/>
  <c r="LO54" i="22"/>
  <c r="LO55" i="22"/>
  <c r="LO56" i="22"/>
  <c r="LO57" i="22"/>
  <c r="LO58" i="22"/>
  <c r="LO59" i="22"/>
  <c r="LO60" i="22"/>
  <c r="LO61" i="22"/>
  <c r="LO62" i="22"/>
  <c r="LO63" i="22"/>
  <c r="LO64" i="22"/>
  <c r="LO65" i="22"/>
  <c r="LO90" i="22"/>
  <c r="LN13" i="22"/>
  <c r="LN14" i="22"/>
  <c r="LN15" i="22"/>
  <c r="LN16" i="22"/>
  <c r="LN17" i="22"/>
  <c r="LN18" i="22"/>
  <c r="LN19" i="22"/>
  <c r="LN20" i="22"/>
  <c r="LN21" i="22"/>
  <c r="LN22" i="22"/>
  <c r="LN23" i="22"/>
  <c r="LN24" i="22"/>
  <c r="LN25" i="22"/>
  <c r="LN26" i="22"/>
  <c r="LN27" i="22"/>
  <c r="LN28" i="22"/>
  <c r="LN29" i="22"/>
  <c r="LN30" i="22"/>
  <c r="LN31" i="22"/>
  <c r="LN32" i="22"/>
  <c r="LN33" i="22"/>
  <c r="LN34" i="22"/>
  <c r="LN35" i="22"/>
  <c r="LN36" i="22"/>
  <c r="LN37" i="22"/>
  <c r="LN38" i="22"/>
  <c r="LN39" i="22"/>
  <c r="LN40" i="22"/>
  <c r="LN41" i="22"/>
  <c r="LN42" i="22"/>
  <c r="LN43" i="22"/>
  <c r="LN44" i="22"/>
  <c r="LN45" i="22"/>
  <c r="LN46" i="22"/>
  <c r="LN47" i="22"/>
  <c r="LN48" i="22"/>
  <c r="LN49" i="22"/>
  <c r="LN50" i="22"/>
  <c r="LN51" i="22"/>
  <c r="LN52" i="22"/>
  <c r="LN53" i="22"/>
  <c r="LN54" i="22"/>
  <c r="LN55" i="22"/>
  <c r="LN56" i="22"/>
  <c r="LN57" i="22"/>
  <c r="LN58" i="22"/>
  <c r="LN59" i="22"/>
  <c r="LN60" i="22"/>
  <c r="LN61" i="22"/>
  <c r="LN62" i="22"/>
  <c r="LN63" i="22"/>
  <c r="LN64" i="22"/>
  <c r="LN65" i="22"/>
  <c r="LN90" i="22"/>
  <c r="LM13" i="22"/>
  <c r="LM14" i="22"/>
  <c r="LM15" i="22"/>
  <c r="LM16" i="22"/>
  <c r="LM17" i="22"/>
  <c r="LM18" i="22"/>
  <c r="LM19" i="22"/>
  <c r="LM20" i="22"/>
  <c r="LM21" i="22"/>
  <c r="LM22" i="22"/>
  <c r="LM23" i="22"/>
  <c r="LM24" i="22"/>
  <c r="LM25" i="22"/>
  <c r="LM26" i="22"/>
  <c r="LM27" i="22"/>
  <c r="LM28" i="22"/>
  <c r="LM29" i="22"/>
  <c r="LM30" i="22"/>
  <c r="LM31" i="22"/>
  <c r="LM32" i="22"/>
  <c r="LM33" i="22"/>
  <c r="LM34" i="22"/>
  <c r="LM35" i="22"/>
  <c r="LM36" i="22"/>
  <c r="LM37" i="22"/>
  <c r="LM38" i="22"/>
  <c r="LM39" i="22"/>
  <c r="LM40" i="22"/>
  <c r="LM41" i="22"/>
  <c r="LM42" i="22"/>
  <c r="LM43" i="22"/>
  <c r="LM44" i="22"/>
  <c r="LM45" i="22"/>
  <c r="LM46" i="22"/>
  <c r="LM47" i="22"/>
  <c r="LM48" i="22"/>
  <c r="LM49" i="22"/>
  <c r="LM50" i="22"/>
  <c r="LM51" i="22"/>
  <c r="LM52" i="22"/>
  <c r="LM53" i="22"/>
  <c r="LM54" i="22"/>
  <c r="LM55" i="22"/>
  <c r="LM56" i="22"/>
  <c r="LM57" i="22"/>
  <c r="LM58" i="22"/>
  <c r="LM59" i="22"/>
  <c r="LM60" i="22"/>
  <c r="LM61" i="22"/>
  <c r="LM62" i="22"/>
  <c r="LM63" i="22"/>
  <c r="LM64" i="22"/>
  <c r="LM65" i="22"/>
  <c r="LM90" i="22"/>
  <c r="LL13" i="22"/>
  <c r="LL14" i="22"/>
  <c r="LL15" i="22"/>
  <c r="LL16" i="22"/>
  <c r="LL17" i="22"/>
  <c r="LL18" i="22"/>
  <c r="LL19" i="22"/>
  <c r="LL20" i="22"/>
  <c r="LL21" i="22"/>
  <c r="LL22" i="22"/>
  <c r="LL23" i="22"/>
  <c r="LL24" i="22"/>
  <c r="LL25" i="22"/>
  <c r="LL26" i="22"/>
  <c r="LL27" i="22"/>
  <c r="LL28" i="22"/>
  <c r="LL29" i="22"/>
  <c r="LL30" i="22"/>
  <c r="LL31" i="22"/>
  <c r="LL32" i="22"/>
  <c r="LL33" i="22"/>
  <c r="LL34" i="22"/>
  <c r="LL35" i="22"/>
  <c r="LL36" i="22"/>
  <c r="LL37" i="22"/>
  <c r="LL38" i="22"/>
  <c r="LL39" i="22"/>
  <c r="LL40" i="22"/>
  <c r="LL41" i="22"/>
  <c r="LL42" i="22"/>
  <c r="LL43" i="22"/>
  <c r="LL44" i="22"/>
  <c r="LL45" i="22"/>
  <c r="LL46" i="22"/>
  <c r="LL47" i="22"/>
  <c r="LL48" i="22"/>
  <c r="LL49" i="22"/>
  <c r="LL50" i="22"/>
  <c r="LL51" i="22"/>
  <c r="LL52" i="22"/>
  <c r="LL53" i="22"/>
  <c r="LL54" i="22"/>
  <c r="LL55" i="22"/>
  <c r="LL56" i="22"/>
  <c r="LL57" i="22"/>
  <c r="LL58" i="22"/>
  <c r="LL59" i="22"/>
  <c r="LL60" i="22"/>
  <c r="LL61" i="22"/>
  <c r="LL62" i="22"/>
  <c r="LL63" i="22"/>
  <c r="LL64" i="22"/>
  <c r="LL65" i="22"/>
  <c r="LL90" i="22"/>
  <c r="LK13" i="22"/>
  <c r="LK14" i="22"/>
  <c r="LK15" i="22"/>
  <c r="LK16" i="22"/>
  <c r="LK17" i="22"/>
  <c r="LK18" i="22"/>
  <c r="LK19" i="22"/>
  <c r="LK20" i="22"/>
  <c r="LK21" i="22"/>
  <c r="LK22" i="22"/>
  <c r="LK23" i="22"/>
  <c r="LK24" i="22"/>
  <c r="LK25" i="22"/>
  <c r="LK26" i="22"/>
  <c r="LK27" i="22"/>
  <c r="LK28" i="22"/>
  <c r="LK29" i="22"/>
  <c r="LK30" i="22"/>
  <c r="LK31" i="22"/>
  <c r="LK32" i="22"/>
  <c r="LK33" i="22"/>
  <c r="LK34" i="22"/>
  <c r="LK35" i="22"/>
  <c r="LK36" i="22"/>
  <c r="LK37" i="22"/>
  <c r="LK38" i="22"/>
  <c r="LK39" i="22"/>
  <c r="LK40" i="22"/>
  <c r="LK41" i="22"/>
  <c r="LK42" i="22"/>
  <c r="LK43" i="22"/>
  <c r="LK44" i="22"/>
  <c r="LK45" i="22"/>
  <c r="LK46" i="22"/>
  <c r="LK47" i="22"/>
  <c r="LK48" i="22"/>
  <c r="LK49" i="22"/>
  <c r="LK50" i="22"/>
  <c r="LK51" i="22"/>
  <c r="LK52" i="22"/>
  <c r="LK53" i="22"/>
  <c r="LK54" i="22"/>
  <c r="LK55" i="22"/>
  <c r="LK56" i="22"/>
  <c r="LK57" i="22"/>
  <c r="LK58" i="22"/>
  <c r="LK59" i="22"/>
  <c r="LK60" i="22"/>
  <c r="LK61" i="22"/>
  <c r="LK62" i="22"/>
  <c r="LK63" i="22"/>
  <c r="LK64" i="22"/>
  <c r="LK65" i="22"/>
  <c r="LK90" i="22"/>
  <c r="LJ13" i="22"/>
  <c r="LJ14" i="22"/>
  <c r="LJ15" i="22"/>
  <c r="LJ16" i="22"/>
  <c r="LJ17" i="22"/>
  <c r="LJ18" i="22"/>
  <c r="LJ19" i="22"/>
  <c r="LJ20" i="22"/>
  <c r="LJ21" i="22"/>
  <c r="LJ22" i="22"/>
  <c r="LJ23" i="22"/>
  <c r="LJ24" i="22"/>
  <c r="LJ25" i="22"/>
  <c r="LJ26" i="22"/>
  <c r="LJ27" i="22"/>
  <c r="LJ28" i="22"/>
  <c r="LJ29" i="22"/>
  <c r="LJ30" i="22"/>
  <c r="LJ31" i="22"/>
  <c r="LJ32" i="22"/>
  <c r="LJ33" i="22"/>
  <c r="LJ34" i="22"/>
  <c r="LJ35" i="22"/>
  <c r="LJ36" i="22"/>
  <c r="LJ37" i="22"/>
  <c r="LJ38" i="22"/>
  <c r="LJ39" i="22"/>
  <c r="LJ40" i="22"/>
  <c r="LJ41" i="22"/>
  <c r="LJ42" i="22"/>
  <c r="LJ43" i="22"/>
  <c r="LJ44" i="22"/>
  <c r="LJ45" i="22"/>
  <c r="LJ46" i="22"/>
  <c r="LJ47" i="22"/>
  <c r="LJ48" i="22"/>
  <c r="LJ49" i="22"/>
  <c r="LJ50" i="22"/>
  <c r="LJ51" i="22"/>
  <c r="LJ52" i="22"/>
  <c r="LJ53" i="22"/>
  <c r="LJ54" i="22"/>
  <c r="LJ55" i="22"/>
  <c r="LJ56" i="22"/>
  <c r="LJ57" i="22"/>
  <c r="LJ58" i="22"/>
  <c r="LJ59" i="22"/>
  <c r="LJ60" i="22"/>
  <c r="LJ61" i="22"/>
  <c r="LJ62" i="22"/>
  <c r="LJ63" i="22"/>
  <c r="LJ64" i="22"/>
  <c r="LJ65" i="22"/>
  <c r="LJ90" i="22"/>
  <c r="LI13" i="22"/>
  <c r="LI14" i="22"/>
  <c r="LI15" i="22"/>
  <c r="LI16" i="22"/>
  <c r="LI17" i="22"/>
  <c r="LI18" i="22"/>
  <c r="LI19" i="22"/>
  <c r="LI20" i="22"/>
  <c r="LI21" i="22"/>
  <c r="LI22" i="22"/>
  <c r="LI23" i="22"/>
  <c r="LI24" i="22"/>
  <c r="LI25" i="22"/>
  <c r="LI26" i="22"/>
  <c r="LI27" i="22"/>
  <c r="LI28" i="22"/>
  <c r="LI29" i="22"/>
  <c r="LI30" i="22"/>
  <c r="LI31" i="22"/>
  <c r="LI32" i="22"/>
  <c r="LI33" i="22"/>
  <c r="LI34" i="22"/>
  <c r="LI35" i="22"/>
  <c r="LI36" i="22"/>
  <c r="LI37" i="22"/>
  <c r="LI38" i="22"/>
  <c r="LI39" i="22"/>
  <c r="LI40" i="22"/>
  <c r="LI41" i="22"/>
  <c r="LI42" i="22"/>
  <c r="LI43" i="22"/>
  <c r="LI44" i="22"/>
  <c r="LI45" i="22"/>
  <c r="LI46" i="22"/>
  <c r="LI47" i="22"/>
  <c r="LI48" i="22"/>
  <c r="LI49" i="22"/>
  <c r="LI50" i="22"/>
  <c r="LI51" i="22"/>
  <c r="LI52" i="22"/>
  <c r="LI53" i="22"/>
  <c r="LI54" i="22"/>
  <c r="LI55" i="22"/>
  <c r="LI56" i="22"/>
  <c r="LI57" i="22"/>
  <c r="LI58" i="22"/>
  <c r="LI59" i="22"/>
  <c r="LI60" i="22"/>
  <c r="LI61" i="22"/>
  <c r="LI62" i="22"/>
  <c r="LI63" i="22"/>
  <c r="LI64" i="22"/>
  <c r="LI65" i="22"/>
  <c r="LI90" i="22"/>
  <c r="LH13" i="22"/>
  <c r="LH14" i="22"/>
  <c r="LH15" i="22"/>
  <c r="LH16" i="22"/>
  <c r="LH17" i="22"/>
  <c r="LH18" i="22"/>
  <c r="LH19" i="22"/>
  <c r="LH20" i="22"/>
  <c r="LH21" i="22"/>
  <c r="LH22" i="22"/>
  <c r="LH23" i="22"/>
  <c r="LH24" i="22"/>
  <c r="LH25" i="22"/>
  <c r="LH26" i="22"/>
  <c r="LH27" i="22"/>
  <c r="LH28" i="22"/>
  <c r="LH29" i="22"/>
  <c r="LH30" i="22"/>
  <c r="LH31" i="22"/>
  <c r="LH32" i="22"/>
  <c r="LH33" i="22"/>
  <c r="LH34" i="22"/>
  <c r="LH35" i="22"/>
  <c r="LH36" i="22"/>
  <c r="LH37" i="22"/>
  <c r="LH38" i="22"/>
  <c r="LH39" i="22"/>
  <c r="LH40" i="22"/>
  <c r="LH41" i="22"/>
  <c r="LH42" i="22"/>
  <c r="LH43" i="22"/>
  <c r="LH44" i="22"/>
  <c r="LH45" i="22"/>
  <c r="LH46" i="22"/>
  <c r="LH47" i="22"/>
  <c r="LH48" i="22"/>
  <c r="LH49" i="22"/>
  <c r="LH50" i="22"/>
  <c r="LH51" i="22"/>
  <c r="LH52" i="22"/>
  <c r="LH53" i="22"/>
  <c r="LH54" i="22"/>
  <c r="LH55" i="22"/>
  <c r="LH56" i="22"/>
  <c r="LH57" i="22"/>
  <c r="LH58" i="22"/>
  <c r="LH59" i="22"/>
  <c r="LH60" i="22"/>
  <c r="LH61" i="22"/>
  <c r="LH62" i="22"/>
  <c r="LH63" i="22"/>
  <c r="LH64" i="22"/>
  <c r="LH65" i="22"/>
  <c r="LH90" i="22"/>
  <c r="LG13" i="22"/>
  <c r="LG14" i="22"/>
  <c r="LG15" i="22"/>
  <c r="LG16" i="22"/>
  <c r="LG17" i="22"/>
  <c r="LG18" i="22"/>
  <c r="LG19" i="22"/>
  <c r="LG20" i="22"/>
  <c r="LG21" i="22"/>
  <c r="LG22" i="22"/>
  <c r="LG23" i="22"/>
  <c r="LG24" i="22"/>
  <c r="LG25" i="22"/>
  <c r="LG26" i="22"/>
  <c r="LG27" i="22"/>
  <c r="LG28" i="22"/>
  <c r="LG29" i="22"/>
  <c r="LG30" i="22"/>
  <c r="LG31" i="22"/>
  <c r="LG32" i="22"/>
  <c r="LG33" i="22"/>
  <c r="LG34" i="22"/>
  <c r="LG35" i="22"/>
  <c r="LG36" i="22"/>
  <c r="LG37" i="22"/>
  <c r="LG38" i="22"/>
  <c r="LG39" i="22"/>
  <c r="LG40" i="22"/>
  <c r="LG41" i="22"/>
  <c r="LG42" i="22"/>
  <c r="LG43" i="22"/>
  <c r="LG44" i="22"/>
  <c r="LG45" i="22"/>
  <c r="LG46" i="22"/>
  <c r="LG47" i="22"/>
  <c r="LG48" i="22"/>
  <c r="LG49" i="22"/>
  <c r="LG50" i="22"/>
  <c r="LG51" i="22"/>
  <c r="LG52" i="22"/>
  <c r="LG53" i="22"/>
  <c r="LG54" i="22"/>
  <c r="LG55" i="22"/>
  <c r="LG56" i="22"/>
  <c r="LG57" i="22"/>
  <c r="LG58" i="22"/>
  <c r="LG59" i="22"/>
  <c r="LG60" i="22"/>
  <c r="LG61" i="22"/>
  <c r="LG62" i="22"/>
  <c r="LG63" i="22"/>
  <c r="LG64" i="22"/>
  <c r="LG65" i="22"/>
  <c r="LG90" i="22"/>
  <c r="LF13" i="22"/>
  <c r="LF14" i="22"/>
  <c r="LF15" i="22"/>
  <c r="LF16" i="22"/>
  <c r="LF17" i="22"/>
  <c r="LF18" i="22"/>
  <c r="LF19" i="22"/>
  <c r="LF20" i="22"/>
  <c r="LF21" i="22"/>
  <c r="LF22" i="22"/>
  <c r="LF23" i="22"/>
  <c r="LF24" i="22"/>
  <c r="LF25" i="22"/>
  <c r="LF26" i="22"/>
  <c r="LF27" i="22"/>
  <c r="LF28" i="22"/>
  <c r="LF29" i="22"/>
  <c r="LF30" i="22"/>
  <c r="LF31" i="22"/>
  <c r="LF32" i="22"/>
  <c r="LF33" i="22"/>
  <c r="LF34" i="22"/>
  <c r="LF35" i="22"/>
  <c r="LF36" i="22"/>
  <c r="LF37" i="22"/>
  <c r="LF38" i="22"/>
  <c r="LF39" i="22"/>
  <c r="LF40" i="22"/>
  <c r="LF41" i="22"/>
  <c r="LF42" i="22"/>
  <c r="LF43" i="22"/>
  <c r="LF44" i="22"/>
  <c r="LF45" i="22"/>
  <c r="LF46" i="22"/>
  <c r="LF47" i="22"/>
  <c r="LF48" i="22"/>
  <c r="LF49" i="22"/>
  <c r="LF50" i="22"/>
  <c r="LF51" i="22"/>
  <c r="LF52" i="22"/>
  <c r="LF53" i="22"/>
  <c r="LF54" i="22"/>
  <c r="LF55" i="22"/>
  <c r="LF56" i="22"/>
  <c r="LF57" i="22"/>
  <c r="LF58" i="22"/>
  <c r="LF59" i="22"/>
  <c r="LF60" i="22"/>
  <c r="LF61" i="22"/>
  <c r="LF62" i="22"/>
  <c r="LF63" i="22"/>
  <c r="LF64" i="22"/>
  <c r="LF65" i="22"/>
  <c r="LF90" i="22"/>
  <c r="LE13" i="22"/>
  <c r="LE14" i="22"/>
  <c r="LE15" i="22"/>
  <c r="LE16" i="22"/>
  <c r="LE17" i="22"/>
  <c r="LE18" i="22"/>
  <c r="LE19" i="22"/>
  <c r="LE20" i="22"/>
  <c r="LE21" i="22"/>
  <c r="LE22" i="22"/>
  <c r="LE23" i="22"/>
  <c r="LE24" i="22"/>
  <c r="LE25" i="22"/>
  <c r="LE26" i="22"/>
  <c r="LE27" i="22"/>
  <c r="LE28" i="22"/>
  <c r="LE29" i="22"/>
  <c r="LE30" i="22"/>
  <c r="LE31" i="22"/>
  <c r="LE32" i="22"/>
  <c r="LE33" i="22"/>
  <c r="LE34" i="22"/>
  <c r="LE35" i="22"/>
  <c r="LE36" i="22"/>
  <c r="LE37" i="22"/>
  <c r="LE38" i="22"/>
  <c r="LE39" i="22"/>
  <c r="LE40" i="22"/>
  <c r="LE41" i="22"/>
  <c r="LE42" i="22"/>
  <c r="LE43" i="22"/>
  <c r="LE44" i="22"/>
  <c r="LE45" i="22"/>
  <c r="LE46" i="22"/>
  <c r="LE47" i="22"/>
  <c r="LE48" i="22"/>
  <c r="LE49" i="22"/>
  <c r="LE50" i="22"/>
  <c r="LE51" i="22"/>
  <c r="LE52" i="22"/>
  <c r="LE53" i="22"/>
  <c r="LE54" i="22"/>
  <c r="LE55" i="22"/>
  <c r="LE56" i="22"/>
  <c r="LE57" i="22"/>
  <c r="LE58" i="22"/>
  <c r="LE59" i="22"/>
  <c r="LE60" i="22"/>
  <c r="LE61" i="22"/>
  <c r="LE62" i="22"/>
  <c r="LE63" i="22"/>
  <c r="LE64" i="22"/>
  <c r="LE65" i="22"/>
  <c r="LE90" i="22"/>
  <c r="LD13" i="22"/>
  <c r="LD14" i="22"/>
  <c r="LD15" i="22"/>
  <c r="LD16" i="22"/>
  <c r="LD17" i="22"/>
  <c r="LD18" i="22"/>
  <c r="LD19" i="22"/>
  <c r="LD20" i="22"/>
  <c r="LD21" i="22"/>
  <c r="LD22" i="22"/>
  <c r="LD23" i="22"/>
  <c r="LD24" i="22"/>
  <c r="LD25" i="22"/>
  <c r="LD26" i="22"/>
  <c r="LD27" i="22"/>
  <c r="LD28" i="22"/>
  <c r="LD29" i="22"/>
  <c r="LD30" i="22"/>
  <c r="LD31" i="22"/>
  <c r="LD32" i="22"/>
  <c r="LD33" i="22"/>
  <c r="LD34" i="22"/>
  <c r="LD35" i="22"/>
  <c r="LD36" i="22"/>
  <c r="LD37" i="22"/>
  <c r="LD38" i="22"/>
  <c r="LD39" i="22"/>
  <c r="LD40" i="22"/>
  <c r="LD41" i="22"/>
  <c r="LD42" i="22"/>
  <c r="LD43" i="22"/>
  <c r="LD44" i="22"/>
  <c r="LD45" i="22"/>
  <c r="LD46" i="22"/>
  <c r="LD47" i="22"/>
  <c r="LD48" i="22"/>
  <c r="LD49" i="22"/>
  <c r="LD50" i="22"/>
  <c r="LD51" i="22"/>
  <c r="LD52" i="22"/>
  <c r="LD53" i="22"/>
  <c r="LD54" i="22"/>
  <c r="LD55" i="22"/>
  <c r="LD56" i="22"/>
  <c r="LD57" i="22"/>
  <c r="LD58" i="22"/>
  <c r="LD59" i="22"/>
  <c r="LD60" i="22"/>
  <c r="LD61" i="22"/>
  <c r="LD62" i="22"/>
  <c r="LD63" i="22"/>
  <c r="LD64" i="22"/>
  <c r="LD65" i="22"/>
  <c r="LD90" i="22"/>
  <c r="LC13" i="22"/>
  <c r="LC14" i="22"/>
  <c r="LC15" i="22"/>
  <c r="LC16" i="22"/>
  <c r="LC17" i="22"/>
  <c r="LC18" i="22"/>
  <c r="LC19" i="22"/>
  <c r="LC20" i="22"/>
  <c r="LC21" i="22"/>
  <c r="LC22" i="22"/>
  <c r="LC23" i="22"/>
  <c r="LC24" i="22"/>
  <c r="LC25" i="22"/>
  <c r="LC26" i="22"/>
  <c r="LC27" i="22"/>
  <c r="LC28" i="22"/>
  <c r="LC29" i="22"/>
  <c r="LC30" i="22"/>
  <c r="LC31" i="22"/>
  <c r="LC32" i="22"/>
  <c r="LC33" i="22"/>
  <c r="LC34" i="22"/>
  <c r="LC35" i="22"/>
  <c r="LC36" i="22"/>
  <c r="LC37" i="22"/>
  <c r="LC38" i="22"/>
  <c r="LC39" i="22"/>
  <c r="LC40" i="22"/>
  <c r="LC41" i="22"/>
  <c r="LC42" i="22"/>
  <c r="LC43" i="22"/>
  <c r="LC44" i="22"/>
  <c r="LC45" i="22"/>
  <c r="LC46" i="22"/>
  <c r="LC47" i="22"/>
  <c r="LC48" i="22"/>
  <c r="LC49" i="22"/>
  <c r="LC50" i="22"/>
  <c r="LC51" i="22"/>
  <c r="LC52" i="22"/>
  <c r="LC53" i="22"/>
  <c r="LC54" i="22"/>
  <c r="LC55" i="22"/>
  <c r="LC56" i="22"/>
  <c r="LC57" i="22"/>
  <c r="LC58" i="22"/>
  <c r="LC59" i="22"/>
  <c r="LC60" i="22"/>
  <c r="LC61" i="22"/>
  <c r="LC62" i="22"/>
  <c r="LC63" i="22"/>
  <c r="LC64" i="22"/>
  <c r="LC65" i="22"/>
  <c r="LC90" i="22"/>
  <c r="LB13" i="22"/>
  <c r="LB14" i="22"/>
  <c r="LB15" i="22"/>
  <c r="LB16" i="22"/>
  <c r="LB17" i="22"/>
  <c r="LB18" i="22"/>
  <c r="LB19" i="22"/>
  <c r="LB20" i="22"/>
  <c r="LB21" i="22"/>
  <c r="LB22" i="22"/>
  <c r="LB23" i="22"/>
  <c r="LB24" i="22"/>
  <c r="LB25" i="22"/>
  <c r="LB26" i="22"/>
  <c r="LB27" i="22"/>
  <c r="LB28" i="22"/>
  <c r="LB29" i="22"/>
  <c r="LB30" i="22"/>
  <c r="LB31" i="22"/>
  <c r="LB32" i="22"/>
  <c r="LB33" i="22"/>
  <c r="LB34" i="22"/>
  <c r="LB35" i="22"/>
  <c r="LB36" i="22"/>
  <c r="LB37" i="22"/>
  <c r="LB38" i="22"/>
  <c r="LB39" i="22"/>
  <c r="LB40" i="22"/>
  <c r="LB41" i="22"/>
  <c r="LB42" i="22"/>
  <c r="LB43" i="22"/>
  <c r="LB44" i="22"/>
  <c r="LB45" i="22"/>
  <c r="LB46" i="22"/>
  <c r="LB47" i="22"/>
  <c r="LB48" i="22"/>
  <c r="LB49" i="22"/>
  <c r="LB50" i="22"/>
  <c r="LB51" i="22"/>
  <c r="LB52" i="22"/>
  <c r="LB53" i="22"/>
  <c r="LB54" i="22"/>
  <c r="LB55" i="22"/>
  <c r="LB56" i="22"/>
  <c r="LB57" i="22"/>
  <c r="LB58" i="22"/>
  <c r="LB59" i="22"/>
  <c r="LB60" i="22"/>
  <c r="LB61" i="22"/>
  <c r="LB62" i="22"/>
  <c r="LB63" i="22"/>
  <c r="LB64" i="22"/>
  <c r="LB65" i="22"/>
  <c r="LB90" i="22"/>
  <c r="LA13" i="22"/>
  <c r="LA14" i="22"/>
  <c r="LA15" i="22"/>
  <c r="LA16" i="22"/>
  <c r="LA17" i="22"/>
  <c r="LA18" i="22"/>
  <c r="LA19" i="22"/>
  <c r="LA20" i="22"/>
  <c r="LA21" i="22"/>
  <c r="LA22" i="22"/>
  <c r="LA23" i="22"/>
  <c r="LA24" i="22"/>
  <c r="LA25" i="22"/>
  <c r="LA26" i="22"/>
  <c r="LA27" i="22"/>
  <c r="LA28" i="22"/>
  <c r="LA29" i="22"/>
  <c r="LA30" i="22"/>
  <c r="LA31" i="22"/>
  <c r="LA32" i="22"/>
  <c r="LA33" i="22"/>
  <c r="LA34" i="22"/>
  <c r="LA35" i="22"/>
  <c r="LA36" i="22"/>
  <c r="LA37" i="22"/>
  <c r="LA38" i="22"/>
  <c r="LA39" i="22"/>
  <c r="LA40" i="22"/>
  <c r="LA41" i="22"/>
  <c r="LA42" i="22"/>
  <c r="LA43" i="22"/>
  <c r="LA44" i="22"/>
  <c r="LA45" i="22"/>
  <c r="LA46" i="22"/>
  <c r="LA47" i="22"/>
  <c r="LA48" i="22"/>
  <c r="LA49" i="22"/>
  <c r="LA50" i="22"/>
  <c r="LA51" i="22"/>
  <c r="LA52" i="22"/>
  <c r="LA53" i="22"/>
  <c r="LA54" i="22"/>
  <c r="LA55" i="22"/>
  <c r="LA56" i="22"/>
  <c r="LA57" i="22"/>
  <c r="LA58" i="22"/>
  <c r="LA59" i="22"/>
  <c r="LA60" i="22"/>
  <c r="LA61" i="22"/>
  <c r="LA62" i="22"/>
  <c r="LA63" i="22"/>
  <c r="LA64" i="22"/>
  <c r="LA65" i="22"/>
  <c r="LA90" i="22"/>
  <c r="KZ13" i="22"/>
  <c r="KZ14" i="22"/>
  <c r="KZ15" i="22"/>
  <c r="KZ16" i="22"/>
  <c r="KZ17" i="22"/>
  <c r="KZ18" i="22"/>
  <c r="KZ19" i="22"/>
  <c r="KZ20" i="22"/>
  <c r="KZ21" i="22"/>
  <c r="KZ22" i="22"/>
  <c r="KZ23" i="22"/>
  <c r="KZ24" i="22"/>
  <c r="KZ25" i="22"/>
  <c r="KZ26" i="22"/>
  <c r="KZ27" i="22"/>
  <c r="KZ28" i="22"/>
  <c r="KZ29" i="22"/>
  <c r="KZ30" i="22"/>
  <c r="KZ31" i="22"/>
  <c r="KZ32" i="22"/>
  <c r="KZ33" i="22"/>
  <c r="KZ34" i="22"/>
  <c r="KZ35" i="22"/>
  <c r="KZ36" i="22"/>
  <c r="KZ37" i="22"/>
  <c r="KZ38" i="22"/>
  <c r="KZ39" i="22"/>
  <c r="KZ40" i="22"/>
  <c r="KZ41" i="22"/>
  <c r="KZ42" i="22"/>
  <c r="KZ43" i="22"/>
  <c r="KZ44" i="22"/>
  <c r="KZ45" i="22"/>
  <c r="KZ46" i="22"/>
  <c r="KZ47" i="22"/>
  <c r="KZ48" i="22"/>
  <c r="KZ49" i="22"/>
  <c r="KZ50" i="22"/>
  <c r="KZ51" i="22"/>
  <c r="KZ52" i="22"/>
  <c r="KZ53" i="22"/>
  <c r="KZ54" i="22"/>
  <c r="KZ55" i="22"/>
  <c r="KZ56" i="22"/>
  <c r="KZ57" i="22"/>
  <c r="KZ58" i="22"/>
  <c r="KZ59" i="22"/>
  <c r="KZ60" i="22"/>
  <c r="KZ61" i="22"/>
  <c r="KZ62" i="22"/>
  <c r="KZ63" i="22"/>
  <c r="KZ64" i="22"/>
  <c r="KZ65" i="22"/>
  <c r="KZ90" i="22"/>
  <c r="KY13" i="22"/>
  <c r="KY14" i="22"/>
  <c r="KY15" i="22"/>
  <c r="KY16" i="22"/>
  <c r="KY17" i="22"/>
  <c r="KY18" i="22"/>
  <c r="KY19" i="22"/>
  <c r="KY20" i="22"/>
  <c r="KY21" i="22"/>
  <c r="KY22" i="22"/>
  <c r="KY23" i="22"/>
  <c r="KY24" i="22"/>
  <c r="KY25" i="22"/>
  <c r="KY26" i="22"/>
  <c r="KY27" i="22"/>
  <c r="KY28" i="22"/>
  <c r="KY29" i="22"/>
  <c r="KY30" i="22"/>
  <c r="KY31" i="22"/>
  <c r="KY32" i="22"/>
  <c r="KY33" i="22"/>
  <c r="KY34" i="22"/>
  <c r="KY35" i="22"/>
  <c r="KY36" i="22"/>
  <c r="KY37" i="22"/>
  <c r="KY38" i="22"/>
  <c r="KY39" i="22"/>
  <c r="KY40" i="22"/>
  <c r="KY41" i="22"/>
  <c r="KY42" i="22"/>
  <c r="KY43" i="22"/>
  <c r="KY44" i="22"/>
  <c r="KY45" i="22"/>
  <c r="KY46" i="22"/>
  <c r="KY47" i="22"/>
  <c r="KY48" i="22"/>
  <c r="KY49" i="22"/>
  <c r="KY50" i="22"/>
  <c r="KY51" i="22"/>
  <c r="KY52" i="22"/>
  <c r="KY53" i="22"/>
  <c r="KY54" i="22"/>
  <c r="KY55" i="22"/>
  <c r="KY56" i="22"/>
  <c r="KY57" i="22"/>
  <c r="KY58" i="22"/>
  <c r="KY59" i="22"/>
  <c r="KY60" i="22"/>
  <c r="KY61" i="22"/>
  <c r="KY62" i="22"/>
  <c r="KY63" i="22"/>
  <c r="KY64" i="22"/>
  <c r="KY65" i="22"/>
  <c r="KY90" i="22"/>
  <c r="KX13" i="22"/>
  <c r="KX14" i="22"/>
  <c r="KX15" i="22"/>
  <c r="KX16" i="22"/>
  <c r="KX17" i="22"/>
  <c r="KX18" i="22"/>
  <c r="KX19" i="22"/>
  <c r="KX20" i="22"/>
  <c r="KX21" i="22"/>
  <c r="KX22" i="22"/>
  <c r="KX23" i="22"/>
  <c r="KX24" i="22"/>
  <c r="KX25" i="22"/>
  <c r="KX26" i="22"/>
  <c r="KX27" i="22"/>
  <c r="KX28" i="22"/>
  <c r="KX29" i="22"/>
  <c r="KX30" i="22"/>
  <c r="KX31" i="22"/>
  <c r="KX32" i="22"/>
  <c r="KX33" i="22"/>
  <c r="KX34" i="22"/>
  <c r="KX35" i="22"/>
  <c r="KX36" i="22"/>
  <c r="KX37" i="22"/>
  <c r="KX38" i="22"/>
  <c r="KX39" i="22"/>
  <c r="KX40" i="22"/>
  <c r="KX41" i="22"/>
  <c r="KX42" i="22"/>
  <c r="KX43" i="22"/>
  <c r="KX44" i="22"/>
  <c r="KX45" i="22"/>
  <c r="KX46" i="22"/>
  <c r="KX47" i="22"/>
  <c r="KX48" i="22"/>
  <c r="KX49" i="22"/>
  <c r="KX50" i="22"/>
  <c r="KX51" i="22"/>
  <c r="KX52" i="22"/>
  <c r="KX53" i="22"/>
  <c r="KX54" i="22"/>
  <c r="KX55" i="22"/>
  <c r="KX56" i="22"/>
  <c r="KX57" i="22"/>
  <c r="KX58" i="22"/>
  <c r="KX59" i="22"/>
  <c r="KX60" i="22"/>
  <c r="KX61" i="22"/>
  <c r="KX62" i="22"/>
  <c r="KX63" i="22"/>
  <c r="KX64" i="22"/>
  <c r="KX65" i="22"/>
  <c r="KX90" i="22"/>
  <c r="KW13" i="22"/>
  <c r="KW14" i="22"/>
  <c r="KW15" i="22"/>
  <c r="KW16" i="22"/>
  <c r="KW17" i="22"/>
  <c r="KW18" i="22"/>
  <c r="KW19" i="22"/>
  <c r="KW20" i="22"/>
  <c r="KW21" i="22"/>
  <c r="KW22" i="22"/>
  <c r="KW23" i="22"/>
  <c r="KW24" i="22"/>
  <c r="KW25" i="22"/>
  <c r="KW26" i="22"/>
  <c r="KW27" i="22"/>
  <c r="KW28" i="22"/>
  <c r="KW29" i="22"/>
  <c r="KW30" i="22"/>
  <c r="KW31" i="22"/>
  <c r="KW32" i="22"/>
  <c r="KW33" i="22"/>
  <c r="KW34" i="22"/>
  <c r="KW35" i="22"/>
  <c r="KW36" i="22"/>
  <c r="KW37" i="22"/>
  <c r="KW38" i="22"/>
  <c r="KW39" i="22"/>
  <c r="KW40" i="22"/>
  <c r="KW41" i="22"/>
  <c r="KW42" i="22"/>
  <c r="KW43" i="22"/>
  <c r="KW44" i="22"/>
  <c r="KW45" i="22"/>
  <c r="KW46" i="22"/>
  <c r="KW47" i="22"/>
  <c r="KW48" i="22"/>
  <c r="KW49" i="22"/>
  <c r="KW50" i="22"/>
  <c r="KW51" i="22"/>
  <c r="KW52" i="22"/>
  <c r="KW53" i="22"/>
  <c r="KW54" i="22"/>
  <c r="KW55" i="22"/>
  <c r="KW56" i="22"/>
  <c r="KW57" i="22"/>
  <c r="KW58" i="22"/>
  <c r="KW59" i="22"/>
  <c r="KW60" i="22"/>
  <c r="KW61" i="22"/>
  <c r="KW62" i="22"/>
  <c r="KW63" i="22"/>
  <c r="KW64" i="22"/>
  <c r="KW65" i="22"/>
  <c r="KW90" i="22"/>
  <c r="KV13" i="22"/>
  <c r="KV14" i="22"/>
  <c r="KV15" i="22"/>
  <c r="KV16" i="22"/>
  <c r="KV17" i="22"/>
  <c r="KV18" i="22"/>
  <c r="KV19" i="22"/>
  <c r="KV20" i="22"/>
  <c r="KV21" i="22"/>
  <c r="KV22" i="22"/>
  <c r="KV23" i="22"/>
  <c r="KV24" i="22"/>
  <c r="KV25" i="22"/>
  <c r="KV26" i="22"/>
  <c r="KV27" i="22"/>
  <c r="KV28" i="22"/>
  <c r="KV29" i="22"/>
  <c r="KV30" i="22"/>
  <c r="KV31" i="22"/>
  <c r="KV32" i="22"/>
  <c r="KV33" i="22"/>
  <c r="KV34" i="22"/>
  <c r="KV35" i="22"/>
  <c r="KV36" i="22"/>
  <c r="KV37" i="22"/>
  <c r="KV38" i="22"/>
  <c r="KV39" i="22"/>
  <c r="KV40" i="22"/>
  <c r="KV41" i="22"/>
  <c r="KV42" i="22"/>
  <c r="KV43" i="22"/>
  <c r="KV44" i="22"/>
  <c r="KV45" i="22"/>
  <c r="KV46" i="22"/>
  <c r="KV47" i="22"/>
  <c r="KV48" i="22"/>
  <c r="KV49" i="22"/>
  <c r="KV50" i="22"/>
  <c r="KV51" i="22"/>
  <c r="KV52" i="22"/>
  <c r="KV53" i="22"/>
  <c r="KV54" i="22"/>
  <c r="KV55" i="22"/>
  <c r="KV56" i="22"/>
  <c r="KV57" i="22"/>
  <c r="KV58" i="22"/>
  <c r="KV59" i="22"/>
  <c r="KV60" i="22"/>
  <c r="KV61" i="22"/>
  <c r="KV62" i="22"/>
  <c r="KV63" i="22"/>
  <c r="KV64" i="22"/>
  <c r="KV65" i="22"/>
  <c r="KV90" i="22"/>
  <c r="KU13" i="22"/>
  <c r="KU14" i="22"/>
  <c r="KU15" i="22"/>
  <c r="KU16" i="22"/>
  <c r="KU17" i="22"/>
  <c r="KU18" i="22"/>
  <c r="KU19" i="22"/>
  <c r="KU20" i="22"/>
  <c r="KU21" i="22"/>
  <c r="KU22" i="22"/>
  <c r="KU23" i="22"/>
  <c r="KU24" i="22"/>
  <c r="KU25" i="22"/>
  <c r="KU26" i="22"/>
  <c r="KU27" i="22"/>
  <c r="KU28" i="22"/>
  <c r="KU29" i="22"/>
  <c r="KU30" i="22"/>
  <c r="KU31" i="22"/>
  <c r="KU32" i="22"/>
  <c r="KU33" i="22"/>
  <c r="KU34" i="22"/>
  <c r="KU35" i="22"/>
  <c r="KU36" i="22"/>
  <c r="KU37" i="22"/>
  <c r="KU38" i="22"/>
  <c r="KU39" i="22"/>
  <c r="KU40" i="22"/>
  <c r="KU41" i="22"/>
  <c r="KU42" i="22"/>
  <c r="KU43" i="22"/>
  <c r="KU44" i="22"/>
  <c r="KU45" i="22"/>
  <c r="KU46" i="22"/>
  <c r="KU47" i="22"/>
  <c r="KU48" i="22"/>
  <c r="KU49" i="22"/>
  <c r="KU50" i="22"/>
  <c r="KU51" i="22"/>
  <c r="KU52" i="22"/>
  <c r="KU53" i="22"/>
  <c r="KU54" i="22"/>
  <c r="KU55" i="22"/>
  <c r="KU56" i="22"/>
  <c r="KU57" i="22"/>
  <c r="KU58" i="22"/>
  <c r="KU59" i="22"/>
  <c r="KU60" i="22"/>
  <c r="KU61" i="22"/>
  <c r="KU62" i="22"/>
  <c r="KU63" i="22"/>
  <c r="KU64" i="22"/>
  <c r="KU65" i="22"/>
  <c r="KU90" i="22"/>
  <c r="KT13" i="22"/>
  <c r="KT14" i="22"/>
  <c r="KT15" i="22"/>
  <c r="KT16" i="22"/>
  <c r="KT17" i="22"/>
  <c r="KT18" i="22"/>
  <c r="KT19" i="22"/>
  <c r="KT20" i="22"/>
  <c r="KT21" i="22"/>
  <c r="KT22" i="22"/>
  <c r="KT23" i="22"/>
  <c r="KT24" i="22"/>
  <c r="KT25" i="22"/>
  <c r="KT26" i="22"/>
  <c r="KT27" i="22"/>
  <c r="KT28" i="22"/>
  <c r="KT29" i="22"/>
  <c r="KT30" i="22"/>
  <c r="KT31" i="22"/>
  <c r="KT32" i="22"/>
  <c r="KT33" i="22"/>
  <c r="KT34" i="22"/>
  <c r="KT35" i="22"/>
  <c r="KT36" i="22"/>
  <c r="KT37" i="22"/>
  <c r="KT38" i="22"/>
  <c r="KT39" i="22"/>
  <c r="KT40" i="22"/>
  <c r="KT41" i="22"/>
  <c r="KT42" i="22"/>
  <c r="KT43" i="22"/>
  <c r="KT44" i="22"/>
  <c r="KT45" i="22"/>
  <c r="KT46" i="22"/>
  <c r="KT47" i="22"/>
  <c r="KT48" i="22"/>
  <c r="KT49" i="22"/>
  <c r="KT50" i="22"/>
  <c r="KT51" i="22"/>
  <c r="KT52" i="22"/>
  <c r="KT53" i="22"/>
  <c r="KT54" i="22"/>
  <c r="KT55" i="22"/>
  <c r="KT56" i="22"/>
  <c r="KT57" i="22"/>
  <c r="KT58" i="22"/>
  <c r="KT59" i="22"/>
  <c r="KT60" i="22"/>
  <c r="KT61" i="22"/>
  <c r="KT62" i="22"/>
  <c r="KT63" i="22"/>
  <c r="KT64" i="22"/>
  <c r="KT65" i="22"/>
  <c r="KT90" i="22"/>
  <c r="KS13" i="22"/>
  <c r="KS14" i="22"/>
  <c r="KS15" i="22"/>
  <c r="KS16" i="22"/>
  <c r="KS17" i="22"/>
  <c r="KS18" i="22"/>
  <c r="KS19" i="22"/>
  <c r="KS20" i="22"/>
  <c r="KS21" i="22"/>
  <c r="KS22" i="22"/>
  <c r="KS23" i="22"/>
  <c r="KS24" i="22"/>
  <c r="KS25" i="22"/>
  <c r="KS26" i="22"/>
  <c r="KS27" i="22"/>
  <c r="KS28" i="22"/>
  <c r="KS29" i="22"/>
  <c r="KS30" i="22"/>
  <c r="KS31" i="22"/>
  <c r="KS32" i="22"/>
  <c r="KS33" i="22"/>
  <c r="KS34" i="22"/>
  <c r="KS35" i="22"/>
  <c r="KS36" i="22"/>
  <c r="KS37" i="22"/>
  <c r="KS38" i="22"/>
  <c r="KS39" i="22"/>
  <c r="KS40" i="22"/>
  <c r="KS41" i="22"/>
  <c r="KS42" i="22"/>
  <c r="KS43" i="22"/>
  <c r="KS44" i="22"/>
  <c r="KS45" i="22"/>
  <c r="KS46" i="22"/>
  <c r="KS47" i="22"/>
  <c r="KS48" i="22"/>
  <c r="KS49" i="22"/>
  <c r="KS50" i="22"/>
  <c r="KS51" i="22"/>
  <c r="KS52" i="22"/>
  <c r="KS53" i="22"/>
  <c r="KS54" i="22"/>
  <c r="KS55" i="22"/>
  <c r="KS56" i="22"/>
  <c r="KS57" i="22"/>
  <c r="KS58" i="22"/>
  <c r="KS59" i="22"/>
  <c r="KS60" i="22"/>
  <c r="KS61" i="22"/>
  <c r="KS62" i="22"/>
  <c r="KS63" i="22"/>
  <c r="KS64" i="22"/>
  <c r="KS65" i="22"/>
  <c r="KS90" i="22"/>
  <c r="KR13" i="22"/>
  <c r="KR14" i="22"/>
  <c r="KR15" i="22"/>
  <c r="KR16" i="22"/>
  <c r="KR17" i="22"/>
  <c r="KR18" i="22"/>
  <c r="KR19" i="22"/>
  <c r="KR20" i="22"/>
  <c r="KR21" i="22"/>
  <c r="KR22" i="22"/>
  <c r="KR23" i="22"/>
  <c r="KR24" i="22"/>
  <c r="KR25" i="22"/>
  <c r="KR26" i="22"/>
  <c r="KR27" i="22"/>
  <c r="KR28" i="22"/>
  <c r="KR29" i="22"/>
  <c r="KR30" i="22"/>
  <c r="KR31" i="22"/>
  <c r="KR32" i="22"/>
  <c r="KR33" i="22"/>
  <c r="KR34" i="22"/>
  <c r="KR35" i="22"/>
  <c r="KR36" i="22"/>
  <c r="KR37" i="22"/>
  <c r="KR38" i="22"/>
  <c r="KR39" i="22"/>
  <c r="KR40" i="22"/>
  <c r="KR41" i="22"/>
  <c r="KR42" i="22"/>
  <c r="KR43" i="22"/>
  <c r="KR44" i="22"/>
  <c r="KR45" i="22"/>
  <c r="KR46" i="22"/>
  <c r="KR47" i="22"/>
  <c r="KR48" i="22"/>
  <c r="KR49" i="22"/>
  <c r="KR50" i="22"/>
  <c r="KR51" i="22"/>
  <c r="KR52" i="22"/>
  <c r="KR53" i="22"/>
  <c r="KR54" i="22"/>
  <c r="KR55" i="22"/>
  <c r="KR56" i="22"/>
  <c r="KR57" i="22"/>
  <c r="KR58" i="22"/>
  <c r="KR59" i="22"/>
  <c r="KR60" i="22"/>
  <c r="KR61" i="22"/>
  <c r="KR62" i="22"/>
  <c r="KR63" i="22"/>
  <c r="KR64" i="22"/>
  <c r="KR65" i="22"/>
  <c r="KR90" i="22"/>
  <c r="KQ13" i="22"/>
  <c r="KQ14" i="22"/>
  <c r="KQ15" i="22"/>
  <c r="KQ16" i="22"/>
  <c r="KQ17" i="22"/>
  <c r="KQ18" i="22"/>
  <c r="KQ19" i="22"/>
  <c r="KQ20" i="22"/>
  <c r="KQ21" i="22"/>
  <c r="KQ22" i="22"/>
  <c r="KQ23" i="22"/>
  <c r="KQ24" i="22"/>
  <c r="KQ25" i="22"/>
  <c r="KQ26" i="22"/>
  <c r="KQ27" i="22"/>
  <c r="KQ28" i="22"/>
  <c r="KQ29" i="22"/>
  <c r="KQ30" i="22"/>
  <c r="KQ31" i="22"/>
  <c r="KQ32" i="22"/>
  <c r="KQ33" i="22"/>
  <c r="KQ34" i="22"/>
  <c r="KQ35" i="22"/>
  <c r="KQ36" i="22"/>
  <c r="KQ37" i="22"/>
  <c r="KQ38" i="22"/>
  <c r="KQ39" i="22"/>
  <c r="KQ40" i="22"/>
  <c r="KQ41" i="22"/>
  <c r="KQ42" i="22"/>
  <c r="KQ43" i="22"/>
  <c r="KQ44" i="22"/>
  <c r="KQ45" i="22"/>
  <c r="KQ46" i="22"/>
  <c r="KQ47" i="22"/>
  <c r="KQ48" i="22"/>
  <c r="KQ49" i="22"/>
  <c r="KQ50" i="22"/>
  <c r="KQ51" i="22"/>
  <c r="KQ52" i="22"/>
  <c r="KQ53" i="22"/>
  <c r="KQ54" i="22"/>
  <c r="KQ55" i="22"/>
  <c r="KQ56" i="22"/>
  <c r="KQ57" i="22"/>
  <c r="KQ58" i="22"/>
  <c r="KQ59" i="22"/>
  <c r="KQ60" i="22"/>
  <c r="KQ61" i="22"/>
  <c r="KQ62" i="22"/>
  <c r="KQ63" i="22"/>
  <c r="KQ64" i="22"/>
  <c r="KQ65" i="22"/>
  <c r="KQ90" i="22"/>
  <c r="KP13" i="22"/>
  <c r="KP14" i="22"/>
  <c r="KP15" i="22"/>
  <c r="KP16" i="22"/>
  <c r="KP17" i="22"/>
  <c r="KP18" i="22"/>
  <c r="KP19" i="22"/>
  <c r="KP20" i="22"/>
  <c r="KP21" i="22"/>
  <c r="KP22" i="22"/>
  <c r="KP23" i="22"/>
  <c r="KP24" i="22"/>
  <c r="KP25" i="22"/>
  <c r="KP26" i="22"/>
  <c r="KP27" i="22"/>
  <c r="KP28" i="22"/>
  <c r="KP29" i="22"/>
  <c r="KP30" i="22"/>
  <c r="KP31" i="22"/>
  <c r="KP32" i="22"/>
  <c r="KP33" i="22"/>
  <c r="KP34" i="22"/>
  <c r="KP35" i="22"/>
  <c r="KP36" i="22"/>
  <c r="KP37" i="22"/>
  <c r="KP38" i="22"/>
  <c r="KP39" i="22"/>
  <c r="KP40" i="22"/>
  <c r="KP41" i="22"/>
  <c r="KP42" i="22"/>
  <c r="KP43" i="22"/>
  <c r="KP44" i="22"/>
  <c r="KP45" i="22"/>
  <c r="KP46" i="22"/>
  <c r="KP47" i="22"/>
  <c r="KP48" i="22"/>
  <c r="KP49" i="22"/>
  <c r="KP50" i="22"/>
  <c r="KP51" i="22"/>
  <c r="KP52" i="22"/>
  <c r="KP53" i="22"/>
  <c r="KP54" i="22"/>
  <c r="KP55" i="22"/>
  <c r="KP56" i="22"/>
  <c r="KP57" i="22"/>
  <c r="KP58" i="22"/>
  <c r="KP59" i="22"/>
  <c r="KP60" i="22"/>
  <c r="KP61" i="22"/>
  <c r="KP62" i="22"/>
  <c r="KP63" i="22"/>
  <c r="KP64" i="22"/>
  <c r="KP65" i="22"/>
  <c r="KP90" i="22"/>
  <c r="KO13" i="22"/>
  <c r="KO14" i="22"/>
  <c r="KO15" i="22"/>
  <c r="KO16" i="22"/>
  <c r="KO17" i="22"/>
  <c r="KO18" i="22"/>
  <c r="KO19" i="22"/>
  <c r="KO20" i="22"/>
  <c r="KO21" i="22"/>
  <c r="KO22" i="22"/>
  <c r="KO23" i="22"/>
  <c r="KO24" i="22"/>
  <c r="KO25" i="22"/>
  <c r="KO26" i="22"/>
  <c r="KO27" i="22"/>
  <c r="KO28" i="22"/>
  <c r="KO29" i="22"/>
  <c r="KO30" i="22"/>
  <c r="KO31" i="22"/>
  <c r="KO32" i="22"/>
  <c r="KO33" i="22"/>
  <c r="KO34" i="22"/>
  <c r="KO35" i="22"/>
  <c r="KO36" i="22"/>
  <c r="KO37" i="22"/>
  <c r="KO38" i="22"/>
  <c r="KO39" i="22"/>
  <c r="KO40" i="22"/>
  <c r="KO41" i="22"/>
  <c r="KO42" i="22"/>
  <c r="KO43" i="22"/>
  <c r="KO44" i="22"/>
  <c r="KO45" i="22"/>
  <c r="KO46" i="22"/>
  <c r="KO47" i="22"/>
  <c r="KO48" i="22"/>
  <c r="KO49" i="22"/>
  <c r="KO50" i="22"/>
  <c r="KO51" i="22"/>
  <c r="KO52" i="22"/>
  <c r="KO53" i="22"/>
  <c r="KO54" i="22"/>
  <c r="KO55" i="22"/>
  <c r="KO56" i="22"/>
  <c r="KO57" i="22"/>
  <c r="KO58" i="22"/>
  <c r="KO59" i="22"/>
  <c r="KO60" i="22"/>
  <c r="KO61" i="22"/>
  <c r="KO62" i="22"/>
  <c r="KO63" i="22"/>
  <c r="KO64" i="22"/>
  <c r="KO65" i="22"/>
  <c r="KO90" i="22"/>
  <c r="KN13" i="22"/>
  <c r="KN14" i="22"/>
  <c r="KN15" i="22"/>
  <c r="KN16" i="22"/>
  <c r="KN17" i="22"/>
  <c r="KN18" i="22"/>
  <c r="KN19" i="22"/>
  <c r="KN20" i="22"/>
  <c r="KN21" i="22"/>
  <c r="KN22" i="22"/>
  <c r="KN23" i="22"/>
  <c r="KN24" i="22"/>
  <c r="KN25" i="22"/>
  <c r="KN26" i="22"/>
  <c r="KN27" i="22"/>
  <c r="KN28" i="22"/>
  <c r="KN29" i="22"/>
  <c r="KN30" i="22"/>
  <c r="KN31" i="22"/>
  <c r="KN32" i="22"/>
  <c r="KN33" i="22"/>
  <c r="KN34" i="22"/>
  <c r="KN35" i="22"/>
  <c r="KN36" i="22"/>
  <c r="KN37" i="22"/>
  <c r="KN38" i="22"/>
  <c r="KN39" i="22"/>
  <c r="KN40" i="22"/>
  <c r="KN41" i="22"/>
  <c r="KN42" i="22"/>
  <c r="KN43" i="22"/>
  <c r="KN44" i="22"/>
  <c r="KN45" i="22"/>
  <c r="KN46" i="22"/>
  <c r="KN47" i="22"/>
  <c r="KN48" i="22"/>
  <c r="KN49" i="22"/>
  <c r="KN50" i="22"/>
  <c r="KN51" i="22"/>
  <c r="KN52" i="22"/>
  <c r="KN53" i="22"/>
  <c r="KN54" i="22"/>
  <c r="KN55" i="22"/>
  <c r="KN56" i="22"/>
  <c r="KN57" i="22"/>
  <c r="KN58" i="22"/>
  <c r="KN59" i="22"/>
  <c r="KN60" i="22"/>
  <c r="KN61" i="22"/>
  <c r="KN62" i="22"/>
  <c r="KN63" i="22"/>
  <c r="KN64" i="22"/>
  <c r="KN65" i="22"/>
  <c r="KN90" i="22"/>
  <c r="KM13" i="22"/>
  <c r="KM14" i="22"/>
  <c r="KM15" i="22"/>
  <c r="KM16" i="22"/>
  <c r="KM17" i="22"/>
  <c r="KM18" i="22"/>
  <c r="KM19" i="22"/>
  <c r="KM20" i="22"/>
  <c r="KM21" i="22"/>
  <c r="KM22" i="22"/>
  <c r="KM23" i="22"/>
  <c r="KM24" i="22"/>
  <c r="KM25" i="22"/>
  <c r="KM26" i="22"/>
  <c r="KM27" i="22"/>
  <c r="KM28" i="22"/>
  <c r="KM29" i="22"/>
  <c r="KM30" i="22"/>
  <c r="KM31" i="22"/>
  <c r="KM32" i="22"/>
  <c r="KM33" i="22"/>
  <c r="KM34" i="22"/>
  <c r="KM35" i="22"/>
  <c r="KM36" i="22"/>
  <c r="KM37" i="22"/>
  <c r="KM38" i="22"/>
  <c r="KM39" i="22"/>
  <c r="KM40" i="22"/>
  <c r="KM41" i="22"/>
  <c r="KM42" i="22"/>
  <c r="KM43" i="22"/>
  <c r="KM44" i="22"/>
  <c r="KM45" i="22"/>
  <c r="KM46" i="22"/>
  <c r="KM47" i="22"/>
  <c r="KM48" i="22"/>
  <c r="KM49" i="22"/>
  <c r="KM50" i="22"/>
  <c r="KM51" i="22"/>
  <c r="KM52" i="22"/>
  <c r="KM53" i="22"/>
  <c r="KM54" i="22"/>
  <c r="KM55" i="22"/>
  <c r="KM56" i="22"/>
  <c r="KM57" i="22"/>
  <c r="KM58" i="22"/>
  <c r="KM59" i="22"/>
  <c r="KM60" i="22"/>
  <c r="KM61" i="22"/>
  <c r="KM62" i="22"/>
  <c r="KM63" i="22"/>
  <c r="KM64" i="22"/>
  <c r="KM65" i="22"/>
  <c r="KM90" i="22"/>
  <c r="KL13" i="22"/>
  <c r="KL14" i="22"/>
  <c r="KL15" i="22"/>
  <c r="KL16" i="22"/>
  <c r="KL17" i="22"/>
  <c r="KL18" i="22"/>
  <c r="KL19" i="22"/>
  <c r="KL20" i="22"/>
  <c r="KL21" i="22"/>
  <c r="KL22" i="22"/>
  <c r="KL23" i="22"/>
  <c r="KL24" i="22"/>
  <c r="KL25" i="22"/>
  <c r="KL26" i="22"/>
  <c r="KL27" i="22"/>
  <c r="KL28" i="22"/>
  <c r="KL29" i="22"/>
  <c r="KL30" i="22"/>
  <c r="KL31" i="22"/>
  <c r="KL32" i="22"/>
  <c r="KL33" i="22"/>
  <c r="KL34" i="22"/>
  <c r="KL35" i="22"/>
  <c r="KL36" i="22"/>
  <c r="KL37" i="22"/>
  <c r="KL38" i="22"/>
  <c r="KL39" i="22"/>
  <c r="KL40" i="22"/>
  <c r="KL41" i="22"/>
  <c r="KL42" i="22"/>
  <c r="KL43" i="22"/>
  <c r="KL44" i="22"/>
  <c r="KL45" i="22"/>
  <c r="KL46" i="22"/>
  <c r="KL47" i="22"/>
  <c r="KL48" i="22"/>
  <c r="KL49" i="22"/>
  <c r="KL50" i="22"/>
  <c r="KL51" i="22"/>
  <c r="KL52" i="22"/>
  <c r="KL53" i="22"/>
  <c r="KL54" i="22"/>
  <c r="KL55" i="22"/>
  <c r="KL56" i="22"/>
  <c r="KL57" i="22"/>
  <c r="KL58" i="22"/>
  <c r="KL59" i="22"/>
  <c r="KL60" i="22"/>
  <c r="KL61" i="22"/>
  <c r="KL62" i="22"/>
  <c r="KL63" i="22"/>
  <c r="KL64" i="22"/>
  <c r="KL65" i="22"/>
  <c r="KL90" i="22"/>
  <c r="KK13" i="22"/>
  <c r="KK14" i="22"/>
  <c r="KK15" i="22"/>
  <c r="KK16" i="22"/>
  <c r="KK17" i="22"/>
  <c r="KK18" i="22"/>
  <c r="KK19" i="22"/>
  <c r="KK20" i="22"/>
  <c r="KK21" i="22"/>
  <c r="KK22" i="22"/>
  <c r="KK23" i="22"/>
  <c r="KK24" i="22"/>
  <c r="KK25" i="22"/>
  <c r="KK26" i="22"/>
  <c r="KK27" i="22"/>
  <c r="KK28" i="22"/>
  <c r="KK29" i="22"/>
  <c r="KK30" i="22"/>
  <c r="KK31" i="22"/>
  <c r="KK32" i="22"/>
  <c r="KK33" i="22"/>
  <c r="KK34" i="22"/>
  <c r="KK35" i="22"/>
  <c r="KK36" i="22"/>
  <c r="KK37" i="22"/>
  <c r="KK38" i="22"/>
  <c r="KK39" i="22"/>
  <c r="KK40" i="22"/>
  <c r="KK41" i="22"/>
  <c r="KK42" i="22"/>
  <c r="KK43" i="22"/>
  <c r="KK44" i="22"/>
  <c r="KK45" i="22"/>
  <c r="KK46" i="22"/>
  <c r="KK47" i="22"/>
  <c r="KK48" i="22"/>
  <c r="KK49" i="22"/>
  <c r="KK50" i="22"/>
  <c r="KK51" i="22"/>
  <c r="KK52" i="22"/>
  <c r="KK53" i="22"/>
  <c r="KK54" i="22"/>
  <c r="KK55" i="22"/>
  <c r="KK56" i="22"/>
  <c r="KK57" i="22"/>
  <c r="KK58" i="22"/>
  <c r="KK59" i="22"/>
  <c r="KK60" i="22"/>
  <c r="KK61" i="22"/>
  <c r="KK62" i="22"/>
  <c r="KK63" i="22"/>
  <c r="KK64" i="22"/>
  <c r="KK65" i="22"/>
  <c r="KK90" i="22"/>
  <c r="KJ13" i="22"/>
  <c r="KJ14" i="22"/>
  <c r="KJ15" i="22"/>
  <c r="KJ16" i="22"/>
  <c r="KJ17" i="22"/>
  <c r="KJ18" i="22"/>
  <c r="KJ19" i="22"/>
  <c r="KJ20" i="22"/>
  <c r="KJ21" i="22"/>
  <c r="KJ22" i="22"/>
  <c r="KJ23" i="22"/>
  <c r="KJ24" i="22"/>
  <c r="KJ25" i="22"/>
  <c r="KJ26" i="22"/>
  <c r="KJ27" i="22"/>
  <c r="KJ28" i="22"/>
  <c r="KJ29" i="22"/>
  <c r="KJ30" i="22"/>
  <c r="KJ31" i="22"/>
  <c r="KJ32" i="22"/>
  <c r="KJ33" i="22"/>
  <c r="KJ34" i="22"/>
  <c r="KJ35" i="22"/>
  <c r="KJ36" i="22"/>
  <c r="KJ37" i="22"/>
  <c r="KJ38" i="22"/>
  <c r="KJ39" i="22"/>
  <c r="KJ40" i="22"/>
  <c r="KJ41" i="22"/>
  <c r="KJ42" i="22"/>
  <c r="KJ43" i="22"/>
  <c r="KJ44" i="22"/>
  <c r="KJ45" i="22"/>
  <c r="KJ46" i="22"/>
  <c r="KJ47" i="22"/>
  <c r="KJ48" i="22"/>
  <c r="KJ49" i="22"/>
  <c r="KJ50" i="22"/>
  <c r="KJ51" i="22"/>
  <c r="KJ52" i="22"/>
  <c r="KJ53" i="22"/>
  <c r="KJ54" i="22"/>
  <c r="KJ55" i="22"/>
  <c r="KJ56" i="22"/>
  <c r="KJ57" i="22"/>
  <c r="KJ58" i="22"/>
  <c r="KJ59" i="22"/>
  <c r="KJ60" i="22"/>
  <c r="KJ61" i="22"/>
  <c r="KJ62" i="22"/>
  <c r="KJ63" i="22"/>
  <c r="KJ64" i="22"/>
  <c r="KJ65" i="22"/>
  <c r="KJ90" i="22"/>
  <c r="KI13" i="22"/>
  <c r="KI14" i="22"/>
  <c r="KI15" i="22"/>
  <c r="KI16" i="22"/>
  <c r="KI17" i="22"/>
  <c r="KI18" i="22"/>
  <c r="KI19" i="22"/>
  <c r="KI20" i="22"/>
  <c r="KI21" i="22"/>
  <c r="KI22" i="22"/>
  <c r="KI23" i="22"/>
  <c r="KI24" i="22"/>
  <c r="KI25" i="22"/>
  <c r="KI26" i="22"/>
  <c r="KI27" i="22"/>
  <c r="KI28" i="22"/>
  <c r="KI29" i="22"/>
  <c r="KI30" i="22"/>
  <c r="KI31" i="22"/>
  <c r="KI32" i="22"/>
  <c r="KI33" i="22"/>
  <c r="KI34" i="22"/>
  <c r="KI35" i="22"/>
  <c r="KI36" i="22"/>
  <c r="KI37" i="22"/>
  <c r="KI38" i="22"/>
  <c r="KI39" i="22"/>
  <c r="KI40" i="22"/>
  <c r="KI41" i="22"/>
  <c r="KI42" i="22"/>
  <c r="KI43" i="22"/>
  <c r="KI44" i="22"/>
  <c r="KI45" i="22"/>
  <c r="KI46" i="22"/>
  <c r="KI47" i="22"/>
  <c r="KI48" i="22"/>
  <c r="KI49" i="22"/>
  <c r="KI50" i="22"/>
  <c r="KI51" i="22"/>
  <c r="KI52" i="22"/>
  <c r="KI53" i="22"/>
  <c r="KI54" i="22"/>
  <c r="KI55" i="22"/>
  <c r="KI56" i="22"/>
  <c r="KI57" i="22"/>
  <c r="KI58" i="22"/>
  <c r="KI59" i="22"/>
  <c r="KI60" i="22"/>
  <c r="KI61" i="22"/>
  <c r="KI62" i="22"/>
  <c r="KI63" i="22"/>
  <c r="KI64" i="22"/>
  <c r="KI65" i="22"/>
  <c r="KI90" i="22"/>
  <c r="KH13" i="22"/>
  <c r="KH14" i="22"/>
  <c r="KH15" i="22"/>
  <c r="KH16" i="22"/>
  <c r="KH17" i="22"/>
  <c r="KH18" i="22"/>
  <c r="KH19" i="22"/>
  <c r="KH20" i="22"/>
  <c r="KH21" i="22"/>
  <c r="KH22" i="22"/>
  <c r="KH23" i="22"/>
  <c r="KH24" i="22"/>
  <c r="KH25" i="22"/>
  <c r="KH26" i="22"/>
  <c r="KH27" i="22"/>
  <c r="KH28" i="22"/>
  <c r="KH29" i="22"/>
  <c r="KH30" i="22"/>
  <c r="KH31" i="22"/>
  <c r="KH32" i="22"/>
  <c r="KH33" i="22"/>
  <c r="KH34" i="22"/>
  <c r="KH35" i="22"/>
  <c r="KH36" i="22"/>
  <c r="KH37" i="22"/>
  <c r="KH38" i="22"/>
  <c r="KH39" i="22"/>
  <c r="KH40" i="22"/>
  <c r="KH41" i="22"/>
  <c r="KH42" i="22"/>
  <c r="KH43" i="22"/>
  <c r="KH44" i="22"/>
  <c r="KH45" i="22"/>
  <c r="KH46" i="22"/>
  <c r="KH47" i="22"/>
  <c r="KH48" i="22"/>
  <c r="KH49" i="22"/>
  <c r="KH50" i="22"/>
  <c r="KH51" i="22"/>
  <c r="KH52" i="22"/>
  <c r="KH53" i="22"/>
  <c r="KH54" i="22"/>
  <c r="KH55" i="22"/>
  <c r="KH56" i="22"/>
  <c r="KH57" i="22"/>
  <c r="KH58" i="22"/>
  <c r="KH59" i="22"/>
  <c r="KH60" i="22"/>
  <c r="KH61" i="22"/>
  <c r="KH62" i="22"/>
  <c r="KH63" i="22"/>
  <c r="KH64" i="22"/>
  <c r="KH65" i="22"/>
  <c r="KH90" i="22"/>
  <c r="KG13" i="22"/>
  <c r="KG14" i="22"/>
  <c r="KG15" i="22"/>
  <c r="KG16" i="22"/>
  <c r="KG17" i="22"/>
  <c r="KG18" i="22"/>
  <c r="KG19" i="22"/>
  <c r="KG20" i="22"/>
  <c r="KG21" i="22"/>
  <c r="KG22" i="22"/>
  <c r="KG23" i="22"/>
  <c r="KG24" i="22"/>
  <c r="KG25" i="22"/>
  <c r="KG26" i="22"/>
  <c r="KG27" i="22"/>
  <c r="KG28" i="22"/>
  <c r="KG29" i="22"/>
  <c r="KG30" i="22"/>
  <c r="KG31" i="22"/>
  <c r="KG32" i="22"/>
  <c r="KG33" i="22"/>
  <c r="KG34" i="22"/>
  <c r="KG35" i="22"/>
  <c r="KG36" i="22"/>
  <c r="KG37" i="22"/>
  <c r="KG38" i="22"/>
  <c r="KG39" i="22"/>
  <c r="KG40" i="22"/>
  <c r="KG41" i="22"/>
  <c r="KG42" i="22"/>
  <c r="KG43" i="22"/>
  <c r="KG44" i="22"/>
  <c r="KG45" i="22"/>
  <c r="KG46" i="22"/>
  <c r="KG47" i="22"/>
  <c r="KG48" i="22"/>
  <c r="KG49" i="22"/>
  <c r="KG50" i="22"/>
  <c r="KG51" i="22"/>
  <c r="KG52" i="22"/>
  <c r="KG53" i="22"/>
  <c r="KG54" i="22"/>
  <c r="KG55" i="22"/>
  <c r="KG56" i="22"/>
  <c r="KG57" i="22"/>
  <c r="KG58" i="22"/>
  <c r="KG59" i="22"/>
  <c r="KG60" i="22"/>
  <c r="KG61" i="22"/>
  <c r="KG62" i="22"/>
  <c r="KG63" i="22"/>
  <c r="KG64" i="22"/>
  <c r="KG65" i="22"/>
  <c r="KG90" i="22"/>
  <c r="KF13" i="22"/>
  <c r="KF14" i="22"/>
  <c r="KF15" i="22"/>
  <c r="KF16" i="22"/>
  <c r="KF17" i="22"/>
  <c r="KF18" i="22"/>
  <c r="KF19" i="22"/>
  <c r="KF20" i="22"/>
  <c r="KF21" i="22"/>
  <c r="KF22" i="22"/>
  <c r="KF23" i="22"/>
  <c r="KF24" i="22"/>
  <c r="KF25" i="22"/>
  <c r="KF26" i="22"/>
  <c r="KF27" i="22"/>
  <c r="KF28" i="22"/>
  <c r="KF29" i="22"/>
  <c r="KF30" i="22"/>
  <c r="KF31" i="22"/>
  <c r="KF32" i="22"/>
  <c r="KF33" i="22"/>
  <c r="KF34" i="22"/>
  <c r="KF35" i="22"/>
  <c r="KF36" i="22"/>
  <c r="KF37" i="22"/>
  <c r="KF38" i="22"/>
  <c r="KF39" i="22"/>
  <c r="KF40" i="22"/>
  <c r="KF41" i="22"/>
  <c r="KF42" i="22"/>
  <c r="KF43" i="22"/>
  <c r="KF44" i="22"/>
  <c r="KF45" i="22"/>
  <c r="KF46" i="22"/>
  <c r="KF47" i="22"/>
  <c r="KF48" i="22"/>
  <c r="KF49" i="22"/>
  <c r="KF50" i="22"/>
  <c r="KF51" i="22"/>
  <c r="KF52" i="22"/>
  <c r="KF53" i="22"/>
  <c r="KF54" i="22"/>
  <c r="KF55" i="22"/>
  <c r="KF56" i="22"/>
  <c r="KF57" i="22"/>
  <c r="KF58" i="22"/>
  <c r="KF59" i="22"/>
  <c r="KF60" i="22"/>
  <c r="KF61" i="22"/>
  <c r="KF62" i="22"/>
  <c r="KF63" i="22"/>
  <c r="KF64" i="22"/>
  <c r="KF65" i="22"/>
  <c r="KF90" i="22"/>
  <c r="KE13" i="22"/>
  <c r="KE14" i="22"/>
  <c r="KE15" i="22"/>
  <c r="KE16" i="22"/>
  <c r="KE17" i="22"/>
  <c r="KE18" i="22"/>
  <c r="KE19" i="22"/>
  <c r="KE20" i="22"/>
  <c r="KE21" i="22"/>
  <c r="KE22" i="22"/>
  <c r="KE23" i="22"/>
  <c r="KE24" i="22"/>
  <c r="KE25" i="22"/>
  <c r="KE26" i="22"/>
  <c r="KE27" i="22"/>
  <c r="KE28" i="22"/>
  <c r="KE29" i="22"/>
  <c r="KE30" i="22"/>
  <c r="KE31" i="22"/>
  <c r="KE32" i="22"/>
  <c r="KE33" i="22"/>
  <c r="KE34" i="22"/>
  <c r="KE35" i="22"/>
  <c r="KE36" i="22"/>
  <c r="KE37" i="22"/>
  <c r="KE38" i="22"/>
  <c r="KE39" i="22"/>
  <c r="KE40" i="22"/>
  <c r="KE41" i="22"/>
  <c r="KE42" i="22"/>
  <c r="KE43" i="22"/>
  <c r="KE44" i="22"/>
  <c r="KE45" i="22"/>
  <c r="KE46" i="22"/>
  <c r="KE47" i="22"/>
  <c r="KE48" i="22"/>
  <c r="KE49" i="22"/>
  <c r="KE50" i="22"/>
  <c r="KE51" i="22"/>
  <c r="KE52" i="22"/>
  <c r="KE53" i="22"/>
  <c r="KE54" i="22"/>
  <c r="KE55" i="22"/>
  <c r="KE56" i="22"/>
  <c r="KE57" i="22"/>
  <c r="KE58" i="22"/>
  <c r="KE59" i="22"/>
  <c r="KE60" i="22"/>
  <c r="KE61" i="22"/>
  <c r="KE62" i="22"/>
  <c r="KE63" i="22"/>
  <c r="KE64" i="22"/>
  <c r="KE65" i="22"/>
  <c r="KE90" i="22"/>
  <c r="KD13" i="22"/>
  <c r="KD14" i="22"/>
  <c r="KD15" i="22"/>
  <c r="KD16" i="22"/>
  <c r="KD17" i="22"/>
  <c r="KD18" i="22"/>
  <c r="KD19" i="22"/>
  <c r="KD20" i="22"/>
  <c r="KD21" i="22"/>
  <c r="KD22" i="22"/>
  <c r="KD23" i="22"/>
  <c r="KD24" i="22"/>
  <c r="KD25" i="22"/>
  <c r="KD26" i="22"/>
  <c r="KD27" i="22"/>
  <c r="KD28" i="22"/>
  <c r="KD29" i="22"/>
  <c r="KD30" i="22"/>
  <c r="KD31" i="22"/>
  <c r="KD32" i="22"/>
  <c r="KD33" i="22"/>
  <c r="KD34" i="22"/>
  <c r="KD35" i="22"/>
  <c r="KD36" i="22"/>
  <c r="KD37" i="22"/>
  <c r="KD38" i="22"/>
  <c r="KD39" i="22"/>
  <c r="KD40" i="22"/>
  <c r="KD41" i="22"/>
  <c r="KD42" i="22"/>
  <c r="KD43" i="22"/>
  <c r="KD44" i="22"/>
  <c r="KD45" i="22"/>
  <c r="KD46" i="22"/>
  <c r="KD47" i="22"/>
  <c r="KD48" i="22"/>
  <c r="KD49" i="22"/>
  <c r="KD50" i="22"/>
  <c r="KD51" i="22"/>
  <c r="KD52" i="22"/>
  <c r="KD53" i="22"/>
  <c r="KD54" i="22"/>
  <c r="KD55" i="22"/>
  <c r="KD56" i="22"/>
  <c r="KD57" i="22"/>
  <c r="KD58" i="22"/>
  <c r="KD59" i="22"/>
  <c r="KD60" i="22"/>
  <c r="KD61" i="22"/>
  <c r="KD62" i="22"/>
  <c r="KD63" i="22"/>
  <c r="KD64" i="22"/>
  <c r="KD65" i="22"/>
  <c r="KD90" i="22"/>
  <c r="KC13" i="22"/>
  <c r="KC14" i="22"/>
  <c r="KC15" i="22"/>
  <c r="KC16" i="22"/>
  <c r="KC17" i="22"/>
  <c r="KC18" i="22"/>
  <c r="KC19" i="22"/>
  <c r="KC20" i="22"/>
  <c r="KC21" i="22"/>
  <c r="KC22" i="22"/>
  <c r="KC23" i="22"/>
  <c r="KC24" i="22"/>
  <c r="KC25" i="22"/>
  <c r="KC26" i="22"/>
  <c r="KC27" i="22"/>
  <c r="KC28" i="22"/>
  <c r="KC29" i="22"/>
  <c r="KC30" i="22"/>
  <c r="KC31" i="22"/>
  <c r="KC32" i="22"/>
  <c r="KC33" i="22"/>
  <c r="KC34" i="22"/>
  <c r="KC35" i="22"/>
  <c r="KC36" i="22"/>
  <c r="KC37" i="22"/>
  <c r="KC38" i="22"/>
  <c r="KC39" i="22"/>
  <c r="KC40" i="22"/>
  <c r="KC41" i="22"/>
  <c r="KC42" i="22"/>
  <c r="KC43" i="22"/>
  <c r="KC44" i="22"/>
  <c r="KC45" i="22"/>
  <c r="KC46" i="22"/>
  <c r="KC47" i="22"/>
  <c r="KC48" i="22"/>
  <c r="KC49" i="22"/>
  <c r="KC50" i="22"/>
  <c r="KC51" i="22"/>
  <c r="KC52" i="22"/>
  <c r="KC53" i="22"/>
  <c r="KC54" i="22"/>
  <c r="KC55" i="22"/>
  <c r="KC56" i="22"/>
  <c r="KC57" i="22"/>
  <c r="KC58" i="22"/>
  <c r="KC59" i="22"/>
  <c r="KC60" i="22"/>
  <c r="KC61" i="22"/>
  <c r="KC62" i="22"/>
  <c r="KC63" i="22"/>
  <c r="KC64" i="22"/>
  <c r="KC65" i="22"/>
  <c r="KC90" i="22"/>
  <c r="KB13" i="22"/>
  <c r="KB14" i="22"/>
  <c r="KB15" i="22"/>
  <c r="KB16" i="22"/>
  <c r="KB17" i="22"/>
  <c r="KB18" i="22"/>
  <c r="KB19" i="22"/>
  <c r="KB20" i="22"/>
  <c r="KB21" i="22"/>
  <c r="KB22" i="22"/>
  <c r="KB23" i="22"/>
  <c r="KB24" i="22"/>
  <c r="KB25" i="22"/>
  <c r="KB26" i="22"/>
  <c r="KB27" i="22"/>
  <c r="KB28" i="22"/>
  <c r="KB29" i="22"/>
  <c r="KB30" i="22"/>
  <c r="KB31" i="22"/>
  <c r="KB32" i="22"/>
  <c r="KB33" i="22"/>
  <c r="KB34" i="22"/>
  <c r="KB35" i="22"/>
  <c r="KB36" i="22"/>
  <c r="KB37" i="22"/>
  <c r="KB38" i="22"/>
  <c r="KB39" i="22"/>
  <c r="KB40" i="22"/>
  <c r="KB41" i="22"/>
  <c r="KB42" i="22"/>
  <c r="KB43" i="22"/>
  <c r="KB44" i="22"/>
  <c r="KB45" i="22"/>
  <c r="KB46" i="22"/>
  <c r="KB47" i="22"/>
  <c r="KB48" i="22"/>
  <c r="KB49" i="22"/>
  <c r="KB50" i="22"/>
  <c r="KB51" i="22"/>
  <c r="KB52" i="22"/>
  <c r="KB53" i="22"/>
  <c r="KB54" i="22"/>
  <c r="KB55" i="22"/>
  <c r="KB56" i="22"/>
  <c r="KB57" i="22"/>
  <c r="KB58" i="22"/>
  <c r="KB59" i="22"/>
  <c r="KB60" i="22"/>
  <c r="KB61" i="22"/>
  <c r="KB62" i="22"/>
  <c r="KB63" i="22"/>
  <c r="KB64" i="22"/>
  <c r="KB65" i="22"/>
  <c r="KB90" i="22"/>
  <c r="KA13" i="22"/>
  <c r="KA14" i="22"/>
  <c r="KA15" i="22"/>
  <c r="KA16" i="22"/>
  <c r="KA17" i="22"/>
  <c r="KA18" i="22"/>
  <c r="KA19" i="22"/>
  <c r="KA20" i="22"/>
  <c r="KA21" i="22"/>
  <c r="KA22" i="22"/>
  <c r="KA23" i="22"/>
  <c r="KA24" i="22"/>
  <c r="KA25" i="22"/>
  <c r="KA26" i="22"/>
  <c r="KA27" i="22"/>
  <c r="KA28" i="22"/>
  <c r="KA29" i="22"/>
  <c r="KA30" i="22"/>
  <c r="KA31" i="22"/>
  <c r="KA32" i="22"/>
  <c r="KA33" i="22"/>
  <c r="KA34" i="22"/>
  <c r="KA35" i="22"/>
  <c r="KA36" i="22"/>
  <c r="KA37" i="22"/>
  <c r="KA38" i="22"/>
  <c r="KA39" i="22"/>
  <c r="KA40" i="22"/>
  <c r="KA41" i="22"/>
  <c r="KA42" i="22"/>
  <c r="KA43" i="22"/>
  <c r="KA44" i="22"/>
  <c r="KA45" i="22"/>
  <c r="KA46" i="22"/>
  <c r="KA47" i="22"/>
  <c r="KA48" i="22"/>
  <c r="KA49" i="22"/>
  <c r="KA50" i="22"/>
  <c r="KA51" i="22"/>
  <c r="KA52" i="22"/>
  <c r="KA53" i="22"/>
  <c r="KA54" i="22"/>
  <c r="KA55" i="22"/>
  <c r="KA56" i="22"/>
  <c r="KA57" i="22"/>
  <c r="KA58" i="22"/>
  <c r="KA59" i="22"/>
  <c r="KA60" i="22"/>
  <c r="KA61" i="22"/>
  <c r="KA62" i="22"/>
  <c r="KA63" i="22"/>
  <c r="KA64" i="22"/>
  <c r="KA65" i="22"/>
  <c r="KA90" i="22"/>
  <c r="JZ13" i="22"/>
  <c r="JZ14" i="22"/>
  <c r="JZ15" i="22"/>
  <c r="JZ16" i="22"/>
  <c r="JZ17" i="22"/>
  <c r="JZ18" i="22"/>
  <c r="JZ19" i="22"/>
  <c r="JZ20" i="22"/>
  <c r="JZ21" i="22"/>
  <c r="JZ22" i="22"/>
  <c r="JZ23" i="22"/>
  <c r="JZ24" i="22"/>
  <c r="JZ25" i="22"/>
  <c r="JZ26" i="22"/>
  <c r="JZ27" i="22"/>
  <c r="JZ28" i="22"/>
  <c r="JZ29" i="22"/>
  <c r="JZ30" i="22"/>
  <c r="JZ31" i="22"/>
  <c r="JZ32" i="22"/>
  <c r="JZ33" i="22"/>
  <c r="JZ34" i="22"/>
  <c r="JZ35" i="22"/>
  <c r="JZ36" i="22"/>
  <c r="JZ37" i="22"/>
  <c r="JZ38" i="22"/>
  <c r="JZ39" i="22"/>
  <c r="JZ40" i="22"/>
  <c r="JZ41" i="22"/>
  <c r="JZ42" i="22"/>
  <c r="JZ43" i="22"/>
  <c r="JZ44" i="22"/>
  <c r="JZ45" i="22"/>
  <c r="JZ46" i="22"/>
  <c r="JZ47" i="22"/>
  <c r="JZ48" i="22"/>
  <c r="JZ49" i="22"/>
  <c r="JZ50" i="22"/>
  <c r="JZ51" i="22"/>
  <c r="JZ52" i="22"/>
  <c r="JZ53" i="22"/>
  <c r="JZ54" i="22"/>
  <c r="JZ55" i="22"/>
  <c r="JZ56" i="22"/>
  <c r="JZ57" i="22"/>
  <c r="JZ58" i="22"/>
  <c r="JZ59" i="22"/>
  <c r="JZ60" i="22"/>
  <c r="JZ61" i="22"/>
  <c r="JZ62" i="22"/>
  <c r="JZ63" i="22"/>
  <c r="JZ64" i="22"/>
  <c r="JZ65" i="22"/>
  <c r="JZ90" i="22"/>
  <c r="JY13" i="22"/>
  <c r="JY14" i="22"/>
  <c r="JY15" i="22"/>
  <c r="JY16" i="22"/>
  <c r="JY17" i="22"/>
  <c r="JY18" i="22"/>
  <c r="JY19" i="22"/>
  <c r="JY20" i="22"/>
  <c r="JY21" i="22"/>
  <c r="JY22" i="22"/>
  <c r="JY23" i="22"/>
  <c r="JY24" i="22"/>
  <c r="JY25" i="22"/>
  <c r="JY26" i="22"/>
  <c r="JY27" i="22"/>
  <c r="JY28" i="22"/>
  <c r="JY29" i="22"/>
  <c r="JY30" i="22"/>
  <c r="JY31" i="22"/>
  <c r="JY32" i="22"/>
  <c r="JY33" i="22"/>
  <c r="JY34" i="22"/>
  <c r="JY35" i="22"/>
  <c r="JY36" i="22"/>
  <c r="JY37" i="22"/>
  <c r="JY38" i="22"/>
  <c r="JY39" i="22"/>
  <c r="JY40" i="22"/>
  <c r="JY41" i="22"/>
  <c r="JY42" i="22"/>
  <c r="JY43" i="22"/>
  <c r="JY44" i="22"/>
  <c r="JY45" i="22"/>
  <c r="JY46" i="22"/>
  <c r="JY47" i="22"/>
  <c r="JY48" i="22"/>
  <c r="JY49" i="22"/>
  <c r="JY50" i="22"/>
  <c r="JY51" i="22"/>
  <c r="JY52" i="22"/>
  <c r="JY53" i="22"/>
  <c r="JY54" i="22"/>
  <c r="JY55" i="22"/>
  <c r="JY56" i="22"/>
  <c r="JY57" i="22"/>
  <c r="JY58" i="22"/>
  <c r="JY59" i="22"/>
  <c r="JY60" i="22"/>
  <c r="JY61" i="22"/>
  <c r="JY62" i="22"/>
  <c r="JY63" i="22"/>
  <c r="JY64" i="22"/>
  <c r="JY65" i="22"/>
  <c r="JY90" i="22"/>
  <c r="JX13" i="22"/>
  <c r="JX14" i="22"/>
  <c r="JX15" i="22"/>
  <c r="JX16" i="22"/>
  <c r="JX17" i="22"/>
  <c r="JX18" i="22"/>
  <c r="JX19" i="22"/>
  <c r="JX20" i="22"/>
  <c r="JX21" i="22"/>
  <c r="JX22" i="22"/>
  <c r="JX23" i="22"/>
  <c r="JX24" i="22"/>
  <c r="JX25" i="22"/>
  <c r="JX26" i="22"/>
  <c r="JX27" i="22"/>
  <c r="JX28" i="22"/>
  <c r="JX29" i="22"/>
  <c r="JX30" i="22"/>
  <c r="JX31" i="22"/>
  <c r="JX32" i="22"/>
  <c r="JX33" i="22"/>
  <c r="JX34" i="22"/>
  <c r="JX35" i="22"/>
  <c r="JX36" i="22"/>
  <c r="JX37" i="22"/>
  <c r="JX38" i="22"/>
  <c r="JX39" i="22"/>
  <c r="JX40" i="22"/>
  <c r="JX41" i="22"/>
  <c r="JX42" i="22"/>
  <c r="JX43" i="22"/>
  <c r="JX44" i="22"/>
  <c r="JX45" i="22"/>
  <c r="JX46" i="22"/>
  <c r="JX47" i="22"/>
  <c r="JX48" i="22"/>
  <c r="JX49" i="22"/>
  <c r="JX50" i="22"/>
  <c r="JX51" i="22"/>
  <c r="JX52" i="22"/>
  <c r="JX53" i="22"/>
  <c r="JX54" i="22"/>
  <c r="JX55" i="22"/>
  <c r="JX56" i="22"/>
  <c r="JX57" i="22"/>
  <c r="JX58" i="22"/>
  <c r="JX59" i="22"/>
  <c r="JX60" i="22"/>
  <c r="JX61" i="22"/>
  <c r="JX62" i="22"/>
  <c r="JX63" i="22"/>
  <c r="JX64" i="22"/>
  <c r="JX65" i="22"/>
  <c r="JX90" i="22"/>
  <c r="JW13" i="22"/>
  <c r="JW14" i="22"/>
  <c r="JW15" i="22"/>
  <c r="JW16" i="22"/>
  <c r="JW17" i="22"/>
  <c r="JW18" i="22"/>
  <c r="JW19" i="22"/>
  <c r="JW20" i="22"/>
  <c r="JW21" i="22"/>
  <c r="JW22" i="22"/>
  <c r="JW23" i="22"/>
  <c r="JW24" i="22"/>
  <c r="JW25" i="22"/>
  <c r="JW26" i="22"/>
  <c r="JW27" i="22"/>
  <c r="JW28" i="22"/>
  <c r="JW29" i="22"/>
  <c r="JW30" i="22"/>
  <c r="JW31" i="22"/>
  <c r="JW32" i="22"/>
  <c r="JW33" i="22"/>
  <c r="JW34" i="22"/>
  <c r="JW35" i="22"/>
  <c r="JW36" i="22"/>
  <c r="JW37" i="22"/>
  <c r="JW38" i="22"/>
  <c r="JW39" i="22"/>
  <c r="JW40" i="22"/>
  <c r="JW41" i="22"/>
  <c r="JW42" i="22"/>
  <c r="JW43" i="22"/>
  <c r="JW44" i="22"/>
  <c r="JW45" i="22"/>
  <c r="JW46" i="22"/>
  <c r="JW47" i="22"/>
  <c r="JW48" i="22"/>
  <c r="JW49" i="22"/>
  <c r="JW50" i="22"/>
  <c r="JW51" i="22"/>
  <c r="JW52" i="22"/>
  <c r="JW53" i="22"/>
  <c r="JW54" i="22"/>
  <c r="JW55" i="22"/>
  <c r="JW56" i="22"/>
  <c r="JW57" i="22"/>
  <c r="JW58" i="22"/>
  <c r="JW59" i="22"/>
  <c r="JW60" i="22"/>
  <c r="JW61" i="22"/>
  <c r="JW62" i="22"/>
  <c r="JW63" i="22"/>
  <c r="JW64" i="22"/>
  <c r="JW65" i="22"/>
  <c r="JW90" i="22"/>
  <c r="JV13" i="22"/>
  <c r="JV14" i="22"/>
  <c r="JV15" i="22"/>
  <c r="JV16" i="22"/>
  <c r="JV17" i="22"/>
  <c r="JV18" i="22"/>
  <c r="JV19" i="22"/>
  <c r="JV20" i="22"/>
  <c r="JV21" i="22"/>
  <c r="JV22" i="22"/>
  <c r="JV23" i="22"/>
  <c r="JV24" i="22"/>
  <c r="JV25" i="22"/>
  <c r="JV26" i="22"/>
  <c r="JV27" i="22"/>
  <c r="JV28" i="22"/>
  <c r="JV29" i="22"/>
  <c r="JV30" i="22"/>
  <c r="JV31" i="22"/>
  <c r="JV32" i="22"/>
  <c r="JV33" i="22"/>
  <c r="JV34" i="22"/>
  <c r="JV35" i="22"/>
  <c r="JV36" i="22"/>
  <c r="JV37" i="22"/>
  <c r="JV38" i="22"/>
  <c r="JV39" i="22"/>
  <c r="JV40" i="22"/>
  <c r="JV41" i="22"/>
  <c r="JV42" i="22"/>
  <c r="JV43" i="22"/>
  <c r="JV44" i="22"/>
  <c r="JV45" i="22"/>
  <c r="JV46" i="22"/>
  <c r="JV47" i="22"/>
  <c r="JV48" i="22"/>
  <c r="JV49" i="22"/>
  <c r="JV50" i="22"/>
  <c r="JV51" i="22"/>
  <c r="JV52" i="22"/>
  <c r="JV53" i="22"/>
  <c r="JV54" i="22"/>
  <c r="JV55" i="22"/>
  <c r="JV56" i="22"/>
  <c r="JV57" i="22"/>
  <c r="JV58" i="22"/>
  <c r="JV59" i="22"/>
  <c r="JV60" i="22"/>
  <c r="JV61" i="22"/>
  <c r="JV62" i="22"/>
  <c r="JV63" i="22"/>
  <c r="JV64" i="22"/>
  <c r="JV65" i="22"/>
  <c r="JV90" i="22"/>
  <c r="JU13" i="22"/>
  <c r="JU14" i="22"/>
  <c r="JU15" i="22"/>
  <c r="JU16" i="22"/>
  <c r="JU17" i="22"/>
  <c r="JU18" i="22"/>
  <c r="JU19" i="22"/>
  <c r="JU20" i="22"/>
  <c r="JU21" i="22"/>
  <c r="JU22" i="22"/>
  <c r="JU23" i="22"/>
  <c r="JU24" i="22"/>
  <c r="JU25" i="22"/>
  <c r="JU26" i="22"/>
  <c r="JU27" i="22"/>
  <c r="JU28" i="22"/>
  <c r="JU29" i="22"/>
  <c r="JU30" i="22"/>
  <c r="JU31" i="22"/>
  <c r="JU32" i="22"/>
  <c r="JU33" i="22"/>
  <c r="JU34" i="22"/>
  <c r="JU35" i="22"/>
  <c r="JU36" i="22"/>
  <c r="JU37" i="22"/>
  <c r="JU38" i="22"/>
  <c r="JU39" i="22"/>
  <c r="JU40" i="22"/>
  <c r="JU41" i="22"/>
  <c r="JU42" i="22"/>
  <c r="JU43" i="22"/>
  <c r="JU44" i="22"/>
  <c r="JU45" i="22"/>
  <c r="JU46" i="22"/>
  <c r="JU47" i="22"/>
  <c r="JU48" i="22"/>
  <c r="JU49" i="22"/>
  <c r="JU50" i="22"/>
  <c r="JU51" i="22"/>
  <c r="JU52" i="22"/>
  <c r="JU53" i="22"/>
  <c r="JU54" i="22"/>
  <c r="JU55" i="22"/>
  <c r="JU56" i="22"/>
  <c r="JU57" i="22"/>
  <c r="JU58" i="22"/>
  <c r="JU59" i="22"/>
  <c r="JU60" i="22"/>
  <c r="JU61" i="22"/>
  <c r="JU62" i="22"/>
  <c r="JU63" i="22"/>
  <c r="JU64" i="22"/>
  <c r="JU65" i="22"/>
  <c r="JU90" i="22"/>
  <c r="JT13" i="22"/>
  <c r="JT14" i="22"/>
  <c r="JT15" i="22"/>
  <c r="JT16" i="22"/>
  <c r="JT17" i="22"/>
  <c r="JT18" i="22"/>
  <c r="JT19" i="22"/>
  <c r="JT20" i="22"/>
  <c r="JT21" i="22"/>
  <c r="JT22" i="22"/>
  <c r="JT23" i="22"/>
  <c r="JT24" i="22"/>
  <c r="JT25" i="22"/>
  <c r="JT26" i="22"/>
  <c r="JT27" i="22"/>
  <c r="JT28" i="22"/>
  <c r="JT29" i="22"/>
  <c r="JT30" i="22"/>
  <c r="JT31" i="22"/>
  <c r="JT32" i="22"/>
  <c r="JT33" i="22"/>
  <c r="JT34" i="22"/>
  <c r="JT35" i="22"/>
  <c r="JT36" i="22"/>
  <c r="JT37" i="22"/>
  <c r="JT38" i="22"/>
  <c r="JT39" i="22"/>
  <c r="JT40" i="22"/>
  <c r="JT41" i="22"/>
  <c r="JT42" i="22"/>
  <c r="JT43" i="22"/>
  <c r="JT44" i="22"/>
  <c r="JT45" i="22"/>
  <c r="JT46" i="22"/>
  <c r="JT47" i="22"/>
  <c r="JT48" i="22"/>
  <c r="JT49" i="22"/>
  <c r="JT50" i="22"/>
  <c r="JT51" i="22"/>
  <c r="JT52" i="22"/>
  <c r="JT53" i="22"/>
  <c r="JT54" i="22"/>
  <c r="JT55" i="22"/>
  <c r="JT56" i="22"/>
  <c r="JT57" i="22"/>
  <c r="JT58" i="22"/>
  <c r="JT59" i="22"/>
  <c r="JT60" i="22"/>
  <c r="JT61" i="22"/>
  <c r="JT62" i="22"/>
  <c r="JT63" i="22"/>
  <c r="JT64" i="22"/>
  <c r="JT65" i="22"/>
  <c r="JT90" i="22"/>
  <c r="JS13" i="22"/>
  <c r="JS14" i="22"/>
  <c r="JS15" i="22"/>
  <c r="JS16" i="22"/>
  <c r="JS17" i="22"/>
  <c r="JS18" i="22"/>
  <c r="JS19" i="22"/>
  <c r="JS20" i="22"/>
  <c r="JS21" i="22"/>
  <c r="JS22" i="22"/>
  <c r="JS23" i="22"/>
  <c r="JS24" i="22"/>
  <c r="JS25" i="22"/>
  <c r="JS26" i="22"/>
  <c r="JS27" i="22"/>
  <c r="JS28" i="22"/>
  <c r="JS29" i="22"/>
  <c r="JS30" i="22"/>
  <c r="JS31" i="22"/>
  <c r="JS32" i="22"/>
  <c r="JS33" i="22"/>
  <c r="JS34" i="22"/>
  <c r="JS35" i="22"/>
  <c r="JS36" i="22"/>
  <c r="JS37" i="22"/>
  <c r="JS38" i="22"/>
  <c r="JS39" i="22"/>
  <c r="JS40" i="22"/>
  <c r="JS41" i="22"/>
  <c r="JS42" i="22"/>
  <c r="JS43" i="22"/>
  <c r="JS44" i="22"/>
  <c r="JS45" i="22"/>
  <c r="JS46" i="22"/>
  <c r="JS47" i="22"/>
  <c r="JS48" i="22"/>
  <c r="JS49" i="22"/>
  <c r="JS50" i="22"/>
  <c r="JS51" i="22"/>
  <c r="JS52" i="22"/>
  <c r="JS53" i="22"/>
  <c r="JS54" i="22"/>
  <c r="JS55" i="22"/>
  <c r="JS56" i="22"/>
  <c r="JS57" i="22"/>
  <c r="JS58" i="22"/>
  <c r="JS59" i="22"/>
  <c r="JS60" i="22"/>
  <c r="JS61" i="22"/>
  <c r="JS62" i="22"/>
  <c r="JS63" i="22"/>
  <c r="JS64" i="22"/>
  <c r="JS65" i="22"/>
  <c r="JS90" i="22"/>
  <c r="JR13" i="22"/>
  <c r="JR14" i="22"/>
  <c r="JR15" i="22"/>
  <c r="JR16" i="22"/>
  <c r="JR17" i="22"/>
  <c r="JR18" i="22"/>
  <c r="JR19" i="22"/>
  <c r="JR20" i="22"/>
  <c r="JR21" i="22"/>
  <c r="JR22" i="22"/>
  <c r="JR23" i="22"/>
  <c r="JR24" i="22"/>
  <c r="JR25" i="22"/>
  <c r="JR26" i="22"/>
  <c r="JR27" i="22"/>
  <c r="JR28" i="22"/>
  <c r="JR29" i="22"/>
  <c r="JR30" i="22"/>
  <c r="JR31" i="22"/>
  <c r="JR32" i="22"/>
  <c r="JR33" i="22"/>
  <c r="JR34" i="22"/>
  <c r="JR35" i="22"/>
  <c r="JR36" i="22"/>
  <c r="JR37" i="22"/>
  <c r="JR38" i="22"/>
  <c r="JR39" i="22"/>
  <c r="JR40" i="22"/>
  <c r="JR41" i="22"/>
  <c r="JR42" i="22"/>
  <c r="JR43" i="22"/>
  <c r="JR44" i="22"/>
  <c r="JR45" i="22"/>
  <c r="JR46" i="22"/>
  <c r="JR47" i="22"/>
  <c r="JR48" i="22"/>
  <c r="JR49" i="22"/>
  <c r="JR50" i="22"/>
  <c r="JR51" i="22"/>
  <c r="JR52" i="22"/>
  <c r="JR53" i="22"/>
  <c r="JR54" i="22"/>
  <c r="JR55" i="22"/>
  <c r="JR56" i="22"/>
  <c r="JR57" i="22"/>
  <c r="JR58" i="22"/>
  <c r="JR59" i="22"/>
  <c r="JR60" i="22"/>
  <c r="JR61" i="22"/>
  <c r="JR62" i="22"/>
  <c r="JR63" i="22"/>
  <c r="JR64" i="22"/>
  <c r="JR65" i="22"/>
  <c r="JR90" i="22"/>
  <c r="JQ13" i="22"/>
  <c r="JQ14" i="22"/>
  <c r="JQ15" i="22"/>
  <c r="JQ16" i="22"/>
  <c r="JQ17" i="22"/>
  <c r="JQ18" i="22"/>
  <c r="JQ19" i="22"/>
  <c r="JQ20" i="22"/>
  <c r="JQ21" i="22"/>
  <c r="JQ22" i="22"/>
  <c r="JQ23" i="22"/>
  <c r="JQ24" i="22"/>
  <c r="JQ25" i="22"/>
  <c r="JQ26" i="22"/>
  <c r="JQ27" i="22"/>
  <c r="JQ28" i="22"/>
  <c r="JQ29" i="22"/>
  <c r="JQ30" i="22"/>
  <c r="JQ31" i="22"/>
  <c r="JQ32" i="22"/>
  <c r="JQ33" i="22"/>
  <c r="JQ34" i="22"/>
  <c r="JQ35" i="22"/>
  <c r="JQ36" i="22"/>
  <c r="JQ37" i="22"/>
  <c r="JQ38" i="22"/>
  <c r="JQ39" i="22"/>
  <c r="JQ40" i="22"/>
  <c r="JQ41" i="22"/>
  <c r="JQ42" i="22"/>
  <c r="JQ43" i="22"/>
  <c r="JQ44" i="22"/>
  <c r="JQ45" i="22"/>
  <c r="JQ46" i="22"/>
  <c r="JQ47" i="22"/>
  <c r="JQ48" i="22"/>
  <c r="JQ49" i="22"/>
  <c r="JQ50" i="22"/>
  <c r="JQ51" i="22"/>
  <c r="JQ52" i="22"/>
  <c r="JQ53" i="22"/>
  <c r="JQ54" i="22"/>
  <c r="JQ55" i="22"/>
  <c r="JQ56" i="22"/>
  <c r="JQ57" i="22"/>
  <c r="JQ58" i="22"/>
  <c r="JQ59" i="22"/>
  <c r="JQ60" i="22"/>
  <c r="JQ61" i="22"/>
  <c r="JQ62" i="22"/>
  <c r="JQ63" i="22"/>
  <c r="JQ64" i="22"/>
  <c r="JQ65" i="22"/>
  <c r="JQ90" i="22"/>
  <c r="JP13" i="22"/>
  <c r="JP14" i="22"/>
  <c r="JP15" i="22"/>
  <c r="JP16" i="22"/>
  <c r="JP17" i="22"/>
  <c r="JP18" i="22"/>
  <c r="JP19" i="22"/>
  <c r="JP20" i="22"/>
  <c r="JP21" i="22"/>
  <c r="JP22" i="22"/>
  <c r="JP23" i="22"/>
  <c r="JP24" i="22"/>
  <c r="JP25" i="22"/>
  <c r="JP26" i="22"/>
  <c r="JP27" i="22"/>
  <c r="JP28" i="22"/>
  <c r="JP29" i="22"/>
  <c r="JP30" i="22"/>
  <c r="JP31" i="22"/>
  <c r="JP32" i="22"/>
  <c r="JP33" i="22"/>
  <c r="JP34" i="22"/>
  <c r="JP35" i="22"/>
  <c r="JP36" i="22"/>
  <c r="JP37" i="22"/>
  <c r="JP38" i="22"/>
  <c r="JP39" i="22"/>
  <c r="JP40" i="22"/>
  <c r="JP41" i="22"/>
  <c r="JP42" i="22"/>
  <c r="JP43" i="22"/>
  <c r="JP44" i="22"/>
  <c r="JP45" i="22"/>
  <c r="JP46" i="22"/>
  <c r="JP47" i="22"/>
  <c r="JP48" i="22"/>
  <c r="JP49" i="22"/>
  <c r="JP50" i="22"/>
  <c r="JP51" i="22"/>
  <c r="JP52" i="22"/>
  <c r="JP53" i="22"/>
  <c r="JP54" i="22"/>
  <c r="JP55" i="22"/>
  <c r="JP56" i="22"/>
  <c r="JP57" i="22"/>
  <c r="JP58" i="22"/>
  <c r="JP59" i="22"/>
  <c r="JP60" i="22"/>
  <c r="JP61" i="22"/>
  <c r="JP62" i="22"/>
  <c r="JP63" i="22"/>
  <c r="JP64" i="22"/>
  <c r="JP65" i="22"/>
  <c r="JP90" i="22"/>
  <c r="JO13" i="22"/>
  <c r="JO14" i="22"/>
  <c r="JO15" i="22"/>
  <c r="JO16" i="22"/>
  <c r="JO17" i="22"/>
  <c r="JO18" i="22"/>
  <c r="JO19" i="22"/>
  <c r="JO20" i="22"/>
  <c r="JO21" i="22"/>
  <c r="JO22" i="22"/>
  <c r="JO23" i="22"/>
  <c r="JO24" i="22"/>
  <c r="JO25" i="22"/>
  <c r="JO26" i="22"/>
  <c r="JO27" i="22"/>
  <c r="JO28" i="22"/>
  <c r="JO29" i="22"/>
  <c r="JO30" i="22"/>
  <c r="JO31" i="22"/>
  <c r="JO32" i="22"/>
  <c r="JO33" i="22"/>
  <c r="JO34" i="22"/>
  <c r="JO35" i="22"/>
  <c r="JO36" i="22"/>
  <c r="JO37" i="22"/>
  <c r="JO38" i="22"/>
  <c r="JO39" i="22"/>
  <c r="JO40" i="22"/>
  <c r="JO41" i="22"/>
  <c r="JO42" i="22"/>
  <c r="JO43" i="22"/>
  <c r="JO44" i="22"/>
  <c r="JO45" i="22"/>
  <c r="JO46" i="22"/>
  <c r="JO47" i="22"/>
  <c r="JO48" i="22"/>
  <c r="JO49" i="22"/>
  <c r="JO50" i="22"/>
  <c r="JO51" i="22"/>
  <c r="JO52" i="22"/>
  <c r="JO53" i="22"/>
  <c r="JO54" i="22"/>
  <c r="JO55" i="22"/>
  <c r="JO56" i="22"/>
  <c r="JO57" i="22"/>
  <c r="JO58" i="22"/>
  <c r="JO59" i="22"/>
  <c r="JO60" i="22"/>
  <c r="JO61" i="22"/>
  <c r="JO62" i="22"/>
  <c r="JO63" i="22"/>
  <c r="JO64" i="22"/>
  <c r="JO65" i="22"/>
  <c r="JO90" i="22"/>
  <c r="JN13" i="22"/>
  <c r="JN14" i="22"/>
  <c r="JN15" i="22"/>
  <c r="JN16" i="22"/>
  <c r="JN17" i="22"/>
  <c r="JN18" i="22"/>
  <c r="JN19" i="22"/>
  <c r="JN20" i="22"/>
  <c r="JN21" i="22"/>
  <c r="JN22" i="22"/>
  <c r="JN23" i="22"/>
  <c r="JN24" i="22"/>
  <c r="JN25" i="22"/>
  <c r="JN26" i="22"/>
  <c r="JN27" i="22"/>
  <c r="JN28" i="22"/>
  <c r="JN29" i="22"/>
  <c r="JN30" i="22"/>
  <c r="JN31" i="22"/>
  <c r="JN32" i="22"/>
  <c r="JN33" i="22"/>
  <c r="JN34" i="22"/>
  <c r="JN35" i="22"/>
  <c r="JN36" i="22"/>
  <c r="JN37" i="22"/>
  <c r="JN38" i="22"/>
  <c r="JN39" i="22"/>
  <c r="JN40" i="22"/>
  <c r="JN41" i="22"/>
  <c r="JN42" i="22"/>
  <c r="JN43" i="22"/>
  <c r="JN44" i="22"/>
  <c r="JN45" i="22"/>
  <c r="JN46" i="22"/>
  <c r="JN47" i="22"/>
  <c r="JN48" i="22"/>
  <c r="JN49" i="22"/>
  <c r="JN50" i="22"/>
  <c r="JN51" i="22"/>
  <c r="JN52" i="22"/>
  <c r="JN53" i="22"/>
  <c r="JN54" i="22"/>
  <c r="JN55" i="22"/>
  <c r="JN56" i="22"/>
  <c r="JN57" i="22"/>
  <c r="JN58" i="22"/>
  <c r="JN59" i="22"/>
  <c r="JN60" i="22"/>
  <c r="JN61" i="22"/>
  <c r="JN62" i="22"/>
  <c r="JN63" i="22"/>
  <c r="JN64" i="22"/>
  <c r="JN65" i="22"/>
  <c r="JN90" i="22"/>
  <c r="JM13" i="22"/>
  <c r="JM14" i="22"/>
  <c r="JM15" i="22"/>
  <c r="JM16" i="22"/>
  <c r="JM17" i="22"/>
  <c r="JM18" i="22"/>
  <c r="JM19" i="22"/>
  <c r="JM20" i="22"/>
  <c r="JM21" i="22"/>
  <c r="JM22" i="22"/>
  <c r="JM23" i="22"/>
  <c r="JM24" i="22"/>
  <c r="JM25" i="22"/>
  <c r="JM26" i="22"/>
  <c r="JM27" i="22"/>
  <c r="JM28" i="22"/>
  <c r="JM29" i="22"/>
  <c r="JM30" i="22"/>
  <c r="JM31" i="22"/>
  <c r="JM32" i="22"/>
  <c r="JM33" i="22"/>
  <c r="JM34" i="22"/>
  <c r="JM35" i="22"/>
  <c r="JM36" i="22"/>
  <c r="JM37" i="22"/>
  <c r="JM38" i="22"/>
  <c r="JM39" i="22"/>
  <c r="JM40" i="22"/>
  <c r="JM41" i="22"/>
  <c r="JM42" i="22"/>
  <c r="JM43" i="22"/>
  <c r="JM44" i="22"/>
  <c r="JM45" i="22"/>
  <c r="JM46" i="22"/>
  <c r="JM47" i="22"/>
  <c r="JM48" i="22"/>
  <c r="JM49" i="22"/>
  <c r="JM50" i="22"/>
  <c r="JM51" i="22"/>
  <c r="JM52" i="22"/>
  <c r="JM53" i="22"/>
  <c r="JM54" i="22"/>
  <c r="JM55" i="22"/>
  <c r="JM56" i="22"/>
  <c r="JM57" i="22"/>
  <c r="JM58" i="22"/>
  <c r="JM59" i="22"/>
  <c r="JM60" i="22"/>
  <c r="JM61" i="22"/>
  <c r="JM62" i="22"/>
  <c r="JM63" i="22"/>
  <c r="JM64" i="22"/>
  <c r="JM65" i="22"/>
  <c r="JM90" i="22"/>
  <c r="JL13" i="22"/>
  <c r="JL14" i="22"/>
  <c r="JL15" i="22"/>
  <c r="JL16" i="22"/>
  <c r="JL17" i="22"/>
  <c r="JL18" i="22"/>
  <c r="JL19" i="22"/>
  <c r="JL20" i="22"/>
  <c r="JL21" i="22"/>
  <c r="JL22" i="22"/>
  <c r="JL23" i="22"/>
  <c r="JL24" i="22"/>
  <c r="JL25" i="22"/>
  <c r="JL26" i="22"/>
  <c r="JL27" i="22"/>
  <c r="JL28" i="22"/>
  <c r="JL29" i="22"/>
  <c r="JL30" i="22"/>
  <c r="JL31" i="22"/>
  <c r="JL32" i="22"/>
  <c r="JL33" i="22"/>
  <c r="JL34" i="22"/>
  <c r="JL35" i="22"/>
  <c r="JL36" i="22"/>
  <c r="JL37" i="22"/>
  <c r="JL38" i="22"/>
  <c r="JL39" i="22"/>
  <c r="JL40" i="22"/>
  <c r="JL41" i="22"/>
  <c r="JL42" i="22"/>
  <c r="JL43" i="22"/>
  <c r="JL44" i="22"/>
  <c r="JL45" i="22"/>
  <c r="JL46" i="22"/>
  <c r="JL47" i="22"/>
  <c r="JL48" i="22"/>
  <c r="JL49" i="22"/>
  <c r="JL50" i="22"/>
  <c r="JL51" i="22"/>
  <c r="JL52" i="22"/>
  <c r="JL53" i="22"/>
  <c r="JL54" i="22"/>
  <c r="JL55" i="22"/>
  <c r="JL56" i="22"/>
  <c r="JL57" i="22"/>
  <c r="JL58" i="22"/>
  <c r="JL59" i="22"/>
  <c r="JL60" i="22"/>
  <c r="JL61" i="22"/>
  <c r="JL62" i="22"/>
  <c r="JL63" i="22"/>
  <c r="JL64" i="22"/>
  <c r="JL65" i="22"/>
  <c r="JL90" i="22"/>
  <c r="JK13" i="22"/>
  <c r="JK14" i="22"/>
  <c r="JK15" i="22"/>
  <c r="JK16" i="22"/>
  <c r="JK17" i="22"/>
  <c r="JK18" i="22"/>
  <c r="JK19" i="22"/>
  <c r="JK20" i="22"/>
  <c r="JK21" i="22"/>
  <c r="JK22" i="22"/>
  <c r="JK23" i="22"/>
  <c r="JK24" i="22"/>
  <c r="JK25" i="22"/>
  <c r="JK26" i="22"/>
  <c r="JK27" i="22"/>
  <c r="JK28" i="22"/>
  <c r="JK29" i="22"/>
  <c r="JK30" i="22"/>
  <c r="JK31" i="22"/>
  <c r="JK32" i="22"/>
  <c r="JK33" i="22"/>
  <c r="JK34" i="22"/>
  <c r="JK35" i="22"/>
  <c r="JK36" i="22"/>
  <c r="JK37" i="22"/>
  <c r="JK38" i="22"/>
  <c r="JK39" i="22"/>
  <c r="JK40" i="22"/>
  <c r="JK41" i="22"/>
  <c r="JK42" i="22"/>
  <c r="JK43" i="22"/>
  <c r="JK44" i="22"/>
  <c r="JK45" i="22"/>
  <c r="JK46" i="22"/>
  <c r="JK47" i="22"/>
  <c r="JK48" i="22"/>
  <c r="JK49" i="22"/>
  <c r="JK50" i="22"/>
  <c r="JK51" i="22"/>
  <c r="JK52" i="22"/>
  <c r="JK53" i="22"/>
  <c r="JK54" i="22"/>
  <c r="JK55" i="22"/>
  <c r="JK56" i="22"/>
  <c r="JK57" i="22"/>
  <c r="JK58" i="22"/>
  <c r="JK59" i="22"/>
  <c r="JK60" i="22"/>
  <c r="JK61" i="22"/>
  <c r="JK62" i="22"/>
  <c r="JK63" i="22"/>
  <c r="JK64" i="22"/>
  <c r="JK65" i="22"/>
  <c r="JK90" i="22"/>
  <c r="JJ13" i="22"/>
  <c r="JJ14" i="22"/>
  <c r="JJ15" i="22"/>
  <c r="JJ16" i="22"/>
  <c r="JJ17" i="22"/>
  <c r="JJ18" i="22"/>
  <c r="JJ19" i="22"/>
  <c r="JJ20" i="22"/>
  <c r="JJ21" i="22"/>
  <c r="JJ22" i="22"/>
  <c r="JJ23" i="22"/>
  <c r="JJ24" i="22"/>
  <c r="JJ25" i="22"/>
  <c r="JJ26" i="22"/>
  <c r="JJ27" i="22"/>
  <c r="JJ28" i="22"/>
  <c r="JJ29" i="22"/>
  <c r="JJ30" i="22"/>
  <c r="JJ31" i="22"/>
  <c r="JJ32" i="22"/>
  <c r="JJ33" i="22"/>
  <c r="JJ34" i="22"/>
  <c r="JJ35" i="22"/>
  <c r="JJ36" i="22"/>
  <c r="JJ37" i="22"/>
  <c r="JJ38" i="22"/>
  <c r="JJ39" i="22"/>
  <c r="JJ40" i="22"/>
  <c r="JJ41" i="22"/>
  <c r="JJ42" i="22"/>
  <c r="JJ43" i="22"/>
  <c r="JJ44" i="22"/>
  <c r="JJ45" i="22"/>
  <c r="JJ46" i="22"/>
  <c r="JJ47" i="22"/>
  <c r="JJ48" i="22"/>
  <c r="JJ49" i="22"/>
  <c r="JJ50" i="22"/>
  <c r="JJ51" i="22"/>
  <c r="JJ52" i="22"/>
  <c r="JJ53" i="22"/>
  <c r="JJ54" i="22"/>
  <c r="JJ55" i="22"/>
  <c r="JJ56" i="22"/>
  <c r="JJ57" i="22"/>
  <c r="JJ58" i="22"/>
  <c r="JJ59" i="22"/>
  <c r="JJ60" i="22"/>
  <c r="JJ61" i="22"/>
  <c r="JJ62" i="22"/>
  <c r="JJ63" i="22"/>
  <c r="JJ64" i="22"/>
  <c r="JJ65" i="22"/>
  <c r="JJ90" i="22"/>
  <c r="JI13" i="22"/>
  <c r="JI14" i="22"/>
  <c r="JI15" i="22"/>
  <c r="JI16" i="22"/>
  <c r="JI17" i="22"/>
  <c r="JI18" i="22"/>
  <c r="JI19" i="22"/>
  <c r="JI20" i="22"/>
  <c r="JI21" i="22"/>
  <c r="JI22" i="22"/>
  <c r="JI23" i="22"/>
  <c r="JI24" i="22"/>
  <c r="JI25" i="22"/>
  <c r="JI26" i="22"/>
  <c r="JI27" i="22"/>
  <c r="JI28" i="22"/>
  <c r="JI29" i="22"/>
  <c r="JI30" i="22"/>
  <c r="JI31" i="22"/>
  <c r="JI32" i="22"/>
  <c r="JI33" i="22"/>
  <c r="JI34" i="22"/>
  <c r="JI35" i="22"/>
  <c r="JI36" i="22"/>
  <c r="JI37" i="22"/>
  <c r="JI38" i="22"/>
  <c r="JI39" i="22"/>
  <c r="JI40" i="22"/>
  <c r="JI41" i="22"/>
  <c r="JI42" i="22"/>
  <c r="JI43" i="22"/>
  <c r="JI44" i="22"/>
  <c r="JI45" i="22"/>
  <c r="JI46" i="22"/>
  <c r="JI47" i="22"/>
  <c r="JI48" i="22"/>
  <c r="JI49" i="22"/>
  <c r="JI50" i="22"/>
  <c r="JI51" i="22"/>
  <c r="JI52" i="22"/>
  <c r="JI53" i="22"/>
  <c r="JI54" i="22"/>
  <c r="JI55" i="22"/>
  <c r="JI56" i="22"/>
  <c r="JI57" i="22"/>
  <c r="JI58" i="22"/>
  <c r="JI59" i="22"/>
  <c r="JI60" i="22"/>
  <c r="JI61" i="22"/>
  <c r="JI62" i="22"/>
  <c r="JI63" i="22"/>
  <c r="JI64" i="22"/>
  <c r="JI65" i="22"/>
  <c r="JI90" i="22"/>
  <c r="JH13" i="22"/>
  <c r="JH14" i="22"/>
  <c r="JH15" i="22"/>
  <c r="JH16" i="22"/>
  <c r="JH17" i="22"/>
  <c r="JH18" i="22"/>
  <c r="JH19" i="22"/>
  <c r="JH20" i="22"/>
  <c r="JH21" i="22"/>
  <c r="JH22" i="22"/>
  <c r="JH23" i="22"/>
  <c r="JH24" i="22"/>
  <c r="JH25" i="22"/>
  <c r="JH26" i="22"/>
  <c r="JH27" i="22"/>
  <c r="JH28" i="22"/>
  <c r="JH29" i="22"/>
  <c r="JH30" i="22"/>
  <c r="JH31" i="22"/>
  <c r="JH32" i="22"/>
  <c r="JH33" i="22"/>
  <c r="JH34" i="22"/>
  <c r="JH35" i="22"/>
  <c r="JH36" i="22"/>
  <c r="JH37" i="22"/>
  <c r="JH38" i="22"/>
  <c r="JH39" i="22"/>
  <c r="JH40" i="22"/>
  <c r="JH41" i="22"/>
  <c r="JH42" i="22"/>
  <c r="JH43" i="22"/>
  <c r="JH44" i="22"/>
  <c r="JH45" i="22"/>
  <c r="JH46" i="22"/>
  <c r="JH47" i="22"/>
  <c r="JH48" i="22"/>
  <c r="JH49" i="22"/>
  <c r="JH50" i="22"/>
  <c r="JH51" i="22"/>
  <c r="JH52" i="22"/>
  <c r="JH53" i="22"/>
  <c r="JH54" i="22"/>
  <c r="JH55" i="22"/>
  <c r="JH56" i="22"/>
  <c r="JH57" i="22"/>
  <c r="JH58" i="22"/>
  <c r="JH59" i="22"/>
  <c r="JH60" i="22"/>
  <c r="JH61" i="22"/>
  <c r="JH62" i="22"/>
  <c r="JH63" i="22"/>
  <c r="JH64" i="22"/>
  <c r="JH65" i="22"/>
  <c r="JH90" i="22"/>
  <c r="JG13" i="22"/>
  <c r="JG14" i="22"/>
  <c r="JG15" i="22"/>
  <c r="JG16" i="22"/>
  <c r="JG17" i="22"/>
  <c r="JG18" i="22"/>
  <c r="JG19" i="22"/>
  <c r="JG20" i="22"/>
  <c r="JG21" i="22"/>
  <c r="JG22" i="22"/>
  <c r="JG23" i="22"/>
  <c r="JG24" i="22"/>
  <c r="JG25" i="22"/>
  <c r="JG26" i="22"/>
  <c r="JG27" i="22"/>
  <c r="JG28" i="22"/>
  <c r="JG29" i="22"/>
  <c r="JG30" i="22"/>
  <c r="JG31" i="22"/>
  <c r="JG32" i="22"/>
  <c r="JG33" i="22"/>
  <c r="JG34" i="22"/>
  <c r="JG35" i="22"/>
  <c r="JG36" i="22"/>
  <c r="JG37" i="22"/>
  <c r="JG38" i="22"/>
  <c r="JG39" i="22"/>
  <c r="JG40" i="22"/>
  <c r="JG41" i="22"/>
  <c r="JG42" i="22"/>
  <c r="JG43" i="22"/>
  <c r="JG44" i="22"/>
  <c r="JG45" i="22"/>
  <c r="JG46" i="22"/>
  <c r="JG47" i="22"/>
  <c r="JG48" i="22"/>
  <c r="JG49" i="22"/>
  <c r="JG50" i="22"/>
  <c r="JG51" i="22"/>
  <c r="JG52" i="22"/>
  <c r="JG53" i="22"/>
  <c r="JG54" i="22"/>
  <c r="JG55" i="22"/>
  <c r="JG56" i="22"/>
  <c r="JG57" i="22"/>
  <c r="JG58" i="22"/>
  <c r="JG59" i="22"/>
  <c r="JG60" i="22"/>
  <c r="JG61" i="22"/>
  <c r="JG62" i="22"/>
  <c r="JG63" i="22"/>
  <c r="JG64" i="22"/>
  <c r="JG65" i="22"/>
  <c r="JG90" i="22"/>
  <c r="JF13" i="22"/>
  <c r="JF14" i="22"/>
  <c r="JF15" i="22"/>
  <c r="JF16" i="22"/>
  <c r="JF17" i="22"/>
  <c r="JF18" i="22"/>
  <c r="JF19" i="22"/>
  <c r="JF20" i="22"/>
  <c r="JF21" i="22"/>
  <c r="JF22" i="22"/>
  <c r="JF23" i="22"/>
  <c r="JF24" i="22"/>
  <c r="JF25" i="22"/>
  <c r="JF26" i="22"/>
  <c r="JF27" i="22"/>
  <c r="JF28" i="22"/>
  <c r="JF29" i="22"/>
  <c r="JF30" i="22"/>
  <c r="JF31" i="22"/>
  <c r="JF32" i="22"/>
  <c r="JF33" i="22"/>
  <c r="JF34" i="22"/>
  <c r="JF35" i="22"/>
  <c r="JF36" i="22"/>
  <c r="JF37" i="22"/>
  <c r="JF38" i="22"/>
  <c r="JF39" i="22"/>
  <c r="JF40" i="22"/>
  <c r="JF41" i="22"/>
  <c r="JF42" i="22"/>
  <c r="JF43" i="22"/>
  <c r="JF44" i="22"/>
  <c r="JF45" i="22"/>
  <c r="JF46" i="22"/>
  <c r="JF47" i="22"/>
  <c r="JF48" i="22"/>
  <c r="JF49" i="22"/>
  <c r="JF50" i="22"/>
  <c r="JF51" i="22"/>
  <c r="JF52" i="22"/>
  <c r="JF53" i="22"/>
  <c r="JF54" i="22"/>
  <c r="JF55" i="22"/>
  <c r="JF56" i="22"/>
  <c r="JF57" i="22"/>
  <c r="JF58" i="22"/>
  <c r="JF59" i="22"/>
  <c r="JF60" i="22"/>
  <c r="JF61" i="22"/>
  <c r="JF62" i="22"/>
  <c r="JF63" i="22"/>
  <c r="JF64" i="22"/>
  <c r="JF65" i="22"/>
  <c r="JF90" i="22"/>
  <c r="JE13" i="22"/>
  <c r="JE14" i="22"/>
  <c r="JE15" i="22"/>
  <c r="JE16" i="22"/>
  <c r="JE17" i="22"/>
  <c r="JE18" i="22"/>
  <c r="JE19" i="22"/>
  <c r="JE20" i="22"/>
  <c r="JE21" i="22"/>
  <c r="JE22" i="22"/>
  <c r="JE23" i="22"/>
  <c r="JE24" i="22"/>
  <c r="JE25" i="22"/>
  <c r="JE26" i="22"/>
  <c r="JE27" i="22"/>
  <c r="JE28" i="22"/>
  <c r="JE29" i="22"/>
  <c r="JE30" i="22"/>
  <c r="JE31" i="22"/>
  <c r="JE32" i="22"/>
  <c r="JE33" i="22"/>
  <c r="JE34" i="22"/>
  <c r="JE35" i="22"/>
  <c r="JE36" i="22"/>
  <c r="JE37" i="22"/>
  <c r="JE38" i="22"/>
  <c r="JE39" i="22"/>
  <c r="JE40" i="22"/>
  <c r="JE41" i="22"/>
  <c r="JE42" i="22"/>
  <c r="JE43" i="22"/>
  <c r="JE44" i="22"/>
  <c r="JE45" i="22"/>
  <c r="JE46" i="22"/>
  <c r="JE47" i="22"/>
  <c r="JE48" i="22"/>
  <c r="JE49" i="22"/>
  <c r="JE50" i="22"/>
  <c r="JE51" i="22"/>
  <c r="JE52" i="22"/>
  <c r="JE53" i="22"/>
  <c r="JE54" i="22"/>
  <c r="JE55" i="22"/>
  <c r="JE56" i="22"/>
  <c r="JE57" i="22"/>
  <c r="JE58" i="22"/>
  <c r="JE59" i="22"/>
  <c r="JE60" i="22"/>
  <c r="JE61" i="22"/>
  <c r="JE62" i="22"/>
  <c r="JE63" i="22"/>
  <c r="JE64" i="22"/>
  <c r="JE65" i="22"/>
  <c r="JE90" i="22"/>
  <c r="JD13" i="22"/>
  <c r="JD14" i="22"/>
  <c r="JD15" i="22"/>
  <c r="JD16" i="22"/>
  <c r="JD17" i="22"/>
  <c r="JD18" i="22"/>
  <c r="JD19" i="22"/>
  <c r="JD20" i="22"/>
  <c r="JD21" i="22"/>
  <c r="JD22" i="22"/>
  <c r="JD23" i="22"/>
  <c r="JD24" i="22"/>
  <c r="JD25" i="22"/>
  <c r="JD26" i="22"/>
  <c r="JD27" i="22"/>
  <c r="JD28" i="22"/>
  <c r="JD29" i="22"/>
  <c r="JD30" i="22"/>
  <c r="JD31" i="22"/>
  <c r="JD32" i="22"/>
  <c r="JD33" i="22"/>
  <c r="JD34" i="22"/>
  <c r="JD35" i="22"/>
  <c r="JD36" i="22"/>
  <c r="JD37" i="22"/>
  <c r="JD38" i="22"/>
  <c r="JD39" i="22"/>
  <c r="JD40" i="22"/>
  <c r="JD41" i="22"/>
  <c r="JD42" i="22"/>
  <c r="JD43" i="22"/>
  <c r="JD44" i="22"/>
  <c r="JD45" i="22"/>
  <c r="JD46" i="22"/>
  <c r="JD47" i="22"/>
  <c r="JD48" i="22"/>
  <c r="JD49" i="22"/>
  <c r="JD50" i="22"/>
  <c r="JD51" i="22"/>
  <c r="JD52" i="22"/>
  <c r="JD53" i="22"/>
  <c r="JD54" i="22"/>
  <c r="JD55" i="22"/>
  <c r="JD56" i="22"/>
  <c r="JD57" i="22"/>
  <c r="JD58" i="22"/>
  <c r="JD59" i="22"/>
  <c r="JD60" i="22"/>
  <c r="JD61" i="22"/>
  <c r="JD62" i="22"/>
  <c r="JD63" i="22"/>
  <c r="JD64" i="22"/>
  <c r="JD65" i="22"/>
  <c r="JD90" i="22"/>
  <c r="JC13" i="22"/>
  <c r="JC14" i="22"/>
  <c r="JC15" i="22"/>
  <c r="JC16" i="22"/>
  <c r="JC17" i="22"/>
  <c r="JC18" i="22"/>
  <c r="JC19" i="22"/>
  <c r="JC20" i="22"/>
  <c r="JC21" i="22"/>
  <c r="JC22" i="22"/>
  <c r="JC23" i="22"/>
  <c r="JC24" i="22"/>
  <c r="JC25" i="22"/>
  <c r="JC26" i="22"/>
  <c r="JC27" i="22"/>
  <c r="JC28" i="22"/>
  <c r="JC29" i="22"/>
  <c r="JC30" i="22"/>
  <c r="JC31" i="22"/>
  <c r="JC32" i="22"/>
  <c r="JC33" i="22"/>
  <c r="JC34" i="22"/>
  <c r="JC35" i="22"/>
  <c r="JC36" i="22"/>
  <c r="JC37" i="22"/>
  <c r="JC38" i="22"/>
  <c r="JC39" i="22"/>
  <c r="JC40" i="22"/>
  <c r="JC41" i="22"/>
  <c r="JC42" i="22"/>
  <c r="JC43" i="22"/>
  <c r="JC44" i="22"/>
  <c r="JC45" i="22"/>
  <c r="JC46" i="22"/>
  <c r="JC47" i="22"/>
  <c r="JC48" i="22"/>
  <c r="JC49" i="22"/>
  <c r="JC50" i="22"/>
  <c r="JC51" i="22"/>
  <c r="JC52" i="22"/>
  <c r="JC53" i="22"/>
  <c r="JC54" i="22"/>
  <c r="JC55" i="22"/>
  <c r="JC56" i="22"/>
  <c r="JC57" i="22"/>
  <c r="JC58" i="22"/>
  <c r="JC59" i="22"/>
  <c r="JC60" i="22"/>
  <c r="JC61" i="22"/>
  <c r="JC62" i="22"/>
  <c r="JC63" i="22"/>
  <c r="JC64" i="22"/>
  <c r="JC65" i="22"/>
  <c r="JC90" i="22"/>
  <c r="JB13" i="22"/>
  <c r="JB14" i="22"/>
  <c r="JB15" i="22"/>
  <c r="JB16" i="22"/>
  <c r="JB17" i="22"/>
  <c r="JB18" i="22"/>
  <c r="JB19" i="22"/>
  <c r="JB20" i="22"/>
  <c r="JB21" i="22"/>
  <c r="JB22" i="22"/>
  <c r="JB23" i="22"/>
  <c r="JB24" i="22"/>
  <c r="JB25" i="22"/>
  <c r="JB26" i="22"/>
  <c r="JB27" i="22"/>
  <c r="JB28" i="22"/>
  <c r="JB29" i="22"/>
  <c r="JB30" i="22"/>
  <c r="JB31" i="22"/>
  <c r="JB32" i="22"/>
  <c r="JB33" i="22"/>
  <c r="JB34" i="22"/>
  <c r="JB35" i="22"/>
  <c r="JB36" i="22"/>
  <c r="JB37" i="22"/>
  <c r="JB38" i="22"/>
  <c r="JB39" i="22"/>
  <c r="JB40" i="22"/>
  <c r="JB41" i="22"/>
  <c r="JB42" i="22"/>
  <c r="JB43" i="22"/>
  <c r="JB44" i="22"/>
  <c r="JB45" i="22"/>
  <c r="JB46" i="22"/>
  <c r="JB47" i="22"/>
  <c r="JB48" i="22"/>
  <c r="JB49" i="22"/>
  <c r="JB50" i="22"/>
  <c r="JB51" i="22"/>
  <c r="JB52" i="22"/>
  <c r="JB53" i="22"/>
  <c r="JB54" i="22"/>
  <c r="JB55" i="22"/>
  <c r="JB56" i="22"/>
  <c r="JB57" i="22"/>
  <c r="JB58" i="22"/>
  <c r="JB59" i="22"/>
  <c r="JB60" i="22"/>
  <c r="JB61" i="22"/>
  <c r="JB62" i="22"/>
  <c r="JB63" i="22"/>
  <c r="JB64" i="22"/>
  <c r="JB65" i="22"/>
  <c r="JB90" i="22"/>
  <c r="JA13" i="22"/>
  <c r="JA14" i="22"/>
  <c r="JA15" i="22"/>
  <c r="JA16" i="22"/>
  <c r="JA17" i="22"/>
  <c r="JA18" i="22"/>
  <c r="JA19" i="22"/>
  <c r="JA20" i="22"/>
  <c r="JA21" i="22"/>
  <c r="JA22" i="22"/>
  <c r="JA23" i="22"/>
  <c r="JA24" i="22"/>
  <c r="JA25" i="22"/>
  <c r="JA26" i="22"/>
  <c r="JA27" i="22"/>
  <c r="JA28" i="22"/>
  <c r="JA29" i="22"/>
  <c r="JA30" i="22"/>
  <c r="JA31" i="22"/>
  <c r="JA32" i="22"/>
  <c r="JA33" i="22"/>
  <c r="JA34" i="22"/>
  <c r="JA35" i="22"/>
  <c r="JA36" i="22"/>
  <c r="JA37" i="22"/>
  <c r="JA38" i="22"/>
  <c r="JA39" i="22"/>
  <c r="JA40" i="22"/>
  <c r="JA41" i="22"/>
  <c r="JA42" i="22"/>
  <c r="JA43" i="22"/>
  <c r="JA44" i="22"/>
  <c r="JA45" i="22"/>
  <c r="JA46" i="22"/>
  <c r="JA47" i="22"/>
  <c r="JA48" i="22"/>
  <c r="JA49" i="22"/>
  <c r="JA50" i="22"/>
  <c r="JA51" i="22"/>
  <c r="JA52" i="22"/>
  <c r="JA53" i="22"/>
  <c r="JA54" i="22"/>
  <c r="JA55" i="22"/>
  <c r="JA56" i="22"/>
  <c r="JA57" i="22"/>
  <c r="JA58" i="22"/>
  <c r="JA59" i="22"/>
  <c r="JA60" i="22"/>
  <c r="JA61" i="22"/>
  <c r="JA62" i="22"/>
  <c r="JA63" i="22"/>
  <c r="JA64" i="22"/>
  <c r="JA65" i="22"/>
  <c r="JA90" i="22"/>
  <c r="IZ13" i="22"/>
  <c r="IZ14" i="22"/>
  <c r="IZ15" i="22"/>
  <c r="IZ16" i="22"/>
  <c r="IZ17" i="22"/>
  <c r="IZ18" i="22"/>
  <c r="IZ19" i="22"/>
  <c r="IZ20" i="22"/>
  <c r="IZ21" i="22"/>
  <c r="IZ22" i="22"/>
  <c r="IZ23" i="22"/>
  <c r="IZ24" i="22"/>
  <c r="IZ25" i="22"/>
  <c r="IZ26" i="22"/>
  <c r="IZ27" i="22"/>
  <c r="IZ28" i="22"/>
  <c r="IZ29" i="22"/>
  <c r="IZ30" i="22"/>
  <c r="IZ31" i="22"/>
  <c r="IZ32" i="22"/>
  <c r="IZ33" i="22"/>
  <c r="IZ34" i="22"/>
  <c r="IZ35" i="22"/>
  <c r="IZ36" i="22"/>
  <c r="IZ37" i="22"/>
  <c r="IZ38" i="22"/>
  <c r="IZ39" i="22"/>
  <c r="IZ40" i="22"/>
  <c r="IZ41" i="22"/>
  <c r="IZ42" i="22"/>
  <c r="IZ43" i="22"/>
  <c r="IZ44" i="22"/>
  <c r="IZ45" i="22"/>
  <c r="IZ46" i="22"/>
  <c r="IZ47" i="22"/>
  <c r="IZ48" i="22"/>
  <c r="IZ49" i="22"/>
  <c r="IZ50" i="22"/>
  <c r="IZ51" i="22"/>
  <c r="IZ52" i="22"/>
  <c r="IZ53" i="22"/>
  <c r="IZ54" i="22"/>
  <c r="IZ55" i="22"/>
  <c r="IZ56" i="22"/>
  <c r="IZ57" i="22"/>
  <c r="IZ58" i="22"/>
  <c r="IZ59" i="22"/>
  <c r="IZ60" i="22"/>
  <c r="IZ61" i="22"/>
  <c r="IZ62" i="22"/>
  <c r="IZ63" i="22"/>
  <c r="IZ64" i="22"/>
  <c r="IZ65" i="22"/>
  <c r="IZ90" i="22"/>
  <c r="IY13" i="22"/>
  <c r="IY14" i="22"/>
  <c r="IY15" i="22"/>
  <c r="IY16" i="22"/>
  <c r="IY17" i="22"/>
  <c r="IY18" i="22"/>
  <c r="IY19" i="22"/>
  <c r="IY20" i="22"/>
  <c r="IY21" i="22"/>
  <c r="IY22" i="22"/>
  <c r="IY23" i="22"/>
  <c r="IY24" i="22"/>
  <c r="IY25" i="22"/>
  <c r="IY26" i="22"/>
  <c r="IY27" i="22"/>
  <c r="IY28" i="22"/>
  <c r="IY29" i="22"/>
  <c r="IY30" i="22"/>
  <c r="IY31" i="22"/>
  <c r="IY32" i="22"/>
  <c r="IY33" i="22"/>
  <c r="IY34" i="22"/>
  <c r="IY35" i="22"/>
  <c r="IY36" i="22"/>
  <c r="IY37" i="22"/>
  <c r="IY38" i="22"/>
  <c r="IY39" i="22"/>
  <c r="IY40" i="22"/>
  <c r="IY41" i="22"/>
  <c r="IY42" i="22"/>
  <c r="IY43" i="22"/>
  <c r="IY44" i="22"/>
  <c r="IY45" i="22"/>
  <c r="IY46" i="22"/>
  <c r="IY47" i="22"/>
  <c r="IY48" i="22"/>
  <c r="IY49" i="22"/>
  <c r="IY50" i="22"/>
  <c r="IY51" i="22"/>
  <c r="IY52" i="22"/>
  <c r="IY53" i="22"/>
  <c r="IY54" i="22"/>
  <c r="IY55" i="22"/>
  <c r="IY56" i="22"/>
  <c r="IY57" i="22"/>
  <c r="IY58" i="22"/>
  <c r="IY59" i="22"/>
  <c r="IY60" i="22"/>
  <c r="IY61" i="22"/>
  <c r="IY62" i="22"/>
  <c r="IY63" i="22"/>
  <c r="IY64" i="22"/>
  <c r="IY65" i="22"/>
  <c r="IY90" i="22"/>
  <c r="IX13" i="22"/>
  <c r="IX14" i="22"/>
  <c r="IX15" i="22"/>
  <c r="IX16" i="22"/>
  <c r="IX17" i="22"/>
  <c r="IX18" i="22"/>
  <c r="IX19" i="22"/>
  <c r="IX20" i="22"/>
  <c r="IX21" i="22"/>
  <c r="IX22" i="22"/>
  <c r="IX23" i="22"/>
  <c r="IX24" i="22"/>
  <c r="IX25" i="22"/>
  <c r="IX26" i="22"/>
  <c r="IX27" i="22"/>
  <c r="IX28" i="22"/>
  <c r="IX29" i="22"/>
  <c r="IX30" i="22"/>
  <c r="IX31" i="22"/>
  <c r="IX32" i="22"/>
  <c r="IX33" i="22"/>
  <c r="IX34" i="22"/>
  <c r="IX35" i="22"/>
  <c r="IX36" i="22"/>
  <c r="IX37" i="22"/>
  <c r="IX38" i="22"/>
  <c r="IX39" i="22"/>
  <c r="IX40" i="22"/>
  <c r="IX41" i="22"/>
  <c r="IX42" i="22"/>
  <c r="IX43" i="22"/>
  <c r="IX44" i="22"/>
  <c r="IX45" i="22"/>
  <c r="IX46" i="22"/>
  <c r="IX47" i="22"/>
  <c r="IX48" i="22"/>
  <c r="IX49" i="22"/>
  <c r="IX50" i="22"/>
  <c r="IX51" i="22"/>
  <c r="IX52" i="22"/>
  <c r="IX53" i="22"/>
  <c r="IX54" i="22"/>
  <c r="IX55" i="22"/>
  <c r="IX56" i="22"/>
  <c r="IX57" i="22"/>
  <c r="IX58" i="22"/>
  <c r="IX59" i="22"/>
  <c r="IX60" i="22"/>
  <c r="IX61" i="22"/>
  <c r="IX62" i="22"/>
  <c r="IX63" i="22"/>
  <c r="IX64" i="22"/>
  <c r="IX65" i="22"/>
  <c r="IX90" i="22"/>
  <c r="IW13" i="22"/>
  <c r="IW14" i="22"/>
  <c r="IW15" i="22"/>
  <c r="IW16" i="22"/>
  <c r="IW17" i="22"/>
  <c r="IW18" i="22"/>
  <c r="IW19" i="22"/>
  <c r="IW20" i="22"/>
  <c r="IW21" i="22"/>
  <c r="IW22" i="22"/>
  <c r="IW23" i="22"/>
  <c r="IW24" i="22"/>
  <c r="IW25" i="22"/>
  <c r="IW26" i="22"/>
  <c r="IW27" i="22"/>
  <c r="IW28" i="22"/>
  <c r="IW29" i="22"/>
  <c r="IW30" i="22"/>
  <c r="IW31" i="22"/>
  <c r="IW32" i="22"/>
  <c r="IW33" i="22"/>
  <c r="IW34" i="22"/>
  <c r="IW35" i="22"/>
  <c r="IW36" i="22"/>
  <c r="IW37" i="22"/>
  <c r="IW38" i="22"/>
  <c r="IW39" i="22"/>
  <c r="IW40" i="22"/>
  <c r="IW41" i="22"/>
  <c r="IW42" i="22"/>
  <c r="IW43" i="22"/>
  <c r="IW44" i="22"/>
  <c r="IW45" i="22"/>
  <c r="IW46" i="22"/>
  <c r="IW47" i="22"/>
  <c r="IW48" i="22"/>
  <c r="IW49" i="22"/>
  <c r="IW50" i="22"/>
  <c r="IW51" i="22"/>
  <c r="IW52" i="22"/>
  <c r="IW53" i="22"/>
  <c r="IW54" i="22"/>
  <c r="IW55" i="22"/>
  <c r="IW56" i="22"/>
  <c r="IW57" i="22"/>
  <c r="IW58" i="22"/>
  <c r="IW59" i="22"/>
  <c r="IW60" i="22"/>
  <c r="IW61" i="22"/>
  <c r="IW62" i="22"/>
  <c r="IW63" i="22"/>
  <c r="IW64" i="22"/>
  <c r="IW65" i="22"/>
  <c r="IW90" i="22"/>
  <c r="IV13" i="22"/>
  <c r="IV14" i="22"/>
  <c r="IV15" i="22"/>
  <c r="IV16" i="22"/>
  <c r="IV17" i="22"/>
  <c r="IV18" i="22"/>
  <c r="IV19" i="22"/>
  <c r="IV20" i="22"/>
  <c r="IV21" i="22"/>
  <c r="IV22" i="22"/>
  <c r="IV23" i="22"/>
  <c r="IV24" i="22"/>
  <c r="IV25" i="22"/>
  <c r="IV26" i="22"/>
  <c r="IV27" i="22"/>
  <c r="IV28" i="22"/>
  <c r="IV29" i="22"/>
  <c r="IV30" i="22"/>
  <c r="IV31" i="22"/>
  <c r="IV32" i="22"/>
  <c r="IV33" i="22"/>
  <c r="IV34" i="22"/>
  <c r="IV35" i="22"/>
  <c r="IV36" i="22"/>
  <c r="IV37" i="22"/>
  <c r="IV38" i="22"/>
  <c r="IV39" i="22"/>
  <c r="IV40" i="22"/>
  <c r="IV41" i="22"/>
  <c r="IV42" i="22"/>
  <c r="IV43" i="22"/>
  <c r="IV44" i="22"/>
  <c r="IV45" i="22"/>
  <c r="IV46" i="22"/>
  <c r="IV47" i="22"/>
  <c r="IV48" i="22"/>
  <c r="IV49" i="22"/>
  <c r="IV50" i="22"/>
  <c r="IV51" i="22"/>
  <c r="IV52" i="22"/>
  <c r="IV53" i="22"/>
  <c r="IV54" i="22"/>
  <c r="IV55" i="22"/>
  <c r="IV56" i="22"/>
  <c r="IV57" i="22"/>
  <c r="IV58" i="22"/>
  <c r="IV59" i="22"/>
  <c r="IV60" i="22"/>
  <c r="IV61" i="22"/>
  <c r="IV62" i="22"/>
  <c r="IV63" i="22"/>
  <c r="IV64" i="22"/>
  <c r="IV65" i="22"/>
  <c r="IV90" i="22"/>
  <c r="IU13" i="22"/>
  <c r="IU14" i="22"/>
  <c r="IU15" i="22"/>
  <c r="IU16" i="22"/>
  <c r="IU17" i="22"/>
  <c r="IU18" i="22"/>
  <c r="IU19" i="22"/>
  <c r="IU20" i="22"/>
  <c r="IU21" i="22"/>
  <c r="IU22" i="22"/>
  <c r="IU23" i="22"/>
  <c r="IU24" i="22"/>
  <c r="IU25" i="22"/>
  <c r="IU26" i="22"/>
  <c r="IU27" i="22"/>
  <c r="IU28" i="22"/>
  <c r="IU29" i="22"/>
  <c r="IU30" i="22"/>
  <c r="IU31" i="22"/>
  <c r="IU32" i="22"/>
  <c r="IU33" i="22"/>
  <c r="IU34" i="22"/>
  <c r="IU35" i="22"/>
  <c r="IU36" i="22"/>
  <c r="IU37" i="22"/>
  <c r="IU38" i="22"/>
  <c r="IU39" i="22"/>
  <c r="IU40" i="22"/>
  <c r="IU41" i="22"/>
  <c r="IU42" i="22"/>
  <c r="IU43" i="22"/>
  <c r="IU44" i="22"/>
  <c r="IU45" i="22"/>
  <c r="IU46" i="22"/>
  <c r="IU47" i="22"/>
  <c r="IU48" i="22"/>
  <c r="IU49" i="22"/>
  <c r="IU50" i="22"/>
  <c r="IU51" i="22"/>
  <c r="IU52" i="22"/>
  <c r="IU53" i="22"/>
  <c r="IU54" i="22"/>
  <c r="IU55" i="22"/>
  <c r="IU56" i="22"/>
  <c r="IU57" i="22"/>
  <c r="IU58" i="22"/>
  <c r="IU59" i="22"/>
  <c r="IU60" i="22"/>
  <c r="IU61" i="22"/>
  <c r="IU62" i="22"/>
  <c r="IU63" i="22"/>
  <c r="IU64" i="22"/>
  <c r="IU65" i="22"/>
  <c r="IU90" i="22"/>
  <c r="IT13" i="22"/>
  <c r="IT14" i="22"/>
  <c r="IT15" i="22"/>
  <c r="IT16" i="22"/>
  <c r="IT17" i="22"/>
  <c r="IT18" i="22"/>
  <c r="IT19" i="22"/>
  <c r="IT20" i="22"/>
  <c r="IT21" i="22"/>
  <c r="IT22" i="22"/>
  <c r="IT23" i="22"/>
  <c r="IT24" i="22"/>
  <c r="IT25" i="22"/>
  <c r="IT26" i="22"/>
  <c r="IT27" i="22"/>
  <c r="IT28" i="22"/>
  <c r="IT29" i="22"/>
  <c r="IT30" i="22"/>
  <c r="IT31" i="22"/>
  <c r="IT32" i="22"/>
  <c r="IT33" i="22"/>
  <c r="IT34" i="22"/>
  <c r="IT35" i="22"/>
  <c r="IT36" i="22"/>
  <c r="IT37" i="22"/>
  <c r="IT38" i="22"/>
  <c r="IT39" i="22"/>
  <c r="IT40" i="22"/>
  <c r="IT41" i="22"/>
  <c r="IT42" i="22"/>
  <c r="IT43" i="22"/>
  <c r="IT44" i="22"/>
  <c r="IT45" i="22"/>
  <c r="IT46" i="22"/>
  <c r="IT47" i="22"/>
  <c r="IT48" i="22"/>
  <c r="IT49" i="22"/>
  <c r="IT50" i="22"/>
  <c r="IT51" i="22"/>
  <c r="IT52" i="22"/>
  <c r="IT53" i="22"/>
  <c r="IT54" i="22"/>
  <c r="IT55" i="22"/>
  <c r="IT56" i="22"/>
  <c r="IT57" i="22"/>
  <c r="IT58" i="22"/>
  <c r="IT59" i="22"/>
  <c r="IT60" i="22"/>
  <c r="IT61" i="22"/>
  <c r="IT62" i="22"/>
  <c r="IT63" i="22"/>
  <c r="IT64" i="22"/>
  <c r="IT65" i="22"/>
  <c r="IT90" i="22"/>
  <c r="IS13" i="22"/>
  <c r="IS14" i="22"/>
  <c r="IS15" i="22"/>
  <c r="IS16" i="22"/>
  <c r="IS17" i="22"/>
  <c r="IS18" i="22"/>
  <c r="IS19" i="22"/>
  <c r="IS20" i="22"/>
  <c r="IS21" i="22"/>
  <c r="IS22" i="22"/>
  <c r="IS23" i="22"/>
  <c r="IS24" i="22"/>
  <c r="IS25" i="22"/>
  <c r="IS26" i="22"/>
  <c r="IS27" i="22"/>
  <c r="IS28" i="22"/>
  <c r="IS29" i="22"/>
  <c r="IS30" i="22"/>
  <c r="IS31" i="22"/>
  <c r="IS32" i="22"/>
  <c r="IS33" i="22"/>
  <c r="IS34" i="22"/>
  <c r="IS35" i="22"/>
  <c r="IS36" i="22"/>
  <c r="IS37" i="22"/>
  <c r="IS38" i="22"/>
  <c r="IS39" i="22"/>
  <c r="IS40" i="22"/>
  <c r="IS41" i="22"/>
  <c r="IS42" i="22"/>
  <c r="IS43" i="22"/>
  <c r="IS44" i="22"/>
  <c r="IS45" i="22"/>
  <c r="IS46" i="22"/>
  <c r="IS47" i="22"/>
  <c r="IS48" i="22"/>
  <c r="IS49" i="22"/>
  <c r="IS50" i="22"/>
  <c r="IS51" i="22"/>
  <c r="IS52" i="22"/>
  <c r="IS53" i="22"/>
  <c r="IS54" i="22"/>
  <c r="IS55" i="22"/>
  <c r="IS56" i="22"/>
  <c r="IS57" i="22"/>
  <c r="IS58" i="22"/>
  <c r="IS59" i="22"/>
  <c r="IS60" i="22"/>
  <c r="IS61" i="22"/>
  <c r="IS62" i="22"/>
  <c r="IS63" i="22"/>
  <c r="IS64" i="22"/>
  <c r="IS65" i="22"/>
  <c r="IS90" i="22"/>
  <c r="IR13" i="22"/>
  <c r="IR14" i="22"/>
  <c r="IR15" i="22"/>
  <c r="IR16" i="22"/>
  <c r="IR17" i="22"/>
  <c r="IR18" i="22"/>
  <c r="IR19" i="22"/>
  <c r="IR20" i="22"/>
  <c r="IR21" i="22"/>
  <c r="IR22" i="22"/>
  <c r="IR23" i="22"/>
  <c r="IR24" i="22"/>
  <c r="IR25" i="22"/>
  <c r="IR26" i="22"/>
  <c r="IR27" i="22"/>
  <c r="IR28" i="22"/>
  <c r="IR29" i="22"/>
  <c r="IR30" i="22"/>
  <c r="IR31" i="22"/>
  <c r="IR32" i="22"/>
  <c r="IR33" i="22"/>
  <c r="IR34" i="22"/>
  <c r="IR35" i="22"/>
  <c r="IR36" i="22"/>
  <c r="IR37" i="22"/>
  <c r="IR38" i="22"/>
  <c r="IR39" i="22"/>
  <c r="IR40" i="22"/>
  <c r="IR41" i="22"/>
  <c r="IR42" i="22"/>
  <c r="IR43" i="22"/>
  <c r="IR44" i="22"/>
  <c r="IR45" i="22"/>
  <c r="IR46" i="22"/>
  <c r="IR47" i="22"/>
  <c r="IR48" i="22"/>
  <c r="IR49" i="22"/>
  <c r="IR50" i="22"/>
  <c r="IR51" i="22"/>
  <c r="IR52" i="22"/>
  <c r="IR53" i="22"/>
  <c r="IR54" i="22"/>
  <c r="IR55" i="22"/>
  <c r="IR56" i="22"/>
  <c r="IR57" i="22"/>
  <c r="IR58" i="22"/>
  <c r="IR59" i="22"/>
  <c r="IR60" i="22"/>
  <c r="IR61" i="22"/>
  <c r="IR62" i="22"/>
  <c r="IR63" i="22"/>
  <c r="IR64" i="22"/>
  <c r="IR65" i="22"/>
  <c r="IR90" i="22"/>
  <c r="IQ13" i="22"/>
  <c r="IQ14" i="22"/>
  <c r="IQ15" i="22"/>
  <c r="IQ16" i="22"/>
  <c r="IQ17" i="22"/>
  <c r="IQ18" i="22"/>
  <c r="IQ19" i="22"/>
  <c r="IQ20" i="22"/>
  <c r="IQ21" i="22"/>
  <c r="IQ22" i="22"/>
  <c r="IQ23" i="22"/>
  <c r="IQ24" i="22"/>
  <c r="IQ25" i="22"/>
  <c r="IQ26" i="22"/>
  <c r="IQ27" i="22"/>
  <c r="IQ28" i="22"/>
  <c r="IQ29" i="22"/>
  <c r="IQ30" i="22"/>
  <c r="IQ31" i="22"/>
  <c r="IQ32" i="22"/>
  <c r="IQ33" i="22"/>
  <c r="IQ34" i="22"/>
  <c r="IQ35" i="22"/>
  <c r="IQ36" i="22"/>
  <c r="IQ37" i="22"/>
  <c r="IQ38" i="22"/>
  <c r="IQ39" i="22"/>
  <c r="IQ40" i="22"/>
  <c r="IQ41" i="22"/>
  <c r="IQ42" i="22"/>
  <c r="IQ43" i="22"/>
  <c r="IQ44" i="22"/>
  <c r="IQ45" i="22"/>
  <c r="IQ46" i="22"/>
  <c r="IQ47" i="22"/>
  <c r="IQ48" i="22"/>
  <c r="IQ49" i="22"/>
  <c r="IQ50" i="22"/>
  <c r="IQ51" i="22"/>
  <c r="IQ52" i="22"/>
  <c r="IQ53" i="22"/>
  <c r="IQ54" i="22"/>
  <c r="IQ55" i="22"/>
  <c r="IQ56" i="22"/>
  <c r="IQ57" i="22"/>
  <c r="IQ58" i="22"/>
  <c r="IQ59" i="22"/>
  <c r="IQ60" i="22"/>
  <c r="IQ61" i="22"/>
  <c r="IQ62" i="22"/>
  <c r="IQ63" i="22"/>
  <c r="IQ64" i="22"/>
  <c r="IQ65" i="22"/>
  <c r="IQ90" i="22"/>
  <c r="IP13" i="22"/>
  <c r="IP14" i="22"/>
  <c r="IP15" i="22"/>
  <c r="IP16" i="22"/>
  <c r="IP17" i="22"/>
  <c r="IP18" i="22"/>
  <c r="IP19" i="22"/>
  <c r="IP20" i="22"/>
  <c r="IP21" i="22"/>
  <c r="IP22" i="22"/>
  <c r="IP23" i="22"/>
  <c r="IP24" i="22"/>
  <c r="IP25" i="22"/>
  <c r="IP26" i="22"/>
  <c r="IP27" i="22"/>
  <c r="IP28" i="22"/>
  <c r="IP29" i="22"/>
  <c r="IP30" i="22"/>
  <c r="IP31" i="22"/>
  <c r="IP32" i="22"/>
  <c r="IP33" i="22"/>
  <c r="IP34" i="22"/>
  <c r="IP35" i="22"/>
  <c r="IP36" i="22"/>
  <c r="IP37" i="22"/>
  <c r="IP38" i="22"/>
  <c r="IP39" i="22"/>
  <c r="IP40" i="22"/>
  <c r="IP41" i="22"/>
  <c r="IP42" i="22"/>
  <c r="IP43" i="22"/>
  <c r="IP44" i="22"/>
  <c r="IP45" i="22"/>
  <c r="IP46" i="22"/>
  <c r="IP47" i="22"/>
  <c r="IP48" i="22"/>
  <c r="IP49" i="22"/>
  <c r="IP50" i="22"/>
  <c r="IP51" i="22"/>
  <c r="IP52" i="22"/>
  <c r="IP53" i="22"/>
  <c r="IP54" i="22"/>
  <c r="IP55" i="22"/>
  <c r="IP56" i="22"/>
  <c r="IP57" i="22"/>
  <c r="IP58" i="22"/>
  <c r="IP59" i="22"/>
  <c r="IP60" i="22"/>
  <c r="IP61" i="22"/>
  <c r="IP62" i="22"/>
  <c r="IP63" i="22"/>
  <c r="IP64" i="22"/>
  <c r="IP65" i="22"/>
  <c r="IP90" i="22"/>
  <c r="IO13" i="22"/>
  <c r="IO14" i="22"/>
  <c r="IO15" i="22"/>
  <c r="IO16" i="22"/>
  <c r="IO17" i="22"/>
  <c r="IO18" i="22"/>
  <c r="IO19" i="22"/>
  <c r="IO20" i="22"/>
  <c r="IO21" i="22"/>
  <c r="IO22" i="22"/>
  <c r="IO23" i="22"/>
  <c r="IO24" i="22"/>
  <c r="IO25" i="22"/>
  <c r="IO26" i="22"/>
  <c r="IO27" i="22"/>
  <c r="IO28" i="22"/>
  <c r="IO29" i="22"/>
  <c r="IO30" i="22"/>
  <c r="IO31" i="22"/>
  <c r="IO32" i="22"/>
  <c r="IO33" i="22"/>
  <c r="IO34" i="22"/>
  <c r="IO35" i="22"/>
  <c r="IO36" i="22"/>
  <c r="IO37" i="22"/>
  <c r="IO38" i="22"/>
  <c r="IO39" i="22"/>
  <c r="IO40" i="22"/>
  <c r="IO41" i="22"/>
  <c r="IO42" i="22"/>
  <c r="IO43" i="22"/>
  <c r="IO44" i="22"/>
  <c r="IO45" i="22"/>
  <c r="IO46" i="22"/>
  <c r="IO47" i="22"/>
  <c r="IO48" i="22"/>
  <c r="IO49" i="22"/>
  <c r="IO50" i="22"/>
  <c r="IO51" i="22"/>
  <c r="IO52" i="22"/>
  <c r="IO53" i="22"/>
  <c r="IO54" i="22"/>
  <c r="IO55" i="22"/>
  <c r="IO56" i="22"/>
  <c r="IO57" i="22"/>
  <c r="IO58" i="22"/>
  <c r="IO59" i="22"/>
  <c r="IO60" i="22"/>
  <c r="IO61" i="22"/>
  <c r="IO62" i="22"/>
  <c r="IO63" i="22"/>
  <c r="IO64" i="22"/>
  <c r="IO65" i="22"/>
  <c r="IO90" i="22"/>
  <c r="IN13" i="22"/>
  <c r="IN14" i="22"/>
  <c r="IN15" i="22"/>
  <c r="IN16" i="22"/>
  <c r="IN17" i="22"/>
  <c r="IN18" i="22"/>
  <c r="IN19" i="22"/>
  <c r="IN20" i="22"/>
  <c r="IN21" i="22"/>
  <c r="IN22" i="22"/>
  <c r="IN23" i="22"/>
  <c r="IN24" i="22"/>
  <c r="IN25" i="22"/>
  <c r="IN26" i="22"/>
  <c r="IN27" i="22"/>
  <c r="IN28" i="22"/>
  <c r="IN29" i="22"/>
  <c r="IN30" i="22"/>
  <c r="IN31" i="22"/>
  <c r="IN32" i="22"/>
  <c r="IN33" i="22"/>
  <c r="IN34" i="22"/>
  <c r="IN35" i="22"/>
  <c r="IN36" i="22"/>
  <c r="IN37" i="22"/>
  <c r="IN38" i="22"/>
  <c r="IN39" i="22"/>
  <c r="IN40" i="22"/>
  <c r="IN41" i="22"/>
  <c r="IN42" i="22"/>
  <c r="IN43" i="22"/>
  <c r="IN44" i="22"/>
  <c r="IN45" i="22"/>
  <c r="IN46" i="22"/>
  <c r="IN47" i="22"/>
  <c r="IN48" i="22"/>
  <c r="IN49" i="22"/>
  <c r="IN50" i="22"/>
  <c r="IN51" i="22"/>
  <c r="IN52" i="22"/>
  <c r="IN53" i="22"/>
  <c r="IN54" i="22"/>
  <c r="IN55" i="22"/>
  <c r="IN56" i="22"/>
  <c r="IN57" i="22"/>
  <c r="IN58" i="22"/>
  <c r="IN59" i="22"/>
  <c r="IN60" i="22"/>
  <c r="IN61" i="22"/>
  <c r="IN62" i="22"/>
  <c r="IN63" i="22"/>
  <c r="IN64" i="22"/>
  <c r="IN65" i="22"/>
  <c r="IN90" i="22"/>
  <c r="IM13" i="22"/>
  <c r="IM14" i="22"/>
  <c r="IM15" i="22"/>
  <c r="IM16" i="22"/>
  <c r="IM17" i="22"/>
  <c r="IM18" i="22"/>
  <c r="IM19" i="22"/>
  <c r="IM20" i="22"/>
  <c r="IM21" i="22"/>
  <c r="IM22" i="22"/>
  <c r="IM23" i="22"/>
  <c r="IM24" i="22"/>
  <c r="IM25" i="22"/>
  <c r="IM26" i="22"/>
  <c r="IM27" i="22"/>
  <c r="IM28" i="22"/>
  <c r="IM29" i="22"/>
  <c r="IM30" i="22"/>
  <c r="IM31" i="22"/>
  <c r="IM32" i="22"/>
  <c r="IM33" i="22"/>
  <c r="IM34" i="22"/>
  <c r="IM35" i="22"/>
  <c r="IM36" i="22"/>
  <c r="IM37" i="22"/>
  <c r="IM38" i="22"/>
  <c r="IM39" i="22"/>
  <c r="IM40" i="22"/>
  <c r="IM41" i="22"/>
  <c r="IM42" i="22"/>
  <c r="IM43" i="22"/>
  <c r="IM44" i="22"/>
  <c r="IM45" i="22"/>
  <c r="IM46" i="22"/>
  <c r="IM47" i="22"/>
  <c r="IM48" i="22"/>
  <c r="IM49" i="22"/>
  <c r="IM50" i="22"/>
  <c r="IM51" i="22"/>
  <c r="IM52" i="22"/>
  <c r="IM53" i="22"/>
  <c r="IM54" i="22"/>
  <c r="IM55" i="22"/>
  <c r="IM56" i="22"/>
  <c r="IM57" i="22"/>
  <c r="IM58" i="22"/>
  <c r="IM59" i="22"/>
  <c r="IM60" i="22"/>
  <c r="IM61" i="22"/>
  <c r="IM62" i="22"/>
  <c r="IM63" i="22"/>
  <c r="IM64" i="22"/>
  <c r="IM65" i="22"/>
  <c r="IM90" i="22"/>
  <c r="IL13" i="22"/>
  <c r="IL14" i="22"/>
  <c r="IL15" i="22"/>
  <c r="IL16" i="22"/>
  <c r="IL17" i="22"/>
  <c r="IL18" i="22"/>
  <c r="IL19" i="22"/>
  <c r="IL20" i="22"/>
  <c r="IL21" i="22"/>
  <c r="IL22" i="22"/>
  <c r="IL23" i="22"/>
  <c r="IL24" i="22"/>
  <c r="IL25" i="22"/>
  <c r="IL26" i="22"/>
  <c r="IL27" i="22"/>
  <c r="IL28" i="22"/>
  <c r="IL29" i="22"/>
  <c r="IL30" i="22"/>
  <c r="IL31" i="22"/>
  <c r="IL32" i="22"/>
  <c r="IL33" i="22"/>
  <c r="IL34" i="22"/>
  <c r="IL35" i="22"/>
  <c r="IL36" i="22"/>
  <c r="IL37" i="22"/>
  <c r="IL38" i="22"/>
  <c r="IL39" i="22"/>
  <c r="IL40" i="22"/>
  <c r="IL41" i="22"/>
  <c r="IL42" i="22"/>
  <c r="IL43" i="22"/>
  <c r="IL44" i="22"/>
  <c r="IL45" i="22"/>
  <c r="IL46" i="22"/>
  <c r="IL47" i="22"/>
  <c r="IL48" i="22"/>
  <c r="IL49" i="22"/>
  <c r="IL50" i="22"/>
  <c r="IL51" i="22"/>
  <c r="IL52" i="22"/>
  <c r="IL53" i="22"/>
  <c r="IL54" i="22"/>
  <c r="IL55" i="22"/>
  <c r="IL56" i="22"/>
  <c r="IL57" i="22"/>
  <c r="IL58" i="22"/>
  <c r="IL59" i="22"/>
  <c r="IL60" i="22"/>
  <c r="IL61" i="22"/>
  <c r="IL62" i="22"/>
  <c r="IL63" i="22"/>
  <c r="IL64" i="22"/>
  <c r="IL65" i="22"/>
  <c r="IL90" i="22"/>
  <c r="IK13" i="22"/>
  <c r="IK14" i="22"/>
  <c r="IK15" i="22"/>
  <c r="IK16" i="22"/>
  <c r="IK17" i="22"/>
  <c r="IK18" i="22"/>
  <c r="IK19" i="22"/>
  <c r="IK20" i="22"/>
  <c r="IK21" i="22"/>
  <c r="IK22" i="22"/>
  <c r="IK23" i="22"/>
  <c r="IK24" i="22"/>
  <c r="IK25" i="22"/>
  <c r="IK26" i="22"/>
  <c r="IK27" i="22"/>
  <c r="IK28" i="22"/>
  <c r="IK29" i="22"/>
  <c r="IK30" i="22"/>
  <c r="IK31" i="22"/>
  <c r="IK32" i="22"/>
  <c r="IK33" i="22"/>
  <c r="IK34" i="22"/>
  <c r="IK35" i="22"/>
  <c r="IK36" i="22"/>
  <c r="IK37" i="22"/>
  <c r="IK38" i="22"/>
  <c r="IK39" i="22"/>
  <c r="IK40" i="22"/>
  <c r="IK41" i="22"/>
  <c r="IK42" i="22"/>
  <c r="IK43" i="22"/>
  <c r="IK44" i="22"/>
  <c r="IK45" i="22"/>
  <c r="IK46" i="22"/>
  <c r="IK47" i="22"/>
  <c r="IK48" i="22"/>
  <c r="IK49" i="22"/>
  <c r="IK50" i="22"/>
  <c r="IK51" i="22"/>
  <c r="IK52" i="22"/>
  <c r="IK53" i="22"/>
  <c r="IK54" i="22"/>
  <c r="IK55" i="22"/>
  <c r="IK56" i="22"/>
  <c r="IK57" i="22"/>
  <c r="IK58" i="22"/>
  <c r="IK59" i="22"/>
  <c r="IK60" i="22"/>
  <c r="IK61" i="22"/>
  <c r="IK62" i="22"/>
  <c r="IK63" i="22"/>
  <c r="IK64" i="22"/>
  <c r="IK65" i="22"/>
  <c r="IK90" i="22"/>
  <c r="IJ13" i="22"/>
  <c r="IJ14" i="22"/>
  <c r="IJ15" i="22"/>
  <c r="IJ16" i="22"/>
  <c r="IJ17" i="22"/>
  <c r="IJ18" i="22"/>
  <c r="IJ19" i="22"/>
  <c r="IJ20" i="22"/>
  <c r="IJ21" i="22"/>
  <c r="IJ22" i="22"/>
  <c r="IJ23" i="22"/>
  <c r="IJ24" i="22"/>
  <c r="IJ25" i="22"/>
  <c r="IJ26" i="22"/>
  <c r="IJ27" i="22"/>
  <c r="IJ28" i="22"/>
  <c r="IJ29" i="22"/>
  <c r="IJ30" i="22"/>
  <c r="IJ31" i="22"/>
  <c r="IJ32" i="22"/>
  <c r="IJ33" i="22"/>
  <c r="IJ34" i="22"/>
  <c r="IJ35" i="22"/>
  <c r="IJ36" i="22"/>
  <c r="IJ37" i="22"/>
  <c r="IJ38" i="22"/>
  <c r="IJ39" i="22"/>
  <c r="IJ40" i="22"/>
  <c r="IJ41" i="22"/>
  <c r="IJ42" i="22"/>
  <c r="IJ43" i="22"/>
  <c r="IJ44" i="22"/>
  <c r="IJ45" i="22"/>
  <c r="IJ46" i="22"/>
  <c r="IJ47" i="22"/>
  <c r="IJ48" i="22"/>
  <c r="IJ49" i="22"/>
  <c r="IJ50" i="22"/>
  <c r="IJ51" i="22"/>
  <c r="IJ52" i="22"/>
  <c r="IJ53" i="22"/>
  <c r="IJ54" i="22"/>
  <c r="IJ55" i="22"/>
  <c r="IJ56" i="22"/>
  <c r="IJ57" i="22"/>
  <c r="IJ58" i="22"/>
  <c r="IJ59" i="22"/>
  <c r="IJ60" i="22"/>
  <c r="IJ61" i="22"/>
  <c r="IJ62" i="22"/>
  <c r="IJ63" i="22"/>
  <c r="IJ64" i="22"/>
  <c r="IJ65" i="22"/>
  <c r="IJ90" i="22"/>
  <c r="II13" i="22"/>
  <c r="II14" i="22"/>
  <c r="II15" i="22"/>
  <c r="II16" i="22"/>
  <c r="II17" i="22"/>
  <c r="II18" i="22"/>
  <c r="II19" i="22"/>
  <c r="II20" i="22"/>
  <c r="II21" i="22"/>
  <c r="II22" i="22"/>
  <c r="II23" i="22"/>
  <c r="II24" i="22"/>
  <c r="II25" i="22"/>
  <c r="II26" i="22"/>
  <c r="II27" i="22"/>
  <c r="II28" i="22"/>
  <c r="II29" i="22"/>
  <c r="II30" i="22"/>
  <c r="II31" i="22"/>
  <c r="II32" i="22"/>
  <c r="II33" i="22"/>
  <c r="II34" i="22"/>
  <c r="II35" i="22"/>
  <c r="II36" i="22"/>
  <c r="II37" i="22"/>
  <c r="II38" i="22"/>
  <c r="II39" i="22"/>
  <c r="II40" i="22"/>
  <c r="II41" i="22"/>
  <c r="II42" i="22"/>
  <c r="II43" i="22"/>
  <c r="II44" i="22"/>
  <c r="II45" i="22"/>
  <c r="II46" i="22"/>
  <c r="II47" i="22"/>
  <c r="II48" i="22"/>
  <c r="II49" i="22"/>
  <c r="II50" i="22"/>
  <c r="II51" i="22"/>
  <c r="II52" i="22"/>
  <c r="II53" i="22"/>
  <c r="II54" i="22"/>
  <c r="II55" i="22"/>
  <c r="II56" i="22"/>
  <c r="II57" i="22"/>
  <c r="II58" i="22"/>
  <c r="II59" i="22"/>
  <c r="II60" i="22"/>
  <c r="II61" i="22"/>
  <c r="II62" i="22"/>
  <c r="II63" i="22"/>
  <c r="II64" i="22"/>
  <c r="II65" i="22"/>
  <c r="II90" i="22"/>
  <c r="IH13" i="22"/>
  <c r="IH14" i="22"/>
  <c r="IH15" i="22"/>
  <c r="IH16" i="22"/>
  <c r="IH17" i="22"/>
  <c r="IH18" i="22"/>
  <c r="IH19" i="22"/>
  <c r="IH20" i="22"/>
  <c r="IH21" i="22"/>
  <c r="IH22" i="22"/>
  <c r="IH23" i="22"/>
  <c r="IH24" i="22"/>
  <c r="IH25" i="22"/>
  <c r="IH26" i="22"/>
  <c r="IH27" i="22"/>
  <c r="IH28" i="22"/>
  <c r="IH29" i="22"/>
  <c r="IH30" i="22"/>
  <c r="IH31" i="22"/>
  <c r="IH32" i="22"/>
  <c r="IH33" i="22"/>
  <c r="IH34" i="22"/>
  <c r="IH35" i="22"/>
  <c r="IH36" i="22"/>
  <c r="IH37" i="22"/>
  <c r="IH38" i="22"/>
  <c r="IH39" i="22"/>
  <c r="IH40" i="22"/>
  <c r="IH41" i="22"/>
  <c r="IH42" i="22"/>
  <c r="IH43" i="22"/>
  <c r="IH44" i="22"/>
  <c r="IH45" i="22"/>
  <c r="IH46" i="22"/>
  <c r="IH47" i="22"/>
  <c r="IH48" i="22"/>
  <c r="IH49" i="22"/>
  <c r="IH50" i="22"/>
  <c r="IH51" i="22"/>
  <c r="IH52" i="22"/>
  <c r="IH53" i="22"/>
  <c r="IH54" i="22"/>
  <c r="IH55" i="22"/>
  <c r="IH56" i="22"/>
  <c r="IH57" i="22"/>
  <c r="IH58" i="22"/>
  <c r="IH59" i="22"/>
  <c r="IH60" i="22"/>
  <c r="IH61" i="22"/>
  <c r="IH62" i="22"/>
  <c r="IH63" i="22"/>
  <c r="IH64" i="22"/>
  <c r="IH65" i="22"/>
  <c r="IH90" i="22"/>
  <c r="HW90" i="22"/>
  <c r="HV90" i="22"/>
  <c r="HU90" i="22"/>
  <c r="HT90" i="22"/>
  <c r="HS90" i="22"/>
  <c r="HQ90" i="22"/>
  <c r="HP90" i="22"/>
  <c r="HO90" i="22"/>
  <c r="HN90" i="22"/>
  <c r="HM90" i="22"/>
  <c r="HL90" i="22"/>
  <c r="HK90" i="22"/>
  <c r="HJ90" i="22"/>
  <c r="HI90" i="22"/>
  <c r="HH90" i="22"/>
  <c r="HG90" i="22"/>
  <c r="HF90" i="22"/>
  <c r="HD13" i="22"/>
  <c r="HD14" i="22"/>
  <c r="HD15" i="22"/>
  <c r="HD16" i="22"/>
  <c r="HD17" i="22"/>
  <c r="HD18" i="22"/>
  <c r="HD19" i="22"/>
  <c r="HD20" i="22"/>
  <c r="HD21" i="22"/>
  <c r="HD22" i="22"/>
  <c r="HD23" i="22"/>
  <c r="HD24" i="22"/>
  <c r="HD25" i="22"/>
  <c r="HD26" i="22"/>
  <c r="HD27" i="22"/>
  <c r="HD28" i="22"/>
  <c r="HD29" i="22"/>
  <c r="HD30" i="22"/>
  <c r="HD31" i="22"/>
  <c r="HD32" i="22"/>
  <c r="HD33" i="22"/>
  <c r="HD34" i="22"/>
  <c r="HD35" i="22"/>
  <c r="HD36" i="22"/>
  <c r="HD37" i="22"/>
  <c r="HD38" i="22"/>
  <c r="HD39" i="22"/>
  <c r="HD40" i="22"/>
  <c r="HD41" i="22"/>
  <c r="HD42" i="22"/>
  <c r="HD43" i="22"/>
  <c r="HD44" i="22"/>
  <c r="HD45" i="22"/>
  <c r="HD46" i="22"/>
  <c r="HD47" i="22"/>
  <c r="HD48" i="22"/>
  <c r="HD49" i="22"/>
  <c r="HD50" i="22"/>
  <c r="HD51" i="22"/>
  <c r="HD52" i="22"/>
  <c r="HD53" i="22"/>
  <c r="HD54" i="22"/>
  <c r="HD55" i="22"/>
  <c r="HD56" i="22"/>
  <c r="HD57" i="22"/>
  <c r="HD58" i="22"/>
  <c r="HD59" i="22"/>
  <c r="HD60" i="22"/>
  <c r="HD61" i="22"/>
  <c r="HD62" i="22"/>
  <c r="HD63" i="22"/>
  <c r="HD64" i="22"/>
  <c r="HD65" i="22"/>
  <c r="HD90" i="22"/>
  <c r="HC13" i="22"/>
  <c r="HC14" i="22"/>
  <c r="HC15" i="22"/>
  <c r="HC16" i="22"/>
  <c r="HC17" i="22"/>
  <c r="HC18" i="22"/>
  <c r="HC19" i="22"/>
  <c r="HC20" i="22"/>
  <c r="HC21" i="22"/>
  <c r="HC22" i="22"/>
  <c r="HC23" i="22"/>
  <c r="HC24" i="22"/>
  <c r="HC25" i="22"/>
  <c r="HC26" i="22"/>
  <c r="HC27" i="22"/>
  <c r="HC28" i="22"/>
  <c r="HC29" i="22"/>
  <c r="HC30" i="22"/>
  <c r="HC31" i="22"/>
  <c r="HC32" i="22"/>
  <c r="HC33" i="22"/>
  <c r="HC34" i="22"/>
  <c r="HC35" i="22"/>
  <c r="HC36" i="22"/>
  <c r="HC37" i="22"/>
  <c r="HC38" i="22"/>
  <c r="HC39" i="22"/>
  <c r="HC40" i="22"/>
  <c r="HC41" i="22"/>
  <c r="HC42" i="22"/>
  <c r="HC43" i="22"/>
  <c r="HC44" i="22"/>
  <c r="HC45" i="22"/>
  <c r="HC46" i="22"/>
  <c r="HC47" i="22"/>
  <c r="HC48" i="22"/>
  <c r="HC49" i="22"/>
  <c r="HC50" i="22"/>
  <c r="HC51" i="22"/>
  <c r="HC52" i="22"/>
  <c r="HC53" i="22"/>
  <c r="HC54" i="22"/>
  <c r="HC55" i="22"/>
  <c r="HC56" i="22"/>
  <c r="HC57" i="22"/>
  <c r="HC58" i="22"/>
  <c r="HC59" i="22"/>
  <c r="HC60" i="22"/>
  <c r="HC61" i="22"/>
  <c r="HC62" i="22"/>
  <c r="HC63" i="22"/>
  <c r="HC64" i="22"/>
  <c r="HC65" i="22"/>
  <c r="HC90" i="22"/>
  <c r="HB90" i="22"/>
  <c r="HA90" i="22"/>
  <c r="GZ90" i="22"/>
  <c r="GY90" i="22"/>
  <c r="GX90" i="22"/>
  <c r="GW90" i="22"/>
  <c r="GV90" i="22"/>
  <c r="GU90" i="22"/>
  <c r="GT90" i="22"/>
  <c r="GS90" i="22"/>
  <c r="GR90" i="22"/>
  <c r="GQ90" i="22"/>
  <c r="GP13" i="22"/>
  <c r="GP14" i="22"/>
  <c r="GP15" i="22"/>
  <c r="GP16" i="22"/>
  <c r="GP17" i="22"/>
  <c r="GP18" i="22"/>
  <c r="GP19" i="22"/>
  <c r="GP20" i="22"/>
  <c r="GP21" i="22"/>
  <c r="GP22" i="22"/>
  <c r="GP23" i="22"/>
  <c r="GP24" i="22"/>
  <c r="GP25" i="22"/>
  <c r="GP26" i="22"/>
  <c r="GP27" i="22"/>
  <c r="GP28" i="22"/>
  <c r="GP29" i="22"/>
  <c r="GP30" i="22"/>
  <c r="GP31" i="22"/>
  <c r="GP32" i="22"/>
  <c r="GP33" i="22"/>
  <c r="GP34" i="22"/>
  <c r="GP35" i="22"/>
  <c r="GP36" i="22"/>
  <c r="GP37" i="22"/>
  <c r="GP38" i="22"/>
  <c r="GP39" i="22"/>
  <c r="GP40" i="22"/>
  <c r="GP41" i="22"/>
  <c r="GP42" i="22"/>
  <c r="GP43" i="22"/>
  <c r="GP44" i="22"/>
  <c r="GP45" i="22"/>
  <c r="GP46" i="22"/>
  <c r="GP47" i="22"/>
  <c r="GP48" i="22"/>
  <c r="GP49" i="22"/>
  <c r="GP50" i="22"/>
  <c r="GP51" i="22"/>
  <c r="GP52" i="22"/>
  <c r="GP53" i="22"/>
  <c r="GP54" i="22"/>
  <c r="GP55" i="22"/>
  <c r="GP56" i="22"/>
  <c r="GP57" i="22"/>
  <c r="GP58" i="22"/>
  <c r="GP59" i="22"/>
  <c r="GP60" i="22"/>
  <c r="GP61" i="22"/>
  <c r="GP62" i="22"/>
  <c r="GP63" i="22"/>
  <c r="GP64" i="22"/>
  <c r="GP65" i="22"/>
  <c r="GP90" i="22"/>
  <c r="GO13" i="22"/>
  <c r="GO14" i="22"/>
  <c r="GO15" i="22"/>
  <c r="GO16" i="22"/>
  <c r="GO17" i="22"/>
  <c r="GO18" i="22"/>
  <c r="GO19" i="22"/>
  <c r="GO20" i="22"/>
  <c r="GO21" i="22"/>
  <c r="GO22" i="22"/>
  <c r="GO23" i="22"/>
  <c r="GO24" i="22"/>
  <c r="GO25" i="22"/>
  <c r="GO26" i="22"/>
  <c r="GO27" i="22"/>
  <c r="GO28" i="22"/>
  <c r="GO29" i="22"/>
  <c r="GO30" i="22"/>
  <c r="GO31" i="22"/>
  <c r="GO32" i="22"/>
  <c r="GO33" i="22"/>
  <c r="GO34" i="22"/>
  <c r="GO35" i="22"/>
  <c r="GO36" i="22"/>
  <c r="GO37" i="22"/>
  <c r="GO38" i="22"/>
  <c r="GO39" i="22"/>
  <c r="GO40" i="22"/>
  <c r="GO41" i="22"/>
  <c r="GO42" i="22"/>
  <c r="GO43" i="22"/>
  <c r="GO44" i="22"/>
  <c r="GO45" i="22"/>
  <c r="GO46" i="22"/>
  <c r="GO47" i="22"/>
  <c r="GO48" i="22"/>
  <c r="GO49" i="22"/>
  <c r="GO50" i="22"/>
  <c r="GO51" i="22"/>
  <c r="GO52" i="22"/>
  <c r="GO53" i="22"/>
  <c r="GO54" i="22"/>
  <c r="GO55" i="22"/>
  <c r="GO56" i="22"/>
  <c r="GO57" i="22"/>
  <c r="GO58" i="22"/>
  <c r="GO59" i="22"/>
  <c r="GO60" i="22"/>
  <c r="GO61" i="22"/>
  <c r="GO62" i="22"/>
  <c r="GO63" i="22"/>
  <c r="GO64" i="22"/>
  <c r="GO65" i="22"/>
  <c r="GO90" i="22"/>
  <c r="GN90" i="22"/>
  <c r="GM90" i="22"/>
  <c r="GL90" i="22"/>
  <c r="GK90" i="22"/>
  <c r="GJ90" i="22"/>
  <c r="GI90" i="22"/>
  <c r="GH90" i="22"/>
  <c r="GG90" i="22"/>
  <c r="GF90" i="22"/>
  <c r="GE90" i="22"/>
  <c r="GD90" i="22"/>
  <c r="GC90" i="22"/>
  <c r="GB90" i="22"/>
  <c r="GA90" i="22"/>
  <c r="FZ90" i="22"/>
  <c r="FY90" i="22"/>
  <c r="FX90" i="22"/>
  <c r="FW90" i="22"/>
  <c r="FV90" i="22"/>
  <c r="FU90" i="22"/>
  <c r="FT90" i="22"/>
  <c r="FS90" i="22"/>
  <c r="FR90" i="22"/>
  <c r="FQ90" i="22"/>
  <c r="FP13" i="22"/>
  <c r="FP14" i="22"/>
  <c r="FP15" i="22"/>
  <c r="FP16" i="22"/>
  <c r="FP17" i="22"/>
  <c r="FP18" i="22"/>
  <c r="FP19" i="22"/>
  <c r="FP20" i="22"/>
  <c r="FP21" i="22"/>
  <c r="FP22" i="22"/>
  <c r="FP23" i="22"/>
  <c r="FP24" i="22"/>
  <c r="FP25" i="22"/>
  <c r="FP26" i="22"/>
  <c r="FP27" i="22"/>
  <c r="FP28" i="22"/>
  <c r="FP29" i="22"/>
  <c r="FP30" i="22"/>
  <c r="FP31" i="22"/>
  <c r="FP32" i="22"/>
  <c r="FP33" i="22"/>
  <c r="FP34" i="22"/>
  <c r="FP35" i="22"/>
  <c r="FP36" i="22"/>
  <c r="FP37" i="22"/>
  <c r="FP38" i="22"/>
  <c r="FP39" i="22"/>
  <c r="FP40" i="22"/>
  <c r="FP41" i="22"/>
  <c r="FP42" i="22"/>
  <c r="FP43" i="22"/>
  <c r="FP44" i="22"/>
  <c r="FP45" i="22"/>
  <c r="FP46" i="22"/>
  <c r="FP47" i="22"/>
  <c r="FP48" i="22"/>
  <c r="FP49" i="22"/>
  <c r="FP50" i="22"/>
  <c r="FP51" i="22"/>
  <c r="FP52" i="22"/>
  <c r="FP53" i="22"/>
  <c r="FP54" i="22"/>
  <c r="FP55" i="22"/>
  <c r="FP56" i="22"/>
  <c r="FP90" i="22"/>
  <c r="FO13" i="22"/>
  <c r="FO14" i="22"/>
  <c r="FO15" i="22"/>
  <c r="FO16" i="22"/>
  <c r="FO17" i="22"/>
  <c r="FO18" i="22"/>
  <c r="FO19" i="22"/>
  <c r="FO20" i="22"/>
  <c r="FO21" i="22"/>
  <c r="FO22" i="22"/>
  <c r="FO23" i="22"/>
  <c r="FO24" i="22"/>
  <c r="FO25" i="22"/>
  <c r="FO26" i="22"/>
  <c r="FO27" i="22"/>
  <c r="FO28" i="22"/>
  <c r="FO29" i="22"/>
  <c r="FO30" i="22"/>
  <c r="FO31" i="22"/>
  <c r="FO32" i="22"/>
  <c r="FO33" i="22"/>
  <c r="FO34" i="22"/>
  <c r="FO35" i="22"/>
  <c r="FO36" i="22"/>
  <c r="FO37" i="22"/>
  <c r="FO38" i="22"/>
  <c r="FO39" i="22"/>
  <c r="FO40" i="22"/>
  <c r="FO41" i="22"/>
  <c r="FO42" i="22"/>
  <c r="FO43" i="22"/>
  <c r="FO44" i="22"/>
  <c r="FO45" i="22"/>
  <c r="FO46" i="22"/>
  <c r="FO47" i="22"/>
  <c r="FO48" i="22"/>
  <c r="FO49" i="22"/>
  <c r="FO50" i="22"/>
  <c r="FO51" i="22"/>
  <c r="FO52" i="22"/>
  <c r="FO53" i="22"/>
  <c r="FO54" i="22"/>
  <c r="FO55" i="22"/>
  <c r="FO56" i="22"/>
  <c r="FO90" i="22"/>
  <c r="FN90" i="22"/>
  <c r="FM90" i="22"/>
  <c r="FL90" i="22"/>
  <c r="FK90" i="22"/>
  <c r="FJ90" i="22"/>
  <c r="FI90" i="22"/>
  <c r="FH90" i="22"/>
  <c r="FG90" i="22"/>
  <c r="FF90" i="22"/>
  <c r="FE90" i="22"/>
  <c r="FD90" i="22"/>
  <c r="FC90" i="22"/>
  <c r="FB90" i="22"/>
  <c r="FA90" i="22"/>
  <c r="EZ90" i="22"/>
  <c r="EY90" i="22"/>
  <c r="EX90" i="22"/>
  <c r="EW90" i="22"/>
  <c r="EV90" i="22"/>
  <c r="EU90" i="22"/>
  <c r="ET90" i="22"/>
  <c r="ES90" i="22"/>
  <c r="ER90" i="22"/>
  <c r="EQ90" i="22"/>
  <c r="EP90" i="22"/>
  <c r="EN13" i="22"/>
  <c r="EN14" i="22"/>
  <c r="EN15" i="22"/>
  <c r="EN16" i="22"/>
  <c r="EN17" i="22"/>
  <c r="EN18" i="22"/>
  <c r="EN19" i="22"/>
  <c r="EN20" i="22"/>
  <c r="EN21" i="22"/>
  <c r="EN22" i="22"/>
  <c r="EN23" i="22"/>
  <c r="EN24" i="22"/>
  <c r="EN25" i="22"/>
  <c r="EN26" i="22"/>
  <c r="EN27" i="22"/>
  <c r="EN28" i="22"/>
  <c r="EN29" i="22"/>
  <c r="EN30" i="22"/>
  <c r="EN31" i="22"/>
  <c r="EN32" i="22"/>
  <c r="EN33" i="22"/>
  <c r="EN34" i="22"/>
  <c r="EN35" i="22"/>
  <c r="EN36" i="22"/>
  <c r="EN37" i="22"/>
  <c r="EN38" i="22"/>
  <c r="EN39" i="22"/>
  <c r="EN40" i="22"/>
  <c r="EN41" i="22"/>
  <c r="EN42" i="22"/>
  <c r="EN43" i="22"/>
  <c r="EN44" i="22"/>
  <c r="EN45" i="22"/>
  <c r="EN46" i="22"/>
  <c r="EN47" i="22"/>
  <c r="EN48" i="22"/>
  <c r="EN49" i="22"/>
  <c r="EN50" i="22"/>
  <c r="EN51" i="22"/>
  <c r="EN52" i="22"/>
  <c r="EN53" i="22"/>
  <c r="EN54" i="22"/>
  <c r="EN55" i="22"/>
  <c r="EN56" i="22"/>
  <c r="EN57" i="22"/>
  <c r="EN58" i="22"/>
  <c r="EN59" i="22"/>
  <c r="EN60" i="22"/>
  <c r="EN61" i="22"/>
  <c r="EN62" i="22"/>
  <c r="EN63" i="22"/>
  <c r="EN64" i="22"/>
  <c r="EN65" i="22"/>
  <c r="EN90" i="22"/>
  <c r="EM13" i="22"/>
  <c r="EM14" i="22"/>
  <c r="EM15" i="22"/>
  <c r="EM16" i="22"/>
  <c r="EM17" i="22"/>
  <c r="EM18" i="22"/>
  <c r="EM19" i="22"/>
  <c r="EM20" i="22"/>
  <c r="EM21" i="22"/>
  <c r="EM22" i="22"/>
  <c r="EM23" i="22"/>
  <c r="EM24" i="22"/>
  <c r="EM25" i="22"/>
  <c r="EM26" i="22"/>
  <c r="EM27" i="22"/>
  <c r="EM28" i="22"/>
  <c r="EM29" i="22"/>
  <c r="EM30" i="22"/>
  <c r="EM31" i="22"/>
  <c r="EM32" i="22"/>
  <c r="EM33" i="22"/>
  <c r="EM34" i="22"/>
  <c r="EM35" i="22"/>
  <c r="EM36" i="22"/>
  <c r="EM37" i="22"/>
  <c r="EM38" i="22"/>
  <c r="EM39" i="22"/>
  <c r="EM40" i="22"/>
  <c r="EM41" i="22"/>
  <c r="EM42" i="22"/>
  <c r="EM43" i="22"/>
  <c r="EM44" i="22"/>
  <c r="EM45" i="22"/>
  <c r="EM46" i="22"/>
  <c r="EM47" i="22"/>
  <c r="EM48" i="22"/>
  <c r="EM49" i="22"/>
  <c r="EM50" i="22"/>
  <c r="EM51" i="22"/>
  <c r="EM52" i="22"/>
  <c r="EM53" i="22"/>
  <c r="EM54" i="22"/>
  <c r="EM55" i="22"/>
  <c r="EM56" i="22"/>
  <c r="EM57" i="22"/>
  <c r="EM58" i="22"/>
  <c r="EM59" i="22"/>
  <c r="EM60" i="22"/>
  <c r="EM61" i="22"/>
  <c r="EM62" i="22"/>
  <c r="EM63" i="22"/>
  <c r="EM64" i="22"/>
  <c r="EM65" i="22"/>
  <c r="EM90" i="22"/>
  <c r="EL90" i="22"/>
  <c r="EK90" i="22"/>
  <c r="EJ90" i="22"/>
  <c r="EI90" i="22"/>
  <c r="EH90" i="22"/>
  <c r="EG90" i="22"/>
  <c r="EF90" i="22"/>
  <c r="EE90" i="22"/>
  <c r="ED90" i="22"/>
  <c r="EC90" i="22"/>
  <c r="EB90" i="22"/>
  <c r="EA90" i="22"/>
  <c r="DZ90" i="22"/>
  <c r="DY90" i="22"/>
  <c r="DX90" i="22"/>
  <c r="DW90" i="22"/>
  <c r="DV90" i="22"/>
  <c r="DU90" i="22"/>
  <c r="DT13" i="22"/>
  <c r="DT14" i="22"/>
  <c r="DT15" i="22"/>
  <c r="DT16" i="22"/>
  <c r="DT17" i="22"/>
  <c r="DT18" i="22"/>
  <c r="DT19" i="22"/>
  <c r="DT20" i="22"/>
  <c r="DT21" i="22"/>
  <c r="DT22" i="22"/>
  <c r="DT23" i="22"/>
  <c r="DT24" i="22"/>
  <c r="DT25" i="22"/>
  <c r="DT26" i="22"/>
  <c r="DT27" i="22"/>
  <c r="DT28" i="22"/>
  <c r="DT29" i="22"/>
  <c r="DT30" i="22"/>
  <c r="DT31" i="22"/>
  <c r="DT32" i="22"/>
  <c r="DT33" i="22"/>
  <c r="DT34" i="22"/>
  <c r="DT35" i="22"/>
  <c r="DT36" i="22"/>
  <c r="DT37" i="22"/>
  <c r="DT38" i="22"/>
  <c r="DT39" i="22"/>
  <c r="DT40" i="22"/>
  <c r="DT41" i="22"/>
  <c r="DT42" i="22"/>
  <c r="DT43" i="22"/>
  <c r="DT44" i="22"/>
  <c r="DT45" i="22"/>
  <c r="DT46" i="22"/>
  <c r="DT47" i="22"/>
  <c r="DT48" i="22"/>
  <c r="DT49" i="22"/>
  <c r="DT50" i="22"/>
  <c r="DT51" i="22"/>
  <c r="DT52" i="22"/>
  <c r="DT53" i="22"/>
  <c r="DT54" i="22"/>
  <c r="DT55" i="22"/>
  <c r="DT56" i="22"/>
  <c r="DT90" i="22"/>
  <c r="DS13" i="22"/>
  <c r="DS14" i="22"/>
  <c r="DS15" i="22"/>
  <c r="DS16" i="22"/>
  <c r="DS17" i="22"/>
  <c r="DS18" i="22"/>
  <c r="DS19" i="22"/>
  <c r="DS20" i="22"/>
  <c r="DS21" i="22"/>
  <c r="DS22" i="22"/>
  <c r="DS23" i="22"/>
  <c r="DS24" i="22"/>
  <c r="DS25" i="22"/>
  <c r="DS26" i="22"/>
  <c r="DS27" i="22"/>
  <c r="DS28" i="22"/>
  <c r="DS29" i="22"/>
  <c r="DS30" i="22"/>
  <c r="DS31" i="22"/>
  <c r="DS32" i="22"/>
  <c r="DS33" i="22"/>
  <c r="DS34" i="22"/>
  <c r="DS35" i="22"/>
  <c r="DS36" i="22"/>
  <c r="DS37" i="22"/>
  <c r="DS38" i="22"/>
  <c r="DS39" i="22"/>
  <c r="DS40" i="22"/>
  <c r="DS41" i="22"/>
  <c r="DS42" i="22"/>
  <c r="DS43" i="22"/>
  <c r="DS44" i="22"/>
  <c r="DS45" i="22"/>
  <c r="DS46" i="22"/>
  <c r="DS47" i="22"/>
  <c r="DS48" i="22"/>
  <c r="DS49" i="22"/>
  <c r="DS50" i="22"/>
  <c r="DS51" i="22"/>
  <c r="DS52" i="22"/>
  <c r="DS53" i="22"/>
  <c r="DS54" i="22"/>
  <c r="DS55" i="22"/>
  <c r="DS56" i="22"/>
  <c r="DS90" i="22"/>
  <c r="DR90" i="22"/>
  <c r="DQ90" i="22"/>
  <c r="DP90" i="22"/>
  <c r="DO90" i="22"/>
  <c r="DN90" i="22"/>
  <c r="DL90" i="22"/>
  <c r="DK90" i="22"/>
  <c r="DJ90" i="22"/>
  <c r="CN90" i="22"/>
  <c r="CO90" i="22"/>
  <c r="CP90" i="22"/>
  <c r="CQ13" i="22"/>
  <c r="CQ14" i="22"/>
  <c r="CQ15" i="22"/>
  <c r="CQ16" i="22"/>
  <c r="CQ17" i="22"/>
  <c r="CQ18" i="22"/>
  <c r="CQ19" i="22"/>
  <c r="CQ20" i="22"/>
  <c r="CQ21" i="22"/>
  <c r="CQ22" i="22"/>
  <c r="CQ23" i="22"/>
  <c r="CQ24" i="22"/>
  <c r="CQ25" i="22"/>
  <c r="CQ26" i="22"/>
  <c r="CQ27" i="22"/>
  <c r="CQ28" i="22"/>
  <c r="CQ29" i="22"/>
  <c r="CQ30" i="22"/>
  <c r="CQ31" i="22"/>
  <c r="CQ32" i="22"/>
  <c r="CQ33" i="22"/>
  <c r="CQ34" i="22"/>
  <c r="CQ35" i="22"/>
  <c r="CQ36" i="22"/>
  <c r="CQ37" i="22"/>
  <c r="CQ38" i="22"/>
  <c r="CQ39" i="22"/>
  <c r="CQ40" i="22"/>
  <c r="CQ41" i="22"/>
  <c r="CQ42" i="22"/>
  <c r="CQ43" i="22"/>
  <c r="CQ44" i="22"/>
  <c r="CQ45" i="22"/>
  <c r="CQ46" i="22"/>
  <c r="CQ47" i="22"/>
  <c r="CQ48" i="22"/>
  <c r="CQ49" i="22"/>
  <c r="CQ50" i="22"/>
  <c r="CQ51" i="22"/>
  <c r="CQ52" i="22"/>
  <c r="CQ53" i="22"/>
  <c r="CQ54" i="22"/>
  <c r="CQ55" i="22"/>
  <c r="CQ56" i="22"/>
  <c r="CQ57" i="22"/>
  <c r="CQ58" i="22"/>
  <c r="CQ59" i="22"/>
  <c r="CQ60" i="22"/>
  <c r="CQ61" i="22"/>
  <c r="CQ62" i="22"/>
  <c r="CQ63" i="22"/>
  <c r="CQ64" i="22"/>
  <c r="CQ65" i="22"/>
  <c r="CQ90" i="22"/>
  <c r="CR57" i="22"/>
  <c r="CR58" i="22"/>
  <c r="CR59" i="22"/>
  <c r="CR60" i="22"/>
  <c r="CR61" i="22"/>
  <c r="CR62" i="22"/>
  <c r="CR63" i="22"/>
  <c r="CR64" i="22"/>
  <c r="CR65" i="22"/>
  <c r="CR90" i="22"/>
  <c r="CS90" i="22"/>
  <c r="CT90" i="22"/>
  <c r="CU90" i="22"/>
  <c r="CV90" i="22"/>
  <c r="CW90" i="22"/>
  <c r="CY90" i="22"/>
  <c r="CZ90" i="22"/>
  <c r="DA90" i="22"/>
  <c r="DB90" i="22"/>
  <c r="DC90" i="22"/>
  <c r="DD90" i="22"/>
  <c r="DE13" i="22"/>
  <c r="DE14" i="22"/>
  <c r="DE15" i="22"/>
  <c r="DE16" i="22"/>
  <c r="DE17" i="22"/>
  <c r="DE18" i="22"/>
  <c r="DE19" i="22"/>
  <c r="DE20" i="22"/>
  <c r="DE21" i="22"/>
  <c r="DE22" i="22"/>
  <c r="DE23" i="22"/>
  <c r="DE24" i="22"/>
  <c r="DE25" i="22"/>
  <c r="DE26" i="22"/>
  <c r="DE27" i="22"/>
  <c r="DE28" i="22"/>
  <c r="DE29" i="22"/>
  <c r="DE30" i="22"/>
  <c r="DE31" i="22"/>
  <c r="DE32" i="22"/>
  <c r="DE33" i="22"/>
  <c r="DE34" i="22"/>
  <c r="DE35" i="22"/>
  <c r="DE36" i="22"/>
  <c r="DE37" i="22"/>
  <c r="DE38" i="22"/>
  <c r="DE39" i="22"/>
  <c r="DE40" i="22"/>
  <c r="DE41" i="22"/>
  <c r="DE42" i="22"/>
  <c r="DE43" i="22"/>
  <c r="DE44" i="22"/>
  <c r="DE45" i="22"/>
  <c r="DE46" i="22"/>
  <c r="DE47" i="22"/>
  <c r="DE48" i="22"/>
  <c r="DE49" i="22"/>
  <c r="DE50" i="22"/>
  <c r="DE51" i="22"/>
  <c r="DE52" i="22"/>
  <c r="DE53" i="22"/>
  <c r="DE54" i="22"/>
  <c r="DE55" i="22"/>
  <c r="DE56" i="22"/>
  <c r="DE57" i="22"/>
  <c r="DE58" i="22"/>
  <c r="DE59" i="22"/>
  <c r="DE60" i="22"/>
  <c r="DE61" i="22"/>
  <c r="DE62" i="22"/>
  <c r="DE63" i="22"/>
  <c r="DE64" i="22"/>
  <c r="DE65" i="22"/>
  <c r="DE90" i="22"/>
  <c r="DF58" i="22"/>
  <c r="DF59" i="22"/>
  <c r="DF60" i="22"/>
  <c r="DF61" i="22"/>
  <c r="DF62" i="22"/>
  <c r="DF63" i="22"/>
  <c r="DF64" i="22"/>
  <c r="DF65" i="22"/>
  <c r="DF90" i="22"/>
  <c r="DG13" i="22"/>
  <c r="DG14" i="22"/>
  <c r="DG15" i="22"/>
  <c r="DG16" i="22"/>
  <c r="DG17" i="22"/>
  <c r="DG18" i="22"/>
  <c r="DG19" i="22"/>
  <c r="DG20" i="22"/>
  <c r="DG21" i="22"/>
  <c r="DG22" i="22"/>
  <c r="DG23" i="22"/>
  <c r="DG24" i="22"/>
  <c r="DG25" i="22"/>
  <c r="DG26" i="22"/>
  <c r="DG27" i="22"/>
  <c r="DG28" i="22"/>
  <c r="DG29" i="22"/>
  <c r="DG30" i="22"/>
  <c r="DG31" i="22"/>
  <c r="DG32" i="22"/>
  <c r="DG33" i="22"/>
  <c r="DG34" i="22"/>
  <c r="DG35" i="22"/>
  <c r="DG36" i="22"/>
  <c r="DG37" i="22"/>
  <c r="DG38" i="22"/>
  <c r="DG39" i="22"/>
  <c r="DG40" i="22"/>
  <c r="DG41" i="22"/>
  <c r="DG42" i="22"/>
  <c r="DG43" i="22"/>
  <c r="DG44" i="22"/>
  <c r="DG45" i="22"/>
  <c r="DG46" i="22"/>
  <c r="DG47" i="22"/>
  <c r="DG48" i="22"/>
  <c r="DG49" i="22"/>
  <c r="DG50" i="22"/>
  <c r="DG51" i="22"/>
  <c r="DG52" i="22"/>
  <c r="DG53" i="22"/>
  <c r="DG54" i="22"/>
  <c r="DG55" i="22"/>
  <c r="DG56" i="22"/>
  <c r="DG57" i="22"/>
  <c r="DG58" i="22"/>
  <c r="DG59" i="22"/>
  <c r="DG60" i="22"/>
  <c r="DG61" i="22"/>
  <c r="DG62" i="22"/>
  <c r="DG63" i="22"/>
  <c r="DG64" i="22"/>
  <c r="DG65" i="22"/>
  <c r="DG90" i="22"/>
  <c r="DH13" i="22"/>
  <c r="DH14" i="22"/>
  <c r="DH15" i="22"/>
  <c r="DH16" i="22"/>
  <c r="DH17" i="22"/>
  <c r="DH18" i="22"/>
  <c r="DH19" i="22"/>
  <c r="DH20" i="22"/>
  <c r="DH21" i="22"/>
  <c r="DH22" i="22"/>
  <c r="DH23" i="22"/>
  <c r="DH24" i="22"/>
  <c r="DH25" i="22"/>
  <c r="DH26" i="22"/>
  <c r="DH27" i="22"/>
  <c r="DH28" i="22"/>
  <c r="DH29" i="22"/>
  <c r="DH30" i="22"/>
  <c r="DH31" i="22"/>
  <c r="DH32" i="22"/>
  <c r="DH33" i="22"/>
  <c r="DH34" i="22"/>
  <c r="DH35" i="22"/>
  <c r="DH36" i="22"/>
  <c r="DH37" i="22"/>
  <c r="DH38" i="22"/>
  <c r="DH39" i="22"/>
  <c r="DH40" i="22"/>
  <c r="DH41" i="22"/>
  <c r="DH42" i="22"/>
  <c r="DH43" i="22"/>
  <c r="DH44" i="22"/>
  <c r="DH45" i="22"/>
  <c r="DH46" i="22"/>
  <c r="DH47" i="22"/>
  <c r="DH48" i="22"/>
  <c r="DH49" i="22"/>
  <c r="DH50" i="22"/>
  <c r="DH51" i="22"/>
  <c r="DH52" i="22"/>
  <c r="DH53" i="22"/>
  <c r="DH54" i="22"/>
  <c r="DH55" i="22"/>
  <c r="DH56" i="22"/>
  <c r="DH57" i="22"/>
  <c r="DH58" i="22"/>
  <c r="DH59" i="22"/>
  <c r="DH60" i="22"/>
  <c r="DH61" i="22"/>
  <c r="DH62" i="22"/>
  <c r="DH63" i="22"/>
  <c r="DH64" i="22"/>
  <c r="DH65" i="22"/>
  <c r="DH90" i="22"/>
  <c r="CM90" i="22"/>
  <c r="C90" i="22"/>
  <c r="D90" i="22"/>
  <c r="E90" i="22"/>
  <c r="L47" i="22"/>
  <c r="L13" i="22"/>
  <c r="L14" i="22"/>
  <c r="L15" i="22"/>
  <c r="L16" i="22"/>
  <c r="L17" i="22"/>
  <c r="L18" i="22"/>
  <c r="L19" i="22"/>
  <c r="L20" i="22"/>
  <c r="L21" i="22"/>
  <c r="L22" i="22"/>
  <c r="L23" i="22"/>
  <c r="L24" i="22"/>
  <c r="L25" i="22"/>
  <c r="L26" i="22"/>
  <c r="L27" i="22"/>
  <c r="L28" i="22"/>
  <c r="L29" i="22"/>
  <c r="L30" i="22"/>
  <c r="L31" i="22"/>
  <c r="L32" i="22"/>
  <c r="L33" i="22"/>
  <c r="L34" i="22"/>
  <c r="L35" i="22"/>
  <c r="L36" i="22"/>
  <c r="L37" i="22"/>
  <c r="L38" i="22"/>
  <c r="L39" i="22"/>
  <c r="L40" i="22"/>
  <c r="L41" i="22"/>
  <c r="L42" i="22"/>
  <c r="L43" i="22"/>
  <c r="L44" i="22"/>
  <c r="L45" i="22"/>
  <c r="L46" i="22"/>
  <c r="L48" i="22"/>
  <c r="L49" i="22"/>
  <c r="L50" i="22"/>
  <c r="L51" i="22"/>
  <c r="L52" i="22"/>
  <c r="L53" i="22"/>
  <c r="L54" i="22"/>
  <c r="L55" i="22"/>
  <c r="L56" i="22"/>
  <c r="L57" i="22"/>
  <c r="L58" i="22"/>
  <c r="L59" i="22"/>
  <c r="L60" i="22"/>
  <c r="L61" i="22"/>
  <c r="L62" i="22"/>
  <c r="L63" i="22"/>
  <c r="L64" i="22"/>
  <c r="L65" i="22"/>
  <c r="L90" i="22"/>
  <c r="M58" i="22"/>
  <c r="M59" i="22"/>
  <c r="M60" i="22"/>
  <c r="M61" i="22"/>
  <c r="M62" i="22"/>
  <c r="M63" i="22"/>
  <c r="M64" i="22"/>
  <c r="M65" i="22"/>
  <c r="M90" i="22"/>
  <c r="N90" i="22"/>
  <c r="O90" i="22"/>
  <c r="P90" i="22"/>
  <c r="Q90" i="22"/>
  <c r="R90" i="22"/>
  <c r="S90" i="22"/>
  <c r="T90" i="22"/>
  <c r="U90" i="22"/>
  <c r="V90" i="22"/>
  <c r="W90" i="22"/>
  <c r="X90" i="22"/>
  <c r="Y90" i="22"/>
  <c r="Z90" i="22"/>
  <c r="AA90" i="22"/>
  <c r="AB90" i="22"/>
  <c r="AC90" i="22"/>
  <c r="AD90" i="22"/>
  <c r="AE90" i="22"/>
  <c r="AF90" i="22"/>
  <c r="AG90" i="22"/>
  <c r="AH90" i="22"/>
  <c r="AI90" i="22"/>
  <c r="AJ90" i="22"/>
  <c r="AK90" i="22"/>
  <c r="AL90" i="22"/>
  <c r="AM90" i="22"/>
  <c r="AN90" i="22"/>
  <c r="AO90" i="22"/>
  <c r="AP13" i="22"/>
  <c r="AP14" i="22"/>
  <c r="AP15" i="22"/>
  <c r="AP16" i="22"/>
  <c r="AP17" i="22"/>
  <c r="AP18" i="22"/>
  <c r="AP19" i="22"/>
  <c r="AP20" i="22"/>
  <c r="AP21" i="22"/>
  <c r="AP22" i="22"/>
  <c r="AP23" i="22"/>
  <c r="AP24" i="22"/>
  <c r="AP25" i="22"/>
  <c r="AP26" i="22"/>
  <c r="AP27" i="22"/>
  <c r="AP28" i="22"/>
  <c r="AP29" i="22"/>
  <c r="AP30" i="22"/>
  <c r="AP31" i="22"/>
  <c r="AP32" i="22"/>
  <c r="AP33" i="22"/>
  <c r="AP34" i="22"/>
  <c r="AP35" i="22"/>
  <c r="AP36" i="22"/>
  <c r="AP37" i="22"/>
  <c r="AP38" i="22"/>
  <c r="AP39" i="22"/>
  <c r="AP40" i="22"/>
  <c r="AP41" i="22"/>
  <c r="AP42" i="22"/>
  <c r="AP43" i="22"/>
  <c r="AP44" i="22"/>
  <c r="AP45" i="22"/>
  <c r="AP46" i="22"/>
  <c r="AP47" i="22"/>
  <c r="AP48" i="22"/>
  <c r="AP49" i="22"/>
  <c r="AP50" i="22"/>
  <c r="AP51" i="22"/>
  <c r="AP52" i="22"/>
  <c r="AP53" i="22"/>
  <c r="AP54" i="22"/>
  <c r="AP55" i="22"/>
  <c r="AP56" i="22"/>
  <c r="AP57" i="22"/>
  <c r="AP58" i="22"/>
  <c r="AP59" i="22"/>
  <c r="AP60" i="22"/>
  <c r="AP61" i="22"/>
  <c r="AP62" i="22"/>
  <c r="AP63" i="22"/>
  <c r="AP64" i="22"/>
  <c r="AP65" i="22"/>
  <c r="AP90" i="22"/>
  <c r="AQ13" i="22"/>
  <c r="AQ14" i="22"/>
  <c r="AQ15" i="22"/>
  <c r="AQ16" i="22"/>
  <c r="AQ17" i="22"/>
  <c r="AQ18" i="22"/>
  <c r="AQ19" i="22"/>
  <c r="AQ20" i="22"/>
  <c r="AQ21" i="22"/>
  <c r="AQ22" i="22"/>
  <c r="AQ23" i="22"/>
  <c r="AQ24" i="22"/>
  <c r="AQ25" i="22"/>
  <c r="AQ26" i="22"/>
  <c r="AQ27" i="22"/>
  <c r="AQ28" i="22"/>
  <c r="AQ29" i="22"/>
  <c r="AQ30" i="22"/>
  <c r="AQ31" i="22"/>
  <c r="AQ32" i="22"/>
  <c r="AQ33" i="22"/>
  <c r="AQ34" i="22"/>
  <c r="AQ35" i="22"/>
  <c r="AQ36" i="22"/>
  <c r="AQ37" i="22"/>
  <c r="AQ38" i="22"/>
  <c r="AQ39" i="22"/>
  <c r="AQ40" i="22"/>
  <c r="AQ41" i="22"/>
  <c r="AQ42" i="22"/>
  <c r="AQ43" i="22"/>
  <c r="AQ44" i="22"/>
  <c r="AQ45" i="22"/>
  <c r="AQ46" i="22"/>
  <c r="AQ47" i="22"/>
  <c r="AQ48" i="22"/>
  <c r="AQ49" i="22"/>
  <c r="AQ50" i="22"/>
  <c r="AQ51" i="22"/>
  <c r="AQ52" i="22"/>
  <c r="AQ53" i="22"/>
  <c r="AQ54" i="22"/>
  <c r="AQ55" i="22"/>
  <c r="AQ56" i="22"/>
  <c r="AQ57" i="22"/>
  <c r="AQ58" i="22"/>
  <c r="AQ59" i="22"/>
  <c r="AQ60" i="22"/>
  <c r="AQ61" i="22"/>
  <c r="AQ62" i="22"/>
  <c r="AQ63" i="22"/>
  <c r="AQ64" i="22"/>
  <c r="AQ65" i="22"/>
  <c r="AQ90" i="22"/>
  <c r="AR13" i="22"/>
  <c r="AR14" i="22"/>
  <c r="AR15" i="22"/>
  <c r="AR16" i="22"/>
  <c r="AR17" i="22"/>
  <c r="AR18" i="22"/>
  <c r="AR19" i="22"/>
  <c r="AR20" i="22"/>
  <c r="AR21" i="22"/>
  <c r="AR22" i="22"/>
  <c r="AR23" i="22"/>
  <c r="AR24" i="22"/>
  <c r="AR25" i="22"/>
  <c r="AR26" i="22"/>
  <c r="AR27" i="22"/>
  <c r="AR28" i="22"/>
  <c r="AR29" i="22"/>
  <c r="AR30" i="22"/>
  <c r="AR31" i="22"/>
  <c r="AR32" i="22"/>
  <c r="AR33" i="22"/>
  <c r="AR34" i="22"/>
  <c r="AR35" i="22"/>
  <c r="AR36" i="22"/>
  <c r="AR37" i="22"/>
  <c r="AR38" i="22"/>
  <c r="AR39" i="22"/>
  <c r="AR40" i="22"/>
  <c r="AR41" i="22"/>
  <c r="AR42" i="22"/>
  <c r="AR43" i="22"/>
  <c r="AR44" i="22"/>
  <c r="AR45" i="22"/>
  <c r="AR46" i="22"/>
  <c r="AR47" i="22"/>
  <c r="AR48" i="22"/>
  <c r="AR49" i="22"/>
  <c r="AR50" i="22"/>
  <c r="AR51" i="22"/>
  <c r="AR52" i="22"/>
  <c r="AR53" i="22"/>
  <c r="AR54" i="22"/>
  <c r="AR55" i="22"/>
  <c r="AR56" i="22"/>
  <c r="AR57" i="22"/>
  <c r="AR58" i="22"/>
  <c r="AR59" i="22"/>
  <c r="AR60" i="22"/>
  <c r="AR61" i="22"/>
  <c r="AR62" i="22"/>
  <c r="AR63" i="22"/>
  <c r="AR64" i="22"/>
  <c r="AR65" i="22"/>
  <c r="AR90" i="22"/>
  <c r="AS13" i="22"/>
  <c r="AS14" i="22"/>
  <c r="AS15" i="22"/>
  <c r="AS16" i="22"/>
  <c r="AS17" i="22"/>
  <c r="AS18" i="22"/>
  <c r="AS19" i="22"/>
  <c r="AS20" i="22"/>
  <c r="AS21" i="22"/>
  <c r="AS22" i="22"/>
  <c r="AS23" i="22"/>
  <c r="AS24" i="22"/>
  <c r="AS25" i="22"/>
  <c r="AS26" i="22"/>
  <c r="AS27" i="22"/>
  <c r="AS28" i="22"/>
  <c r="AS29" i="22"/>
  <c r="AS30" i="22"/>
  <c r="AS31" i="22"/>
  <c r="AS32" i="22"/>
  <c r="AS33" i="22"/>
  <c r="AS34" i="22"/>
  <c r="AS35" i="22"/>
  <c r="AS36" i="22"/>
  <c r="AS37" i="22"/>
  <c r="AS38" i="22"/>
  <c r="AS39" i="22"/>
  <c r="AS40" i="22"/>
  <c r="AS41" i="22"/>
  <c r="AS42" i="22"/>
  <c r="AS43" i="22"/>
  <c r="AS44" i="22"/>
  <c r="AS45" i="22"/>
  <c r="AS46" i="22"/>
  <c r="AS47" i="22"/>
  <c r="AS48" i="22"/>
  <c r="AS49" i="22"/>
  <c r="AS50" i="22"/>
  <c r="AS51" i="22"/>
  <c r="AS52" i="22"/>
  <c r="AS53" i="22"/>
  <c r="AS54" i="22"/>
  <c r="AS55" i="22"/>
  <c r="AS56" i="22"/>
  <c r="AS57" i="22"/>
  <c r="AS58" i="22"/>
  <c r="AS59" i="22"/>
  <c r="AS60" i="22"/>
  <c r="AS61" i="22"/>
  <c r="AS62" i="22"/>
  <c r="AS63" i="22"/>
  <c r="AS64" i="22"/>
  <c r="AS65" i="22"/>
  <c r="AS90" i="22"/>
  <c r="AT13" i="22"/>
  <c r="AT14" i="22"/>
  <c r="AT15" i="22"/>
  <c r="AT16" i="22"/>
  <c r="AT17" i="22"/>
  <c r="AT18" i="22"/>
  <c r="AT19" i="22"/>
  <c r="AT20" i="22"/>
  <c r="AT21" i="22"/>
  <c r="AT22" i="22"/>
  <c r="AT23" i="22"/>
  <c r="AT24" i="22"/>
  <c r="AT25" i="22"/>
  <c r="AT26" i="22"/>
  <c r="AT27" i="22"/>
  <c r="AT28" i="22"/>
  <c r="AT29" i="22"/>
  <c r="AT30" i="22"/>
  <c r="AT31" i="22"/>
  <c r="AT32" i="22"/>
  <c r="AT33" i="22"/>
  <c r="AT34" i="22"/>
  <c r="AT35" i="22"/>
  <c r="AT36" i="22"/>
  <c r="AT37" i="22"/>
  <c r="AT38" i="22"/>
  <c r="AT39" i="22"/>
  <c r="AT40" i="22"/>
  <c r="AT41" i="22"/>
  <c r="AT42" i="22"/>
  <c r="AT43" i="22"/>
  <c r="AT44" i="22"/>
  <c r="AT45" i="22"/>
  <c r="AT46" i="22"/>
  <c r="AT47" i="22"/>
  <c r="AT48" i="22"/>
  <c r="AT49" i="22"/>
  <c r="AT50" i="22"/>
  <c r="AT51" i="22"/>
  <c r="AT52" i="22"/>
  <c r="AT53" i="22"/>
  <c r="AT54" i="22"/>
  <c r="AT55" i="22"/>
  <c r="AT56" i="22"/>
  <c r="AT57" i="22"/>
  <c r="AT58" i="22"/>
  <c r="AT59" i="22"/>
  <c r="AT60" i="22"/>
  <c r="AT61" i="22"/>
  <c r="AT62" i="22"/>
  <c r="AT63" i="22"/>
  <c r="AT64" i="22"/>
  <c r="AT65" i="22"/>
  <c r="AT90" i="22"/>
  <c r="AU13" i="22"/>
  <c r="AU14" i="22"/>
  <c r="AU15" i="22"/>
  <c r="AU16" i="22"/>
  <c r="AU17" i="22"/>
  <c r="AU18" i="22"/>
  <c r="AU19" i="22"/>
  <c r="AU20" i="22"/>
  <c r="AU21" i="22"/>
  <c r="AU22" i="22"/>
  <c r="AU23" i="22"/>
  <c r="AU24" i="22"/>
  <c r="AU25" i="22"/>
  <c r="AU26" i="22"/>
  <c r="AU27" i="22"/>
  <c r="AU28" i="22"/>
  <c r="AU29" i="22"/>
  <c r="AU30" i="22"/>
  <c r="AU31" i="22"/>
  <c r="AU32" i="22"/>
  <c r="AU33" i="22"/>
  <c r="AU34" i="22"/>
  <c r="AU35" i="22"/>
  <c r="AU36" i="22"/>
  <c r="AU37" i="22"/>
  <c r="AU38" i="22"/>
  <c r="AU39" i="22"/>
  <c r="AU40" i="22"/>
  <c r="AU41" i="22"/>
  <c r="AU42" i="22"/>
  <c r="AU43" i="22"/>
  <c r="AU44" i="22"/>
  <c r="AU45" i="22"/>
  <c r="AU46" i="22"/>
  <c r="AU47" i="22"/>
  <c r="AU48" i="22"/>
  <c r="AU49" i="22"/>
  <c r="AU50" i="22"/>
  <c r="AU51" i="22"/>
  <c r="AU52" i="22"/>
  <c r="AU53" i="22"/>
  <c r="AU54" i="22"/>
  <c r="AU55" i="22"/>
  <c r="AU56" i="22"/>
  <c r="AU57" i="22"/>
  <c r="AU58" i="22"/>
  <c r="AU59" i="22"/>
  <c r="AU60" i="22"/>
  <c r="AU61" i="22"/>
  <c r="AU62" i="22"/>
  <c r="AU63" i="22"/>
  <c r="AU64" i="22"/>
  <c r="AU65" i="22"/>
  <c r="AU90" i="22"/>
  <c r="AV90" i="22"/>
  <c r="AW90" i="22"/>
  <c r="AX90" i="22"/>
  <c r="AY90" i="22"/>
  <c r="AZ90" i="22"/>
  <c r="BA90" i="22"/>
  <c r="BB90" i="22"/>
  <c r="BC90" i="22"/>
  <c r="BD90" i="22"/>
  <c r="BE90" i="22"/>
  <c r="BF90" i="22"/>
  <c r="BG90" i="22"/>
  <c r="BH13" i="22"/>
  <c r="BH14" i="22"/>
  <c r="BH15" i="22"/>
  <c r="BH16" i="22"/>
  <c r="BH17" i="22"/>
  <c r="BH18" i="22"/>
  <c r="BH19" i="22"/>
  <c r="BH20" i="22"/>
  <c r="BH21" i="22"/>
  <c r="BH22" i="22"/>
  <c r="BH23" i="22"/>
  <c r="BH24" i="22"/>
  <c r="BH25" i="22"/>
  <c r="BH26" i="22"/>
  <c r="BH27" i="22"/>
  <c r="BH28" i="22"/>
  <c r="BH29" i="22"/>
  <c r="BH30" i="22"/>
  <c r="BH31" i="22"/>
  <c r="BH32" i="22"/>
  <c r="BH33" i="22"/>
  <c r="BH34" i="22"/>
  <c r="BH35" i="22"/>
  <c r="BH36" i="22"/>
  <c r="BH37" i="22"/>
  <c r="BH38" i="22"/>
  <c r="BH39" i="22"/>
  <c r="BH40" i="22"/>
  <c r="BH41" i="22"/>
  <c r="BH42" i="22"/>
  <c r="BH43" i="22"/>
  <c r="BH44" i="22"/>
  <c r="BH45" i="22"/>
  <c r="BH46" i="22"/>
  <c r="BH47" i="22"/>
  <c r="BH48" i="22"/>
  <c r="BH49" i="22"/>
  <c r="BH50" i="22"/>
  <c r="BH51" i="22"/>
  <c r="BH52" i="22"/>
  <c r="BH53" i="22"/>
  <c r="BH54" i="22"/>
  <c r="BH55" i="22"/>
  <c r="BH56" i="22"/>
  <c r="BH57" i="22"/>
  <c r="BH58" i="22"/>
  <c r="BH59" i="22"/>
  <c r="BH60" i="22"/>
  <c r="BH61" i="22"/>
  <c r="BH62" i="22"/>
  <c r="BH63" i="22"/>
  <c r="BH64" i="22"/>
  <c r="BH65" i="22"/>
  <c r="BH90" i="22"/>
  <c r="BI13" i="22"/>
  <c r="BI14" i="22"/>
  <c r="BI15" i="22"/>
  <c r="BI16" i="22"/>
  <c r="BI17" i="22"/>
  <c r="BI18" i="22"/>
  <c r="BI19" i="22"/>
  <c r="BI20" i="22"/>
  <c r="BI21" i="22"/>
  <c r="BI22" i="22"/>
  <c r="BI23" i="22"/>
  <c r="BI24" i="22"/>
  <c r="BI25" i="22"/>
  <c r="BI26" i="22"/>
  <c r="BI27" i="22"/>
  <c r="BI28" i="22"/>
  <c r="BI29" i="22"/>
  <c r="BI30" i="22"/>
  <c r="BI31" i="22"/>
  <c r="BI32" i="22"/>
  <c r="BI33" i="22"/>
  <c r="BI34" i="22"/>
  <c r="BI35" i="22"/>
  <c r="BI36" i="22"/>
  <c r="BI37" i="22"/>
  <c r="BI38" i="22"/>
  <c r="BI39" i="22"/>
  <c r="BI40" i="22"/>
  <c r="BI41" i="22"/>
  <c r="BI42" i="22"/>
  <c r="BI43" i="22"/>
  <c r="BI44" i="22"/>
  <c r="BI45" i="22"/>
  <c r="BI46" i="22"/>
  <c r="BI47" i="22"/>
  <c r="BI48" i="22"/>
  <c r="BI49" i="22"/>
  <c r="BI50" i="22"/>
  <c r="BI51" i="22"/>
  <c r="BI52" i="22"/>
  <c r="BI53" i="22"/>
  <c r="BI54" i="22"/>
  <c r="BI55" i="22"/>
  <c r="BI56" i="22"/>
  <c r="BI57" i="22"/>
  <c r="BI58" i="22"/>
  <c r="BI59" i="22"/>
  <c r="BI60" i="22"/>
  <c r="BI61" i="22"/>
  <c r="BI62" i="22"/>
  <c r="BI63" i="22"/>
  <c r="BI64" i="22"/>
  <c r="BI65" i="22"/>
  <c r="BI90" i="22"/>
  <c r="BJ13" i="22"/>
  <c r="BJ14" i="22"/>
  <c r="BJ15" i="22"/>
  <c r="BJ16" i="22"/>
  <c r="BJ17" i="22"/>
  <c r="BJ18" i="22"/>
  <c r="BJ19" i="22"/>
  <c r="BJ20" i="22"/>
  <c r="BJ21" i="22"/>
  <c r="BJ22" i="22"/>
  <c r="BJ23" i="22"/>
  <c r="BJ24" i="22"/>
  <c r="BJ25" i="22"/>
  <c r="BJ26" i="22"/>
  <c r="BJ27" i="22"/>
  <c r="BJ28" i="22"/>
  <c r="BJ29" i="22"/>
  <c r="BJ30" i="22"/>
  <c r="BJ31" i="22"/>
  <c r="BJ32" i="22"/>
  <c r="BJ33" i="22"/>
  <c r="BJ34" i="22"/>
  <c r="BJ35" i="22"/>
  <c r="BJ36" i="22"/>
  <c r="BJ37" i="22"/>
  <c r="BJ38" i="22"/>
  <c r="BJ39" i="22"/>
  <c r="BJ40" i="22"/>
  <c r="BJ41" i="22"/>
  <c r="BJ42" i="22"/>
  <c r="BJ43" i="22"/>
  <c r="BJ44" i="22"/>
  <c r="BJ45" i="22"/>
  <c r="BJ46" i="22"/>
  <c r="BJ47" i="22"/>
  <c r="BJ48" i="22"/>
  <c r="BJ49" i="22"/>
  <c r="BJ50" i="22"/>
  <c r="BJ51" i="22"/>
  <c r="BJ52" i="22"/>
  <c r="BJ53" i="22"/>
  <c r="BJ54" i="22"/>
  <c r="BJ55" i="22"/>
  <c r="BJ56" i="22"/>
  <c r="BJ57" i="22"/>
  <c r="BJ58" i="22"/>
  <c r="BJ59" i="22"/>
  <c r="BJ60" i="22"/>
  <c r="BJ61" i="22"/>
  <c r="BJ62" i="22"/>
  <c r="BJ63" i="22"/>
  <c r="BJ64" i="22"/>
  <c r="BJ65" i="22"/>
  <c r="BJ90" i="22"/>
  <c r="BK13" i="22"/>
  <c r="BK14" i="22"/>
  <c r="BK15" i="22"/>
  <c r="BK16" i="22"/>
  <c r="BK17" i="22"/>
  <c r="BK18" i="22"/>
  <c r="BK19" i="22"/>
  <c r="BK20" i="22"/>
  <c r="BK21" i="22"/>
  <c r="BK22" i="22"/>
  <c r="BK23" i="22"/>
  <c r="BK24" i="22"/>
  <c r="BK25" i="22"/>
  <c r="BK26" i="22"/>
  <c r="BK27" i="22"/>
  <c r="BK28" i="22"/>
  <c r="BK29" i="22"/>
  <c r="BK30" i="22"/>
  <c r="BK31" i="22"/>
  <c r="BK32" i="22"/>
  <c r="BK33" i="22"/>
  <c r="BK34" i="22"/>
  <c r="BK35" i="22"/>
  <c r="BK36" i="22"/>
  <c r="BK37" i="22"/>
  <c r="BK38" i="22"/>
  <c r="BK39" i="22"/>
  <c r="BK40" i="22"/>
  <c r="BK41" i="22"/>
  <c r="BK42" i="22"/>
  <c r="BK43" i="22"/>
  <c r="BK44" i="22"/>
  <c r="BK45" i="22"/>
  <c r="BK46" i="22"/>
  <c r="BK47" i="22"/>
  <c r="BK48" i="22"/>
  <c r="BK49" i="22"/>
  <c r="BK50" i="22"/>
  <c r="BK51" i="22"/>
  <c r="BK52" i="22"/>
  <c r="BK53" i="22"/>
  <c r="BK54" i="22"/>
  <c r="BK55" i="22"/>
  <c r="BK56" i="22"/>
  <c r="BK57" i="22"/>
  <c r="BK58" i="22"/>
  <c r="BK59" i="22"/>
  <c r="BK60" i="22"/>
  <c r="BK61" i="22"/>
  <c r="BK62" i="22"/>
  <c r="BK63" i="22"/>
  <c r="BK64" i="22"/>
  <c r="BK65" i="22"/>
  <c r="BK90" i="22"/>
  <c r="BL13" i="22"/>
  <c r="BL14" i="22"/>
  <c r="BL15" i="22"/>
  <c r="BL16" i="22"/>
  <c r="BL17" i="22"/>
  <c r="BL18" i="22"/>
  <c r="BL19" i="22"/>
  <c r="BL20" i="22"/>
  <c r="BL21" i="22"/>
  <c r="BL22" i="22"/>
  <c r="BL23" i="22"/>
  <c r="BL24" i="22"/>
  <c r="BL25" i="22"/>
  <c r="BL26" i="22"/>
  <c r="BL27" i="22"/>
  <c r="BL28" i="22"/>
  <c r="BL29" i="22"/>
  <c r="BL30" i="22"/>
  <c r="BL31" i="22"/>
  <c r="BL32" i="22"/>
  <c r="BL33" i="22"/>
  <c r="BL34" i="22"/>
  <c r="BL35" i="22"/>
  <c r="BL36" i="22"/>
  <c r="BL37" i="22"/>
  <c r="BL38" i="22"/>
  <c r="BL39" i="22"/>
  <c r="BL40" i="22"/>
  <c r="BL41" i="22"/>
  <c r="BL42" i="22"/>
  <c r="BL43" i="22"/>
  <c r="BL44" i="22"/>
  <c r="BL45" i="22"/>
  <c r="BL46" i="22"/>
  <c r="BL47" i="22"/>
  <c r="BL48" i="22"/>
  <c r="BL49" i="22"/>
  <c r="BL50" i="22"/>
  <c r="BL51" i="22"/>
  <c r="BL52" i="22"/>
  <c r="BL53" i="22"/>
  <c r="BL54" i="22"/>
  <c r="BL55" i="22"/>
  <c r="BL56" i="22"/>
  <c r="BL57" i="22"/>
  <c r="BL58" i="22"/>
  <c r="BL59" i="22"/>
  <c r="BL60" i="22"/>
  <c r="BL61" i="22"/>
  <c r="BL62" i="22"/>
  <c r="BL63" i="22"/>
  <c r="BL64" i="22"/>
  <c r="BL65" i="22"/>
  <c r="BL90" i="22"/>
  <c r="BM13" i="22"/>
  <c r="BM14" i="22"/>
  <c r="BM15" i="22"/>
  <c r="BM16" i="22"/>
  <c r="BM17" i="22"/>
  <c r="BM18" i="22"/>
  <c r="BM19" i="22"/>
  <c r="BM20" i="22"/>
  <c r="BM21" i="22"/>
  <c r="BM22" i="22"/>
  <c r="BM23" i="22"/>
  <c r="BM24" i="22"/>
  <c r="BM25" i="22"/>
  <c r="BM26" i="22"/>
  <c r="BM27" i="22"/>
  <c r="BM28" i="22"/>
  <c r="BM29" i="22"/>
  <c r="BM30" i="22"/>
  <c r="BM31" i="22"/>
  <c r="BM32" i="22"/>
  <c r="BM33" i="22"/>
  <c r="BM34" i="22"/>
  <c r="BM35" i="22"/>
  <c r="BM36" i="22"/>
  <c r="BM37" i="22"/>
  <c r="BM38" i="22"/>
  <c r="BM39" i="22"/>
  <c r="BM40" i="22"/>
  <c r="BM41" i="22"/>
  <c r="BM42" i="22"/>
  <c r="BM43" i="22"/>
  <c r="BM44" i="22"/>
  <c r="BM45" i="22"/>
  <c r="BM46" i="22"/>
  <c r="BM47" i="22"/>
  <c r="BM48" i="22"/>
  <c r="BM49" i="22"/>
  <c r="BM50" i="22"/>
  <c r="BM51" i="22"/>
  <c r="BM52" i="22"/>
  <c r="BM53" i="22"/>
  <c r="BM54" i="22"/>
  <c r="BM55" i="22"/>
  <c r="BM56" i="22"/>
  <c r="BM57" i="22"/>
  <c r="BM58" i="22"/>
  <c r="BM59" i="22"/>
  <c r="BM60" i="22"/>
  <c r="BM61" i="22"/>
  <c r="BM62" i="22"/>
  <c r="BM63" i="22"/>
  <c r="BM64" i="22"/>
  <c r="BM65" i="22"/>
  <c r="BM90" i="22"/>
  <c r="BN90" i="22"/>
  <c r="BO13" i="22"/>
  <c r="BO14" i="22"/>
  <c r="BO15" i="22"/>
  <c r="BO16" i="22"/>
  <c r="BO17" i="22"/>
  <c r="BO18" i="22"/>
  <c r="BO19" i="22"/>
  <c r="BO20" i="22"/>
  <c r="BO21" i="22"/>
  <c r="BO22" i="22"/>
  <c r="BO23" i="22"/>
  <c r="BO24" i="22"/>
  <c r="BO25" i="22"/>
  <c r="BO26" i="22"/>
  <c r="BO27" i="22"/>
  <c r="BO28" i="22"/>
  <c r="BO29" i="22"/>
  <c r="BO30" i="22"/>
  <c r="BO31" i="22"/>
  <c r="BO32" i="22"/>
  <c r="BO33" i="22"/>
  <c r="BO34" i="22"/>
  <c r="BO35" i="22"/>
  <c r="BO36" i="22"/>
  <c r="BO37" i="22"/>
  <c r="BO38" i="22"/>
  <c r="BO39" i="22"/>
  <c r="BO40" i="22"/>
  <c r="BO41" i="22"/>
  <c r="BO42" i="22"/>
  <c r="BO43" i="22"/>
  <c r="BO44" i="22"/>
  <c r="BO45" i="22"/>
  <c r="BO46" i="22"/>
  <c r="BO47" i="22"/>
  <c r="BO48" i="22"/>
  <c r="BO49" i="22"/>
  <c r="BO50" i="22"/>
  <c r="BO51" i="22"/>
  <c r="BO52" i="22"/>
  <c r="BO53" i="22"/>
  <c r="BO54" i="22"/>
  <c r="BO55" i="22"/>
  <c r="BO56" i="22"/>
  <c r="BO57" i="22"/>
  <c r="BO90" i="22"/>
  <c r="BP90" i="22"/>
  <c r="BQ13" i="22"/>
  <c r="BQ14" i="22"/>
  <c r="BQ15" i="22"/>
  <c r="BQ16" i="22"/>
  <c r="BQ17" i="22"/>
  <c r="BQ18" i="22"/>
  <c r="BQ19" i="22"/>
  <c r="BQ20" i="22"/>
  <c r="BQ21" i="22"/>
  <c r="BQ22" i="22"/>
  <c r="BQ23" i="22"/>
  <c r="BQ24" i="22"/>
  <c r="BQ25" i="22"/>
  <c r="BQ26" i="22"/>
  <c r="BQ27" i="22"/>
  <c r="BQ28" i="22"/>
  <c r="BQ29" i="22"/>
  <c r="BQ30" i="22"/>
  <c r="BQ31" i="22"/>
  <c r="BQ32" i="22"/>
  <c r="BQ33" i="22"/>
  <c r="BQ34" i="22"/>
  <c r="BQ35" i="22"/>
  <c r="BQ36" i="22"/>
  <c r="BQ37" i="22"/>
  <c r="BQ38" i="22"/>
  <c r="BQ39" i="22"/>
  <c r="BQ40" i="22"/>
  <c r="BQ41" i="22"/>
  <c r="BQ42" i="22"/>
  <c r="BQ43" i="22"/>
  <c r="BQ44" i="22"/>
  <c r="BQ45" i="22"/>
  <c r="BQ46" i="22"/>
  <c r="BQ47" i="22"/>
  <c r="BQ48" i="22"/>
  <c r="BQ49" i="22"/>
  <c r="BQ50" i="22"/>
  <c r="BQ51" i="22"/>
  <c r="BQ52" i="22"/>
  <c r="BQ53" i="22"/>
  <c r="BQ54" i="22"/>
  <c r="BQ55" i="22"/>
  <c r="BQ56" i="22"/>
  <c r="BQ57" i="22"/>
  <c r="BQ90" i="22"/>
  <c r="BR90" i="22"/>
  <c r="BS13" i="22"/>
  <c r="BS14" i="22"/>
  <c r="BS15" i="22"/>
  <c r="BS16" i="22"/>
  <c r="BS17" i="22"/>
  <c r="BS18" i="22"/>
  <c r="BS19" i="22"/>
  <c r="BS20" i="22"/>
  <c r="BS21" i="22"/>
  <c r="BS22" i="22"/>
  <c r="BS23" i="22"/>
  <c r="BS24" i="22"/>
  <c r="BS25" i="22"/>
  <c r="BS26" i="22"/>
  <c r="BS27" i="22"/>
  <c r="BS28" i="22"/>
  <c r="BS29" i="22"/>
  <c r="BS30" i="22"/>
  <c r="BS31" i="22"/>
  <c r="BS32" i="22"/>
  <c r="BS33" i="22"/>
  <c r="BS34" i="22"/>
  <c r="BS35" i="22"/>
  <c r="BS36" i="22"/>
  <c r="BS37" i="22"/>
  <c r="BS38" i="22"/>
  <c r="BS39" i="22"/>
  <c r="BS40" i="22"/>
  <c r="BS41" i="22"/>
  <c r="BS42" i="22"/>
  <c r="BS43" i="22"/>
  <c r="BS44" i="22"/>
  <c r="BS45" i="22"/>
  <c r="BS46" i="22"/>
  <c r="BS47" i="22"/>
  <c r="BS48" i="22"/>
  <c r="BS49" i="22"/>
  <c r="BS50" i="22"/>
  <c r="BS51" i="22"/>
  <c r="BS52" i="22"/>
  <c r="BS53" i="22"/>
  <c r="BS54" i="22"/>
  <c r="BS55" i="22"/>
  <c r="BS56" i="22"/>
  <c r="BS57" i="22"/>
  <c r="BS90" i="22"/>
  <c r="BT90" i="22"/>
  <c r="BU90" i="22"/>
  <c r="BV90" i="22"/>
  <c r="BW90" i="22"/>
  <c r="BX90" i="22"/>
  <c r="BY90" i="22"/>
  <c r="BZ13" i="22"/>
  <c r="BZ14" i="22"/>
  <c r="BZ15" i="22"/>
  <c r="BZ16" i="22"/>
  <c r="BZ17" i="22"/>
  <c r="BZ18" i="22"/>
  <c r="BZ19" i="22"/>
  <c r="BZ20" i="22"/>
  <c r="BZ21" i="22"/>
  <c r="BZ22" i="22"/>
  <c r="BZ23" i="22"/>
  <c r="BZ24" i="22"/>
  <c r="BZ25" i="22"/>
  <c r="BZ26" i="22"/>
  <c r="BZ27" i="22"/>
  <c r="BZ28" i="22"/>
  <c r="BZ29" i="22"/>
  <c r="BZ30" i="22"/>
  <c r="BZ31" i="22"/>
  <c r="BZ32" i="22"/>
  <c r="BZ33" i="22"/>
  <c r="BZ34" i="22"/>
  <c r="BZ35" i="22"/>
  <c r="BZ36" i="22"/>
  <c r="BZ37" i="22"/>
  <c r="BZ38" i="22"/>
  <c r="BZ39" i="22"/>
  <c r="BZ40" i="22"/>
  <c r="BZ41" i="22"/>
  <c r="BZ42" i="22"/>
  <c r="BZ43" i="22"/>
  <c r="BZ44" i="22"/>
  <c r="BZ45" i="22"/>
  <c r="BZ46" i="22"/>
  <c r="BZ47" i="22"/>
  <c r="BZ48" i="22"/>
  <c r="BZ49" i="22"/>
  <c r="BZ50" i="22"/>
  <c r="BZ51" i="22"/>
  <c r="BZ52" i="22"/>
  <c r="BZ53" i="22"/>
  <c r="BZ54" i="22"/>
  <c r="BZ55" i="22"/>
  <c r="BZ56" i="22"/>
  <c r="BZ57" i="22"/>
  <c r="BZ58" i="22"/>
  <c r="BZ59" i="22"/>
  <c r="BZ60" i="22"/>
  <c r="BZ61" i="22"/>
  <c r="BZ62" i="22"/>
  <c r="BZ63" i="22"/>
  <c r="BZ64" i="22"/>
  <c r="BZ65" i="22"/>
  <c r="BZ90" i="22"/>
  <c r="CA13" i="22"/>
  <c r="CA14" i="22"/>
  <c r="CA15" i="22"/>
  <c r="CA16" i="22"/>
  <c r="CA17" i="22"/>
  <c r="CA18" i="22"/>
  <c r="CA19" i="22"/>
  <c r="CA20" i="22"/>
  <c r="CA21" i="22"/>
  <c r="CA22" i="22"/>
  <c r="CA23" i="22"/>
  <c r="CA24" i="22"/>
  <c r="CA25" i="22"/>
  <c r="CA26" i="22"/>
  <c r="CA27" i="22"/>
  <c r="CA28" i="22"/>
  <c r="CA29" i="22"/>
  <c r="CA30" i="22"/>
  <c r="CA31" i="22"/>
  <c r="CA32" i="22"/>
  <c r="CA33" i="22"/>
  <c r="CA34" i="22"/>
  <c r="CA35" i="22"/>
  <c r="CA36" i="22"/>
  <c r="CA37" i="22"/>
  <c r="CA38" i="22"/>
  <c r="CA39" i="22"/>
  <c r="CA40" i="22"/>
  <c r="CA41" i="22"/>
  <c r="CA42" i="22"/>
  <c r="CA43" i="22"/>
  <c r="CA44" i="22"/>
  <c r="CA45" i="22"/>
  <c r="CA46" i="22"/>
  <c r="CA47" i="22"/>
  <c r="CA48" i="22"/>
  <c r="CA49" i="22"/>
  <c r="CA50" i="22"/>
  <c r="CA51" i="22"/>
  <c r="CA52" i="22"/>
  <c r="CA53" i="22"/>
  <c r="CA54" i="22"/>
  <c r="CA55" i="22"/>
  <c r="CA56" i="22"/>
  <c r="CA57" i="22"/>
  <c r="CA58" i="22"/>
  <c r="CA59" i="22"/>
  <c r="CA60" i="22"/>
  <c r="CA61" i="22"/>
  <c r="CA62" i="22"/>
  <c r="CA63" i="22"/>
  <c r="CA64" i="22"/>
  <c r="CA65" i="22"/>
  <c r="CA90" i="22"/>
  <c r="CB13" i="22"/>
  <c r="CB14" i="22"/>
  <c r="CB15" i="22"/>
  <c r="CB16" i="22"/>
  <c r="CB17" i="22"/>
  <c r="CB18" i="22"/>
  <c r="CB19" i="22"/>
  <c r="CB20" i="22"/>
  <c r="CB21" i="22"/>
  <c r="CB22" i="22"/>
  <c r="CB23" i="22"/>
  <c r="CB24" i="22"/>
  <c r="CB25" i="22"/>
  <c r="CB26" i="22"/>
  <c r="CB27" i="22"/>
  <c r="CB28" i="22"/>
  <c r="CB29" i="22"/>
  <c r="CB30" i="22"/>
  <c r="CB31" i="22"/>
  <c r="CB32" i="22"/>
  <c r="CB33" i="22"/>
  <c r="CB34" i="22"/>
  <c r="CB35" i="22"/>
  <c r="CB36" i="22"/>
  <c r="CB37" i="22"/>
  <c r="CB38" i="22"/>
  <c r="CB39" i="22"/>
  <c r="CB40" i="22"/>
  <c r="CB41" i="22"/>
  <c r="CB42" i="22"/>
  <c r="CB43" i="22"/>
  <c r="CB44" i="22"/>
  <c r="CB45" i="22"/>
  <c r="CB46" i="22"/>
  <c r="CB47" i="22"/>
  <c r="CB48" i="22"/>
  <c r="CB49" i="22"/>
  <c r="CB50" i="22"/>
  <c r="CB51" i="22"/>
  <c r="CB52" i="22"/>
  <c r="CB53" i="22"/>
  <c r="CB54" i="22"/>
  <c r="CB55" i="22"/>
  <c r="CB56" i="22"/>
  <c r="CB57" i="22"/>
  <c r="CB58" i="22"/>
  <c r="CB59" i="22"/>
  <c r="CB60" i="22"/>
  <c r="CB61" i="22"/>
  <c r="CB62" i="22"/>
  <c r="CB63" i="22"/>
  <c r="CB64" i="22"/>
  <c r="CB65" i="22"/>
  <c r="CB90" i="22"/>
  <c r="CC13" i="22"/>
  <c r="CC14" i="22"/>
  <c r="CC15" i="22"/>
  <c r="CC16" i="22"/>
  <c r="CC17" i="22"/>
  <c r="CC18" i="22"/>
  <c r="CC19" i="22"/>
  <c r="CC20" i="22"/>
  <c r="CC21" i="22"/>
  <c r="CC22" i="22"/>
  <c r="CC23" i="22"/>
  <c r="CC24" i="22"/>
  <c r="CC25" i="22"/>
  <c r="CC26" i="22"/>
  <c r="CC27" i="22"/>
  <c r="CC28" i="22"/>
  <c r="CC29" i="22"/>
  <c r="CC30" i="22"/>
  <c r="CC31" i="22"/>
  <c r="CC32" i="22"/>
  <c r="CC33" i="22"/>
  <c r="CC34" i="22"/>
  <c r="CC35" i="22"/>
  <c r="CC36" i="22"/>
  <c r="CC37" i="22"/>
  <c r="CC38" i="22"/>
  <c r="CC39" i="22"/>
  <c r="CC40" i="22"/>
  <c r="CC41" i="22"/>
  <c r="CC42" i="22"/>
  <c r="CC43" i="22"/>
  <c r="CC44" i="22"/>
  <c r="CC45" i="22"/>
  <c r="CC46" i="22"/>
  <c r="CC47" i="22"/>
  <c r="CC48" i="22"/>
  <c r="CC49" i="22"/>
  <c r="CC50" i="22"/>
  <c r="CC51" i="22"/>
  <c r="CC52" i="22"/>
  <c r="CC53" i="22"/>
  <c r="CC54" i="22"/>
  <c r="CC55" i="22"/>
  <c r="CC56" i="22"/>
  <c r="CC57" i="22"/>
  <c r="CC58" i="22"/>
  <c r="CC59" i="22"/>
  <c r="CC60" i="22"/>
  <c r="CC61" i="22"/>
  <c r="CC62" i="22"/>
  <c r="CC63" i="22"/>
  <c r="CC64" i="22"/>
  <c r="CC65" i="22"/>
  <c r="CC90" i="22"/>
  <c r="CD13" i="22"/>
  <c r="CD14" i="22"/>
  <c r="CD15" i="22"/>
  <c r="CD16" i="22"/>
  <c r="CD17" i="22"/>
  <c r="CD18" i="22"/>
  <c r="CD19" i="22"/>
  <c r="CD20" i="22"/>
  <c r="CD21" i="22"/>
  <c r="CD22" i="22"/>
  <c r="CD23" i="22"/>
  <c r="CD24" i="22"/>
  <c r="CD25" i="22"/>
  <c r="CD26" i="22"/>
  <c r="CD27" i="22"/>
  <c r="CD28" i="22"/>
  <c r="CD29" i="22"/>
  <c r="CD30" i="22"/>
  <c r="CD31" i="22"/>
  <c r="CD32" i="22"/>
  <c r="CD33" i="22"/>
  <c r="CD34" i="22"/>
  <c r="CD35" i="22"/>
  <c r="CD36" i="22"/>
  <c r="CD37" i="22"/>
  <c r="CD38" i="22"/>
  <c r="CD39" i="22"/>
  <c r="CD40" i="22"/>
  <c r="CD41" i="22"/>
  <c r="CD42" i="22"/>
  <c r="CD43" i="22"/>
  <c r="CD44" i="22"/>
  <c r="CD45" i="22"/>
  <c r="CD46" i="22"/>
  <c r="CD47" i="22"/>
  <c r="CD48" i="22"/>
  <c r="CD49" i="22"/>
  <c r="CD50" i="22"/>
  <c r="CD51" i="22"/>
  <c r="CD52" i="22"/>
  <c r="CD53" i="22"/>
  <c r="CD54" i="22"/>
  <c r="CD55" i="22"/>
  <c r="CD56" i="22"/>
  <c r="CD57" i="22"/>
  <c r="CD58" i="22"/>
  <c r="CD59" i="22"/>
  <c r="CD60" i="22"/>
  <c r="CD61" i="22"/>
  <c r="CD62" i="22"/>
  <c r="CD63" i="22"/>
  <c r="CD64" i="22"/>
  <c r="CD65" i="22"/>
  <c r="CD90" i="22"/>
  <c r="CE13" i="22"/>
  <c r="CE14" i="22"/>
  <c r="CE15" i="22"/>
  <c r="CE16" i="22"/>
  <c r="CE17" i="22"/>
  <c r="CE18" i="22"/>
  <c r="CE19" i="22"/>
  <c r="CE20" i="22"/>
  <c r="CE21" i="22"/>
  <c r="CE22" i="22"/>
  <c r="CE23" i="22"/>
  <c r="CE24" i="22"/>
  <c r="CE25" i="22"/>
  <c r="CE26" i="22"/>
  <c r="CE27" i="22"/>
  <c r="CE28" i="22"/>
  <c r="CE29" i="22"/>
  <c r="CE30" i="22"/>
  <c r="CE31" i="22"/>
  <c r="CE32" i="22"/>
  <c r="CE33" i="22"/>
  <c r="CE34" i="22"/>
  <c r="CE35" i="22"/>
  <c r="CE36" i="22"/>
  <c r="CE37" i="22"/>
  <c r="CE38" i="22"/>
  <c r="CE39" i="22"/>
  <c r="CE40" i="22"/>
  <c r="CE41" i="22"/>
  <c r="CE42" i="22"/>
  <c r="CE43" i="22"/>
  <c r="CE44" i="22"/>
  <c r="CE45" i="22"/>
  <c r="CE46" i="22"/>
  <c r="CE47" i="22"/>
  <c r="CE48" i="22"/>
  <c r="CE49" i="22"/>
  <c r="CE50" i="22"/>
  <c r="CE51" i="22"/>
  <c r="CE52" i="22"/>
  <c r="CE53" i="22"/>
  <c r="CE54" i="22"/>
  <c r="CE55" i="22"/>
  <c r="CE56" i="22"/>
  <c r="CE57" i="22"/>
  <c r="CE58" i="22"/>
  <c r="CE59" i="22"/>
  <c r="CE60" i="22"/>
  <c r="CE61" i="22"/>
  <c r="CE62" i="22"/>
  <c r="CE63" i="22"/>
  <c r="CE64" i="22"/>
  <c r="CE65" i="22"/>
  <c r="CE90" i="22"/>
  <c r="CF90" i="22"/>
  <c r="CG90" i="22"/>
  <c r="CH90" i="22"/>
  <c r="CI90" i="22"/>
  <c r="CJ90" i="22"/>
  <c r="CK90" i="22"/>
  <c r="B90" i="22"/>
  <c r="L28" i="33"/>
  <c r="K28" i="33"/>
  <c r="L23" i="33"/>
  <c r="L27" i="33"/>
  <c r="K23" i="33"/>
  <c r="K27" i="33"/>
  <c r="L26" i="33"/>
  <c r="K26" i="33"/>
  <c r="L17" i="33"/>
  <c r="K17" i="33"/>
  <c r="I15" i="33"/>
  <c r="V12" i="33"/>
  <c r="AN22" i="33"/>
  <c r="AN16" i="33"/>
  <c r="I20" i="33"/>
  <c r="V13" i="33"/>
  <c r="V16" i="33"/>
  <c r="J15" i="33"/>
  <c r="W12" i="33"/>
  <c r="J20" i="33"/>
  <c r="W13" i="33"/>
  <c r="W16" i="33"/>
  <c r="J14" i="33"/>
  <c r="W25" i="33"/>
  <c r="I14" i="33"/>
  <c r="V25" i="33"/>
  <c r="AV3" i="33"/>
  <c r="H9" i="30"/>
  <c r="J31" i="30"/>
  <c r="H10" i="30"/>
  <c r="J32" i="30"/>
  <c r="H11" i="30"/>
  <c r="J33" i="30"/>
  <c r="H12" i="30"/>
  <c r="J34" i="30"/>
  <c r="H13" i="30"/>
  <c r="J35" i="30"/>
  <c r="H14" i="30"/>
  <c r="J36" i="30"/>
  <c r="H15" i="30"/>
  <c r="J37" i="30"/>
  <c r="H16" i="30"/>
  <c r="J38" i="30"/>
  <c r="H17" i="30"/>
  <c r="J39" i="30"/>
  <c r="H18" i="30"/>
  <c r="J40" i="30"/>
  <c r="H19" i="30"/>
  <c r="J41" i="30"/>
  <c r="H20" i="30"/>
  <c r="J42" i="30"/>
  <c r="J43" i="30"/>
  <c r="J44" i="30"/>
  <c r="J45" i="30"/>
  <c r="J46" i="30"/>
  <c r="J47" i="30"/>
  <c r="J48" i="30"/>
  <c r="J49" i="30"/>
  <c r="J50" i="30"/>
  <c r="J51" i="30"/>
  <c r="J52" i="30"/>
  <c r="J53" i="30"/>
  <c r="J54" i="30"/>
  <c r="J55" i="30"/>
  <c r="J56" i="30"/>
  <c r="J57" i="30"/>
  <c r="J58" i="30"/>
  <c r="J59" i="30"/>
  <c r="J60" i="30"/>
  <c r="J61" i="30"/>
  <c r="J62" i="30"/>
  <c r="J63" i="30"/>
  <c r="J64" i="30"/>
  <c r="J65" i="30"/>
  <c r="J66" i="30"/>
  <c r="J67" i="30"/>
  <c r="J68" i="30"/>
  <c r="J69" i="30"/>
  <c r="J70" i="30"/>
  <c r="J71" i="30"/>
  <c r="J72" i="30"/>
  <c r="J73" i="30"/>
  <c r="J74" i="30"/>
  <c r="J75" i="30"/>
  <c r="J76" i="30"/>
  <c r="J77" i="30"/>
  <c r="J78" i="30"/>
  <c r="BC3" i="33"/>
  <c r="BQ2" i="33"/>
  <c r="F146" i="34"/>
  <c r="F145" i="34"/>
  <c r="F144" i="34"/>
  <c r="F143" i="34"/>
  <c r="F142" i="34"/>
  <c r="F141" i="34"/>
  <c r="C66" i="34"/>
  <c r="C67" i="34"/>
  <c r="M134" i="34"/>
  <c r="C68" i="34"/>
  <c r="N134" i="34"/>
  <c r="P134" i="34"/>
  <c r="O134" i="34"/>
  <c r="Q134" i="34"/>
  <c r="M133" i="34"/>
  <c r="N133" i="34"/>
  <c r="P133" i="34"/>
  <c r="O133" i="34"/>
  <c r="Q133" i="34"/>
  <c r="M132" i="34"/>
  <c r="N132" i="34"/>
  <c r="P132" i="34"/>
  <c r="O132" i="34"/>
  <c r="Q132" i="34"/>
  <c r="M131" i="34"/>
  <c r="N131" i="34"/>
  <c r="P131" i="34"/>
  <c r="O131" i="34"/>
  <c r="Q131" i="34"/>
  <c r="M130" i="34"/>
  <c r="N130" i="34"/>
  <c r="P130" i="34"/>
  <c r="O130" i="34"/>
  <c r="Q130" i="34"/>
  <c r="M129" i="34"/>
  <c r="N129" i="34"/>
  <c r="P129" i="34"/>
  <c r="O129" i="34"/>
  <c r="Q129" i="34"/>
  <c r="JY86" i="22"/>
  <c r="KM86" i="22"/>
  <c r="LA86" i="22"/>
  <c r="BI13" i="33"/>
  <c r="J409" i="8"/>
  <c r="K409" i="8"/>
  <c r="AG409" i="8"/>
  <c r="F4" i="35"/>
  <c r="F5" i="35"/>
  <c r="F6" i="35"/>
  <c r="F7" i="35"/>
  <c r="F8" i="35"/>
  <c r="F9" i="35"/>
  <c r="F10" i="35"/>
  <c r="F11" i="35"/>
  <c r="F12" i="35"/>
  <c r="F13" i="35"/>
  <c r="F14" i="35"/>
  <c r="F15" i="35"/>
  <c r="F16" i="35"/>
  <c r="F17" i="35"/>
  <c r="F18" i="35"/>
  <c r="F19" i="35"/>
  <c r="F20" i="35"/>
  <c r="F21" i="35"/>
  <c r="F22" i="35"/>
  <c r="F23" i="35"/>
  <c r="F24" i="35"/>
  <c r="F25" i="35"/>
  <c r="F26" i="35"/>
  <c r="F27" i="35"/>
  <c r="F28" i="35"/>
  <c r="F29" i="35"/>
  <c r="F30" i="35"/>
  <c r="F31" i="35"/>
  <c r="F32" i="35"/>
  <c r="F33" i="35"/>
  <c r="F34" i="35"/>
  <c r="F35" i="35"/>
  <c r="F36" i="35"/>
  <c r="F37" i="35"/>
  <c r="F38" i="35"/>
  <c r="F39" i="35"/>
  <c r="F40" i="35"/>
  <c r="F41" i="35"/>
  <c r="F42" i="35"/>
  <c r="F43" i="35"/>
  <c r="F44" i="35"/>
  <c r="F45" i="35"/>
  <c r="F46" i="35"/>
  <c r="F47" i="35"/>
  <c r="F48" i="35"/>
  <c r="F49" i="35"/>
  <c r="F50" i="35"/>
  <c r="F51" i="35"/>
  <c r="F52" i="35"/>
  <c r="F53" i="35"/>
  <c r="F54" i="35"/>
  <c r="F55" i="35"/>
  <c r="F56" i="35"/>
  <c r="F57" i="35"/>
  <c r="F58" i="35"/>
  <c r="F59" i="35"/>
  <c r="F60" i="35"/>
  <c r="F61" i="35"/>
  <c r="F78" i="35"/>
  <c r="E4" i="35"/>
  <c r="E5" i="35"/>
  <c r="E6" i="35"/>
  <c r="E7" i="35"/>
  <c r="E8" i="35"/>
  <c r="E9" i="35"/>
  <c r="E10" i="35"/>
  <c r="E11" i="35"/>
  <c r="E12" i="35"/>
  <c r="E13" i="35"/>
  <c r="E14" i="35"/>
  <c r="E15" i="35"/>
  <c r="E16" i="35"/>
  <c r="E17" i="35"/>
  <c r="E18" i="35"/>
  <c r="E19" i="35"/>
  <c r="E20" i="35"/>
  <c r="E21" i="35"/>
  <c r="E22" i="35"/>
  <c r="E23" i="35"/>
  <c r="E24" i="35"/>
  <c r="E25" i="35"/>
  <c r="E26" i="35"/>
  <c r="E27" i="35"/>
  <c r="E28" i="35"/>
  <c r="E29" i="35"/>
  <c r="E30" i="35"/>
  <c r="E31" i="35"/>
  <c r="E32" i="35"/>
  <c r="E33" i="35"/>
  <c r="E34" i="35"/>
  <c r="E35" i="35"/>
  <c r="E36" i="35"/>
  <c r="E37" i="35"/>
  <c r="E38" i="35"/>
  <c r="E39" i="35"/>
  <c r="E40" i="35"/>
  <c r="E41" i="35"/>
  <c r="E42" i="35"/>
  <c r="E43" i="35"/>
  <c r="E44" i="35"/>
  <c r="E45" i="35"/>
  <c r="E46" i="35"/>
  <c r="E47" i="35"/>
  <c r="E48" i="35"/>
  <c r="E49" i="35"/>
  <c r="E50" i="35"/>
  <c r="E51" i="35"/>
  <c r="E52" i="35"/>
  <c r="E53" i="35"/>
  <c r="E54" i="35"/>
  <c r="E55" i="35"/>
  <c r="E56" i="35"/>
  <c r="E57" i="35"/>
  <c r="E58" i="35"/>
  <c r="E59" i="35"/>
  <c r="E60" i="35"/>
  <c r="E61" i="35"/>
  <c r="E78" i="35"/>
  <c r="C78" i="35"/>
  <c r="B78" i="35"/>
  <c r="F62" i="35"/>
  <c r="F63" i="35"/>
  <c r="F64" i="35"/>
  <c r="F65" i="35"/>
  <c r="F66" i="35"/>
  <c r="F67" i="35"/>
  <c r="F68" i="35"/>
  <c r="F69" i="35"/>
  <c r="F70" i="35"/>
  <c r="F71" i="35"/>
  <c r="F72" i="35"/>
  <c r="F73" i="35"/>
  <c r="F74" i="35"/>
  <c r="F75" i="35"/>
  <c r="F76" i="35"/>
  <c r="E62" i="35"/>
  <c r="E63" i="35"/>
  <c r="E64" i="35"/>
  <c r="E65" i="35"/>
  <c r="E66" i="35"/>
  <c r="E67" i="35"/>
  <c r="E68" i="35"/>
  <c r="E69" i="35"/>
  <c r="E70" i="35"/>
  <c r="E71" i="35"/>
  <c r="E72" i="35"/>
  <c r="E73" i="35"/>
  <c r="E74" i="35"/>
  <c r="E75" i="35"/>
  <c r="E76" i="35"/>
  <c r="L71" i="22"/>
  <c r="L72" i="22"/>
  <c r="L73" i="22"/>
  <c r="L74" i="22"/>
  <c r="L75" i="22"/>
  <c r="L76" i="22"/>
  <c r="L77" i="22"/>
  <c r="L78" i="22"/>
  <c r="L79" i="22"/>
  <c r="L80" i="22"/>
  <c r="L81" i="22"/>
  <c r="L82" i="22"/>
  <c r="L83" i="22"/>
  <c r="L84" i="22"/>
  <c r="L85" i="22"/>
  <c r="BP136" i="21"/>
  <c r="BP137" i="21"/>
  <c r="BP138" i="21"/>
  <c r="BP135" i="21"/>
  <c r="F43" i="31"/>
  <c r="F44" i="31"/>
  <c r="F45" i="31"/>
  <c r="F46" i="31"/>
  <c r="F47" i="31"/>
  <c r="F48" i="31"/>
  <c r="F49" i="31"/>
  <c r="F50" i="31"/>
  <c r="F51" i="31"/>
  <c r="F52" i="31"/>
  <c r="F53" i="31"/>
  <c r="F54" i="31"/>
  <c r="F55" i="31"/>
  <c r="F56" i="31"/>
  <c r="F57" i="31"/>
  <c r="F58" i="31"/>
  <c r="C43" i="31"/>
  <c r="D43" i="31"/>
  <c r="E43" i="31"/>
  <c r="C44" i="31"/>
  <c r="D44" i="31"/>
  <c r="E44" i="31"/>
  <c r="C45" i="31"/>
  <c r="D45" i="31"/>
  <c r="E45" i="31"/>
  <c r="C46" i="31"/>
  <c r="D46" i="31"/>
  <c r="E46" i="31"/>
  <c r="C47" i="31"/>
  <c r="D47" i="31"/>
  <c r="E47" i="31"/>
  <c r="C48" i="31"/>
  <c r="D48" i="31"/>
  <c r="E48" i="31"/>
  <c r="C49" i="31"/>
  <c r="D49" i="31"/>
  <c r="E49" i="31"/>
  <c r="C50" i="31"/>
  <c r="D50" i="31"/>
  <c r="E50" i="31"/>
  <c r="C51" i="31"/>
  <c r="D51" i="31"/>
  <c r="E51" i="31"/>
  <c r="C52" i="31"/>
  <c r="D52" i="31"/>
  <c r="E52" i="31"/>
  <c r="C53" i="31"/>
  <c r="D53" i="31"/>
  <c r="E53" i="31"/>
  <c r="C54" i="31"/>
  <c r="D54" i="31"/>
  <c r="E54" i="31"/>
  <c r="C55" i="31"/>
  <c r="D55" i="31"/>
  <c r="E55" i="31"/>
  <c r="C56" i="31"/>
  <c r="D56" i="31"/>
  <c r="E56" i="31"/>
  <c r="C57" i="31"/>
  <c r="D57" i="31"/>
  <c r="E57" i="31"/>
  <c r="E58" i="31"/>
  <c r="D58" i="31"/>
  <c r="C58" i="31"/>
  <c r="G57" i="31"/>
  <c r="F22" i="31"/>
  <c r="F23" i="31"/>
  <c r="F24" i="31"/>
  <c r="F25" i="31"/>
  <c r="F26" i="31"/>
  <c r="F27" i="31"/>
  <c r="F28" i="31"/>
  <c r="F29" i="31"/>
  <c r="F30" i="31"/>
  <c r="F31" i="31"/>
  <c r="F32" i="31"/>
  <c r="F33" i="31"/>
  <c r="F34" i="31"/>
  <c r="F35" i="31"/>
  <c r="F36" i="31"/>
  <c r="F37" i="31"/>
  <c r="C22" i="31"/>
  <c r="D22" i="31"/>
  <c r="E22" i="31"/>
  <c r="C23" i="31"/>
  <c r="D23" i="31"/>
  <c r="E23" i="31"/>
  <c r="C24" i="31"/>
  <c r="D24" i="31"/>
  <c r="E24" i="31"/>
  <c r="C25" i="31"/>
  <c r="D25" i="31"/>
  <c r="E25" i="31"/>
  <c r="C26" i="31"/>
  <c r="D26" i="31"/>
  <c r="E26" i="31"/>
  <c r="C27" i="31"/>
  <c r="D27" i="31"/>
  <c r="E27" i="31"/>
  <c r="C28" i="31"/>
  <c r="D28" i="31"/>
  <c r="E28" i="31"/>
  <c r="C29" i="31"/>
  <c r="D29" i="31"/>
  <c r="E29" i="31"/>
  <c r="C30" i="31"/>
  <c r="D30" i="31"/>
  <c r="E30" i="31"/>
  <c r="C31" i="31"/>
  <c r="D31" i="31"/>
  <c r="E31" i="31"/>
  <c r="C32" i="31"/>
  <c r="D32" i="31"/>
  <c r="E32" i="31"/>
  <c r="C33" i="31"/>
  <c r="D33" i="31"/>
  <c r="E33" i="31"/>
  <c r="C34" i="31"/>
  <c r="D34" i="31"/>
  <c r="E34" i="31"/>
  <c r="C35" i="31"/>
  <c r="D35" i="31"/>
  <c r="E35" i="31"/>
  <c r="C36" i="31"/>
  <c r="D36" i="31"/>
  <c r="E36" i="31"/>
  <c r="E37" i="31"/>
  <c r="D37" i="31"/>
  <c r="C37" i="31"/>
  <c r="G36" i="31"/>
  <c r="AG348" i="8"/>
  <c r="AG349" i="8"/>
  <c r="AG350" i="8"/>
  <c r="AG351" i="8"/>
  <c r="AG352" i="8"/>
  <c r="AG353" i="8"/>
  <c r="AG354" i="8"/>
  <c r="AG355" i="8"/>
  <c r="AG356" i="8"/>
  <c r="AG357" i="8"/>
  <c r="AG358" i="8"/>
  <c r="AG359" i="8"/>
  <c r="AG360" i="8"/>
  <c r="AG361" i="8"/>
  <c r="AG362" i="8"/>
  <c r="AG363" i="8"/>
  <c r="AG364" i="8"/>
  <c r="AG365" i="8"/>
  <c r="AG366" i="8"/>
  <c r="AG367" i="8"/>
  <c r="AG368" i="8"/>
  <c r="AG369" i="8"/>
  <c r="AG370" i="8"/>
  <c r="AG371" i="8"/>
  <c r="AG372" i="8"/>
  <c r="AG373" i="8"/>
  <c r="AG374" i="8"/>
  <c r="AG375" i="8"/>
  <c r="AG376" i="8"/>
  <c r="AG377" i="8"/>
  <c r="AG378" i="8"/>
  <c r="AG379" i="8"/>
  <c r="AG380" i="8"/>
  <c r="AG381" i="8"/>
  <c r="AG382" i="8"/>
  <c r="AG383" i="8"/>
  <c r="AG384" i="8"/>
  <c r="AG385" i="8"/>
  <c r="AG386" i="8"/>
  <c r="AG387" i="8"/>
  <c r="AG388" i="8"/>
  <c r="AG389" i="8"/>
  <c r="AG390" i="8"/>
  <c r="AG391" i="8"/>
  <c r="AG392" i="8"/>
  <c r="AG393" i="8"/>
  <c r="AG394" i="8"/>
  <c r="AG395" i="8"/>
  <c r="AG396" i="8"/>
  <c r="AG397" i="8"/>
  <c r="AG398" i="8"/>
  <c r="AG399" i="8"/>
  <c r="AG400" i="8"/>
  <c r="AG401" i="8"/>
  <c r="AG402" i="8"/>
  <c r="AG403" i="8"/>
  <c r="AG404" i="8"/>
  <c r="AG405" i="8"/>
  <c r="AG406" i="8"/>
  <c r="AG407" i="8"/>
  <c r="AG408" i="8"/>
  <c r="AG347" i="8"/>
  <c r="E40" i="33"/>
  <c r="F120" i="34"/>
  <c r="F119" i="34"/>
  <c r="F118" i="34"/>
  <c r="F117" i="34"/>
  <c r="F116" i="34"/>
  <c r="F115" i="34"/>
  <c r="O104" i="34"/>
  <c r="O105" i="34"/>
  <c r="O106" i="34"/>
  <c r="O107" i="34"/>
  <c r="O108" i="34"/>
  <c r="O103" i="34"/>
  <c r="C71" i="34"/>
  <c r="M108" i="34"/>
  <c r="N108" i="34"/>
  <c r="P108" i="34"/>
  <c r="Q108" i="34"/>
  <c r="M107" i="34"/>
  <c r="N107" i="34"/>
  <c r="P107" i="34"/>
  <c r="Q107" i="34"/>
  <c r="M106" i="34"/>
  <c r="N106" i="34"/>
  <c r="P106" i="34"/>
  <c r="Q106" i="34"/>
  <c r="M105" i="34"/>
  <c r="N105" i="34"/>
  <c r="P105" i="34"/>
  <c r="Q105" i="34"/>
  <c r="M104" i="34"/>
  <c r="N104" i="34"/>
  <c r="P104" i="34"/>
  <c r="Q104" i="34"/>
  <c r="M103" i="34"/>
  <c r="N103" i="34"/>
  <c r="P103" i="34"/>
  <c r="Q103" i="34"/>
  <c r="H91" i="34"/>
  <c r="H92" i="34"/>
  <c r="H93" i="34"/>
  <c r="H94" i="34"/>
  <c r="H95" i="34"/>
  <c r="H90" i="34"/>
  <c r="H83" i="34"/>
  <c r="H84" i="34"/>
  <c r="H85" i="34"/>
  <c r="H82" i="34"/>
  <c r="BB8" i="33"/>
  <c r="FQ94" i="23"/>
  <c r="FQ95" i="23"/>
  <c r="FQ96" i="23"/>
  <c r="FQ97" i="23"/>
  <c r="FS94" i="23"/>
  <c r="FS95" i="23"/>
  <c r="FS96" i="23"/>
  <c r="FS97" i="23"/>
  <c r="FU94" i="23"/>
  <c r="FU95" i="23"/>
  <c r="FU96" i="23"/>
  <c r="FU97" i="23"/>
  <c r="FW94" i="23"/>
  <c r="FW95" i="23"/>
  <c r="FW96" i="23"/>
  <c r="FW97" i="23"/>
  <c r="FY94" i="23"/>
  <c r="FY95" i="23"/>
  <c r="FY96" i="23"/>
  <c r="FY97" i="23"/>
  <c r="GA94" i="23"/>
  <c r="GA95" i="23"/>
  <c r="GA96" i="23"/>
  <c r="GA97" i="23"/>
  <c r="BC12" i="33"/>
  <c r="FP94" i="23"/>
  <c r="FP95" i="23"/>
  <c r="FP96" i="23"/>
  <c r="FP97" i="23"/>
  <c r="FR94" i="23"/>
  <c r="FR95" i="23"/>
  <c r="FR96" i="23"/>
  <c r="FR97" i="23"/>
  <c r="FT94" i="23"/>
  <c r="FT95" i="23"/>
  <c r="FT96" i="23"/>
  <c r="FT97" i="23"/>
  <c r="FV94" i="23"/>
  <c r="FV95" i="23"/>
  <c r="FV96" i="23"/>
  <c r="FV97" i="23"/>
  <c r="FX94" i="23"/>
  <c r="FX95" i="23"/>
  <c r="FX96" i="23"/>
  <c r="FX97" i="23"/>
  <c r="FZ94" i="23"/>
  <c r="FZ95" i="23"/>
  <c r="FZ96" i="23"/>
  <c r="FZ97" i="23"/>
  <c r="BB12" i="33"/>
  <c r="IU86" i="22"/>
  <c r="IU66" i="22"/>
  <c r="IU67" i="22"/>
  <c r="IU68" i="22"/>
  <c r="IU69" i="22"/>
  <c r="IU70" i="22"/>
  <c r="IU87" i="22"/>
  <c r="IU71" i="22"/>
  <c r="IU72" i="22"/>
  <c r="IU73" i="22"/>
  <c r="IU74" i="22"/>
  <c r="IU75" i="22"/>
  <c r="IU76" i="22"/>
  <c r="IU77" i="22"/>
  <c r="IU78" i="22"/>
  <c r="IU79" i="22"/>
  <c r="IU80" i="22"/>
  <c r="IU81" i="22"/>
  <c r="IU82" i="22"/>
  <c r="IU83" i="22"/>
  <c r="IU84" i="22"/>
  <c r="IU85" i="22"/>
  <c r="IU88" i="22"/>
  <c r="IU89" i="22"/>
  <c r="JI86" i="22"/>
  <c r="JI66" i="22"/>
  <c r="JI67" i="22"/>
  <c r="JI68" i="22"/>
  <c r="JI69" i="22"/>
  <c r="JI70" i="22"/>
  <c r="JI87" i="22"/>
  <c r="JI71" i="22"/>
  <c r="JI72" i="22"/>
  <c r="JI73" i="22"/>
  <c r="JI74" i="22"/>
  <c r="JI75" i="22"/>
  <c r="JI76" i="22"/>
  <c r="JI77" i="22"/>
  <c r="JI78" i="22"/>
  <c r="JI79" i="22"/>
  <c r="JI80" i="22"/>
  <c r="JI81" i="22"/>
  <c r="JI82" i="22"/>
  <c r="JI83" i="22"/>
  <c r="JI84" i="22"/>
  <c r="JI85" i="22"/>
  <c r="JI88" i="22"/>
  <c r="JI89" i="22"/>
  <c r="JW86" i="22"/>
  <c r="JW66" i="22"/>
  <c r="JW67" i="22"/>
  <c r="JW68" i="22"/>
  <c r="JW69" i="22"/>
  <c r="JW70" i="22"/>
  <c r="JW87" i="22"/>
  <c r="JW71" i="22"/>
  <c r="JW72" i="22"/>
  <c r="JW73" i="22"/>
  <c r="JW74" i="22"/>
  <c r="JW75" i="22"/>
  <c r="JW76" i="22"/>
  <c r="JW77" i="22"/>
  <c r="JW78" i="22"/>
  <c r="JW79" i="22"/>
  <c r="JW80" i="22"/>
  <c r="JW81" i="22"/>
  <c r="JW82" i="22"/>
  <c r="JW83" i="22"/>
  <c r="JW84" i="22"/>
  <c r="JW85" i="22"/>
  <c r="JW88" i="22"/>
  <c r="JW89" i="22"/>
  <c r="BS42" i="33"/>
  <c r="IN86" i="22"/>
  <c r="IN66" i="22"/>
  <c r="IN67" i="22"/>
  <c r="IN68" i="22"/>
  <c r="IN69" i="22"/>
  <c r="IN70" i="22"/>
  <c r="IN87" i="22"/>
  <c r="IN71" i="22"/>
  <c r="IN72" i="22"/>
  <c r="IN73" i="22"/>
  <c r="IN74" i="22"/>
  <c r="IN75" i="22"/>
  <c r="IN76" i="22"/>
  <c r="IN77" i="22"/>
  <c r="IN78" i="22"/>
  <c r="IN79" i="22"/>
  <c r="IN80" i="22"/>
  <c r="IN81" i="22"/>
  <c r="IN82" i="22"/>
  <c r="IN83" i="22"/>
  <c r="IN84" i="22"/>
  <c r="IN85" i="22"/>
  <c r="IN88" i="22"/>
  <c r="IN89" i="22"/>
  <c r="JB86" i="22"/>
  <c r="JB66" i="22"/>
  <c r="JB67" i="22"/>
  <c r="JB68" i="22"/>
  <c r="JB69" i="22"/>
  <c r="JB70" i="22"/>
  <c r="JB87" i="22"/>
  <c r="JB71" i="22"/>
  <c r="JB72" i="22"/>
  <c r="JB73" i="22"/>
  <c r="JB74" i="22"/>
  <c r="JB75" i="22"/>
  <c r="JB76" i="22"/>
  <c r="JB77" i="22"/>
  <c r="JB78" i="22"/>
  <c r="JB79" i="22"/>
  <c r="JB80" i="22"/>
  <c r="JB81" i="22"/>
  <c r="JB82" i="22"/>
  <c r="JB83" i="22"/>
  <c r="JB84" i="22"/>
  <c r="JB85" i="22"/>
  <c r="JB88" i="22"/>
  <c r="JB89" i="22"/>
  <c r="JP86" i="22"/>
  <c r="JP66" i="22"/>
  <c r="JP67" i="22"/>
  <c r="JP68" i="22"/>
  <c r="JP69" i="22"/>
  <c r="JP70" i="22"/>
  <c r="JP87" i="22"/>
  <c r="JP71" i="22"/>
  <c r="JP72" i="22"/>
  <c r="JP73" i="22"/>
  <c r="JP74" i="22"/>
  <c r="JP75" i="22"/>
  <c r="JP76" i="22"/>
  <c r="JP77" i="22"/>
  <c r="JP78" i="22"/>
  <c r="JP79" i="22"/>
  <c r="JP80" i="22"/>
  <c r="JP81" i="22"/>
  <c r="JP82" i="22"/>
  <c r="JP83" i="22"/>
  <c r="JP84" i="22"/>
  <c r="JP85" i="22"/>
  <c r="JP88" i="22"/>
  <c r="JP89" i="22"/>
  <c r="BR42" i="33"/>
  <c r="BP42" i="33"/>
  <c r="BO42" i="33"/>
  <c r="BM42" i="33"/>
  <c r="BL42" i="33"/>
  <c r="BJ42" i="33"/>
  <c r="BI42" i="33"/>
  <c r="IT86" i="22"/>
  <c r="IT66" i="22"/>
  <c r="IT67" i="22"/>
  <c r="IT68" i="22"/>
  <c r="IT69" i="22"/>
  <c r="IT70" i="22"/>
  <c r="IT87" i="22"/>
  <c r="IT71" i="22"/>
  <c r="IT72" i="22"/>
  <c r="IT73" i="22"/>
  <c r="IT74" i="22"/>
  <c r="IT75" i="22"/>
  <c r="IT76" i="22"/>
  <c r="IT77" i="22"/>
  <c r="IT78" i="22"/>
  <c r="IT79" i="22"/>
  <c r="IT80" i="22"/>
  <c r="IT81" i="22"/>
  <c r="IT82" i="22"/>
  <c r="IT83" i="22"/>
  <c r="IT84" i="22"/>
  <c r="IT85" i="22"/>
  <c r="IT88" i="22"/>
  <c r="IT89" i="22"/>
  <c r="JH86" i="22"/>
  <c r="JH66" i="22"/>
  <c r="JH67" i="22"/>
  <c r="JH68" i="22"/>
  <c r="JH69" i="22"/>
  <c r="JH70" i="22"/>
  <c r="JH87" i="22"/>
  <c r="JH71" i="22"/>
  <c r="JH72" i="22"/>
  <c r="JH73" i="22"/>
  <c r="JH74" i="22"/>
  <c r="JH75" i="22"/>
  <c r="JH76" i="22"/>
  <c r="JH77" i="22"/>
  <c r="JH78" i="22"/>
  <c r="JH79" i="22"/>
  <c r="JH80" i="22"/>
  <c r="JH81" i="22"/>
  <c r="JH82" i="22"/>
  <c r="JH83" i="22"/>
  <c r="JH84" i="22"/>
  <c r="JH85" i="22"/>
  <c r="JH88" i="22"/>
  <c r="JH89" i="22"/>
  <c r="JV86" i="22"/>
  <c r="JV66" i="22"/>
  <c r="JV67" i="22"/>
  <c r="JV68" i="22"/>
  <c r="JV69" i="22"/>
  <c r="JV70" i="22"/>
  <c r="JV87" i="22"/>
  <c r="JV71" i="22"/>
  <c r="JV72" i="22"/>
  <c r="JV73" i="22"/>
  <c r="JV74" i="22"/>
  <c r="JV75" i="22"/>
  <c r="JV76" i="22"/>
  <c r="JV77" i="22"/>
  <c r="JV78" i="22"/>
  <c r="JV79" i="22"/>
  <c r="JV80" i="22"/>
  <c r="JV81" i="22"/>
  <c r="JV82" i="22"/>
  <c r="JV83" i="22"/>
  <c r="JV84" i="22"/>
  <c r="JV85" i="22"/>
  <c r="JV88" i="22"/>
  <c r="JV89" i="22"/>
  <c r="BS41" i="33"/>
  <c r="IM86" i="22"/>
  <c r="IM66" i="22"/>
  <c r="IM67" i="22"/>
  <c r="IM68" i="22"/>
  <c r="IM69" i="22"/>
  <c r="IM70" i="22"/>
  <c r="IM87" i="22"/>
  <c r="IM71" i="22"/>
  <c r="IM72" i="22"/>
  <c r="IM73" i="22"/>
  <c r="IM74" i="22"/>
  <c r="IM75" i="22"/>
  <c r="IM76" i="22"/>
  <c r="IM77" i="22"/>
  <c r="IM78" i="22"/>
  <c r="IM79" i="22"/>
  <c r="IM80" i="22"/>
  <c r="IM81" i="22"/>
  <c r="IM82" i="22"/>
  <c r="IM83" i="22"/>
  <c r="IM84" i="22"/>
  <c r="IM85" i="22"/>
  <c r="IM88" i="22"/>
  <c r="IM89" i="22"/>
  <c r="JA86" i="22"/>
  <c r="JA66" i="22"/>
  <c r="JA67" i="22"/>
  <c r="JA68" i="22"/>
  <c r="JA69" i="22"/>
  <c r="JA70" i="22"/>
  <c r="JA87" i="22"/>
  <c r="JA71" i="22"/>
  <c r="JA72" i="22"/>
  <c r="JA73" i="22"/>
  <c r="JA74" i="22"/>
  <c r="JA75" i="22"/>
  <c r="JA76" i="22"/>
  <c r="JA77" i="22"/>
  <c r="JA78" i="22"/>
  <c r="JA79" i="22"/>
  <c r="JA80" i="22"/>
  <c r="JA81" i="22"/>
  <c r="JA82" i="22"/>
  <c r="JA83" i="22"/>
  <c r="JA84" i="22"/>
  <c r="JA85" i="22"/>
  <c r="JA88" i="22"/>
  <c r="JA89" i="22"/>
  <c r="JO86" i="22"/>
  <c r="JO66" i="22"/>
  <c r="JO67" i="22"/>
  <c r="JO68" i="22"/>
  <c r="JO69" i="22"/>
  <c r="JO70" i="22"/>
  <c r="JO87" i="22"/>
  <c r="JO71" i="22"/>
  <c r="JO72" i="22"/>
  <c r="JO73" i="22"/>
  <c r="JO74" i="22"/>
  <c r="JO75" i="22"/>
  <c r="JO76" i="22"/>
  <c r="JO77" i="22"/>
  <c r="JO78" i="22"/>
  <c r="JO79" i="22"/>
  <c r="JO80" i="22"/>
  <c r="JO81" i="22"/>
  <c r="JO82" i="22"/>
  <c r="JO83" i="22"/>
  <c r="JO84" i="22"/>
  <c r="JO85" i="22"/>
  <c r="JO88" i="22"/>
  <c r="JO89" i="22"/>
  <c r="BR41" i="33"/>
  <c r="BP41" i="33"/>
  <c r="BO41" i="33"/>
  <c r="BM41" i="33"/>
  <c r="BL41" i="33"/>
  <c r="BJ41" i="33"/>
  <c r="BI41" i="33"/>
  <c r="IS86" i="22"/>
  <c r="IS66" i="22"/>
  <c r="IS67" i="22"/>
  <c r="IS68" i="22"/>
  <c r="IS69" i="22"/>
  <c r="IS70" i="22"/>
  <c r="IS87" i="22"/>
  <c r="IS71" i="22"/>
  <c r="IS72" i="22"/>
  <c r="IS73" i="22"/>
  <c r="IS74" i="22"/>
  <c r="IS75" i="22"/>
  <c r="IS76" i="22"/>
  <c r="IS77" i="22"/>
  <c r="IS78" i="22"/>
  <c r="IS79" i="22"/>
  <c r="IS80" i="22"/>
  <c r="IS81" i="22"/>
  <c r="IS82" i="22"/>
  <c r="IS83" i="22"/>
  <c r="IS84" i="22"/>
  <c r="IS85" i="22"/>
  <c r="IS88" i="22"/>
  <c r="IS89" i="22"/>
  <c r="JG86" i="22"/>
  <c r="JG66" i="22"/>
  <c r="JG67" i="22"/>
  <c r="JG68" i="22"/>
  <c r="JG69" i="22"/>
  <c r="JG70" i="22"/>
  <c r="JG87" i="22"/>
  <c r="JG71" i="22"/>
  <c r="JG72" i="22"/>
  <c r="JG73" i="22"/>
  <c r="JG74" i="22"/>
  <c r="JG75" i="22"/>
  <c r="JG76" i="22"/>
  <c r="JG77" i="22"/>
  <c r="JG78" i="22"/>
  <c r="JG79" i="22"/>
  <c r="JG80" i="22"/>
  <c r="JG81" i="22"/>
  <c r="JG82" i="22"/>
  <c r="JG83" i="22"/>
  <c r="JG84" i="22"/>
  <c r="JG85" i="22"/>
  <c r="JG88" i="22"/>
  <c r="JG89" i="22"/>
  <c r="JU86" i="22"/>
  <c r="JU66" i="22"/>
  <c r="JU67" i="22"/>
  <c r="JU68" i="22"/>
  <c r="JU69" i="22"/>
  <c r="JU70" i="22"/>
  <c r="JU87" i="22"/>
  <c r="JU71" i="22"/>
  <c r="JU72" i="22"/>
  <c r="JU73" i="22"/>
  <c r="JU74" i="22"/>
  <c r="JU75" i="22"/>
  <c r="JU76" i="22"/>
  <c r="JU77" i="22"/>
  <c r="JU78" i="22"/>
  <c r="JU79" i="22"/>
  <c r="JU80" i="22"/>
  <c r="JU81" i="22"/>
  <c r="JU82" i="22"/>
  <c r="JU83" i="22"/>
  <c r="JU84" i="22"/>
  <c r="JU85" i="22"/>
  <c r="JU88" i="22"/>
  <c r="JU89" i="22"/>
  <c r="BS40" i="33"/>
  <c r="IL86" i="22"/>
  <c r="IL66" i="22"/>
  <c r="IL67" i="22"/>
  <c r="IL68" i="22"/>
  <c r="IL69" i="22"/>
  <c r="IL70" i="22"/>
  <c r="IL87" i="22"/>
  <c r="IL71" i="22"/>
  <c r="IL72" i="22"/>
  <c r="IL73" i="22"/>
  <c r="IL74" i="22"/>
  <c r="IL75" i="22"/>
  <c r="IL76" i="22"/>
  <c r="IL77" i="22"/>
  <c r="IL78" i="22"/>
  <c r="IL79" i="22"/>
  <c r="IL80" i="22"/>
  <c r="IL81" i="22"/>
  <c r="IL82" i="22"/>
  <c r="IL83" i="22"/>
  <c r="IL84" i="22"/>
  <c r="IL85" i="22"/>
  <c r="IL88" i="22"/>
  <c r="IL89" i="22"/>
  <c r="IZ86" i="22"/>
  <c r="IZ66" i="22"/>
  <c r="IZ67" i="22"/>
  <c r="IZ68" i="22"/>
  <c r="IZ69" i="22"/>
  <c r="IZ70" i="22"/>
  <c r="IZ87" i="22"/>
  <c r="IZ71" i="22"/>
  <c r="IZ72" i="22"/>
  <c r="IZ73" i="22"/>
  <c r="IZ74" i="22"/>
  <c r="IZ75" i="22"/>
  <c r="IZ76" i="22"/>
  <c r="IZ77" i="22"/>
  <c r="IZ78" i="22"/>
  <c r="IZ79" i="22"/>
  <c r="IZ80" i="22"/>
  <c r="IZ81" i="22"/>
  <c r="IZ82" i="22"/>
  <c r="IZ83" i="22"/>
  <c r="IZ84" i="22"/>
  <c r="IZ85" i="22"/>
  <c r="IZ88" i="22"/>
  <c r="IZ89" i="22"/>
  <c r="JN86" i="22"/>
  <c r="JN66" i="22"/>
  <c r="JN67" i="22"/>
  <c r="JN68" i="22"/>
  <c r="JN69" i="22"/>
  <c r="JN70" i="22"/>
  <c r="JN87" i="22"/>
  <c r="JN71" i="22"/>
  <c r="JN72" i="22"/>
  <c r="JN73" i="22"/>
  <c r="JN74" i="22"/>
  <c r="JN75" i="22"/>
  <c r="JN76" i="22"/>
  <c r="JN77" i="22"/>
  <c r="JN78" i="22"/>
  <c r="JN79" i="22"/>
  <c r="JN80" i="22"/>
  <c r="JN81" i="22"/>
  <c r="JN82" i="22"/>
  <c r="JN83" i="22"/>
  <c r="JN84" i="22"/>
  <c r="JN85" i="22"/>
  <c r="JN88" i="22"/>
  <c r="JN89" i="22"/>
  <c r="BR40" i="33"/>
  <c r="BP40" i="33"/>
  <c r="BO40" i="33"/>
  <c r="BM40" i="33"/>
  <c r="BL40" i="33"/>
  <c r="BJ40" i="33"/>
  <c r="BI40" i="33"/>
  <c r="IR86" i="22"/>
  <c r="IR66" i="22"/>
  <c r="IR67" i="22"/>
  <c r="IR68" i="22"/>
  <c r="IR69" i="22"/>
  <c r="IR70" i="22"/>
  <c r="IR87" i="22"/>
  <c r="IR71" i="22"/>
  <c r="IR72" i="22"/>
  <c r="IR73" i="22"/>
  <c r="IR74" i="22"/>
  <c r="IR75" i="22"/>
  <c r="IR76" i="22"/>
  <c r="IR77" i="22"/>
  <c r="IR78" i="22"/>
  <c r="IR79" i="22"/>
  <c r="IR80" i="22"/>
  <c r="IR81" i="22"/>
  <c r="IR82" i="22"/>
  <c r="IR83" i="22"/>
  <c r="IR84" i="22"/>
  <c r="IR85" i="22"/>
  <c r="IR88" i="22"/>
  <c r="IR89" i="22"/>
  <c r="JF86" i="22"/>
  <c r="JF66" i="22"/>
  <c r="JF67" i="22"/>
  <c r="JF68" i="22"/>
  <c r="JF69" i="22"/>
  <c r="JF70" i="22"/>
  <c r="JF87" i="22"/>
  <c r="JF71" i="22"/>
  <c r="JF72" i="22"/>
  <c r="JF73" i="22"/>
  <c r="JF74" i="22"/>
  <c r="JF75" i="22"/>
  <c r="JF76" i="22"/>
  <c r="JF77" i="22"/>
  <c r="JF78" i="22"/>
  <c r="JF79" i="22"/>
  <c r="JF80" i="22"/>
  <c r="JF81" i="22"/>
  <c r="JF82" i="22"/>
  <c r="JF83" i="22"/>
  <c r="JF84" i="22"/>
  <c r="JF85" i="22"/>
  <c r="JF88" i="22"/>
  <c r="JF89" i="22"/>
  <c r="JT86" i="22"/>
  <c r="JT66" i="22"/>
  <c r="JT67" i="22"/>
  <c r="JT68" i="22"/>
  <c r="JT69" i="22"/>
  <c r="JT70" i="22"/>
  <c r="JT87" i="22"/>
  <c r="JT71" i="22"/>
  <c r="JT72" i="22"/>
  <c r="JT73" i="22"/>
  <c r="JT74" i="22"/>
  <c r="JT75" i="22"/>
  <c r="JT76" i="22"/>
  <c r="JT77" i="22"/>
  <c r="JT78" i="22"/>
  <c r="JT79" i="22"/>
  <c r="JT80" i="22"/>
  <c r="JT81" i="22"/>
  <c r="JT82" i="22"/>
  <c r="JT83" i="22"/>
  <c r="JT84" i="22"/>
  <c r="JT85" i="22"/>
  <c r="JT88" i="22"/>
  <c r="JT89" i="22"/>
  <c r="BS39" i="33"/>
  <c r="IK86" i="22"/>
  <c r="IK66" i="22"/>
  <c r="IK67" i="22"/>
  <c r="IK68" i="22"/>
  <c r="IK69" i="22"/>
  <c r="IK70" i="22"/>
  <c r="IK87" i="22"/>
  <c r="IK71" i="22"/>
  <c r="IK72" i="22"/>
  <c r="IK73" i="22"/>
  <c r="IK74" i="22"/>
  <c r="IK75" i="22"/>
  <c r="IK76" i="22"/>
  <c r="IK77" i="22"/>
  <c r="IK78" i="22"/>
  <c r="IK79" i="22"/>
  <c r="IK80" i="22"/>
  <c r="IK81" i="22"/>
  <c r="IK82" i="22"/>
  <c r="IK83" i="22"/>
  <c r="IK84" i="22"/>
  <c r="IK85" i="22"/>
  <c r="IK88" i="22"/>
  <c r="IK89" i="22"/>
  <c r="IY86" i="22"/>
  <c r="IY66" i="22"/>
  <c r="IY67" i="22"/>
  <c r="IY68" i="22"/>
  <c r="IY69" i="22"/>
  <c r="IY70" i="22"/>
  <c r="IY87" i="22"/>
  <c r="IY71" i="22"/>
  <c r="IY72" i="22"/>
  <c r="IY73" i="22"/>
  <c r="IY74" i="22"/>
  <c r="IY75" i="22"/>
  <c r="IY76" i="22"/>
  <c r="IY77" i="22"/>
  <c r="IY78" i="22"/>
  <c r="IY79" i="22"/>
  <c r="IY80" i="22"/>
  <c r="IY81" i="22"/>
  <c r="IY82" i="22"/>
  <c r="IY83" i="22"/>
  <c r="IY84" i="22"/>
  <c r="IY85" i="22"/>
  <c r="IY88" i="22"/>
  <c r="IY89" i="22"/>
  <c r="JM86" i="22"/>
  <c r="JM66" i="22"/>
  <c r="JM67" i="22"/>
  <c r="JM68" i="22"/>
  <c r="JM69" i="22"/>
  <c r="JM70" i="22"/>
  <c r="JM87" i="22"/>
  <c r="JM71" i="22"/>
  <c r="JM72" i="22"/>
  <c r="JM73" i="22"/>
  <c r="JM74" i="22"/>
  <c r="JM75" i="22"/>
  <c r="JM76" i="22"/>
  <c r="JM77" i="22"/>
  <c r="JM78" i="22"/>
  <c r="JM79" i="22"/>
  <c r="JM80" i="22"/>
  <c r="JM81" i="22"/>
  <c r="JM82" i="22"/>
  <c r="JM83" i="22"/>
  <c r="JM84" i="22"/>
  <c r="JM85" i="22"/>
  <c r="JM88" i="22"/>
  <c r="JM89" i="22"/>
  <c r="BR39" i="33"/>
  <c r="BP39" i="33"/>
  <c r="BO39" i="33"/>
  <c r="BM39" i="33"/>
  <c r="BL39" i="33"/>
  <c r="BJ39" i="33"/>
  <c r="BI39" i="33"/>
  <c r="IQ86" i="22"/>
  <c r="IQ66" i="22"/>
  <c r="IQ67" i="22"/>
  <c r="IQ68" i="22"/>
  <c r="IQ69" i="22"/>
  <c r="IQ70" i="22"/>
  <c r="IQ87" i="22"/>
  <c r="IQ71" i="22"/>
  <c r="IQ72" i="22"/>
  <c r="IQ73" i="22"/>
  <c r="IQ74" i="22"/>
  <c r="IQ75" i="22"/>
  <c r="IQ76" i="22"/>
  <c r="IQ77" i="22"/>
  <c r="IQ78" i="22"/>
  <c r="IQ79" i="22"/>
  <c r="IQ80" i="22"/>
  <c r="IQ81" i="22"/>
  <c r="IQ82" i="22"/>
  <c r="IQ83" i="22"/>
  <c r="IQ84" i="22"/>
  <c r="IQ85" i="22"/>
  <c r="IQ88" i="22"/>
  <c r="IQ89" i="22"/>
  <c r="JE86" i="22"/>
  <c r="JE66" i="22"/>
  <c r="JE67" i="22"/>
  <c r="JE68" i="22"/>
  <c r="JE69" i="22"/>
  <c r="JE70" i="22"/>
  <c r="JE87" i="22"/>
  <c r="JE71" i="22"/>
  <c r="JE72" i="22"/>
  <c r="JE73" i="22"/>
  <c r="JE74" i="22"/>
  <c r="JE75" i="22"/>
  <c r="JE76" i="22"/>
  <c r="JE77" i="22"/>
  <c r="JE78" i="22"/>
  <c r="JE79" i="22"/>
  <c r="JE80" i="22"/>
  <c r="JE81" i="22"/>
  <c r="JE82" i="22"/>
  <c r="JE83" i="22"/>
  <c r="JE84" i="22"/>
  <c r="JE85" i="22"/>
  <c r="JE88" i="22"/>
  <c r="JE89" i="22"/>
  <c r="JS86" i="22"/>
  <c r="JS66" i="22"/>
  <c r="JS67" i="22"/>
  <c r="JS68" i="22"/>
  <c r="JS69" i="22"/>
  <c r="JS70" i="22"/>
  <c r="JS87" i="22"/>
  <c r="JS71" i="22"/>
  <c r="JS72" i="22"/>
  <c r="JS73" i="22"/>
  <c r="JS74" i="22"/>
  <c r="JS75" i="22"/>
  <c r="JS76" i="22"/>
  <c r="JS77" i="22"/>
  <c r="JS78" i="22"/>
  <c r="JS79" i="22"/>
  <c r="JS80" i="22"/>
  <c r="JS81" i="22"/>
  <c r="JS82" i="22"/>
  <c r="JS83" i="22"/>
  <c r="JS84" i="22"/>
  <c r="JS85" i="22"/>
  <c r="JS88" i="22"/>
  <c r="JS89" i="22"/>
  <c r="BS38" i="33"/>
  <c r="IJ86" i="22"/>
  <c r="IJ66" i="22"/>
  <c r="IJ67" i="22"/>
  <c r="IJ68" i="22"/>
  <c r="IJ69" i="22"/>
  <c r="IJ70" i="22"/>
  <c r="IJ87" i="22"/>
  <c r="IJ71" i="22"/>
  <c r="IJ72" i="22"/>
  <c r="IJ73" i="22"/>
  <c r="IJ74" i="22"/>
  <c r="IJ75" i="22"/>
  <c r="IJ76" i="22"/>
  <c r="IJ77" i="22"/>
  <c r="IJ78" i="22"/>
  <c r="IJ79" i="22"/>
  <c r="IJ80" i="22"/>
  <c r="IJ81" i="22"/>
  <c r="IJ82" i="22"/>
  <c r="IJ83" i="22"/>
  <c r="IJ84" i="22"/>
  <c r="IJ85" i="22"/>
  <c r="IJ88" i="22"/>
  <c r="IJ89" i="22"/>
  <c r="IX86" i="22"/>
  <c r="IX66" i="22"/>
  <c r="IX67" i="22"/>
  <c r="IX68" i="22"/>
  <c r="IX69" i="22"/>
  <c r="IX70" i="22"/>
  <c r="IX87" i="22"/>
  <c r="IX71" i="22"/>
  <c r="IX72" i="22"/>
  <c r="IX73" i="22"/>
  <c r="IX74" i="22"/>
  <c r="IX75" i="22"/>
  <c r="IX76" i="22"/>
  <c r="IX77" i="22"/>
  <c r="IX78" i="22"/>
  <c r="IX79" i="22"/>
  <c r="IX80" i="22"/>
  <c r="IX81" i="22"/>
  <c r="IX82" i="22"/>
  <c r="IX83" i="22"/>
  <c r="IX84" i="22"/>
  <c r="IX85" i="22"/>
  <c r="IX88" i="22"/>
  <c r="IX89" i="22"/>
  <c r="JL86" i="22"/>
  <c r="JL66" i="22"/>
  <c r="JL67" i="22"/>
  <c r="JL68" i="22"/>
  <c r="JL69" i="22"/>
  <c r="JL70" i="22"/>
  <c r="JL87" i="22"/>
  <c r="JL71" i="22"/>
  <c r="JL72" i="22"/>
  <c r="JL73" i="22"/>
  <c r="JL74" i="22"/>
  <c r="JL75" i="22"/>
  <c r="JL76" i="22"/>
  <c r="JL77" i="22"/>
  <c r="JL78" i="22"/>
  <c r="JL79" i="22"/>
  <c r="JL80" i="22"/>
  <c r="JL81" i="22"/>
  <c r="JL82" i="22"/>
  <c r="JL83" i="22"/>
  <c r="JL84" i="22"/>
  <c r="JL85" i="22"/>
  <c r="JL88" i="22"/>
  <c r="JL89" i="22"/>
  <c r="BR38" i="33"/>
  <c r="BP38" i="33"/>
  <c r="BO38" i="33"/>
  <c r="BM38" i="33"/>
  <c r="BL38" i="33"/>
  <c r="BJ38" i="33"/>
  <c r="BI38" i="33"/>
  <c r="IP86" i="22"/>
  <c r="IP66" i="22"/>
  <c r="IP67" i="22"/>
  <c r="IP68" i="22"/>
  <c r="IP69" i="22"/>
  <c r="IP70" i="22"/>
  <c r="IP87" i="22"/>
  <c r="IP71" i="22"/>
  <c r="IP72" i="22"/>
  <c r="IP73" i="22"/>
  <c r="IP74" i="22"/>
  <c r="IP75" i="22"/>
  <c r="IP76" i="22"/>
  <c r="IP77" i="22"/>
  <c r="IP78" i="22"/>
  <c r="IP79" i="22"/>
  <c r="IP80" i="22"/>
  <c r="IP81" i="22"/>
  <c r="IP82" i="22"/>
  <c r="IP83" i="22"/>
  <c r="IP84" i="22"/>
  <c r="IP85" i="22"/>
  <c r="IP88" i="22"/>
  <c r="IP89" i="22"/>
  <c r="JD86" i="22"/>
  <c r="JD66" i="22"/>
  <c r="JD67" i="22"/>
  <c r="JD68" i="22"/>
  <c r="JD69" i="22"/>
  <c r="JD70" i="22"/>
  <c r="JD87" i="22"/>
  <c r="JD71" i="22"/>
  <c r="JD72" i="22"/>
  <c r="JD73" i="22"/>
  <c r="JD74" i="22"/>
  <c r="JD75" i="22"/>
  <c r="JD76" i="22"/>
  <c r="JD77" i="22"/>
  <c r="JD78" i="22"/>
  <c r="JD79" i="22"/>
  <c r="JD80" i="22"/>
  <c r="JD81" i="22"/>
  <c r="JD82" i="22"/>
  <c r="JD83" i="22"/>
  <c r="JD84" i="22"/>
  <c r="JD85" i="22"/>
  <c r="JD88" i="22"/>
  <c r="JD89" i="22"/>
  <c r="JR86" i="22"/>
  <c r="JR66" i="22"/>
  <c r="JR67" i="22"/>
  <c r="JR68" i="22"/>
  <c r="JR69" i="22"/>
  <c r="JR70" i="22"/>
  <c r="JR87" i="22"/>
  <c r="JR71" i="22"/>
  <c r="JR72" i="22"/>
  <c r="JR73" i="22"/>
  <c r="JR74" i="22"/>
  <c r="JR75" i="22"/>
  <c r="JR76" i="22"/>
  <c r="JR77" i="22"/>
  <c r="JR78" i="22"/>
  <c r="JR79" i="22"/>
  <c r="JR80" i="22"/>
  <c r="JR81" i="22"/>
  <c r="JR82" i="22"/>
  <c r="JR83" i="22"/>
  <c r="JR84" i="22"/>
  <c r="JR85" i="22"/>
  <c r="JR88" i="22"/>
  <c r="JR89" i="22"/>
  <c r="BS37" i="33"/>
  <c r="II86" i="22"/>
  <c r="II66" i="22"/>
  <c r="II67" i="22"/>
  <c r="II68" i="22"/>
  <c r="II69" i="22"/>
  <c r="II70" i="22"/>
  <c r="II87" i="22"/>
  <c r="II71" i="22"/>
  <c r="II72" i="22"/>
  <c r="II73" i="22"/>
  <c r="II74" i="22"/>
  <c r="II75" i="22"/>
  <c r="II76" i="22"/>
  <c r="II77" i="22"/>
  <c r="II78" i="22"/>
  <c r="II79" i="22"/>
  <c r="II80" i="22"/>
  <c r="II81" i="22"/>
  <c r="II82" i="22"/>
  <c r="II83" i="22"/>
  <c r="II84" i="22"/>
  <c r="II85" i="22"/>
  <c r="II88" i="22"/>
  <c r="II89" i="22"/>
  <c r="IW86" i="22"/>
  <c r="IW66" i="22"/>
  <c r="IW67" i="22"/>
  <c r="IW68" i="22"/>
  <c r="IW69" i="22"/>
  <c r="IW70" i="22"/>
  <c r="IW87" i="22"/>
  <c r="IW71" i="22"/>
  <c r="IW72" i="22"/>
  <c r="IW73" i="22"/>
  <c r="IW74" i="22"/>
  <c r="IW75" i="22"/>
  <c r="IW76" i="22"/>
  <c r="IW77" i="22"/>
  <c r="IW78" i="22"/>
  <c r="IW79" i="22"/>
  <c r="IW80" i="22"/>
  <c r="IW81" i="22"/>
  <c r="IW82" i="22"/>
  <c r="IW83" i="22"/>
  <c r="IW84" i="22"/>
  <c r="IW85" i="22"/>
  <c r="IW88" i="22"/>
  <c r="IW89" i="22"/>
  <c r="JK86" i="22"/>
  <c r="JK66" i="22"/>
  <c r="JK67" i="22"/>
  <c r="JK68" i="22"/>
  <c r="JK69" i="22"/>
  <c r="JK70" i="22"/>
  <c r="JK87" i="22"/>
  <c r="JK71" i="22"/>
  <c r="JK72" i="22"/>
  <c r="JK73" i="22"/>
  <c r="JK74" i="22"/>
  <c r="JK75" i="22"/>
  <c r="JK76" i="22"/>
  <c r="JK77" i="22"/>
  <c r="JK78" i="22"/>
  <c r="JK79" i="22"/>
  <c r="JK80" i="22"/>
  <c r="JK81" i="22"/>
  <c r="JK82" i="22"/>
  <c r="JK83" i="22"/>
  <c r="JK84" i="22"/>
  <c r="JK85" i="22"/>
  <c r="JK88" i="22"/>
  <c r="JK89" i="22"/>
  <c r="BR37" i="33"/>
  <c r="BP37" i="33"/>
  <c r="BO37" i="33"/>
  <c r="BM37" i="33"/>
  <c r="BL37" i="33"/>
  <c r="BJ37" i="33"/>
  <c r="BI37" i="33"/>
  <c r="IO86" i="22"/>
  <c r="IO66" i="22"/>
  <c r="IO67" i="22"/>
  <c r="IO68" i="22"/>
  <c r="IO69" i="22"/>
  <c r="IO70" i="22"/>
  <c r="IO87" i="22"/>
  <c r="IO71" i="22"/>
  <c r="IO72" i="22"/>
  <c r="IO73" i="22"/>
  <c r="IO74" i="22"/>
  <c r="IO75" i="22"/>
  <c r="IO76" i="22"/>
  <c r="IO77" i="22"/>
  <c r="IO78" i="22"/>
  <c r="IO79" i="22"/>
  <c r="IO80" i="22"/>
  <c r="IO81" i="22"/>
  <c r="IO82" i="22"/>
  <c r="IO83" i="22"/>
  <c r="IO84" i="22"/>
  <c r="IO85" i="22"/>
  <c r="IO88" i="22"/>
  <c r="IO89" i="22"/>
  <c r="JC86" i="22"/>
  <c r="JC66" i="22"/>
  <c r="JC67" i="22"/>
  <c r="JC68" i="22"/>
  <c r="JC69" i="22"/>
  <c r="JC70" i="22"/>
  <c r="JC87" i="22"/>
  <c r="JC71" i="22"/>
  <c r="JC72" i="22"/>
  <c r="JC73" i="22"/>
  <c r="JC74" i="22"/>
  <c r="JC75" i="22"/>
  <c r="JC76" i="22"/>
  <c r="JC77" i="22"/>
  <c r="JC78" i="22"/>
  <c r="JC79" i="22"/>
  <c r="JC80" i="22"/>
  <c r="JC81" i="22"/>
  <c r="JC82" i="22"/>
  <c r="JC83" i="22"/>
  <c r="JC84" i="22"/>
  <c r="JC85" i="22"/>
  <c r="JC88" i="22"/>
  <c r="JC89" i="22"/>
  <c r="JQ86" i="22"/>
  <c r="JQ66" i="22"/>
  <c r="JQ67" i="22"/>
  <c r="JQ68" i="22"/>
  <c r="JQ69" i="22"/>
  <c r="JQ70" i="22"/>
  <c r="JQ87" i="22"/>
  <c r="JQ71" i="22"/>
  <c r="JQ72" i="22"/>
  <c r="JQ73" i="22"/>
  <c r="JQ74" i="22"/>
  <c r="JQ75" i="22"/>
  <c r="JQ76" i="22"/>
  <c r="JQ77" i="22"/>
  <c r="JQ78" i="22"/>
  <c r="JQ79" i="22"/>
  <c r="JQ80" i="22"/>
  <c r="JQ81" i="22"/>
  <c r="JQ82" i="22"/>
  <c r="JQ83" i="22"/>
  <c r="JQ84" i="22"/>
  <c r="JQ85" i="22"/>
  <c r="JQ88" i="22"/>
  <c r="JQ89" i="22"/>
  <c r="BS36" i="33"/>
  <c r="IH86" i="22"/>
  <c r="IH66" i="22"/>
  <c r="IH67" i="22"/>
  <c r="IH68" i="22"/>
  <c r="IH69" i="22"/>
  <c r="IH70" i="22"/>
  <c r="IH87" i="22"/>
  <c r="IH71" i="22"/>
  <c r="IH72" i="22"/>
  <c r="IH73" i="22"/>
  <c r="IH74" i="22"/>
  <c r="IH75" i="22"/>
  <c r="IH76" i="22"/>
  <c r="IH77" i="22"/>
  <c r="IH78" i="22"/>
  <c r="IH79" i="22"/>
  <c r="IH80" i="22"/>
  <c r="IH81" i="22"/>
  <c r="IH82" i="22"/>
  <c r="IH83" i="22"/>
  <c r="IH84" i="22"/>
  <c r="IH85" i="22"/>
  <c r="IH88" i="22"/>
  <c r="IH89" i="22"/>
  <c r="IV86" i="22"/>
  <c r="IV66" i="22"/>
  <c r="IV67" i="22"/>
  <c r="IV68" i="22"/>
  <c r="IV69" i="22"/>
  <c r="IV70" i="22"/>
  <c r="IV87" i="22"/>
  <c r="IV71" i="22"/>
  <c r="IV72" i="22"/>
  <c r="IV73" i="22"/>
  <c r="IV74" i="22"/>
  <c r="IV75" i="22"/>
  <c r="IV76" i="22"/>
  <c r="IV77" i="22"/>
  <c r="IV78" i="22"/>
  <c r="IV79" i="22"/>
  <c r="IV80" i="22"/>
  <c r="IV81" i="22"/>
  <c r="IV82" i="22"/>
  <c r="IV83" i="22"/>
  <c r="IV84" i="22"/>
  <c r="IV85" i="22"/>
  <c r="IV88" i="22"/>
  <c r="IV89" i="22"/>
  <c r="JJ86" i="22"/>
  <c r="JJ66" i="22"/>
  <c r="JJ67" i="22"/>
  <c r="JJ68" i="22"/>
  <c r="JJ69" i="22"/>
  <c r="JJ70" i="22"/>
  <c r="JJ87" i="22"/>
  <c r="JJ71" i="22"/>
  <c r="JJ72" i="22"/>
  <c r="JJ73" i="22"/>
  <c r="JJ74" i="22"/>
  <c r="JJ75" i="22"/>
  <c r="JJ76" i="22"/>
  <c r="JJ77" i="22"/>
  <c r="JJ78" i="22"/>
  <c r="JJ79" i="22"/>
  <c r="JJ80" i="22"/>
  <c r="JJ81" i="22"/>
  <c r="JJ82" i="22"/>
  <c r="JJ83" i="22"/>
  <c r="JJ84" i="22"/>
  <c r="JJ85" i="22"/>
  <c r="JJ88" i="22"/>
  <c r="JJ89" i="22"/>
  <c r="BR36" i="33"/>
  <c r="BP36" i="33"/>
  <c r="BO36" i="33"/>
  <c r="BM36" i="33"/>
  <c r="BL36" i="33"/>
  <c r="BJ36" i="33"/>
  <c r="BI36" i="33"/>
  <c r="MA86" i="22"/>
  <c r="MA66" i="22"/>
  <c r="MA67" i="22"/>
  <c r="MA68" i="22"/>
  <c r="MA69" i="22"/>
  <c r="MA70" i="22"/>
  <c r="MA87" i="22"/>
  <c r="MA71" i="22"/>
  <c r="MA72" i="22"/>
  <c r="MA73" i="22"/>
  <c r="MA74" i="22"/>
  <c r="MA75" i="22"/>
  <c r="MA76" i="22"/>
  <c r="MA77" i="22"/>
  <c r="MA78" i="22"/>
  <c r="MA79" i="22"/>
  <c r="MA80" i="22"/>
  <c r="MA81" i="22"/>
  <c r="MA82" i="22"/>
  <c r="MA83" i="22"/>
  <c r="MA84" i="22"/>
  <c r="MA85" i="22"/>
  <c r="MA88" i="22"/>
  <c r="MA89" i="22"/>
  <c r="MO86" i="22"/>
  <c r="MO66" i="22"/>
  <c r="MO67" i="22"/>
  <c r="MO68" i="22"/>
  <c r="MO69" i="22"/>
  <c r="MO70" i="22"/>
  <c r="MO87" i="22"/>
  <c r="MO71" i="22"/>
  <c r="MO72" i="22"/>
  <c r="MO73" i="22"/>
  <c r="MO74" i="22"/>
  <c r="MO75" i="22"/>
  <c r="MO76" i="22"/>
  <c r="MO77" i="22"/>
  <c r="MO78" i="22"/>
  <c r="MO79" i="22"/>
  <c r="MO80" i="22"/>
  <c r="MO81" i="22"/>
  <c r="MO82" i="22"/>
  <c r="MO83" i="22"/>
  <c r="MO84" i="22"/>
  <c r="MO85" i="22"/>
  <c r="MO88" i="22"/>
  <c r="MO89" i="22"/>
  <c r="NC86" i="22"/>
  <c r="NC66" i="22"/>
  <c r="NC67" i="22"/>
  <c r="NC68" i="22"/>
  <c r="NC69" i="22"/>
  <c r="NC70" i="22"/>
  <c r="NC87" i="22"/>
  <c r="NC71" i="22"/>
  <c r="NC72" i="22"/>
  <c r="NC73" i="22"/>
  <c r="NC74" i="22"/>
  <c r="NC75" i="22"/>
  <c r="NC76" i="22"/>
  <c r="NC77" i="22"/>
  <c r="NC78" i="22"/>
  <c r="NC79" i="22"/>
  <c r="NC80" i="22"/>
  <c r="NC81" i="22"/>
  <c r="NC82" i="22"/>
  <c r="NC83" i="22"/>
  <c r="NC84" i="22"/>
  <c r="NC85" i="22"/>
  <c r="NC88" i="22"/>
  <c r="NC89" i="22"/>
  <c r="BS30" i="33"/>
  <c r="LT86" i="22"/>
  <c r="LT66" i="22"/>
  <c r="LT67" i="22"/>
  <c r="LT68" i="22"/>
  <c r="LT69" i="22"/>
  <c r="LT70" i="22"/>
  <c r="LT87" i="22"/>
  <c r="LT71" i="22"/>
  <c r="LT72" i="22"/>
  <c r="LT73" i="22"/>
  <c r="LT74" i="22"/>
  <c r="LT75" i="22"/>
  <c r="LT76" i="22"/>
  <c r="LT77" i="22"/>
  <c r="LT78" i="22"/>
  <c r="LT79" i="22"/>
  <c r="LT80" i="22"/>
  <c r="LT81" i="22"/>
  <c r="LT82" i="22"/>
  <c r="LT83" i="22"/>
  <c r="LT84" i="22"/>
  <c r="LT85" i="22"/>
  <c r="LT88" i="22"/>
  <c r="LT89" i="22"/>
  <c r="MV86" i="22"/>
  <c r="MV66" i="22"/>
  <c r="MV67" i="22"/>
  <c r="MV68" i="22"/>
  <c r="MV69" i="22"/>
  <c r="MV70" i="22"/>
  <c r="MV87" i="22"/>
  <c r="MV71" i="22"/>
  <c r="MV72" i="22"/>
  <c r="MV73" i="22"/>
  <c r="MV74" i="22"/>
  <c r="MV75" i="22"/>
  <c r="MV76" i="22"/>
  <c r="MV77" i="22"/>
  <c r="MV78" i="22"/>
  <c r="MV79" i="22"/>
  <c r="MV80" i="22"/>
  <c r="MV81" i="22"/>
  <c r="MV82" i="22"/>
  <c r="MV83" i="22"/>
  <c r="MV84" i="22"/>
  <c r="MV85" i="22"/>
  <c r="MV88" i="22"/>
  <c r="MV89" i="22"/>
  <c r="MH86" i="22"/>
  <c r="MH66" i="22"/>
  <c r="MH67" i="22"/>
  <c r="MH68" i="22"/>
  <c r="MH69" i="22"/>
  <c r="MH70" i="22"/>
  <c r="MH87" i="22"/>
  <c r="MH71" i="22"/>
  <c r="MH72" i="22"/>
  <c r="MH73" i="22"/>
  <c r="MH74" i="22"/>
  <c r="MH75" i="22"/>
  <c r="MH76" i="22"/>
  <c r="MH77" i="22"/>
  <c r="MH78" i="22"/>
  <c r="MH79" i="22"/>
  <c r="MH80" i="22"/>
  <c r="MH81" i="22"/>
  <c r="MH82" i="22"/>
  <c r="MH83" i="22"/>
  <c r="MH84" i="22"/>
  <c r="MH85" i="22"/>
  <c r="MH88" i="22"/>
  <c r="MH89" i="22"/>
  <c r="BR30" i="33"/>
  <c r="BP30" i="33"/>
  <c r="BO30" i="33"/>
  <c r="BM30" i="33"/>
  <c r="BL30" i="33"/>
  <c r="BJ30" i="33"/>
  <c r="BI30" i="33"/>
  <c r="LZ86" i="22"/>
  <c r="LZ66" i="22"/>
  <c r="LZ67" i="22"/>
  <c r="LZ68" i="22"/>
  <c r="LZ69" i="22"/>
  <c r="LZ70" i="22"/>
  <c r="LZ87" i="22"/>
  <c r="LZ71" i="22"/>
  <c r="LZ72" i="22"/>
  <c r="LZ73" i="22"/>
  <c r="LZ74" i="22"/>
  <c r="LZ75" i="22"/>
  <c r="LZ76" i="22"/>
  <c r="LZ77" i="22"/>
  <c r="LZ78" i="22"/>
  <c r="LZ79" i="22"/>
  <c r="LZ80" i="22"/>
  <c r="LZ81" i="22"/>
  <c r="LZ82" i="22"/>
  <c r="LZ83" i="22"/>
  <c r="LZ84" i="22"/>
  <c r="LZ85" i="22"/>
  <c r="LZ88" i="22"/>
  <c r="LZ89" i="22"/>
  <c r="MN86" i="22"/>
  <c r="MN66" i="22"/>
  <c r="MN67" i="22"/>
  <c r="MN68" i="22"/>
  <c r="MN69" i="22"/>
  <c r="MN70" i="22"/>
  <c r="MN87" i="22"/>
  <c r="MN71" i="22"/>
  <c r="MN72" i="22"/>
  <c r="MN73" i="22"/>
  <c r="MN74" i="22"/>
  <c r="MN75" i="22"/>
  <c r="MN76" i="22"/>
  <c r="MN77" i="22"/>
  <c r="MN78" i="22"/>
  <c r="MN79" i="22"/>
  <c r="MN80" i="22"/>
  <c r="MN81" i="22"/>
  <c r="MN82" i="22"/>
  <c r="MN83" i="22"/>
  <c r="MN84" i="22"/>
  <c r="MN85" i="22"/>
  <c r="MN88" i="22"/>
  <c r="MN89" i="22"/>
  <c r="NB86" i="22"/>
  <c r="NB66" i="22"/>
  <c r="NB67" i="22"/>
  <c r="NB68" i="22"/>
  <c r="NB69" i="22"/>
  <c r="NB70" i="22"/>
  <c r="NB87" i="22"/>
  <c r="NB71" i="22"/>
  <c r="NB72" i="22"/>
  <c r="NB73" i="22"/>
  <c r="NB74" i="22"/>
  <c r="NB75" i="22"/>
  <c r="NB76" i="22"/>
  <c r="NB77" i="22"/>
  <c r="NB78" i="22"/>
  <c r="NB79" i="22"/>
  <c r="NB80" i="22"/>
  <c r="NB81" i="22"/>
  <c r="NB82" i="22"/>
  <c r="NB83" i="22"/>
  <c r="NB84" i="22"/>
  <c r="NB85" i="22"/>
  <c r="NB88" i="22"/>
  <c r="NB89" i="22"/>
  <c r="BS29" i="33"/>
  <c r="LS86" i="22"/>
  <c r="LS66" i="22"/>
  <c r="LS67" i="22"/>
  <c r="LS68" i="22"/>
  <c r="LS69" i="22"/>
  <c r="LS70" i="22"/>
  <c r="LS87" i="22"/>
  <c r="LS71" i="22"/>
  <c r="LS72" i="22"/>
  <c r="LS73" i="22"/>
  <c r="LS74" i="22"/>
  <c r="LS75" i="22"/>
  <c r="LS76" i="22"/>
  <c r="LS77" i="22"/>
  <c r="LS78" i="22"/>
  <c r="LS79" i="22"/>
  <c r="LS80" i="22"/>
  <c r="LS81" i="22"/>
  <c r="LS82" i="22"/>
  <c r="LS83" i="22"/>
  <c r="LS84" i="22"/>
  <c r="LS85" i="22"/>
  <c r="LS88" i="22"/>
  <c r="LS89" i="22"/>
  <c r="MU86" i="22"/>
  <c r="MU66" i="22"/>
  <c r="MU67" i="22"/>
  <c r="MU68" i="22"/>
  <c r="MU69" i="22"/>
  <c r="MU70" i="22"/>
  <c r="MU87" i="22"/>
  <c r="MU71" i="22"/>
  <c r="MU72" i="22"/>
  <c r="MU73" i="22"/>
  <c r="MU74" i="22"/>
  <c r="MU75" i="22"/>
  <c r="MU76" i="22"/>
  <c r="MU77" i="22"/>
  <c r="MU78" i="22"/>
  <c r="MU79" i="22"/>
  <c r="MU80" i="22"/>
  <c r="MU81" i="22"/>
  <c r="MU82" i="22"/>
  <c r="MU83" i="22"/>
  <c r="MU84" i="22"/>
  <c r="MU85" i="22"/>
  <c r="MU88" i="22"/>
  <c r="MU89" i="22"/>
  <c r="MG86" i="22"/>
  <c r="MG66" i="22"/>
  <c r="MG67" i="22"/>
  <c r="MG68" i="22"/>
  <c r="MG69" i="22"/>
  <c r="MG70" i="22"/>
  <c r="MG87" i="22"/>
  <c r="MG71" i="22"/>
  <c r="MG72" i="22"/>
  <c r="MG73" i="22"/>
  <c r="MG74" i="22"/>
  <c r="MG75" i="22"/>
  <c r="MG76" i="22"/>
  <c r="MG77" i="22"/>
  <c r="MG78" i="22"/>
  <c r="MG79" i="22"/>
  <c r="MG80" i="22"/>
  <c r="MG81" i="22"/>
  <c r="MG82" i="22"/>
  <c r="MG83" i="22"/>
  <c r="MG84" i="22"/>
  <c r="MG85" i="22"/>
  <c r="MG88" i="22"/>
  <c r="MG89" i="22"/>
  <c r="BR29" i="33"/>
  <c r="BP29" i="33"/>
  <c r="BO29" i="33"/>
  <c r="BM29" i="33"/>
  <c r="BL29" i="33"/>
  <c r="BJ29" i="33"/>
  <c r="BI29" i="33"/>
  <c r="LY86" i="22"/>
  <c r="LY66" i="22"/>
  <c r="LY67" i="22"/>
  <c r="LY68" i="22"/>
  <c r="LY69" i="22"/>
  <c r="LY70" i="22"/>
  <c r="LY87" i="22"/>
  <c r="LY71" i="22"/>
  <c r="LY72" i="22"/>
  <c r="LY73" i="22"/>
  <c r="LY74" i="22"/>
  <c r="LY75" i="22"/>
  <c r="LY76" i="22"/>
  <c r="LY77" i="22"/>
  <c r="LY78" i="22"/>
  <c r="LY79" i="22"/>
  <c r="LY80" i="22"/>
  <c r="LY81" i="22"/>
  <c r="LY82" i="22"/>
  <c r="LY83" i="22"/>
  <c r="LY84" i="22"/>
  <c r="LY85" i="22"/>
  <c r="LY88" i="22"/>
  <c r="LY89" i="22"/>
  <c r="MM86" i="22"/>
  <c r="MM66" i="22"/>
  <c r="MM67" i="22"/>
  <c r="MM68" i="22"/>
  <c r="MM69" i="22"/>
  <c r="MM70" i="22"/>
  <c r="MM87" i="22"/>
  <c r="MM71" i="22"/>
  <c r="MM72" i="22"/>
  <c r="MM73" i="22"/>
  <c r="MM74" i="22"/>
  <c r="MM75" i="22"/>
  <c r="MM76" i="22"/>
  <c r="MM77" i="22"/>
  <c r="MM78" i="22"/>
  <c r="MM79" i="22"/>
  <c r="MM80" i="22"/>
  <c r="MM81" i="22"/>
  <c r="MM82" i="22"/>
  <c r="MM83" i="22"/>
  <c r="MM84" i="22"/>
  <c r="MM85" i="22"/>
  <c r="MM88" i="22"/>
  <c r="MM89" i="22"/>
  <c r="NA86" i="22"/>
  <c r="NA66" i="22"/>
  <c r="NA67" i="22"/>
  <c r="NA68" i="22"/>
  <c r="NA69" i="22"/>
  <c r="NA70" i="22"/>
  <c r="NA87" i="22"/>
  <c r="NA71" i="22"/>
  <c r="NA72" i="22"/>
  <c r="NA73" i="22"/>
  <c r="NA74" i="22"/>
  <c r="NA75" i="22"/>
  <c r="NA76" i="22"/>
  <c r="NA77" i="22"/>
  <c r="NA78" i="22"/>
  <c r="NA79" i="22"/>
  <c r="NA80" i="22"/>
  <c r="NA81" i="22"/>
  <c r="NA82" i="22"/>
  <c r="NA83" i="22"/>
  <c r="NA84" i="22"/>
  <c r="NA85" i="22"/>
  <c r="NA88" i="22"/>
  <c r="NA89" i="22"/>
  <c r="BS28" i="33"/>
  <c r="LR86" i="22"/>
  <c r="LR66" i="22"/>
  <c r="LR67" i="22"/>
  <c r="LR68" i="22"/>
  <c r="LR69" i="22"/>
  <c r="LR70" i="22"/>
  <c r="LR87" i="22"/>
  <c r="LR71" i="22"/>
  <c r="LR72" i="22"/>
  <c r="LR73" i="22"/>
  <c r="LR74" i="22"/>
  <c r="LR75" i="22"/>
  <c r="LR76" i="22"/>
  <c r="LR77" i="22"/>
  <c r="LR78" i="22"/>
  <c r="LR79" i="22"/>
  <c r="LR80" i="22"/>
  <c r="LR81" i="22"/>
  <c r="LR82" i="22"/>
  <c r="LR83" i="22"/>
  <c r="LR84" i="22"/>
  <c r="LR85" i="22"/>
  <c r="LR88" i="22"/>
  <c r="LR89" i="22"/>
  <c r="MT86" i="22"/>
  <c r="MT66" i="22"/>
  <c r="MT67" i="22"/>
  <c r="MT68" i="22"/>
  <c r="MT69" i="22"/>
  <c r="MT70" i="22"/>
  <c r="MT87" i="22"/>
  <c r="MT71" i="22"/>
  <c r="MT72" i="22"/>
  <c r="MT73" i="22"/>
  <c r="MT74" i="22"/>
  <c r="MT75" i="22"/>
  <c r="MT76" i="22"/>
  <c r="MT77" i="22"/>
  <c r="MT78" i="22"/>
  <c r="MT79" i="22"/>
  <c r="MT80" i="22"/>
  <c r="MT81" i="22"/>
  <c r="MT82" i="22"/>
  <c r="MT83" i="22"/>
  <c r="MT84" i="22"/>
  <c r="MT85" i="22"/>
  <c r="MT88" i="22"/>
  <c r="MT89" i="22"/>
  <c r="MF86" i="22"/>
  <c r="MF66" i="22"/>
  <c r="MF67" i="22"/>
  <c r="MF68" i="22"/>
  <c r="MF69" i="22"/>
  <c r="MF70" i="22"/>
  <c r="MF87" i="22"/>
  <c r="MF71" i="22"/>
  <c r="MF72" i="22"/>
  <c r="MF73" i="22"/>
  <c r="MF74" i="22"/>
  <c r="MF75" i="22"/>
  <c r="MF76" i="22"/>
  <c r="MF77" i="22"/>
  <c r="MF78" i="22"/>
  <c r="MF79" i="22"/>
  <c r="MF80" i="22"/>
  <c r="MF81" i="22"/>
  <c r="MF82" i="22"/>
  <c r="MF83" i="22"/>
  <c r="MF84" i="22"/>
  <c r="MF85" i="22"/>
  <c r="MF88" i="22"/>
  <c r="MF89" i="22"/>
  <c r="BR28" i="33"/>
  <c r="BP28" i="33"/>
  <c r="BO28" i="33"/>
  <c r="BM28" i="33"/>
  <c r="BL28" i="33"/>
  <c r="BJ28" i="33"/>
  <c r="BI28" i="33"/>
  <c r="LX86" i="22"/>
  <c r="LX66" i="22"/>
  <c r="LX67" i="22"/>
  <c r="LX68" i="22"/>
  <c r="LX69" i="22"/>
  <c r="LX70" i="22"/>
  <c r="LX87" i="22"/>
  <c r="LX71" i="22"/>
  <c r="LX72" i="22"/>
  <c r="LX73" i="22"/>
  <c r="LX74" i="22"/>
  <c r="LX75" i="22"/>
  <c r="LX76" i="22"/>
  <c r="LX77" i="22"/>
  <c r="LX78" i="22"/>
  <c r="LX79" i="22"/>
  <c r="LX80" i="22"/>
  <c r="LX81" i="22"/>
  <c r="LX82" i="22"/>
  <c r="LX83" i="22"/>
  <c r="LX84" i="22"/>
  <c r="LX85" i="22"/>
  <c r="LX88" i="22"/>
  <c r="LX89" i="22"/>
  <c r="ML86" i="22"/>
  <c r="ML66" i="22"/>
  <c r="ML67" i="22"/>
  <c r="ML68" i="22"/>
  <c r="ML69" i="22"/>
  <c r="ML70" i="22"/>
  <c r="ML87" i="22"/>
  <c r="ML71" i="22"/>
  <c r="ML72" i="22"/>
  <c r="ML73" i="22"/>
  <c r="ML74" i="22"/>
  <c r="ML75" i="22"/>
  <c r="ML76" i="22"/>
  <c r="ML77" i="22"/>
  <c r="ML78" i="22"/>
  <c r="ML79" i="22"/>
  <c r="ML80" i="22"/>
  <c r="ML81" i="22"/>
  <c r="ML82" i="22"/>
  <c r="ML83" i="22"/>
  <c r="ML84" i="22"/>
  <c r="ML85" i="22"/>
  <c r="ML88" i="22"/>
  <c r="ML89" i="22"/>
  <c r="MZ86" i="22"/>
  <c r="MZ66" i="22"/>
  <c r="MZ67" i="22"/>
  <c r="MZ68" i="22"/>
  <c r="MZ69" i="22"/>
  <c r="MZ70" i="22"/>
  <c r="MZ87" i="22"/>
  <c r="MZ71" i="22"/>
  <c r="MZ72" i="22"/>
  <c r="MZ73" i="22"/>
  <c r="MZ74" i="22"/>
  <c r="MZ75" i="22"/>
  <c r="MZ76" i="22"/>
  <c r="MZ77" i="22"/>
  <c r="MZ78" i="22"/>
  <c r="MZ79" i="22"/>
  <c r="MZ80" i="22"/>
  <c r="MZ81" i="22"/>
  <c r="MZ82" i="22"/>
  <c r="MZ83" i="22"/>
  <c r="MZ84" i="22"/>
  <c r="MZ85" i="22"/>
  <c r="MZ88" i="22"/>
  <c r="MZ89" i="22"/>
  <c r="BS27" i="33"/>
  <c r="LQ86" i="22"/>
  <c r="LQ66" i="22"/>
  <c r="LQ67" i="22"/>
  <c r="LQ68" i="22"/>
  <c r="LQ69" i="22"/>
  <c r="LQ70" i="22"/>
  <c r="LQ87" i="22"/>
  <c r="LQ71" i="22"/>
  <c r="LQ72" i="22"/>
  <c r="LQ73" i="22"/>
  <c r="LQ74" i="22"/>
  <c r="LQ75" i="22"/>
  <c r="LQ76" i="22"/>
  <c r="LQ77" i="22"/>
  <c r="LQ78" i="22"/>
  <c r="LQ79" i="22"/>
  <c r="LQ80" i="22"/>
  <c r="LQ81" i="22"/>
  <c r="LQ82" i="22"/>
  <c r="LQ83" i="22"/>
  <c r="LQ84" i="22"/>
  <c r="LQ85" i="22"/>
  <c r="LQ88" i="22"/>
  <c r="LQ89" i="22"/>
  <c r="MS86" i="22"/>
  <c r="MS66" i="22"/>
  <c r="MS67" i="22"/>
  <c r="MS68" i="22"/>
  <c r="MS69" i="22"/>
  <c r="MS70" i="22"/>
  <c r="MS87" i="22"/>
  <c r="MS71" i="22"/>
  <c r="MS72" i="22"/>
  <c r="MS73" i="22"/>
  <c r="MS74" i="22"/>
  <c r="MS75" i="22"/>
  <c r="MS76" i="22"/>
  <c r="MS77" i="22"/>
  <c r="MS78" i="22"/>
  <c r="MS79" i="22"/>
  <c r="MS80" i="22"/>
  <c r="MS81" i="22"/>
  <c r="MS82" i="22"/>
  <c r="MS83" i="22"/>
  <c r="MS84" i="22"/>
  <c r="MS85" i="22"/>
  <c r="MS88" i="22"/>
  <c r="MS89" i="22"/>
  <c r="ME86" i="22"/>
  <c r="ME66" i="22"/>
  <c r="ME67" i="22"/>
  <c r="ME68" i="22"/>
  <c r="ME69" i="22"/>
  <c r="ME70" i="22"/>
  <c r="ME87" i="22"/>
  <c r="ME71" i="22"/>
  <c r="ME72" i="22"/>
  <c r="ME73" i="22"/>
  <c r="ME74" i="22"/>
  <c r="ME75" i="22"/>
  <c r="ME76" i="22"/>
  <c r="ME77" i="22"/>
  <c r="ME78" i="22"/>
  <c r="ME79" i="22"/>
  <c r="ME80" i="22"/>
  <c r="ME81" i="22"/>
  <c r="ME82" i="22"/>
  <c r="ME83" i="22"/>
  <c r="ME84" i="22"/>
  <c r="ME85" i="22"/>
  <c r="ME88" i="22"/>
  <c r="ME89" i="22"/>
  <c r="BR27" i="33"/>
  <c r="BP27" i="33"/>
  <c r="BO27" i="33"/>
  <c r="BM27" i="33"/>
  <c r="BL27" i="33"/>
  <c r="BJ27" i="33"/>
  <c r="BI27" i="33"/>
  <c r="LW86" i="22"/>
  <c r="LW66" i="22"/>
  <c r="LW67" i="22"/>
  <c r="LW68" i="22"/>
  <c r="LW69" i="22"/>
  <c r="LW70" i="22"/>
  <c r="LW87" i="22"/>
  <c r="LW71" i="22"/>
  <c r="LW72" i="22"/>
  <c r="LW73" i="22"/>
  <c r="LW74" i="22"/>
  <c r="LW75" i="22"/>
  <c r="LW76" i="22"/>
  <c r="LW77" i="22"/>
  <c r="LW78" i="22"/>
  <c r="LW79" i="22"/>
  <c r="LW80" i="22"/>
  <c r="LW81" i="22"/>
  <c r="LW82" i="22"/>
  <c r="LW83" i="22"/>
  <c r="LW84" i="22"/>
  <c r="LW85" i="22"/>
  <c r="LW88" i="22"/>
  <c r="LW89" i="22"/>
  <c r="MK86" i="22"/>
  <c r="MK66" i="22"/>
  <c r="MK67" i="22"/>
  <c r="MK68" i="22"/>
  <c r="MK69" i="22"/>
  <c r="MK70" i="22"/>
  <c r="MK87" i="22"/>
  <c r="MK71" i="22"/>
  <c r="MK72" i="22"/>
  <c r="MK73" i="22"/>
  <c r="MK74" i="22"/>
  <c r="MK75" i="22"/>
  <c r="MK76" i="22"/>
  <c r="MK77" i="22"/>
  <c r="MK78" i="22"/>
  <c r="MK79" i="22"/>
  <c r="MK80" i="22"/>
  <c r="MK81" i="22"/>
  <c r="MK82" i="22"/>
  <c r="MK83" i="22"/>
  <c r="MK84" i="22"/>
  <c r="MK85" i="22"/>
  <c r="MK88" i="22"/>
  <c r="MK89" i="22"/>
  <c r="MY86" i="22"/>
  <c r="MY66" i="22"/>
  <c r="MY67" i="22"/>
  <c r="MY68" i="22"/>
  <c r="MY69" i="22"/>
  <c r="MY70" i="22"/>
  <c r="MY87" i="22"/>
  <c r="MY71" i="22"/>
  <c r="MY72" i="22"/>
  <c r="MY73" i="22"/>
  <c r="MY74" i="22"/>
  <c r="MY75" i="22"/>
  <c r="MY76" i="22"/>
  <c r="MY77" i="22"/>
  <c r="MY78" i="22"/>
  <c r="MY79" i="22"/>
  <c r="MY80" i="22"/>
  <c r="MY81" i="22"/>
  <c r="MY82" i="22"/>
  <c r="MY83" i="22"/>
  <c r="MY84" i="22"/>
  <c r="MY85" i="22"/>
  <c r="MY88" i="22"/>
  <c r="MY89" i="22"/>
  <c r="BS26" i="33"/>
  <c r="LP86" i="22"/>
  <c r="LP66" i="22"/>
  <c r="LP67" i="22"/>
  <c r="LP68" i="22"/>
  <c r="LP69" i="22"/>
  <c r="LP70" i="22"/>
  <c r="LP87" i="22"/>
  <c r="LP71" i="22"/>
  <c r="LP72" i="22"/>
  <c r="LP73" i="22"/>
  <c r="LP74" i="22"/>
  <c r="LP75" i="22"/>
  <c r="LP76" i="22"/>
  <c r="LP77" i="22"/>
  <c r="LP78" i="22"/>
  <c r="LP79" i="22"/>
  <c r="LP80" i="22"/>
  <c r="LP81" i="22"/>
  <c r="LP82" i="22"/>
  <c r="LP83" i="22"/>
  <c r="LP84" i="22"/>
  <c r="LP85" i="22"/>
  <c r="LP88" i="22"/>
  <c r="LP89" i="22"/>
  <c r="MR86" i="22"/>
  <c r="MR66" i="22"/>
  <c r="MR67" i="22"/>
  <c r="MR68" i="22"/>
  <c r="MR69" i="22"/>
  <c r="MR70" i="22"/>
  <c r="MR87" i="22"/>
  <c r="MR71" i="22"/>
  <c r="MR72" i="22"/>
  <c r="MR73" i="22"/>
  <c r="MR74" i="22"/>
  <c r="MR75" i="22"/>
  <c r="MR76" i="22"/>
  <c r="MR77" i="22"/>
  <c r="MR78" i="22"/>
  <c r="MR79" i="22"/>
  <c r="MR80" i="22"/>
  <c r="MR81" i="22"/>
  <c r="MR82" i="22"/>
  <c r="MR83" i="22"/>
  <c r="MR84" i="22"/>
  <c r="MR85" i="22"/>
  <c r="MR88" i="22"/>
  <c r="MR89" i="22"/>
  <c r="MD86" i="22"/>
  <c r="MD66" i="22"/>
  <c r="MD67" i="22"/>
  <c r="MD68" i="22"/>
  <c r="MD69" i="22"/>
  <c r="MD70" i="22"/>
  <c r="MD87" i="22"/>
  <c r="MD71" i="22"/>
  <c r="MD72" i="22"/>
  <c r="MD73" i="22"/>
  <c r="MD74" i="22"/>
  <c r="MD75" i="22"/>
  <c r="MD76" i="22"/>
  <c r="MD77" i="22"/>
  <c r="MD78" i="22"/>
  <c r="MD79" i="22"/>
  <c r="MD80" i="22"/>
  <c r="MD81" i="22"/>
  <c r="MD82" i="22"/>
  <c r="MD83" i="22"/>
  <c r="MD84" i="22"/>
  <c r="MD85" i="22"/>
  <c r="MD88" i="22"/>
  <c r="MD89" i="22"/>
  <c r="BR26" i="33"/>
  <c r="BP26" i="33"/>
  <c r="BO26" i="33"/>
  <c r="BM26" i="33"/>
  <c r="BL26" i="33"/>
  <c r="BJ26" i="33"/>
  <c r="BI26" i="33"/>
  <c r="LV86" i="22"/>
  <c r="LV66" i="22"/>
  <c r="LV67" i="22"/>
  <c r="LV68" i="22"/>
  <c r="LV69" i="22"/>
  <c r="LV70" i="22"/>
  <c r="LV87" i="22"/>
  <c r="LV71" i="22"/>
  <c r="LV72" i="22"/>
  <c r="LV73" i="22"/>
  <c r="LV74" i="22"/>
  <c r="LV75" i="22"/>
  <c r="LV76" i="22"/>
  <c r="LV77" i="22"/>
  <c r="LV78" i="22"/>
  <c r="LV79" i="22"/>
  <c r="LV80" i="22"/>
  <c r="LV81" i="22"/>
  <c r="LV82" i="22"/>
  <c r="LV83" i="22"/>
  <c r="LV84" i="22"/>
  <c r="LV85" i="22"/>
  <c r="LV88" i="22"/>
  <c r="LV89" i="22"/>
  <c r="MJ86" i="22"/>
  <c r="MJ66" i="22"/>
  <c r="MJ67" i="22"/>
  <c r="MJ68" i="22"/>
  <c r="MJ69" i="22"/>
  <c r="MJ70" i="22"/>
  <c r="MJ87" i="22"/>
  <c r="MJ71" i="22"/>
  <c r="MJ72" i="22"/>
  <c r="MJ73" i="22"/>
  <c r="MJ74" i="22"/>
  <c r="MJ75" i="22"/>
  <c r="MJ76" i="22"/>
  <c r="MJ77" i="22"/>
  <c r="MJ78" i="22"/>
  <c r="MJ79" i="22"/>
  <c r="MJ80" i="22"/>
  <c r="MJ81" i="22"/>
  <c r="MJ82" i="22"/>
  <c r="MJ83" i="22"/>
  <c r="MJ84" i="22"/>
  <c r="MJ85" i="22"/>
  <c r="MJ88" i="22"/>
  <c r="MJ89" i="22"/>
  <c r="MX86" i="22"/>
  <c r="MX66" i="22"/>
  <c r="MX67" i="22"/>
  <c r="MX68" i="22"/>
  <c r="MX69" i="22"/>
  <c r="MX70" i="22"/>
  <c r="MX87" i="22"/>
  <c r="MX71" i="22"/>
  <c r="MX72" i="22"/>
  <c r="MX73" i="22"/>
  <c r="MX74" i="22"/>
  <c r="MX75" i="22"/>
  <c r="MX76" i="22"/>
  <c r="MX77" i="22"/>
  <c r="MX78" i="22"/>
  <c r="MX79" i="22"/>
  <c r="MX80" i="22"/>
  <c r="MX81" i="22"/>
  <c r="MX82" i="22"/>
  <c r="MX83" i="22"/>
  <c r="MX84" i="22"/>
  <c r="MX85" i="22"/>
  <c r="MX88" i="22"/>
  <c r="MX89" i="22"/>
  <c r="BS25" i="33"/>
  <c r="LO86" i="22"/>
  <c r="LO66" i="22"/>
  <c r="LO67" i="22"/>
  <c r="LO68" i="22"/>
  <c r="LO69" i="22"/>
  <c r="LO70" i="22"/>
  <c r="LO87" i="22"/>
  <c r="LO71" i="22"/>
  <c r="LO72" i="22"/>
  <c r="LO73" i="22"/>
  <c r="LO74" i="22"/>
  <c r="LO75" i="22"/>
  <c r="LO76" i="22"/>
  <c r="LO77" i="22"/>
  <c r="LO78" i="22"/>
  <c r="LO79" i="22"/>
  <c r="LO80" i="22"/>
  <c r="LO81" i="22"/>
  <c r="LO82" i="22"/>
  <c r="LO83" i="22"/>
  <c r="LO84" i="22"/>
  <c r="LO85" i="22"/>
  <c r="LO88" i="22"/>
  <c r="LO89" i="22"/>
  <c r="MQ86" i="22"/>
  <c r="MQ66" i="22"/>
  <c r="MQ67" i="22"/>
  <c r="MQ68" i="22"/>
  <c r="MQ69" i="22"/>
  <c r="MQ70" i="22"/>
  <c r="MQ87" i="22"/>
  <c r="MQ71" i="22"/>
  <c r="MQ72" i="22"/>
  <c r="MQ73" i="22"/>
  <c r="MQ74" i="22"/>
  <c r="MQ75" i="22"/>
  <c r="MQ76" i="22"/>
  <c r="MQ77" i="22"/>
  <c r="MQ78" i="22"/>
  <c r="MQ79" i="22"/>
  <c r="MQ80" i="22"/>
  <c r="MQ81" i="22"/>
  <c r="MQ82" i="22"/>
  <c r="MQ83" i="22"/>
  <c r="MQ84" i="22"/>
  <c r="MQ85" i="22"/>
  <c r="MQ88" i="22"/>
  <c r="MQ89" i="22"/>
  <c r="MC86" i="22"/>
  <c r="MC66" i="22"/>
  <c r="MC67" i="22"/>
  <c r="MC68" i="22"/>
  <c r="MC69" i="22"/>
  <c r="MC70" i="22"/>
  <c r="MC87" i="22"/>
  <c r="MC71" i="22"/>
  <c r="MC72" i="22"/>
  <c r="MC73" i="22"/>
  <c r="MC74" i="22"/>
  <c r="MC75" i="22"/>
  <c r="MC76" i="22"/>
  <c r="MC77" i="22"/>
  <c r="MC78" i="22"/>
  <c r="MC79" i="22"/>
  <c r="MC80" i="22"/>
  <c r="MC81" i="22"/>
  <c r="MC82" i="22"/>
  <c r="MC83" i="22"/>
  <c r="MC84" i="22"/>
  <c r="MC85" i="22"/>
  <c r="MC88" i="22"/>
  <c r="MC89" i="22"/>
  <c r="BR25" i="33"/>
  <c r="BP25" i="33"/>
  <c r="BO25" i="33"/>
  <c r="BM25" i="33"/>
  <c r="BL25" i="33"/>
  <c r="BJ25" i="33"/>
  <c r="BI25" i="33"/>
  <c r="LU86" i="22"/>
  <c r="LU66" i="22"/>
  <c r="LU67" i="22"/>
  <c r="LU68" i="22"/>
  <c r="LU69" i="22"/>
  <c r="LU70" i="22"/>
  <c r="LU87" i="22"/>
  <c r="LU71" i="22"/>
  <c r="LU72" i="22"/>
  <c r="LU73" i="22"/>
  <c r="LU74" i="22"/>
  <c r="LU75" i="22"/>
  <c r="LU76" i="22"/>
  <c r="LU77" i="22"/>
  <c r="LU78" i="22"/>
  <c r="LU79" i="22"/>
  <c r="LU80" i="22"/>
  <c r="LU81" i="22"/>
  <c r="LU82" i="22"/>
  <c r="LU83" i="22"/>
  <c r="LU84" i="22"/>
  <c r="LU85" i="22"/>
  <c r="LU88" i="22"/>
  <c r="LU89" i="22"/>
  <c r="MI86" i="22"/>
  <c r="MI66" i="22"/>
  <c r="MI67" i="22"/>
  <c r="MI68" i="22"/>
  <c r="MI69" i="22"/>
  <c r="MI70" i="22"/>
  <c r="MI87" i="22"/>
  <c r="MI71" i="22"/>
  <c r="MI72" i="22"/>
  <c r="MI73" i="22"/>
  <c r="MI74" i="22"/>
  <c r="MI75" i="22"/>
  <c r="MI76" i="22"/>
  <c r="MI77" i="22"/>
  <c r="MI78" i="22"/>
  <c r="MI79" i="22"/>
  <c r="MI80" i="22"/>
  <c r="MI81" i="22"/>
  <c r="MI82" i="22"/>
  <c r="MI83" i="22"/>
  <c r="MI84" i="22"/>
  <c r="MI85" i="22"/>
  <c r="MI88" i="22"/>
  <c r="MI89" i="22"/>
  <c r="MW86" i="22"/>
  <c r="MW66" i="22"/>
  <c r="MW67" i="22"/>
  <c r="MW68" i="22"/>
  <c r="MW69" i="22"/>
  <c r="MW70" i="22"/>
  <c r="MW87" i="22"/>
  <c r="MW71" i="22"/>
  <c r="MW72" i="22"/>
  <c r="MW73" i="22"/>
  <c r="MW74" i="22"/>
  <c r="MW75" i="22"/>
  <c r="MW76" i="22"/>
  <c r="MW77" i="22"/>
  <c r="MW78" i="22"/>
  <c r="MW79" i="22"/>
  <c r="MW80" i="22"/>
  <c r="MW81" i="22"/>
  <c r="MW82" i="22"/>
  <c r="MW83" i="22"/>
  <c r="MW84" i="22"/>
  <c r="MW85" i="22"/>
  <c r="MW88" i="22"/>
  <c r="MW89" i="22"/>
  <c r="BS24" i="33"/>
  <c r="LN86" i="22"/>
  <c r="LN66" i="22"/>
  <c r="LN67" i="22"/>
  <c r="LN68" i="22"/>
  <c r="LN69" i="22"/>
  <c r="LN70" i="22"/>
  <c r="LN87" i="22"/>
  <c r="LN71" i="22"/>
  <c r="LN72" i="22"/>
  <c r="LN73" i="22"/>
  <c r="LN74" i="22"/>
  <c r="LN75" i="22"/>
  <c r="LN76" i="22"/>
  <c r="LN77" i="22"/>
  <c r="LN78" i="22"/>
  <c r="LN79" i="22"/>
  <c r="LN80" i="22"/>
  <c r="LN81" i="22"/>
  <c r="LN82" i="22"/>
  <c r="LN83" i="22"/>
  <c r="LN84" i="22"/>
  <c r="LN85" i="22"/>
  <c r="LN88" i="22"/>
  <c r="LN89" i="22"/>
  <c r="MP86" i="22"/>
  <c r="MP66" i="22"/>
  <c r="MP67" i="22"/>
  <c r="MP68" i="22"/>
  <c r="MP69" i="22"/>
  <c r="MP70" i="22"/>
  <c r="MP87" i="22"/>
  <c r="MP71" i="22"/>
  <c r="MP72" i="22"/>
  <c r="MP73" i="22"/>
  <c r="MP74" i="22"/>
  <c r="MP75" i="22"/>
  <c r="MP76" i="22"/>
  <c r="MP77" i="22"/>
  <c r="MP78" i="22"/>
  <c r="MP79" i="22"/>
  <c r="MP80" i="22"/>
  <c r="MP81" i="22"/>
  <c r="MP82" i="22"/>
  <c r="MP83" i="22"/>
  <c r="MP84" i="22"/>
  <c r="MP85" i="22"/>
  <c r="MP88" i="22"/>
  <c r="MP89" i="22"/>
  <c r="MB86" i="22"/>
  <c r="MB66" i="22"/>
  <c r="MB67" i="22"/>
  <c r="MB68" i="22"/>
  <c r="MB69" i="22"/>
  <c r="MB70" i="22"/>
  <c r="MB87" i="22"/>
  <c r="MB71" i="22"/>
  <c r="MB72" i="22"/>
  <c r="MB73" i="22"/>
  <c r="MB74" i="22"/>
  <c r="MB75" i="22"/>
  <c r="MB76" i="22"/>
  <c r="MB77" i="22"/>
  <c r="MB78" i="22"/>
  <c r="MB79" i="22"/>
  <c r="MB80" i="22"/>
  <c r="MB81" i="22"/>
  <c r="MB82" i="22"/>
  <c r="MB83" i="22"/>
  <c r="MB84" i="22"/>
  <c r="MB85" i="22"/>
  <c r="MB88" i="22"/>
  <c r="MB89" i="22"/>
  <c r="BR24" i="33"/>
  <c r="BP24" i="33"/>
  <c r="BO24" i="33"/>
  <c r="BM24" i="33"/>
  <c r="BL24" i="33"/>
  <c r="BJ24" i="33"/>
  <c r="BI24" i="33"/>
  <c r="KK86" i="22"/>
  <c r="KK66" i="22"/>
  <c r="KK67" i="22"/>
  <c r="KK68" i="22"/>
  <c r="KK69" i="22"/>
  <c r="KK70" i="22"/>
  <c r="KK87" i="22"/>
  <c r="KK71" i="22"/>
  <c r="KK72" i="22"/>
  <c r="KK73" i="22"/>
  <c r="KK74" i="22"/>
  <c r="KK75" i="22"/>
  <c r="KK76" i="22"/>
  <c r="KK77" i="22"/>
  <c r="KK78" i="22"/>
  <c r="KK79" i="22"/>
  <c r="KK80" i="22"/>
  <c r="KK81" i="22"/>
  <c r="KK82" i="22"/>
  <c r="KK83" i="22"/>
  <c r="KK84" i="22"/>
  <c r="KK85" i="22"/>
  <c r="KK88" i="22"/>
  <c r="KK89" i="22"/>
  <c r="KY86" i="22"/>
  <c r="KY66" i="22"/>
  <c r="KY67" i="22"/>
  <c r="KY68" i="22"/>
  <c r="KY69" i="22"/>
  <c r="KY70" i="22"/>
  <c r="KY87" i="22"/>
  <c r="KY71" i="22"/>
  <c r="KY72" i="22"/>
  <c r="KY73" i="22"/>
  <c r="KY74" i="22"/>
  <c r="KY75" i="22"/>
  <c r="KY76" i="22"/>
  <c r="KY77" i="22"/>
  <c r="KY78" i="22"/>
  <c r="KY79" i="22"/>
  <c r="KY80" i="22"/>
  <c r="KY81" i="22"/>
  <c r="KY82" i="22"/>
  <c r="KY83" i="22"/>
  <c r="KY84" i="22"/>
  <c r="KY85" i="22"/>
  <c r="KY88" i="22"/>
  <c r="KY89" i="22"/>
  <c r="LM86" i="22"/>
  <c r="LM66" i="22"/>
  <c r="LM67" i="22"/>
  <c r="LM68" i="22"/>
  <c r="LM69" i="22"/>
  <c r="LM70" i="22"/>
  <c r="LM87" i="22"/>
  <c r="LM71" i="22"/>
  <c r="LM72" i="22"/>
  <c r="LM73" i="22"/>
  <c r="LM74" i="22"/>
  <c r="LM75" i="22"/>
  <c r="LM76" i="22"/>
  <c r="LM77" i="22"/>
  <c r="LM78" i="22"/>
  <c r="LM79" i="22"/>
  <c r="LM80" i="22"/>
  <c r="LM81" i="22"/>
  <c r="LM82" i="22"/>
  <c r="LM83" i="22"/>
  <c r="LM84" i="22"/>
  <c r="LM85" i="22"/>
  <c r="LM88" i="22"/>
  <c r="LM89" i="22"/>
  <c r="BS18" i="33"/>
  <c r="KD86" i="22"/>
  <c r="KD66" i="22"/>
  <c r="KD67" i="22"/>
  <c r="KD68" i="22"/>
  <c r="KD69" i="22"/>
  <c r="KD70" i="22"/>
  <c r="KD87" i="22"/>
  <c r="KD71" i="22"/>
  <c r="KD72" i="22"/>
  <c r="KD73" i="22"/>
  <c r="KD74" i="22"/>
  <c r="KD75" i="22"/>
  <c r="KD76" i="22"/>
  <c r="KD77" i="22"/>
  <c r="KD78" i="22"/>
  <c r="KD79" i="22"/>
  <c r="KD80" i="22"/>
  <c r="KD81" i="22"/>
  <c r="KD82" i="22"/>
  <c r="KD83" i="22"/>
  <c r="KD84" i="22"/>
  <c r="KD85" i="22"/>
  <c r="KD88" i="22"/>
  <c r="KD89" i="22"/>
  <c r="KR86" i="22"/>
  <c r="KR66" i="22"/>
  <c r="KR67" i="22"/>
  <c r="KR68" i="22"/>
  <c r="KR69" i="22"/>
  <c r="KR70" i="22"/>
  <c r="KR87" i="22"/>
  <c r="KR71" i="22"/>
  <c r="KR72" i="22"/>
  <c r="KR73" i="22"/>
  <c r="KR74" i="22"/>
  <c r="KR75" i="22"/>
  <c r="KR76" i="22"/>
  <c r="KR77" i="22"/>
  <c r="KR78" i="22"/>
  <c r="KR79" i="22"/>
  <c r="KR80" i="22"/>
  <c r="KR81" i="22"/>
  <c r="KR82" i="22"/>
  <c r="KR83" i="22"/>
  <c r="KR84" i="22"/>
  <c r="KR85" i="22"/>
  <c r="KR88" i="22"/>
  <c r="KR89" i="22"/>
  <c r="LF86" i="22"/>
  <c r="LF66" i="22"/>
  <c r="LF67" i="22"/>
  <c r="LF68" i="22"/>
  <c r="LF69" i="22"/>
  <c r="LF70" i="22"/>
  <c r="LF87" i="22"/>
  <c r="LF71" i="22"/>
  <c r="LF72" i="22"/>
  <c r="LF73" i="22"/>
  <c r="LF74" i="22"/>
  <c r="LF75" i="22"/>
  <c r="LF76" i="22"/>
  <c r="LF77" i="22"/>
  <c r="LF78" i="22"/>
  <c r="LF79" i="22"/>
  <c r="LF80" i="22"/>
  <c r="LF81" i="22"/>
  <c r="LF82" i="22"/>
  <c r="LF83" i="22"/>
  <c r="LF84" i="22"/>
  <c r="LF85" i="22"/>
  <c r="LF88" i="22"/>
  <c r="LF89" i="22"/>
  <c r="BR18" i="33"/>
  <c r="BP18" i="33"/>
  <c r="BO18" i="33"/>
  <c r="BM18" i="33"/>
  <c r="BL18" i="33"/>
  <c r="BJ18" i="33"/>
  <c r="BI18" i="33"/>
  <c r="KJ86" i="22"/>
  <c r="KJ66" i="22"/>
  <c r="KJ67" i="22"/>
  <c r="KJ68" i="22"/>
  <c r="KJ69" i="22"/>
  <c r="KJ70" i="22"/>
  <c r="KJ87" i="22"/>
  <c r="KJ71" i="22"/>
  <c r="KJ72" i="22"/>
  <c r="KJ73" i="22"/>
  <c r="KJ74" i="22"/>
  <c r="KJ75" i="22"/>
  <c r="KJ76" i="22"/>
  <c r="KJ77" i="22"/>
  <c r="KJ78" i="22"/>
  <c r="KJ79" i="22"/>
  <c r="KJ80" i="22"/>
  <c r="KJ81" i="22"/>
  <c r="KJ82" i="22"/>
  <c r="KJ83" i="22"/>
  <c r="KJ84" i="22"/>
  <c r="KJ85" i="22"/>
  <c r="KJ88" i="22"/>
  <c r="KJ89" i="22"/>
  <c r="KX86" i="22"/>
  <c r="KX66" i="22"/>
  <c r="KX67" i="22"/>
  <c r="KX68" i="22"/>
  <c r="KX69" i="22"/>
  <c r="KX70" i="22"/>
  <c r="KX87" i="22"/>
  <c r="KX71" i="22"/>
  <c r="KX72" i="22"/>
  <c r="KX73" i="22"/>
  <c r="KX74" i="22"/>
  <c r="KX75" i="22"/>
  <c r="KX76" i="22"/>
  <c r="KX77" i="22"/>
  <c r="KX78" i="22"/>
  <c r="KX79" i="22"/>
  <c r="KX80" i="22"/>
  <c r="KX81" i="22"/>
  <c r="KX82" i="22"/>
  <c r="KX83" i="22"/>
  <c r="KX84" i="22"/>
  <c r="KX85" i="22"/>
  <c r="KX88" i="22"/>
  <c r="KX89" i="22"/>
  <c r="LL86" i="22"/>
  <c r="LL66" i="22"/>
  <c r="LL67" i="22"/>
  <c r="LL68" i="22"/>
  <c r="LL69" i="22"/>
  <c r="LL70" i="22"/>
  <c r="LL87" i="22"/>
  <c r="LL71" i="22"/>
  <c r="LL72" i="22"/>
  <c r="LL73" i="22"/>
  <c r="LL74" i="22"/>
  <c r="LL75" i="22"/>
  <c r="LL76" i="22"/>
  <c r="LL77" i="22"/>
  <c r="LL78" i="22"/>
  <c r="LL79" i="22"/>
  <c r="LL80" i="22"/>
  <c r="LL81" i="22"/>
  <c r="LL82" i="22"/>
  <c r="LL83" i="22"/>
  <c r="LL84" i="22"/>
  <c r="LL85" i="22"/>
  <c r="LL88" i="22"/>
  <c r="LL89" i="22"/>
  <c r="BS17" i="33"/>
  <c r="KC86" i="22"/>
  <c r="KC66" i="22"/>
  <c r="KC67" i="22"/>
  <c r="KC68" i="22"/>
  <c r="KC69" i="22"/>
  <c r="KC70" i="22"/>
  <c r="KC87" i="22"/>
  <c r="KC71" i="22"/>
  <c r="KC72" i="22"/>
  <c r="KC73" i="22"/>
  <c r="KC74" i="22"/>
  <c r="KC75" i="22"/>
  <c r="KC76" i="22"/>
  <c r="KC77" i="22"/>
  <c r="KC78" i="22"/>
  <c r="KC79" i="22"/>
  <c r="KC80" i="22"/>
  <c r="KC81" i="22"/>
  <c r="KC82" i="22"/>
  <c r="KC83" i="22"/>
  <c r="KC84" i="22"/>
  <c r="KC85" i="22"/>
  <c r="KC88" i="22"/>
  <c r="KC89" i="22"/>
  <c r="KQ86" i="22"/>
  <c r="KQ66" i="22"/>
  <c r="KQ67" i="22"/>
  <c r="KQ68" i="22"/>
  <c r="KQ69" i="22"/>
  <c r="KQ70" i="22"/>
  <c r="KQ87" i="22"/>
  <c r="KQ71" i="22"/>
  <c r="KQ72" i="22"/>
  <c r="KQ73" i="22"/>
  <c r="KQ74" i="22"/>
  <c r="KQ75" i="22"/>
  <c r="KQ76" i="22"/>
  <c r="KQ77" i="22"/>
  <c r="KQ78" i="22"/>
  <c r="KQ79" i="22"/>
  <c r="KQ80" i="22"/>
  <c r="KQ81" i="22"/>
  <c r="KQ82" i="22"/>
  <c r="KQ83" i="22"/>
  <c r="KQ84" i="22"/>
  <c r="KQ85" i="22"/>
  <c r="KQ88" i="22"/>
  <c r="KQ89" i="22"/>
  <c r="LE86" i="22"/>
  <c r="LE66" i="22"/>
  <c r="LE67" i="22"/>
  <c r="LE68" i="22"/>
  <c r="LE69" i="22"/>
  <c r="LE70" i="22"/>
  <c r="LE87" i="22"/>
  <c r="LE71" i="22"/>
  <c r="LE72" i="22"/>
  <c r="LE73" i="22"/>
  <c r="LE74" i="22"/>
  <c r="LE75" i="22"/>
  <c r="LE76" i="22"/>
  <c r="LE77" i="22"/>
  <c r="LE78" i="22"/>
  <c r="LE79" i="22"/>
  <c r="LE80" i="22"/>
  <c r="LE81" i="22"/>
  <c r="LE82" i="22"/>
  <c r="LE83" i="22"/>
  <c r="LE84" i="22"/>
  <c r="LE85" i="22"/>
  <c r="LE88" i="22"/>
  <c r="LE89" i="22"/>
  <c r="BR17" i="33"/>
  <c r="BP17" i="33"/>
  <c r="BO17" i="33"/>
  <c r="BM17" i="33"/>
  <c r="BL17" i="33"/>
  <c r="BJ17" i="33"/>
  <c r="BI17" i="33"/>
  <c r="KI86" i="22"/>
  <c r="KI66" i="22"/>
  <c r="KI67" i="22"/>
  <c r="KI68" i="22"/>
  <c r="KI69" i="22"/>
  <c r="KI70" i="22"/>
  <c r="KI87" i="22"/>
  <c r="KI71" i="22"/>
  <c r="KI72" i="22"/>
  <c r="KI73" i="22"/>
  <c r="KI74" i="22"/>
  <c r="KI75" i="22"/>
  <c r="KI76" i="22"/>
  <c r="KI77" i="22"/>
  <c r="KI78" i="22"/>
  <c r="KI79" i="22"/>
  <c r="KI80" i="22"/>
  <c r="KI81" i="22"/>
  <c r="KI82" i="22"/>
  <c r="KI83" i="22"/>
  <c r="KI84" i="22"/>
  <c r="KI85" i="22"/>
  <c r="KI88" i="22"/>
  <c r="KI89" i="22"/>
  <c r="KW86" i="22"/>
  <c r="KW66" i="22"/>
  <c r="KW67" i="22"/>
  <c r="KW68" i="22"/>
  <c r="KW69" i="22"/>
  <c r="KW70" i="22"/>
  <c r="KW87" i="22"/>
  <c r="KW71" i="22"/>
  <c r="KW72" i="22"/>
  <c r="KW73" i="22"/>
  <c r="KW74" i="22"/>
  <c r="KW75" i="22"/>
  <c r="KW76" i="22"/>
  <c r="KW77" i="22"/>
  <c r="KW78" i="22"/>
  <c r="KW79" i="22"/>
  <c r="KW80" i="22"/>
  <c r="KW81" i="22"/>
  <c r="KW82" i="22"/>
  <c r="KW83" i="22"/>
  <c r="KW84" i="22"/>
  <c r="KW85" i="22"/>
  <c r="KW88" i="22"/>
  <c r="KW89" i="22"/>
  <c r="LK86" i="22"/>
  <c r="LK66" i="22"/>
  <c r="LK67" i="22"/>
  <c r="LK68" i="22"/>
  <c r="LK69" i="22"/>
  <c r="LK70" i="22"/>
  <c r="LK87" i="22"/>
  <c r="LK71" i="22"/>
  <c r="LK72" i="22"/>
  <c r="LK73" i="22"/>
  <c r="LK74" i="22"/>
  <c r="LK75" i="22"/>
  <c r="LK76" i="22"/>
  <c r="LK77" i="22"/>
  <c r="LK78" i="22"/>
  <c r="LK79" i="22"/>
  <c r="LK80" i="22"/>
  <c r="LK81" i="22"/>
  <c r="LK82" i="22"/>
  <c r="LK83" i="22"/>
  <c r="LK84" i="22"/>
  <c r="LK85" i="22"/>
  <c r="LK88" i="22"/>
  <c r="LK89" i="22"/>
  <c r="BS16" i="33"/>
  <c r="KB86" i="22"/>
  <c r="KB66" i="22"/>
  <c r="KB67" i="22"/>
  <c r="KB68" i="22"/>
  <c r="KB69" i="22"/>
  <c r="KB70" i="22"/>
  <c r="KB87" i="22"/>
  <c r="KB71" i="22"/>
  <c r="KB72" i="22"/>
  <c r="KB73" i="22"/>
  <c r="KB74" i="22"/>
  <c r="KB75" i="22"/>
  <c r="KB76" i="22"/>
  <c r="KB77" i="22"/>
  <c r="KB78" i="22"/>
  <c r="KB79" i="22"/>
  <c r="KB80" i="22"/>
  <c r="KB81" i="22"/>
  <c r="KB82" i="22"/>
  <c r="KB83" i="22"/>
  <c r="KB84" i="22"/>
  <c r="KB85" i="22"/>
  <c r="KB88" i="22"/>
  <c r="KB89" i="22"/>
  <c r="KP86" i="22"/>
  <c r="KP66" i="22"/>
  <c r="KP67" i="22"/>
  <c r="KP68" i="22"/>
  <c r="KP69" i="22"/>
  <c r="KP70" i="22"/>
  <c r="KP87" i="22"/>
  <c r="KP71" i="22"/>
  <c r="KP72" i="22"/>
  <c r="KP73" i="22"/>
  <c r="KP74" i="22"/>
  <c r="KP75" i="22"/>
  <c r="KP76" i="22"/>
  <c r="KP77" i="22"/>
  <c r="KP78" i="22"/>
  <c r="KP79" i="22"/>
  <c r="KP80" i="22"/>
  <c r="KP81" i="22"/>
  <c r="KP82" i="22"/>
  <c r="KP83" i="22"/>
  <c r="KP84" i="22"/>
  <c r="KP85" i="22"/>
  <c r="KP88" i="22"/>
  <c r="KP89" i="22"/>
  <c r="LD86" i="22"/>
  <c r="LD66" i="22"/>
  <c r="LD67" i="22"/>
  <c r="LD68" i="22"/>
  <c r="LD69" i="22"/>
  <c r="LD70" i="22"/>
  <c r="LD87" i="22"/>
  <c r="LD71" i="22"/>
  <c r="LD72" i="22"/>
  <c r="LD73" i="22"/>
  <c r="LD74" i="22"/>
  <c r="LD75" i="22"/>
  <c r="LD76" i="22"/>
  <c r="LD77" i="22"/>
  <c r="LD78" i="22"/>
  <c r="LD79" i="22"/>
  <c r="LD80" i="22"/>
  <c r="LD81" i="22"/>
  <c r="LD82" i="22"/>
  <c r="LD83" i="22"/>
  <c r="LD84" i="22"/>
  <c r="LD85" i="22"/>
  <c r="LD88" i="22"/>
  <c r="LD89" i="22"/>
  <c r="BR16" i="33"/>
  <c r="BP16" i="33"/>
  <c r="BO16" i="33"/>
  <c r="BM16" i="33"/>
  <c r="BL16" i="33"/>
  <c r="BJ16" i="33"/>
  <c r="BI16" i="33"/>
  <c r="KH86" i="22"/>
  <c r="KH66" i="22"/>
  <c r="KH67" i="22"/>
  <c r="KH68" i="22"/>
  <c r="KH69" i="22"/>
  <c r="KH70" i="22"/>
  <c r="KH87" i="22"/>
  <c r="KH71" i="22"/>
  <c r="KH72" i="22"/>
  <c r="KH73" i="22"/>
  <c r="KH74" i="22"/>
  <c r="KH75" i="22"/>
  <c r="KH76" i="22"/>
  <c r="KH77" i="22"/>
  <c r="KH78" i="22"/>
  <c r="KH79" i="22"/>
  <c r="KH80" i="22"/>
  <c r="KH81" i="22"/>
  <c r="KH82" i="22"/>
  <c r="KH83" i="22"/>
  <c r="KH84" i="22"/>
  <c r="KH85" i="22"/>
  <c r="KH88" i="22"/>
  <c r="KH89" i="22"/>
  <c r="KV86" i="22"/>
  <c r="KV66" i="22"/>
  <c r="KV67" i="22"/>
  <c r="KV68" i="22"/>
  <c r="KV69" i="22"/>
  <c r="KV70" i="22"/>
  <c r="KV87" i="22"/>
  <c r="KV71" i="22"/>
  <c r="KV72" i="22"/>
  <c r="KV73" i="22"/>
  <c r="KV74" i="22"/>
  <c r="KV75" i="22"/>
  <c r="KV76" i="22"/>
  <c r="KV77" i="22"/>
  <c r="KV78" i="22"/>
  <c r="KV79" i="22"/>
  <c r="KV80" i="22"/>
  <c r="KV81" i="22"/>
  <c r="KV82" i="22"/>
  <c r="KV83" i="22"/>
  <c r="KV84" i="22"/>
  <c r="KV85" i="22"/>
  <c r="KV88" i="22"/>
  <c r="KV89" i="22"/>
  <c r="LJ86" i="22"/>
  <c r="LJ66" i="22"/>
  <c r="LJ67" i="22"/>
  <c r="LJ68" i="22"/>
  <c r="LJ69" i="22"/>
  <c r="LJ70" i="22"/>
  <c r="LJ87" i="22"/>
  <c r="LJ71" i="22"/>
  <c r="LJ72" i="22"/>
  <c r="LJ73" i="22"/>
  <c r="LJ74" i="22"/>
  <c r="LJ75" i="22"/>
  <c r="LJ76" i="22"/>
  <c r="LJ77" i="22"/>
  <c r="LJ78" i="22"/>
  <c r="LJ79" i="22"/>
  <c r="LJ80" i="22"/>
  <c r="LJ81" i="22"/>
  <c r="LJ82" i="22"/>
  <c r="LJ83" i="22"/>
  <c r="LJ84" i="22"/>
  <c r="LJ85" i="22"/>
  <c r="LJ88" i="22"/>
  <c r="LJ89" i="22"/>
  <c r="BS15" i="33"/>
  <c r="KA86" i="22"/>
  <c r="KA66" i="22"/>
  <c r="KA67" i="22"/>
  <c r="KA68" i="22"/>
  <c r="KA69" i="22"/>
  <c r="KA70" i="22"/>
  <c r="KA87" i="22"/>
  <c r="KA71" i="22"/>
  <c r="KA72" i="22"/>
  <c r="KA73" i="22"/>
  <c r="KA74" i="22"/>
  <c r="KA75" i="22"/>
  <c r="KA76" i="22"/>
  <c r="KA77" i="22"/>
  <c r="KA78" i="22"/>
  <c r="KA79" i="22"/>
  <c r="KA80" i="22"/>
  <c r="KA81" i="22"/>
  <c r="KA82" i="22"/>
  <c r="KA83" i="22"/>
  <c r="KA84" i="22"/>
  <c r="KA85" i="22"/>
  <c r="KA88" i="22"/>
  <c r="KA89" i="22"/>
  <c r="KO86" i="22"/>
  <c r="KO66" i="22"/>
  <c r="KO67" i="22"/>
  <c r="KO68" i="22"/>
  <c r="KO69" i="22"/>
  <c r="KO70" i="22"/>
  <c r="KO87" i="22"/>
  <c r="KO71" i="22"/>
  <c r="KO72" i="22"/>
  <c r="KO73" i="22"/>
  <c r="KO74" i="22"/>
  <c r="KO75" i="22"/>
  <c r="KO76" i="22"/>
  <c r="KO77" i="22"/>
  <c r="KO78" i="22"/>
  <c r="KO79" i="22"/>
  <c r="KO80" i="22"/>
  <c r="KO81" i="22"/>
  <c r="KO82" i="22"/>
  <c r="KO83" i="22"/>
  <c r="KO84" i="22"/>
  <c r="KO85" i="22"/>
  <c r="KO88" i="22"/>
  <c r="KO89" i="22"/>
  <c r="LC86" i="22"/>
  <c r="LC66" i="22"/>
  <c r="LC67" i="22"/>
  <c r="LC68" i="22"/>
  <c r="LC69" i="22"/>
  <c r="LC70" i="22"/>
  <c r="LC87" i="22"/>
  <c r="LC71" i="22"/>
  <c r="LC72" i="22"/>
  <c r="LC73" i="22"/>
  <c r="LC74" i="22"/>
  <c r="LC75" i="22"/>
  <c r="LC76" i="22"/>
  <c r="LC77" i="22"/>
  <c r="LC78" i="22"/>
  <c r="LC79" i="22"/>
  <c r="LC80" i="22"/>
  <c r="LC81" i="22"/>
  <c r="LC82" i="22"/>
  <c r="LC83" i="22"/>
  <c r="LC84" i="22"/>
  <c r="LC85" i="22"/>
  <c r="LC88" i="22"/>
  <c r="LC89" i="22"/>
  <c r="BR15" i="33"/>
  <c r="BP15" i="33"/>
  <c r="BO15" i="33"/>
  <c r="BM15" i="33"/>
  <c r="BL15" i="33"/>
  <c r="BJ15" i="33"/>
  <c r="BI15" i="33"/>
  <c r="KG86" i="22"/>
  <c r="KG66" i="22"/>
  <c r="KG67" i="22"/>
  <c r="KG68" i="22"/>
  <c r="KG69" i="22"/>
  <c r="KG70" i="22"/>
  <c r="KG87" i="22"/>
  <c r="KG71" i="22"/>
  <c r="KG72" i="22"/>
  <c r="KG73" i="22"/>
  <c r="KG74" i="22"/>
  <c r="KG75" i="22"/>
  <c r="KG76" i="22"/>
  <c r="KG77" i="22"/>
  <c r="KG78" i="22"/>
  <c r="KG79" i="22"/>
  <c r="KG80" i="22"/>
  <c r="KG81" i="22"/>
  <c r="KG82" i="22"/>
  <c r="KG83" i="22"/>
  <c r="KG84" i="22"/>
  <c r="KG85" i="22"/>
  <c r="KG88" i="22"/>
  <c r="KG89" i="22"/>
  <c r="KU86" i="22"/>
  <c r="KU66" i="22"/>
  <c r="KU67" i="22"/>
  <c r="KU68" i="22"/>
  <c r="KU69" i="22"/>
  <c r="KU70" i="22"/>
  <c r="KU87" i="22"/>
  <c r="KU71" i="22"/>
  <c r="KU72" i="22"/>
  <c r="KU73" i="22"/>
  <c r="KU74" i="22"/>
  <c r="KU75" i="22"/>
  <c r="KU76" i="22"/>
  <c r="KU77" i="22"/>
  <c r="KU78" i="22"/>
  <c r="KU79" i="22"/>
  <c r="KU80" i="22"/>
  <c r="KU81" i="22"/>
  <c r="KU82" i="22"/>
  <c r="KU83" i="22"/>
  <c r="KU84" i="22"/>
  <c r="KU85" i="22"/>
  <c r="KU88" i="22"/>
  <c r="KU89" i="22"/>
  <c r="LI86" i="22"/>
  <c r="LI66" i="22"/>
  <c r="LI67" i="22"/>
  <c r="LI68" i="22"/>
  <c r="LI69" i="22"/>
  <c r="LI70" i="22"/>
  <c r="LI87" i="22"/>
  <c r="LI71" i="22"/>
  <c r="LI72" i="22"/>
  <c r="LI73" i="22"/>
  <c r="LI74" i="22"/>
  <c r="LI75" i="22"/>
  <c r="LI76" i="22"/>
  <c r="LI77" i="22"/>
  <c r="LI78" i="22"/>
  <c r="LI79" i="22"/>
  <c r="LI80" i="22"/>
  <c r="LI81" i="22"/>
  <c r="LI82" i="22"/>
  <c r="LI83" i="22"/>
  <c r="LI84" i="22"/>
  <c r="LI85" i="22"/>
  <c r="LI88" i="22"/>
  <c r="LI89" i="22"/>
  <c r="BS14" i="33"/>
  <c r="JZ86" i="22"/>
  <c r="JZ66" i="22"/>
  <c r="JZ67" i="22"/>
  <c r="JZ68" i="22"/>
  <c r="JZ69" i="22"/>
  <c r="JZ70" i="22"/>
  <c r="JZ87" i="22"/>
  <c r="JZ71" i="22"/>
  <c r="JZ72" i="22"/>
  <c r="JZ73" i="22"/>
  <c r="JZ74" i="22"/>
  <c r="JZ75" i="22"/>
  <c r="JZ76" i="22"/>
  <c r="JZ77" i="22"/>
  <c r="JZ78" i="22"/>
  <c r="JZ79" i="22"/>
  <c r="JZ80" i="22"/>
  <c r="JZ81" i="22"/>
  <c r="JZ82" i="22"/>
  <c r="JZ83" i="22"/>
  <c r="JZ84" i="22"/>
  <c r="JZ85" i="22"/>
  <c r="JZ88" i="22"/>
  <c r="JZ89" i="22"/>
  <c r="KN86" i="22"/>
  <c r="KN66" i="22"/>
  <c r="KN67" i="22"/>
  <c r="KN68" i="22"/>
  <c r="KN69" i="22"/>
  <c r="KN70" i="22"/>
  <c r="KN87" i="22"/>
  <c r="KN71" i="22"/>
  <c r="KN72" i="22"/>
  <c r="KN73" i="22"/>
  <c r="KN74" i="22"/>
  <c r="KN75" i="22"/>
  <c r="KN76" i="22"/>
  <c r="KN77" i="22"/>
  <c r="KN78" i="22"/>
  <c r="KN79" i="22"/>
  <c r="KN80" i="22"/>
  <c r="KN81" i="22"/>
  <c r="KN82" i="22"/>
  <c r="KN83" i="22"/>
  <c r="KN84" i="22"/>
  <c r="KN85" i="22"/>
  <c r="KN88" i="22"/>
  <c r="KN89" i="22"/>
  <c r="LB86" i="22"/>
  <c r="LB66" i="22"/>
  <c r="LB67" i="22"/>
  <c r="LB68" i="22"/>
  <c r="LB69" i="22"/>
  <c r="LB70" i="22"/>
  <c r="LB87" i="22"/>
  <c r="LB71" i="22"/>
  <c r="LB72" i="22"/>
  <c r="LB73" i="22"/>
  <c r="LB74" i="22"/>
  <c r="LB75" i="22"/>
  <c r="LB76" i="22"/>
  <c r="LB77" i="22"/>
  <c r="LB78" i="22"/>
  <c r="LB79" i="22"/>
  <c r="LB80" i="22"/>
  <c r="LB81" i="22"/>
  <c r="LB82" i="22"/>
  <c r="LB83" i="22"/>
  <c r="LB84" i="22"/>
  <c r="LB85" i="22"/>
  <c r="LB88" i="22"/>
  <c r="LB89" i="22"/>
  <c r="BR14" i="33"/>
  <c r="BP14" i="33"/>
  <c r="BO14" i="33"/>
  <c r="BM14" i="33"/>
  <c r="BL14" i="33"/>
  <c r="BJ14" i="33"/>
  <c r="BI14" i="33"/>
  <c r="KF86" i="22"/>
  <c r="KF66" i="22"/>
  <c r="KF67" i="22"/>
  <c r="KF68" i="22"/>
  <c r="KF69" i="22"/>
  <c r="KF70" i="22"/>
  <c r="KF87" i="22"/>
  <c r="KF71" i="22"/>
  <c r="KF72" i="22"/>
  <c r="KF73" i="22"/>
  <c r="KF74" i="22"/>
  <c r="KF75" i="22"/>
  <c r="KF76" i="22"/>
  <c r="KF77" i="22"/>
  <c r="KF78" i="22"/>
  <c r="KF79" i="22"/>
  <c r="KF80" i="22"/>
  <c r="KF81" i="22"/>
  <c r="KF82" i="22"/>
  <c r="KF83" i="22"/>
  <c r="KF84" i="22"/>
  <c r="KF85" i="22"/>
  <c r="KF88" i="22"/>
  <c r="KF89" i="22"/>
  <c r="KT86" i="22"/>
  <c r="KT66" i="22"/>
  <c r="KT67" i="22"/>
  <c r="KT68" i="22"/>
  <c r="KT69" i="22"/>
  <c r="KT70" i="22"/>
  <c r="KT87" i="22"/>
  <c r="KT71" i="22"/>
  <c r="KT72" i="22"/>
  <c r="KT73" i="22"/>
  <c r="KT74" i="22"/>
  <c r="KT75" i="22"/>
  <c r="KT76" i="22"/>
  <c r="KT77" i="22"/>
  <c r="KT78" i="22"/>
  <c r="KT79" i="22"/>
  <c r="KT80" i="22"/>
  <c r="KT81" i="22"/>
  <c r="KT82" i="22"/>
  <c r="KT83" i="22"/>
  <c r="KT84" i="22"/>
  <c r="KT85" i="22"/>
  <c r="KT88" i="22"/>
  <c r="KT89" i="22"/>
  <c r="LH86" i="22"/>
  <c r="LH66" i="22"/>
  <c r="LH67" i="22"/>
  <c r="LH68" i="22"/>
  <c r="LH69" i="22"/>
  <c r="LH70" i="22"/>
  <c r="LH87" i="22"/>
  <c r="LH71" i="22"/>
  <c r="LH72" i="22"/>
  <c r="LH73" i="22"/>
  <c r="LH74" i="22"/>
  <c r="LH75" i="22"/>
  <c r="LH76" i="22"/>
  <c r="LH77" i="22"/>
  <c r="LH78" i="22"/>
  <c r="LH79" i="22"/>
  <c r="LH80" i="22"/>
  <c r="LH81" i="22"/>
  <c r="LH82" i="22"/>
  <c r="LH83" i="22"/>
  <c r="LH84" i="22"/>
  <c r="LH85" i="22"/>
  <c r="LH88" i="22"/>
  <c r="LH89" i="22"/>
  <c r="BS13" i="33"/>
  <c r="JY66" i="22"/>
  <c r="JY67" i="22"/>
  <c r="JY68" i="22"/>
  <c r="JY69" i="22"/>
  <c r="JY70" i="22"/>
  <c r="JY87" i="22"/>
  <c r="JY71" i="22"/>
  <c r="JY72" i="22"/>
  <c r="JY73" i="22"/>
  <c r="JY74" i="22"/>
  <c r="JY75" i="22"/>
  <c r="JY76" i="22"/>
  <c r="JY77" i="22"/>
  <c r="JY78" i="22"/>
  <c r="JY79" i="22"/>
  <c r="JY80" i="22"/>
  <c r="JY81" i="22"/>
  <c r="JY82" i="22"/>
  <c r="JY83" i="22"/>
  <c r="JY84" i="22"/>
  <c r="JY85" i="22"/>
  <c r="JY88" i="22"/>
  <c r="JY89" i="22"/>
  <c r="KM66" i="22"/>
  <c r="KM67" i="22"/>
  <c r="KM68" i="22"/>
  <c r="KM69" i="22"/>
  <c r="KM70" i="22"/>
  <c r="KM87" i="22"/>
  <c r="KM71" i="22"/>
  <c r="KM72" i="22"/>
  <c r="KM73" i="22"/>
  <c r="KM74" i="22"/>
  <c r="KM75" i="22"/>
  <c r="KM76" i="22"/>
  <c r="KM77" i="22"/>
  <c r="KM78" i="22"/>
  <c r="KM79" i="22"/>
  <c r="KM80" i="22"/>
  <c r="KM81" i="22"/>
  <c r="KM82" i="22"/>
  <c r="KM83" i="22"/>
  <c r="KM84" i="22"/>
  <c r="KM85" i="22"/>
  <c r="KM88" i="22"/>
  <c r="KM89" i="22"/>
  <c r="LA66" i="22"/>
  <c r="LA67" i="22"/>
  <c r="LA68" i="22"/>
  <c r="LA69" i="22"/>
  <c r="LA70" i="22"/>
  <c r="LA87" i="22"/>
  <c r="LA71" i="22"/>
  <c r="LA72" i="22"/>
  <c r="LA73" i="22"/>
  <c r="LA74" i="22"/>
  <c r="LA75" i="22"/>
  <c r="LA76" i="22"/>
  <c r="LA77" i="22"/>
  <c r="LA78" i="22"/>
  <c r="LA79" i="22"/>
  <c r="LA80" i="22"/>
  <c r="LA81" i="22"/>
  <c r="LA82" i="22"/>
  <c r="LA83" i="22"/>
  <c r="LA84" i="22"/>
  <c r="LA85" i="22"/>
  <c r="LA88" i="22"/>
  <c r="LA89" i="22"/>
  <c r="BR13" i="33"/>
  <c r="BP13" i="33"/>
  <c r="BO13" i="33"/>
  <c r="BM13" i="33"/>
  <c r="BL13" i="33"/>
  <c r="BJ13" i="33"/>
  <c r="KE86" i="22"/>
  <c r="KE66" i="22"/>
  <c r="KE67" i="22"/>
  <c r="KE68" i="22"/>
  <c r="KE69" i="22"/>
  <c r="KE70" i="22"/>
  <c r="KE87" i="22"/>
  <c r="KE71" i="22"/>
  <c r="KE72" i="22"/>
  <c r="KE73" i="22"/>
  <c r="KE74" i="22"/>
  <c r="KE75" i="22"/>
  <c r="KE76" i="22"/>
  <c r="KE77" i="22"/>
  <c r="KE78" i="22"/>
  <c r="KE79" i="22"/>
  <c r="KE80" i="22"/>
  <c r="KE81" i="22"/>
  <c r="KE82" i="22"/>
  <c r="KE83" i="22"/>
  <c r="KE84" i="22"/>
  <c r="KE85" i="22"/>
  <c r="KE88" i="22"/>
  <c r="KE89" i="22"/>
  <c r="KS86" i="22"/>
  <c r="KS66" i="22"/>
  <c r="KS67" i="22"/>
  <c r="KS68" i="22"/>
  <c r="KS69" i="22"/>
  <c r="KS70" i="22"/>
  <c r="KS87" i="22"/>
  <c r="KS71" i="22"/>
  <c r="KS72" i="22"/>
  <c r="KS73" i="22"/>
  <c r="KS74" i="22"/>
  <c r="KS75" i="22"/>
  <c r="KS76" i="22"/>
  <c r="KS77" i="22"/>
  <c r="KS78" i="22"/>
  <c r="KS79" i="22"/>
  <c r="KS80" i="22"/>
  <c r="KS81" i="22"/>
  <c r="KS82" i="22"/>
  <c r="KS83" i="22"/>
  <c r="KS84" i="22"/>
  <c r="KS85" i="22"/>
  <c r="KS88" i="22"/>
  <c r="KS89" i="22"/>
  <c r="LG86" i="22"/>
  <c r="LG66" i="22"/>
  <c r="LG67" i="22"/>
  <c r="LG68" i="22"/>
  <c r="LG69" i="22"/>
  <c r="LG70" i="22"/>
  <c r="LG87" i="22"/>
  <c r="LG71" i="22"/>
  <c r="LG72" i="22"/>
  <c r="LG73" i="22"/>
  <c r="LG74" i="22"/>
  <c r="LG75" i="22"/>
  <c r="LG76" i="22"/>
  <c r="LG77" i="22"/>
  <c r="LG78" i="22"/>
  <c r="LG79" i="22"/>
  <c r="LG80" i="22"/>
  <c r="LG81" i="22"/>
  <c r="LG82" i="22"/>
  <c r="LG83" i="22"/>
  <c r="LG84" i="22"/>
  <c r="LG85" i="22"/>
  <c r="LG88" i="22"/>
  <c r="LG89" i="22"/>
  <c r="BS12" i="33"/>
  <c r="JX86" i="22"/>
  <c r="JX66" i="22"/>
  <c r="JX67" i="22"/>
  <c r="JX68" i="22"/>
  <c r="JX69" i="22"/>
  <c r="JX70" i="22"/>
  <c r="JX87" i="22"/>
  <c r="JX71" i="22"/>
  <c r="JX72" i="22"/>
  <c r="JX73" i="22"/>
  <c r="JX74" i="22"/>
  <c r="JX75" i="22"/>
  <c r="JX76" i="22"/>
  <c r="JX77" i="22"/>
  <c r="JX78" i="22"/>
  <c r="JX79" i="22"/>
  <c r="JX80" i="22"/>
  <c r="JX81" i="22"/>
  <c r="JX82" i="22"/>
  <c r="JX83" i="22"/>
  <c r="JX84" i="22"/>
  <c r="JX85" i="22"/>
  <c r="JX88" i="22"/>
  <c r="JX89" i="22"/>
  <c r="KL86" i="22"/>
  <c r="KL66" i="22"/>
  <c r="KL67" i="22"/>
  <c r="KL68" i="22"/>
  <c r="KL69" i="22"/>
  <c r="KL70" i="22"/>
  <c r="KL87" i="22"/>
  <c r="KL71" i="22"/>
  <c r="KL72" i="22"/>
  <c r="KL73" i="22"/>
  <c r="KL74" i="22"/>
  <c r="KL75" i="22"/>
  <c r="KL76" i="22"/>
  <c r="KL77" i="22"/>
  <c r="KL78" i="22"/>
  <c r="KL79" i="22"/>
  <c r="KL80" i="22"/>
  <c r="KL81" i="22"/>
  <c r="KL82" i="22"/>
  <c r="KL83" i="22"/>
  <c r="KL84" i="22"/>
  <c r="KL85" i="22"/>
  <c r="KL88" i="22"/>
  <c r="KL89" i="22"/>
  <c r="KZ86" i="22"/>
  <c r="KZ66" i="22"/>
  <c r="KZ67" i="22"/>
  <c r="KZ68" i="22"/>
  <c r="KZ69" i="22"/>
  <c r="KZ70" i="22"/>
  <c r="KZ87" i="22"/>
  <c r="KZ71" i="22"/>
  <c r="KZ72" i="22"/>
  <c r="KZ73" i="22"/>
  <c r="KZ74" i="22"/>
  <c r="KZ75" i="22"/>
  <c r="KZ76" i="22"/>
  <c r="KZ77" i="22"/>
  <c r="KZ78" i="22"/>
  <c r="KZ79" i="22"/>
  <c r="KZ80" i="22"/>
  <c r="KZ81" i="22"/>
  <c r="KZ82" i="22"/>
  <c r="KZ83" i="22"/>
  <c r="KZ84" i="22"/>
  <c r="KZ85" i="22"/>
  <c r="KZ88" i="22"/>
  <c r="KZ89" i="22"/>
  <c r="BR12" i="33"/>
  <c r="BP12" i="33"/>
  <c r="BO12" i="33"/>
  <c r="BM12" i="33"/>
  <c r="BL12" i="33"/>
  <c r="BJ12" i="33"/>
  <c r="BI12" i="33"/>
  <c r="P54" i="34"/>
  <c r="P53" i="34"/>
  <c r="R61" i="34"/>
  <c r="R60" i="34"/>
  <c r="O54" i="34"/>
  <c r="Q54" i="34"/>
  <c r="N54" i="34"/>
  <c r="R54" i="34"/>
  <c r="N53" i="34"/>
  <c r="O53" i="34"/>
  <c r="Q53" i="34"/>
  <c r="R53" i="34"/>
  <c r="C70" i="34"/>
  <c r="GU94" i="23"/>
  <c r="GU95" i="23"/>
  <c r="GU96" i="23"/>
  <c r="GU97" i="23"/>
  <c r="GW94" i="23"/>
  <c r="GW95" i="23"/>
  <c r="GW96" i="23"/>
  <c r="GW97" i="23"/>
  <c r="GY94" i="23"/>
  <c r="GY95" i="23"/>
  <c r="GY96" i="23"/>
  <c r="GY97" i="23"/>
  <c r="HA94" i="23"/>
  <c r="HA95" i="23"/>
  <c r="HA96" i="23"/>
  <c r="HA97" i="23"/>
  <c r="HC94" i="23"/>
  <c r="HC95" i="23"/>
  <c r="HC96" i="23"/>
  <c r="HC97" i="23"/>
  <c r="HE94" i="23"/>
  <c r="HE95" i="23"/>
  <c r="HE96" i="23"/>
  <c r="HE97" i="23"/>
  <c r="HG94" i="23"/>
  <c r="HG95" i="23"/>
  <c r="HG96" i="23"/>
  <c r="HG97" i="23"/>
  <c r="HI94" i="23"/>
  <c r="HI95" i="23"/>
  <c r="HI96" i="23"/>
  <c r="HI97" i="23"/>
  <c r="HK94" i="23"/>
  <c r="HK95" i="23"/>
  <c r="HK96" i="23"/>
  <c r="HK97" i="23"/>
  <c r="HM94" i="23"/>
  <c r="HM95" i="23"/>
  <c r="HM96" i="23"/>
  <c r="HM97" i="23"/>
  <c r="HO94" i="23"/>
  <c r="HO95" i="23"/>
  <c r="HO96" i="23"/>
  <c r="HO97" i="23"/>
  <c r="HQ94" i="23"/>
  <c r="HQ95" i="23"/>
  <c r="HQ96" i="23"/>
  <c r="HQ97" i="23"/>
  <c r="HS94" i="23"/>
  <c r="HS95" i="23"/>
  <c r="HS96" i="23"/>
  <c r="HS97" i="23"/>
  <c r="HU94" i="23"/>
  <c r="HU95" i="23"/>
  <c r="HU96" i="23"/>
  <c r="HU97" i="23"/>
  <c r="HW94" i="23"/>
  <c r="HW95" i="23"/>
  <c r="HW96" i="23"/>
  <c r="HW97" i="23"/>
  <c r="BC9" i="33"/>
  <c r="HY94" i="23"/>
  <c r="HY95" i="23"/>
  <c r="HY96" i="23"/>
  <c r="HY97" i="23"/>
  <c r="IA94" i="23"/>
  <c r="IA95" i="23"/>
  <c r="IA96" i="23"/>
  <c r="IA97" i="23"/>
  <c r="IC94" i="23"/>
  <c r="IC95" i="23"/>
  <c r="IC96" i="23"/>
  <c r="IC97" i="23"/>
  <c r="IE94" i="23"/>
  <c r="IE95" i="23"/>
  <c r="IE96" i="23"/>
  <c r="IE97" i="23"/>
  <c r="IG94" i="23"/>
  <c r="IG95" i="23"/>
  <c r="IG96" i="23"/>
  <c r="IG97" i="23"/>
  <c r="II94" i="23"/>
  <c r="II95" i="23"/>
  <c r="II96" i="23"/>
  <c r="II97" i="23"/>
  <c r="IK94" i="23"/>
  <c r="IK95" i="23"/>
  <c r="IK96" i="23"/>
  <c r="IK97" i="23"/>
  <c r="IM94" i="23"/>
  <c r="IM95" i="23"/>
  <c r="IM96" i="23"/>
  <c r="IM97" i="23"/>
  <c r="IO94" i="23"/>
  <c r="IO95" i="23"/>
  <c r="IO96" i="23"/>
  <c r="IO97" i="23"/>
  <c r="BC10" i="33"/>
  <c r="GC94" i="23"/>
  <c r="GC95" i="23"/>
  <c r="GC96" i="23"/>
  <c r="GC97" i="23"/>
  <c r="GE94" i="23"/>
  <c r="GE95" i="23"/>
  <c r="GE96" i="23"/>
  <c r="GE97" i="23"/>
  <c r="GG94" i="23"/>
  <c r="GG95" i="23"/>
  <c r="GG96" i="23"/>
  <c r="GG97" i="23"/>
  <c r="GI94" i="23"/>
  <c r="GI95" i="23"/>
  <c r="GI96" i="23"/>
  <c r="GI97" i="23"/>
  <c r="GK94" i="23"/>
  <c r="GK95" i="23"/>
  <c r="GK96" i="23"/>
  <c r="GK97" i="23"/>
  <c r="GM94" i="23"/>
  <c r="GM95" i="23"/>
  <c r="GM96" i="23"/>
  <c r="GM97" i="23"/>
  <c r="GO94" i="23"/>
  <c r="GO95" i="23"/>
  <c r="GO96" i="23"/>
  <c r="GO97" i="23"/>
  <c r="GQ94" i="23"/>
  <c r="GQ95" i="23"/>
  <c r="GQ96" i="23"/>
  <c r="GQ97" i="23"/>
  <c r="GS94" i="23"/>
  <c r="GS95" i="23"/>
  <c r="GS96" i="23"/>
  <c r="GS97" i="23"/>
  <c r="BC11" i="33"/>
  <c r="GB94" i="23"/>
  <c r="GB95" i="23"/>
  <c r="GB96" i="23"/>
  <c r="GB97" i="23"/>
  <c r="GD94" i="23"/>
  <c r="GD95" i="23"/>
  <c r="GD96" i="23"/>
  <c r="GD97" i="23"/>
  <c r="GF94" i="23"/>
  <c r="GF95" i="23"/>
  <c r="GF96" i="23"/>
  <c r="GF97" i="23"/>
  <c r="GH94" i="23"/>
  <c r="GH95" i="23"/>
  <c r="GH96" i="23"/>
  <c r="GH97" i="23"/>
  <c r="GJ94" i="23"/>
  <c r="GJ95" i="23"/>
  <c r="GJ96" i="23"/>
  <c r="GJ97" i="23"/>
  <c r="GL94" i="23"/>
  <c r="GL95" i="23"/>
  <c r="GL96" i="23"/>
  <c r="GL97" i="23"/>
  <c r="GN94" i="23"/>
  <c r="GN95" i="23"/>
  <c r="GN96" i="23"/>
  <c r="GN97" i="23"/>
  <c r="GP94" i="23"/>
  <c r="GP95" i="23"/>
  <c r="GP96" i="23"/>
  <c r="GP97" i="23"/>
  <c r="GR94" i="23"/>
  <c r="GR95" i="23"/>
  <c r="GR96" i="23"/>
  <c r="GR97" i="23"/>
  <c r="BB11" i="33"/>
  <c r="HX94" i="23"/>
  <c r="HX95" i="23"/>
  <c r="HX96" i="23"/>
  <c r="HX97" i="23"/>
  <c r="IB94" i="23"/>
  <c r="IB95" i="23"/>
  <c r="IB96" i="23"/>
  <c r="IB97" i="23"/>
  <c r="ID94" i="23"/>
  <c r="ID95" i="23"/>
  <c r="ID96" i="23"/>
  <c r="ID97" i="23"/>
  <c r="IH94" i="23"/>
  <c r="IH95" i="23"/>
  <c r="IH96" i="23"/>
  <c r="IH97" i="23"/>
  <c r="IJ94" i="23"/>
  <c r="IJ95" i="23"/>
  <c r="IJ96" i="23"/>
  <c r="IJ97" i="23"/>
  <c r="IN94" i="23"/>
  <c r="IN95" i="23"/>
  <c r="IN96" i="23"/>
  <c r="IN97" i="23"/>
  <c r="HZ94" i="23"/>
  <c r="HZ95" i="23"/>
  <c r="HZ96" i="23"/>
  <c r="HZ97" i="23"/>
  <c r="IF94" i="23"/>
  <c r="IF95" i="23"/>
  <c r="IF96" i="23"/>
  <c r="IF97" i="23"/>
  <c r="IL94" i="23"/>
  <c r="IL95" i="23"/>
  <c r="IL96" i="23"/>
  <c r="IL97" i="23"/>
  <c r="BB10" i="33"/>
  <c r="GT94" i="23"/>
  <c r="GT95" i="23"/>
  <c r="GT96" i="23"/>
  <c r="GT97" i="23"/>
  <c r="GX94" i="23"/>
  <c r="GX95" i="23"/>
  <c r="GX96" i="23"/>
  <c r="GX97" i="23"/>
  <c r="GZ94" i="23"/>
  <c r="GZ95" i="23"/>
  <c r="GZ96" i="23"/>
  <c r="GZ97" i="23"/>
  <c r="HD94" i="23"/>
  <c r="HD95" i="23"/>
  <c r="HD96" i="23"/>
  <c r="HD97" i="23"/>
  <c r="HR94" i="23"/>
  <c r="HR95" i="23"/>
  <c r="HR96" i="23"/>
  <c r="HR97" i="23"/>
  <c r="HV94" i="23"/>
  <c r="HV95" i="23"/>
  <c r="HV96" i="23"/>
  <c r="HV97" i="23"/>
  <c r="GV94" i="23"/>
  <c r="GV95" i="23"/>
  <c r="GV96" i="23"/>
  <c r="GV97" i="23"/>
  <c r="HB94" i="23"/>
  <c r="HB95" i="23"/>
  <c r="HB96" i="23"/>
  <c r="HB97" i="23"/>
  <c r="HF94" i="23"/>
  <c r="HF95" i="23"/>
  <c r="HF96" i="23"/>
  <c r="HF97" i="23"/>
  <c r="HH94" i="23"/>
  <c r="HH95" i="23"/>
  <c r="HH96" i="23"/>
  <c r="HH97" i="23"/>
  <c r="HJ94" i="23"/>
  <c r="HJ95" i="23"/>
  <c r="HJ96" i="23"/>
  <c r="HJ97" i="23"/>
  <c r="HL94" i="23"/>
  <c r="HL95" i="23"/>
  <c r="HL96" i="23"/>
  <c r="HL97" i="23"/>
  <c r="HN94" i="23"/>
  <c r="HN95" i="23"/>
  <c r="HN96" i="23"/>
  <c r="HN97" i="23"/>
  <c r="HP94" i="23"/>
  <c r="HP95" i="23"/>
  <c r="HP96" i="23"/>
  <c r="HP97" i="23"/>
  <c r="HT94" i="23"/>
  <c r="HT95" i="23"/>
  <c r="HT96" i="23"/>
  <c r="HT97" i="23"/>
  <c r="BB9" i="33"/>
  <c r="N44" i="34"/>
  <c r="G44" i="34"/>
  <c r="N43" i="34"/>
  <c r="G43" i="34"/>
  <c r="N42" i="34"/>
  <c r="G42" i="34"/>
  <c r="N41" i="34"/>
  <c r="G41" i="34"/>
  <c r="N40" i="34"/>
  <c r="G40" i="34"/>
  <c r="N39" i="34"/>
  <c r="G39" i="34"/>
  <c r="N38" i="34"/>
  <c r="G38" i="34"/>
  <c r="N37" i="34"/>
  <c r="G37" i="34"/>
  <c r="N36" i="34"/>
  <c r="G36" i="34"/>
  <c r="N35" i="34"/>
  <c r="G35" i="34"/>
  <c r="N34" i="34"/>
  <c r="G34" i="34"/>
  <c r="N33" i="34"/>
  <c r="G33" i="34"/>
  <c r="N22" i="34"/>
  <c r="G22" i="34"/>
  <c r="N21" i="34"/>
  <c r="G21" i="34"/>
  <c r="N20" i="34"/>
  <c r="G20" i="34"/>
  <c r="N19" i="34"/>
  <c r="G19" i="34"/>
  <c r="N18" i="34"/>
  <c r="G18" i="34"/>
  <c r="N17" i="34"/>
  <c r="G17" i="34"/>
  <c r="N16" i="34"/>
  <c r="G16" i="34"/>
  <c r="N15" i="34"/>
  <c r="G15" i="34"/>
  <c r="N14" i="34"/>
  <c r="G14" i="34"/>
  <c r="N13" i="34"/>
  <c r="G13" i="34"/>
  <c r="N12" i="34"/>
  <c r="G12" i="34"/>
  <c r="N11" i="34"/>
  <c r="G11" i="34"/>
  <c r="AF20" i="30"/>
  <c r="AF19" i="30"/>
  <c r="AF18" i="30"/>
  <c r="AF17" i="30"/>
  <c r="AF16" i="30"/>
  <c r="AF15" i="30"/>
  <c r="AF14" i="30"/>
  <c r="AF13" i="30"/>
  <c r="AF12" i="30"/>
  <c r="AF11" i="30"/>
  <c r="AF10" i="30"/>
  <c r="AF9" i="30"/>
  <c r="Y10" i="30"/>
  <c r="Y11" i="30"/>
  <c r="Y12" i="30"/>
  <c r="Y13" i="30"/>
  <c r="Y14" i="30"/>
  <c r="Y15" i="30"/>
  <c r="Y16" i="30"/>
  <c r="Y17" i="30"/>
  <c r="Y18" i="30"/>
  <c r="Y19" i="30"/>
  <c r="Y20" i="30"/>
  <c r="Y9" i="30"/>
  <c r="I151" i="25"/>
  <c r="I153" i="25"/>
  <c r="I154" i="25"/>
  <c r="I155" i="25"/>
  <c r="I156" i="25"/>
  <c r="I150" i="25"/>
  <c r="I115" i="25"/>
  <c r="I133" i="25"/>
  <c r="I130" i="25"/>
  <c r="I129" i="25"/>
  <c r="I121" i="25"/>
  <c r="I120" i="25"/>
  <c r="I119" i="25"/>
  <c r="I118" i="25"/>
  <c r="I117" i="25"/>
  <c r="I116" i="25"/>
  <c r="E42" i="33"/>
  <c r="E51" i="33"/>
  <c r="E47" i="33"/>
  <c r="E46" i="33"/>
  <c r="E37" i="33"/>
  <c r="E35" i="33"/>
  <c r="I86" i="22"/>
  <c r="D10" i="33"/>
  <c r="I87" i="22"/>
  <c r="F10" i="33"/>
  <c r="J10" i="33"/>
  <c r="G86" i="22"/>
  <c r="D9" i="33"/>
  <c r="G87" i="22"/>
  <c r="F9" i="33"/>
  <c r="J9" i="33"/>
  <c r="J86" i="22"/>
  <c r="C11" i="33"/>
  <c r="J87" i="22"/>
  <c r="E11" i="33"/>
  <c r="I11" i="33"/>
  <c r="H86" i="22"/>
  <c r="C10" i="33"/>
  <c r="H87" i="22"/>
  <c r="E10" i="33"/>
  <c r="I10" i="33"/>
  <c r="F86" i="22"/>
  <c r="C9" i="33"/>
  <c r="F87" i="22"/>
  <c r="E9" i="33"/>
  <c r="I9" i="33"/>
  <c r="J28" i="33"/>
  <c r="I28" i="33"/>
  <c r="J23" i="33"/>
  <c r="J27" i="33"/>
  <c r="I23" i="33"/>
  <c r="I27" i="33"/>
  <c r="J26" i="33"/>
  <c r="I26" i="33"/>
  <c r="J17" i="33"/>
  <c r="I17" i="33"/>
  <c r="K88" i="22"/>
  <c r="J11" i="33"/>
  <c r="H11" i="33"/>
  <c r="J88" i="22"/>
  <c r="G11" i="33"/>
  <c r="I88" i="22"/>
  <c r="H10" i="33"/>
  <c r="H88" i="22"/>
  <c r="G10" i="33"/>
  <c r="G88" i="22"/>
  <c r="H9" i="33"/>
  <c r="F88" i="22"/>
  <c r="G9" i="33"/>
  <c r="K87" i="22"/>
  <c r="F11" i="33"/>
  <c r="H28" i="33"/>
  <c r="G28" i="33"/>
  <c r="H23" i="33"/>
  <c r="H27" i="33"/>
  <c r="G23" i="33"/>
  <c r="G27" i="33"/>
  <c r="H26" i="33"/>
  <c r="G26" i="33"/>
  <c r="H17" i="33"/>
  <c r="G17" i="33"/>
  <c r="F28" i="33"/>
  <c r="E28" i="33"/>
  <c r="F23" i="33"/>
  <c r="F27" i="33"/>
  <c r="E23" i="33"/>
  <c r="E27" i="33"/>
  <c r="F26" i="33"/>
  <c r="E26" i="33"/>
  <c r="F17" i="33"/>
  <c r="E17" i="33"/>
  <c r="K86" i="22"/>
  <c r="D11" i="33"/>
  <c r="D28" i="33"/>
  <c r="C28" i="33"/>
  <c r="D23" i="33"/>
  <c r="D27" i="33"/>
  <c r="C23" i="33"/>
  <c r="C27" i="33"/>
  <c r="D26" i="33"/>
  <c r="C26" i="33"/>
  <c r="D17" i="33"/>
  <c r="C17" i="33"/>
  <c r="K89" i="22"/>
  <c r="N11" i="33"/>
  <c r="I89" i="22"/>
  <c r="N10" i="33"/>
  <c r="G89" i="22"/>
  <c r="N9" i="33"/>
  <c r="J89" i="22"/>
  <c r="M11" i="33"/>
  <c r="H89" i="22"/>
  <c r="M10" i="33"/>
  <c r="F89" i="22"/>
  <c r="M9" i="33"/>
  <c r="HW86" i="22"/>
  <c r="HW87" i="22"/>
  <c r="HW88" i="22"/>
  <c r="HW89" i="22"/>
  <c r="HV86" i="22"/>
  <c r="HV87" i="22"/>
  <c r="HV88" i="22"/>
  <c r="HV89" i="22"/>
  <c r="HU86" i="22"/>
  <c r="HU87" i="22"/>
  <c r="HU88" i="22"/>
  <c r="HU89" i="22"/>
  <c r="HT86" i="22"/>
  <c r="HT87" i="22"/>
  <c r="HT88" i="22"/>
  <c r="HT89" i="22"/>
  <c r="HS86" i="22"/>
  <c r="HS87" i="22"/>
  <c r="HS88" i="22"/>
  <c r="HS89" i="22"/>
  <c r="HQ86" i="22"/>
  <c r="HQ87" i="22"/>
  <c r="HQ88" i="22"/>
  <c r="HQ89" i="22"/>
  <c r="HP86" i="22"/>
  <c r="HP87" i="22"/>
  <c r="HP88" i="22"/>
  <c r="HP89" i="22"/>
  <c r="HO86" i="22"/>
  <c r="HO87" i="22"/>
  <c r="HO88" i="22"/>
  <c r="HO89" i="22"/>
  <c r="HN86" i="22"/>
  <c r="HN87" i="22"/>
  <c r="HN88" i="22"/>
  <c r="HN89" i="22"/>
  <c r="HM86" i="22"/>
  <c r="HM87" i="22"/>
  <c r="HM88" i="22"/>
  <c r="HM89" i="22"/>
  <c r="HL86" i="22"/>
  <c r="HL87" i="22"/>
  <c r="HL88" i="22"/>
  <c r="HL89" i="22"/>
  <c r="HK86" i="22"/>
  <c r="HK87" i="22"/>
  <c r="HK88" i="22"/>
  <c r="HK89" i="22"/>
  <c r="HJ86" i="22"/>
  <c r="HJ87" i="22"/>
  <c r="HJ88" i="22"/>
  <c r="HJ89" i="22"/>
  <c r="HI86" i="22"/>
  <c r="HI87" i="22"/>
  <c r="HI88" i="22"/>
  <c r="HI89" i="22"/>
  <c r="HH86" i="22"/>
  <c r="HH87" i="22"/>
  <c r="HH88" i="22"/>
  <c r="HH89" i="22"/>
  <c r="HG86" i="22"/>
  <c r="HG87" i="22"/>
  <c r="HG88" i="22"/>
  <c r="HG89" i="22"/>
  <c r="HF86" i="22"/>
  <c r="HF87" i="22"/>
  <c r="HF88" i="22"/>
  <c r="HF89" i="22"/>
  <c r="HD86" i="22"/>
  <c r="HD66" i="22"/>
  <c r="HD67" i="22"/>
  <c r="HD68" i="22"/>
  <c r="HD69" i="22"/>
  <c r="HD70" i="22"/>
  <c r="HD87" i="22"/>
  <c r="HD71" i="22"/>
  <c r="HD72" i="22"/>
  <c r="HD73" i="22"/>
  <c r="HD74" i="22"/>
  <c r="HD75" i="22"/>
  <c r="HD76" i="22"/>
  <c r="HD77" i="22"/>
  <c r="HD78" i="22"/>
  <c r="HD79" i="22"/>
  <c r="HD80" i="22"/>
  <c r="HD81" i="22"/>
  <c r="HD82" i="22"/>
  <c r="HD83" i="22"/>
  <c r="HD84" i="22"/>
  <c r="HD85" i="22"/>
  <c r="HD88" i="22"/>
  <c r="HD89" i="22"/>
  <c r="HC86" i="22"/>
  <c r="HC66" i="22"/>
  <c r="HC67" i="22"/>
  <c r="HC68" i="22"/>
  <c r="HC69" i="22"/>
  <c r="HC70" i="22"/>
  <c r="HC87" i="22"/>
  <c r="HC71" i="22"/>
  <c r="HC72" i="22"/>
  <c r="HC73" i="22"/>
  <c r="HC74" i="22"/>
  <c r="HC75" i="22"/>
  <c r="HC76" i="22"/>
  <c r="HC77" i="22"/>
  <c r="HC78" i="22"/>
  <c r="HC79" i="22"/>
  <c r="HC80" i="22"/>
  <c r="HC81" i="22"/>
  <c r="HC82" i="22"/>
  <c r="HC83" i="22"/>
  <c r="HC84" i="22"/>
  <c r="HC85" i="22"/>
  <c r="HC88" i="22"/>
  <c r="HC89" i="22"/>
  <c r="HB86" i="22"/>
  <c r="HB87" i="22"/>
  <c r="HB88" i="22"/>
  <c r="HB89" i="22"/>
  <c r="HA86" i="22"/>
  <c r="HA87" i="22"/>
  <c r="HA88" i="22"/>
  <c r="HA89" i="22"/>
  <c r="GZ86" i="22"/>
  <c r="GZ87" i="22"/>
  <c r="GZ88" i="22"/>
  <c r="GZ89" i="22"/>
  <c r="GY86" i="22"/>
  <c r="GY87" i="22"/>
  <c r="GY88" i="22"/>
  <c r="GY89" i="22"/>
  <c r="GX86" i="22"/>
  <c r="GX87" i="22"/>
  <c r="GX88" i="22"/>
  <c r="GX89" i="22"/>
  <c r="GW86" i="22"/>
  <c r="GW87" i="22"/>
  <c r="GW88" i="22"/>
  <c r="GW89" i="22"/>
  <c r="GV86" i="22"/>
  <c r="GV87" i="22"/>
  <c r="GV88" i="22"/>
  <c r="GV89" i="22"/>
  <c r="GU86" i="22"/>
  <c r="GU87" i="22"/>
  <c r="GU88" i="22"/>
  <c r="GU89" i="22"/>
  <c r="GT86" i="22"/>
  <c r="GT87" i="22"/>
  <c r="GT88" i="22"/>
  <c r="GT89" i="22"/>
  <c r="GS86" i="22"/>
  <c r="GS87" i="22"/>
  <c r="GS88" i="22"/>
  <c r="GS89" i="22"/>
  <c r="GR86" i="22"/>
  <c r="GR87" i="22"/>
  <c r="GR88" i="22"/>
  <c r="GR89" i="22"/>
  <c r="GQ86" i="22"/>
  <c r="GQ87" i="22"/>
  <c r="GQ88" i="22"/>
  <c r="GQ89" i="22"/>
  <c r="GP86" i="22"/>
  <c r="GP66" i="22"/>
  <c r="GP67" i="22"/>
  <c r="GP68" i="22"/>
  <c r="GP69" i="22"/>
  <c r="GP70" i="22"/>
  <c r="GP87" i="22"/>
  <c r="GP71" i="22"/>
  <c r="GP72" i="22"/>
  <c r="GP73" i="22"/>
  <c r="GP74" i="22"/>
  <c r="GP75" i="22"/>
  <c r="GP76" i="22"/>
  <c r="GP77" i="22"/>
  <c r="GP78" i="22"/>
  <c r="GP79" i="22"/>
  <c r="GP80" i="22"/>
  <c r="GP81" i="22"/>
  <c r="GP82" i="22"/>
  <c r="GP83" i="22"/>
  <c r="GP84" i="22"/>
  <c r="GP85" i="22"/>
  <c r="GP88" i="22"/>
  <c r="GP89" i="22"/>
  <c r="GO86" i="22"/>
  <c r="GO66" i="22"/>
  <c r="GO67" i="22"/>
  <c r="GO68" i="22"/>
  <c r="GO69" i="22"/>
  <c r="GO70" i="22"/>
  <c r="GO87" i="22"/>
  <c r="GO71" i="22"/>
  <c r="GO72" i="22"/>
  <c r="GO73" i="22"/>
  <c r="GO74" i="22"/>
  <c r="GO75" i="22"/>
  <c r="GO76" i="22"/>
  <c r="GO77" i="22"/>
  <c r="GO78" i="22"/>
  <c r="GO79" i="22"/>
  <c r="GO80" i="22"/>
  <c r="GO81" i="22"/>
  <c r="GO82" i="22"/>
  <c r="GO83" i="22"/>
  <c r="GO84" i="22"/>
  <c r="GO85" i="22"/>
  <c r="GO88" i="22"/>
  <c r="GO89" i="22"/>
  <c r="GN86" i="22"/>
  <c r="GN87" i="22"/>
  <c r="GN88" i="22"/>
  <c r="GN89" i="22"/>
  <c r="GM86" i="22"/>
  <c r="GM87" i="22"/>
  <c r="GM88" i="22"/>
  <c r="GM89" i="22"/>
  <c r="GL86" i="22"/>
  <c r="GL87" i="22"/>
  <c r="GL88" i="22"/>
  <c r="GL89" i="22"/>
  <c r="GK86" i="22"/>
  <c r="GK87" i="22"/>
  <c r="GK88" i="22"/>
  <c r="GK89" i="22"/>
  <c r="GJ86" i="22"/>
  <c r="GJ87" i="22"/>
  <c r="GJ88" i="22"/>
  <c r="GJ89" i="22"/>
  <c r="GI86" i="22"/>
  <c r="GI87" i="22"/>
  <c r="GI88" i="22"/>
  <c r="GI89" i="22"/>
  <c r="GH86" i="22"/>
  <c r="GH87" i="22"/>
  <c r="GH88" i="22"/>
  <c r="GH89" i="22"/>
  <c r="GG86" i="22"/>
  <c r="GG87" i="22"/>
  <c r="GG88" i="22"/>
  <c r="GG89" i="22"/>
  <c r="GF86" i="22"/>
  <c r="GF87" i="22"/>
  <c r="GF88" i="22"/>
  <c r="GF89" i="22"/>
  <c r="GE86" i="22"/>
  <c r="GE87" i="22"/>
  <c r="GE88" i="22"/>
  <c r="GE89" i="22"/>
  <c r="GD86" i="22"/>
  <c r="GD87" i="22"/>
  <c r="GD88" i="22"/>
  <c r="GD89" i="22"/>
  <c r="GC86" i="22"/>
  <c r="GC87" i="22"/>
  <c r="GC88" i="22"/>
  <c r="GC89" i="22"/>
  <c r="FI86" i="22"/>
  <c r="FI87" i="22"/>
  <c r="FI88" i="22"/>
  <c r="FI89" i="22"/>
  <c r="FH86" i="22"/>
  <c r="FH87" i="22"/>
  <c r="FH88" i="22"/>
  <c r="FH89" i="22"/>
  <c r="FG86" i="22"/>
  <c r="FG87" i="22"/>
  <c r="FG88" i="22"/>
  <c r="FG89" i="22"/>
  <c r="FF86" i="22"/>
  <c r="FF87" i="22"/>
  <c r="FF88" i="22"/>
  <c r="FF89" i="22"/>
  <c r="FE86" i="22"/>
  <c r="FE87" i="22"/>
  <c r="FE88" i="22"/>
  <c r="FE89" i="22"/>
  <c r="FD86" i="22"/>
  <c r="FD87" i="22"/>
  <c r="FD88" i="22"/>
  <c r="FD89" i="22"/>
  <c r="FC86" i="22"/>
  <c r="FC87" i="22"/>
  <c r="FC88" i="22"/>
  <c r="FC89" i="22"/>
  <c r="FB86" i="22"/>
  <c r="FB87" i="22"/>
  <c r="FB88" i="22"/>
  <c r="FB89" i="22"/>
  <c r="FA86" i="22"/>
  <c r="FA87" i="22"/>
  <c r="FA88" i="22"/>
  <c r="FA89" i="22"/>
  <c r="EZ86" i="22"/>
  <c r="EZ87" i="22"/>
  <c r="EZ88" i="22"/>
  <c r="EZ89" i="22"/>
  <c r="EY86" i="22"/>
  <c r="EY87" i="22"/>
  <c r="EY88" i="22"/>
  <c r="EY89" i="22"/>
  <c r="EX86" i="22"/>
  <c r="EX87" i="22"/>
  <c r="EX88" i="22"/>
  <c r="EX89" i="22"/>
  <c r="EW86" i="22"/>
  <c r="EW87" i="22"/>
  <c r="EW88" i="22"/>
  <c r="EW89" i="22"/>
  <c r="EV86" i="22"/>
  <c r="EV87" i="22"/>
  <c r="EV88" i="22"/>
  <c r="EV89" i="22"/>
  <c r="EU86" i="22"/>
  <c r="EU87" i="22"/>
  <c r="BS71" i="22"/>
  <c r="EU71" i="22"/>
  <c r="BS72" i="22"/>
  <c r="EU72" i="22"/>
  <c r="BS73" i="22"/>
  <c r="EU73" i="22"/>
  <c r="BS74" i="22"/>
  <c r="EU74" i="22"/>
  <c r="BS75" i="22"/>
  <c r="EU75" i="22"/>
  <c r="BS76" i="22"/>
  <c r="EU76" i="22"/>
  <c r="BS77" i="22"/>
  <c r="EU77" i="22"/>
  <c r="BS78" i="22"/>
  <c r="EU78" i="22"/>
  <c r="BS79" i="22"/>
  <c r="EU79" i="22"/>
  <c r="BS80" i="22"/>
  <c r="EU80" i="22"/>
  <c r="BS81" i="22"/>
  <c r="EU81" i="22"/>
  <c r="BS82" i="22"/>
  <c r="EU82" i="22"/>
  <c r="BS83" i="22"/>
  <c r="EU83" i="22"/>
  <c r="BS84" i="22"/>
  <c r="EU84" i="22"/>
  <c r="BS85" i="22"/>
  <c r="EU85" i="22"/>
  <c r="EU88" i="22"/>
  <c r="EU89" i="22"/>
  <c r="ET86" i="22"/>
  <c r="ET87" i="22"/>
  <c r="BR71" i="22"/>
  <c r="ET71" i="22"/>
  <c r="BR72" i="22"/>
  <c r="ET72" i="22"/>
  <c r="BR73" i="22"/>
  <c r="ET73" i="22"/>
  <c r="BR74" i="22"/>
  <c r="ET74" i="22"/>
  <c r="BR75" i="22"/>
  <c r="ET75" i="22"/>
  <c r="BR76" i="22"/>
  <c r="ET76" i="22"/>
  <c r="BR77" i="22"/>
  <c r="ET77" i="22"/>
  <c r="BR78" i="22"/>
  <c r="ET78" i="22"/>
  <c r="BR79" i="22"/>
  <c r="ET79" i="22"/>
  <c r="BR80" i="22"/>
  <c r="ET80" i="22"/>
  <c r="BR81" i="22"/>
  <c r="ET81" i="22"/>
  <c r="BR82" i="22"/>
  <c r="ET82" i="22"/>
  <c r="BR83" i="22"/>
  <c r="ET83" i="22"/>
  <c r="BR84" i="22"/>
  <c r="ET84" i="22"/>
  <c r="BR85" i="22"/>
  <c r="ET85" i="22"/>
  <c r="ET88" i="22"/>
  <c r="ET89" i="22"/>
  <c r="ES86" i="22"/>
  <c r="ES87" i="22"/>
  <c r="ES88" i="22"/>
  <c r="ES89" i="22"/>
  <c r="ER86" i="22"/>
  <c r="ER87" i="22"/>
  <c r="ER88" i="22"/>
  <c r="ER89" i="22"/>
  <c r="EQ86" i="22"/>
  <c r="EQ87" i="22"/>
  <c r="EQ88" i="22"/>
  <c r="EQ89" i="22"/>
  <c r="EP86" i="22"/>
  <c r="EP87" i="22"/>
  <c r="EP88" i="22"/>
  <c r="EP89" i="22"/>
  <c r="EN86" i="22"/>
  <c r="EN66" i="22"/>
  <c r="EN67" i="22"/>
  <c r="EN68" i="22"/>
  <c r="EN69" i="22"/>
  <c r="EN70" i="22"/>
  <c r="EN87" i="22"/>
  <c r="EN71" i="22"/>
  <c r="EN72" i="22"/>
  <c r="EN73" i="22"/>
  <c r="EN74" i="22"/>
  <c r="EN75" i="22"/>
  <c r="EN76" i="22"/>
  <c r="EN77" i="22"/>
  <c r="EN78" i="22"/>
  <c r="EN79" i="22"/>
  <c r="EN80" i="22"/>
  <c r="EN81" i="22"/>
  <c r="EN82" i="22"/>
  <c r="EN83" i="22"/>
  <c r="EN84" i="22"/>
  <c r="EN85" i="22"/>
  <c r="EN88" i="22"/>
  <c r="EN89" i="22"/>
  <c r="EM86" i="22"/>
  <c r="EM66" i="22"/>
  <c r="EM67" i="22"/>
  <c r="EM68" i="22"/>
  <c r="EM69" i="22"/>
  <c r="EM70" i="22"/>
  <c r="EM87" i="22"/>
  <c r="EM71" i="22"/>
  <c r="EM72" i="22"/>
  <c r="EM73" i="22"/>
  <c r="EM74" i="22"/>
  <c r="EM75" i="22"/>
  <c r="EM76" i="22"/>
  <c r="EM77" i="22"/>
  <c r="EM78" i="22"/>
  <c r="EM79" i="22"/>
  <c r="EM80" i="22"/>
  <c r="EM81" i="22"/>
  <c r="EM82" i="22"/>
  <c r="EM83" i="22"/>
  <c r="EM84" i="22"/>
  <c r="EM85" i="22"/>
  <c r="EM88" i="22"/>
  <c r="EM89" i="22"/>
  <c r="EL86" i="22"/>
  <c r="EL87" i="22"/>
  <c r="EL88" i="22"/>
  <c r="EL89" i="22"/>
  <c r="EK86" i="22"/>
  <c r="EK87" i="22"/>
  <c r="EK88" i="22"/>
  <c r="EK89" i="22"/>
  <c r="EJ86" i="22"/>
  <c r="EJ87" i="22"/>
  <c r="EJ88" i="22"/>
  <c r="EJ89" i="22"/>
  <c r="EI86" i="22"/>
  <c r="EI87" i="22"/>
  <c r="EI88" i="22"/>
  <c r="EI89" i="22"/>
  <c r="EH86" i="22"/>
  <c r="EH87" i="22"/>
  <c r="EH88" i="22"/>
  <c r="EH89" i="22"/>
  <c r="EG86" i="22"/>
  <c r="EG87" i="22"/>
  <c r="EG88" i="22"/>
  <c r="EG89" i="22"/>
  <c r="EF86" i="22"/>
  <c r="EF87" i="22"/>
  <c r="EF88" i="22"/>
  <c r="EF89" i="22"/>
  <c r="EE86" i="22"/>
  <c r="EE87" i="22"/>
  <c r="EE88" i="22"/>
  <c r="EE89" i="22"/>
  <c r="ED86" i="22"/>
  <c r="ED87" i="22"/>
  <c r="ED88" i="22"/>
  <c r="ED89" i="22"/>
  <c r="EC86" i="22"/>
  <c r="EC87" i="22"/>
  <c r="EC88" i="22"/>
  <c r="EC89" i="22"/>
  <c r="EB86" i="22"/>
  <c r="EB87" i="22"/>
  <c r="EB88" i="22"/>
  <c r="EB89" i="22"/>
  <c r="EA86" i="22"/>
  <c r="EA87" i="22"/>
  <c r="EA88" i="22"/>
  <c r="EA89" i="22"/>
  <c r="DO88" i="22"/>
  <c r="DO89" i="22"/>
  <c r="DN88" i="22"/>
  <c r="DN89" i="22"/>
  <c r="DM88" i="22"/>
  <c r="DM89" i="22"/>
  <c r="DL88" i="22"/>
  <c r="DL89" i="22"/>
  <c r="DH86" i="22"/>
  <c r="DH66" i="22"/>
  <c r="DH67" i="22"/>
  <c r="DH68" i="22"/>
  <c r="DH69" i="22"/>
  <c r="DH70" i="22"/>
  <c r="DH87" i="22"/>
  <c r="DH71" i="22"/>
  <c r="DH72" i="22"/>
  <c r="DH73" i="22"/>
  <c r="DH74" i="22"/>
  <c r="DH75" i="22"/>
  <c r="DH76" i="22"/>
  <c r="DH77" i="22"/>
  <c r="DH78" i="22"/>
  <c r="DH79" i="22"/>
  <c r="DH80" i="22"/>
  <c r="DH81" i="22"/>
  <c r="DH82" i="22"/>
  <c r="DH83" i="22"/>
  <c r="DH84" i="22"/>
  <c r="DH85" i="22"/>
  <c r="DH88" i="22"/>
  <c r="DH89" i="22"/>
  <c r="DG86" i="22"/>
  <c r="DG66" i="22"/>
  <c r="DG67" i="22"/>
  <c r="DG68" i="22"/>
  <c r="DG69" i="22"/>
  <c r="DG70" i="22"/>
  <c r="DG87" i="22"/>
  <c r="DG71" i="22"/>
  <c r="DG72" i="22"/>
  <c r="DG73" i="22"/>
  <c r="DG74" i="22"/>
  <c r="DG75" i="22"/>
  <c r="DG76" i="22"/>
  <c r="DG77" i="22"/>
  <c r="DG78" i="22"/>
  <c r="DG79" i="22"/>
  <c r="DG80" i="22"/>
  <c r="DG81" i="22"/>
  <c r="DG82" i="22"/>
  <c r="DG83" i="22"/>
  <c r="DG84" i="22"/>
  <c r="DG85" i="22"/>
  <c r="DG88" i="22"/>
  <c r="DG89" i="22"/>
  <c r="DF86" i="22"/>
  <c r="DF66" i="22"/>
  <c r="DF67" i="22"/>
  <c r="DF68" i="22"/>
  <c r="DF69" i="22"/>
  <c r="DF70" i="22"/>
  <c r="DF87" i="22"/>
  <c r="DF71" i="22"/>
  <c r="DF72" i="22"/>
  <c r="DF73" i="22"/>
  <c r="DF74" i="22"/>
  <c r="DF75" i="22"/>
  <c r="DF76" i="22"/>
  <c r="DF77" i="22"/>
  <c r="DF78" i="22"/>
  <c r="DF79" i="22"/>
  <c r="DF80" i="22"/>
  <c r="DF81" i="22"/>
  <c r="DF82" i="22"/>
  <c r="DF83" i="22"/>
  <c r="DF84" i="22"/>
  <c r="DF85" i="22"/>
  <c r="DF88" i="22"/>
  <c r="DF89" i="22"/>
  <c r="DE86" i="22"/>
  <c r="DE66" i="22"/>
  <c r="DE67" i="22"/>
  <c r="DE68" i="22"/>
  <c r="DE69" i="22"/>
  <c r="DE70" i="22"/>
  <c r="DE87" i="22"/>
  <c r="DE71" i="22"/>
  <c r="DE72" i="22"/>
  <c r="DE73" i="22"/>
  <c r="DE74" i="22"/>
  <c r="DE75" i="22"/>
  <c r="DE76" i="22"/>
  <c r="DE77" i="22"/>
  <c r="DE78" i="22"/>
  <c r="DE79" i="22"/>
  <c r="DE80" i="22"/>
  <c r="DE81" i="22"/>
  <c r="DE82" i="22"/>
  <c r="DE83" i="22"/>
  <c r="DE84" i="22"/>
  <c r="DE85" i="22"/>
  <c r="DE88" i="22"/>
  <c r="DE89" i="22"/>
  <c r="DD86" i="22"/>
  <c r="DD87" i="22"/>
  <c r="DD88" i="22"/>
  <c r="DD89" i="22"/>
  <c r="DC86" i="22"/>
  <c r="DC87" i="22"/>
  <c r="DC88" i="22"/>
  <c r="DC89" i="22"/>
  <c r="DB86" i="22"/>
  <c r="DB87" i="22"/>
  <c r="DB88" i="22"/>
  <c r="DB89" i="22"/>
  <c r="DA86" i="22"/>
  <c r="DA87" i="22"/>
  <c r="DA88" i="22"/>
  <c r="DA89" i="22"/>
  <c r="CZ86" i="22"/>
  <c r="CZ87" i="22"/>
  <c r="CZ88" i="22"/>
  <c r="CZ89" i="22"/>
  <c r="CY86" i="22"/>
  <c r="CY87" i="22"/>
  <c r="CY88" i="22"/>
  <c r="CY89" i="22"/>
  <c r="CX86" i="22"/>
  <c r="CX87" i="22"/>
  <c r="CX88" i="22"/>
  <c r="CX89" i="22"/>
  <c r="CW86" i="22"/>
  <c r="CW87" i="22"/>
  <c r="CW88" i="22"/>
  <c r="CW89" i="22"/>
  <c r="CR86" i="22"/>
  <c r="CR66" i="22"/>
  <c r="CR67" i="22"/>
  <c r="CR68" i="22"/>
  <c r="CR69" i="22"/>
  <c r="CR70" i="22"/>
  <c r="CR87" i="22"/>
  <c r="CR71" i="22"/>
  <c r="CR72" i="22"/>
  <c r="CR73" i="22"/>
  <c r="CR74" i="22"/>
  <c r="CR75" i="22"/>
  <c r="CR76" i="22"/>
  <c r="CR77" i="22"/>
  <c r="CR78" i="22"/>
  <c r="CR79" i="22"/>
  <c r="CR80" i="22"/>
  <c r="CR81" i="22"/>
  <c r="CR82" i="22"/>
  <c r="CR83" i="22"/>
  <c r="CR84" i="22"/>
  <c r="CR85" i="22"/>
  <c r="CR88" i="22"/>
  <c r="CR89" i="22"/>
  <c r="CQ86" i="22"/>
  <c r="CQ66" i="22"/>
  <c r="CQ67" i="22"/>
  <c r="CQ68" i="22"/>
  <c r="CQ69" i="22"/>
  <c r="CQ70" i="22"/>
  <c r="CQ87" i="22"/>
  <c r="CQ71" i="22"/>
  <c r="CQ72" i="22"/>
  <c r="CQ73" i="22"/>
  <c r="CQ74" i="22"/>
  <c r="CQ75" i="22"/>
  <c r="CQ76" i="22"/>
  <c r="CQ77" i="22"/>
  <c r="CQ78" i="22"/>
  <c r="CQ79" i="22"/>
  <c r="CQ80" i="22"/>
  <c r="CQ81" i="22"/>
  <c r="CQ82" i="22"/>
  <c r="CQ83" i="22"/>
  <c r="CQ84" i="22"/>
  <c r="CQ85" i="22"/>
  <c r="CQ88" i="22"/>
  <c r="CQ89" i="22"/>
  <c r="CP86" i="22"/>
  <c r="CP87" i="22"/>
  <c r="CP88" i="22"/>
  <c r="CP89" i="22"/>
  <c r="CO86" i="22"/>
  <c r="CO87" i="22"/>
  <c r="CO88" i="22"/>
  <c r="CO89" i="22"/>
  <c r="CN86" i="22"/>
  <c r="CN87" i="22"/>
  <c r="CN88" i="22"/>
  <c r="CN89" i="22"/>
  <c r="CM86" i="22"/>
  <c r="CM87" i="22"/>
  <c r="CM88" i="22"/>
  <c r="CM89" i="22"/>
  <c r="CK86" i="22"/>
  <c r="CK87" i="22"/>
  <c r="CK88" i="22"/>
  <c r="CK89" i="22"/>
  <c r="CJ86" i="22"/>
  <c r="CJ87" i="22"/>
  <c r="CJ88" i="22"/>
  <c r="CJ89" i="22"/>
  <c r="CI86" i="22"/>
  <c r="CI87" i="22"/>
  <c r="CI88" i="22"/>
  <c r="CI89" i="22"/>
  <c r="CH86" i="22"/>
  <c r="CH87" i="22"/>
  <c r="CH88" i="22"/>
  <c r="CH89" i="22"/>
  <c r="CG86" i="22"/>
  <c r="CG87" i="22"/>
  <c r="CG88" i="22"/>
  <c r="CG89" i="22"/>
  <c r="CF86" i="22"/>
  <c r="CF87" i="22"/>
  <c r="CF88" i="22"/>
  <c r="CF89" i="22"/>
  <c r="CE86" i="22"/>
  <c r="CE66" i="22"/>
  <c r="CE67" i="22"/>
  <c r="CE68" i="22"/>
  <c r="CE69" i="22"/>
  <c r="CE70" i="22"/>
  <c r="CE87" i="22"/>
  <c r="CE71" i="22"/>
  <c r="CE72" i="22"/>
  <c r="CE73" i="22"/>
  <c r="CE74" i="22"/>
  <c r="CE75" i="22"/>
  <c r="CE76" i="22"/>
  <c r="CE77" i="22"/>
  <c r="CE78" i="22"/>
  <c r="CE79" i="22"/>
  <c r="CE80" i="22"/>
  <c r="CE81" i="22"/>
  <c r="CE82" i="22"/>
  <c r="CE83" i="22"/>
  <c r="CE84" i="22"/>
  <c r="CE85" i="22"/>
  <c r="CE88" i="22"/>
  <c r="CE89" i="22"/>
  <c r="CD86" i="22"/>
  <c r="CD66" i="22"/>
  <c r="CD67" i="22"/>
  <c r="CD68" i="22"/>
  <c r="CD69" i="22"/>
  <c r="CD70" i="22"/>
  <c r="CD87" i="22"/>
  <c r="CD71" i="22"/>
  <c r="CD72" i="22"/>
  <c r="CD73" i="22"/>
  <c r="CD74" i="22"/>
  <c r="CD75" i="22"/>
  <c r="CD76" i="22"/>
  <c r="CD77" i="22"/>
  <c r="CD78" i="22"/>
  <c r="CD79" i="22"/>
  <c r="CD80" i="22"/>
  <c r="CD81" i="22"/>
  <c r="CD82" i="22"/>
  <c r="CD83" i="22"/>
  <c r="CD84" i="22"/>
  <c r="CD85" i="22"/>
  <c r="CD88" i="22"/>
  <c r="CD89" i="22"/>
  <c r="CC86" i="22"/>
  <c r="CC66" i="22"/>
  <c r="CC67" i="22"/>
  <c r="CC68" i="22"/>
  <c r="CC69" i="22"/>
  <c r="CC70" i="22"/>
  <c r="CC87" i="22"/>
  <c r="CC71" i="22"/>
  <c r="CC72" i="22"/>
  <c r="CC73" i="22"/>
  <c r="CC74" i="22"/>
  <c r="CC75" i="22"/>
  <c r="CC76" i="22"/>
  <c r="CC77" i="22"/>
  <c r="CC78" i="22"/>
  <c r="CC79" i="22"/>
  <c r="CC80" i="22"/>
  <c r="CC81" i="22"/>
  <c r="CC82" i="22"/>
  <c r="CC83" i="22"/>
  <c r="CC84" i="22"/>
  <c r="CC85" i="22"/>
  <c r="CC88" i="22"/>
  <c r="CC89" i="22"/>
  <c r="CB86" i="22"/>
  <c r="CB66" i="22"/>
  <c r="CB67" i="22"/>
  <c r="CB68" i="22"/>
  <c r="CB69" i="22"/>
  <c r="CB70" i="22"/>
  <c r="CB87" i="22"/>
  <c r="CB71" i="22"/>
  <c r="CB72" i="22"/>
  <c r="CB73" i="22"/>
  <c r="CB74" i="22"/>
  <c r="CB75" i="22"/>
  <c r="CB76" i="22"/>
  <c r="CB77" i="22"/>
  <c r="CB78" i="22"/>
  <c r="CB79" i="22"/>
  <c r="CB80" i="22"/>
  <c r="CB81" i="22"/>
  <c r="CB82" i="22"/>
  <c r="CB83" i="22"/>
  <c r="CB84" i="22"/>
  <c r="CB85" i="22"/>
  <c r="CB88" i="22"/>
  <c r="CB89" i="22"/>
  <c r="CA86" i="22"/>
  <c r="CA66" i="22"/>
  <c r="CA67" i="22"/>
  <c r="CA68" i="22"/>
  <c r="CA69" i="22"/>
  <c r="CA70" i="22"/>
  <c r="CA87" i="22"/>
  <c r="CA71" i="22"/>
  <c r="CA72" i="22"/>
  <c r="CA73" i="22"/>
  <c r="CA74" i="22"/>
  <c r="CA75" i="22"/>
  <c r="CA76" i="22"/>
  <c r="CA77" i="22"/>
  <c r="CA78" i="22"/>
  <c r="CA79" i="22"/>
  <c r="CA80" i="22"/>
  <c r="CA81" i="22"/>
  <c r="CA82" i="22"/>
  <c r="CA83" i="22"/>
  <c r="CA84" i="22"/>
  <c r="CA85" i="22"/>
  <c r="CA88" i="22"/>
  <c r="CA89" i="22"/>
  <c r="BZ86" i="22"/>
  <c r="BZ66" i="22"/>
  <c r="BZ67" i="22"/>
  <c r="BZ68" i="22"/>
  <c r="BZ69" i="22"/>
  <c r="BZ70" i="22"/>
  <c r="BZ87" i="22"/>
  <c r="BZ71" i="22"/>
  <c r="BZ72" i="22"/>
  <c r="BZ73" i="22"/>
  <c r="BZ74" i="22"/>
  <c r="BZ75" i="22"/>
  <c r="BZ76" i="22"/>
  <c r="BZ77" i="22"/>
  <c r="BZ78" i="22"/>
  <c r="BZ79" i="22"/>
  <c r="BZ80" i="22"/>
  <c r="BZ81" i="22"/>
  <c r="BZ82" i="22"/>
  <c r="BZ83" i="22"/>
  <c r="BZ84" i="22"/>
  <c r="BZ85" i="22"/>
  <c r="BZ88" i="22"/>
  <c r="BZ89" i="22"/>
  <c r="BY86" i="22"/>
  <c r="BY87" i="22"/>
  <c r="BY88" i="22"/>
  <c r="BY89" i="22"/>
  <c r="BX86" i="22"/>
  <c r="BX87" i="22"/>
  <c r="BX88" i="22"/>
  <c r="BX89" i="22"/>
  <c r="BW86" i="22"/>
  <c r="BW87" i="22"/>
  <c r="BW88" i="22"/>
  <c r="BW89" i="22"/>
  <c r="BV86" i="22"/>
  <c r="BV87" i="22"/>
  <c r="BV88" i="22"/>
  <c r="BV89" i="22"/>
  <c r="BU86" i="22"/>
  <c r="BU87" i="22"/>
  <c r="BU88" i="22"/>
  <c r="BU89" i="22"/>
  <c r="BT86" i="22"/>
  <c r="BT87" i="22"/>
  <c r="BT88" i="22"/>
  <c r="BT89" i="22"/>
  <c r="BS86" i="22"/>
  <c r="BS87" i="22"/>
  <c r="BS88" i="22"/>
  <c r="BS89" i="22"/>
  <c r="BR86" i="22"/>
  <c r="BR87" i="22"/>
  <c r="BR88" i="22"/>
  <c r="BR89" i="22"/>
  <c r="BQ86" i="22"/>
  <c r="BQ87" i="22"/>
  <c r="BQ88" i="22"/>
  <c r="BQ89" i="22"/>
  <c r="BP86" i="22"/>
  <c r="BP87" i="22"/>
  <c r="BP88" i="22"/>
  <c r="BP89" i="22"/>
  <c r="BO86" i="22"/>
  <c r="BO87" i="22"/>
  <c r="BO88" i="22"/>
  <c r="BO89" i="22"/>
  <c r="BN86" i="22"/>
  <c r="BN87" i="22"/>
  <c r="BN88" i="22"/>
  <c r="BN89" i="22"/>
  <c r="BM86" i="22"/>
  <c r="BM66" i="22"/>
  <c r="BM67" i="22"/>
  <c r="BM68" i="22"/>
  <c r="BM69" i="22"/>
  <c r="BM70" i="22"/>
  <c r="BM87" i="22"/>
  <c r="BM71" i="22"/>
  <c r="BM72" i="22"/>
  <c r="BM73" i="22"/>
  <c r="BM74" i="22"/>
  <c r="BM75" i="22"/>
  <c r="BM76" i="22"/>
  <c r="BM77" i="22"/>
  <c r="BM78" i="22"/>
  <c r="BM79" i="22"/>
  <c r="BM80" i="22"/>
  <c r="BM81" i="22"/>
  <c r="BM82" i="22"/>
  <c r="BM83" i="22"/>
  <c r="BM84" i="22"/>
  <c r="BM85" i="22"/>
  <c r="BM88" i="22"/>
  <c r="BM89" i="22"/>
  <c r="BL86" i="22"/>
  <c r="BL66" i="22"/>
  <c r="BL67" i="22"/>
  <c r="BL68" i="22"/>
  <c r="BL69" i="22"/>
  <c r="BL70" i="22"/>
  <c r="BL87" i="22"/>
  <c r="BL71" i="22"/>
  <c r="BL72" i="22"/>
  <c r="BL73" i="22"/>
  <c r="BL74" i="22"/>
  <c r="BL75" i="22"/>
  <c r="BL76" i="22"/>
  <c r="BL77" i="22"/>
  <c r="BL78" i="22"/>
  <c r="BL79" i="22"/>
  <c r="BL80" i="22"/>
  <c r="BL81" i="22"/>
  <c r="BL82" i="22"/>
  <c r="BL83" i="22"/>
  <c r="BL84" i="22"/>
  <c r="BL85" i="22"/>
  <c r="BL88" i="22"/>
  <c r="BL89" i="22"/>
  <c r="BK86" i="22"/>
  <c r="BK66" i="22"/>
  <c r="BK67" i="22"/>
  <c r="BK68" i="22"/>
  <c r="BK69" i="22"/>
  <c r="BK70" i="22"/>
  <c r="BK87" i="22"/>
  <c r="BK71" i="22"/>
  <c r="BK72" i="22"/>
  <c r="BK73" i="22"/>
  <c r="BK74" i="22"/>
  <c r="BK75" i="22"/>
  <c r="BK76" i="22"/>
  <c r="BK77" i="22"/>
  <c r="BK78" i="22"/>
  <c r="BK79" i="22"/>
  <c r="BK80" i="22"/>
  <c r="BK81" i="22"/>
  <c r="BK82" i="22"/>
  <c r="BK83" i="22"/>
  <c r="BK84" i="22"/>
  <c r="BK85" i="22"/>
  <c r="BK88" i="22"/>
  <c r="BK89" i="22"/>
  <c r="BJ86" i="22"/>
  <c r="BJ66" i="22"/>
  <c r="BJ67" i="22"/>
  <c r="BJ68" i="22"/>
  <c r="BJ69" i="22"/>
  <c r="BJ70" i="22"/>
  <c r="BJ87" i="22"/>
  <c r="BJ71" i="22"/>
  <c r="BJ72" i="22"/>
  <c r="BJ73" i="22"/>
  <c r="BJ74" i="22"/>
  <c r="BJ75" i="22"/>
  <c r="BJ76" i="22"/>
  <c r="BJ77" i="22"/>
  <c r="BJ78" i="22"/>
  <c r="BJ79" i="22"/>
  <c r="BJ80" i="22"/>
  <c r="BJ81" i="22"/>
  <c r="BJ82" i="22"/>
  <c r="BJ83" i="22"/>
  <c r="BJ84" i="22"/>
  <c r="BJ85" i="22"/>
  <c r="BJ88" i="22"/>
  <c r="BJ89" i="22"/>
  <c r="BI86" i="22"/>
  <c r="BI66" i="22"/>
  <c r="BI67" i="22"/>
  <c r="BI68" i="22"/>
  <c r="BI69" i="22"/>
  <c r="BI70" i="22"/>
  <c r="BI87" i="22"/>
  <c r="BI71" i="22"/>
  <c r="BI72" i="22"/>
  <c r="BI73" i="22"/>
  <c r="BI74" i="22"/>
  <c r="BI75" i="22"/>
  <c r="BI76" i="22"/>
  <c r="BI77" i="22"/>
  <c r="BI78" i="22"/>
  <c r="BI79" i="22"/>
  <c r="BI80" i="22"/>
  <c r="BI81" i="22"/>
  <c r="BI82" i="22"/>
  <c r="BI83" i="22"/>
  <c r="BI84" i="22"/>
  <c r="BI85" i="22"/>
  <c r="BI88" i="22"/>
  <c r="BI89" i="22"/>
  <c r="BH86" i="22"/>
  <c r="BH66" i="22"/>
  <c r="BH67" i="22"/>
  <c r="BH68" i="22"/>
  <c r="BH69" i="22"/>
  <c r="BH70" i="22"/>
  <c r="BH87" i="22"/>
  <c r="BH71" i="22"/>
  <c r="BH72" i="22"/>
  <c r="BH73" i="22"/>
  <c r="BH74" i="22"/>
  <c r="BH75" i="22"/>
  <c r="BH76" i="22"/>
  <c r="BH77" i="22"/>
  <c r="BH78" i="22"/>
  <c r="BH79" i="22"/>
  <c r="BH80" i="22"/>
  <c r="BH81" i="22"/>
  <c r="BH82" i="22"/>
  <c r="BH83" i="22"/>
  <c r="BH84" i="22"/>
  <c r="BH85" i="22"/>
  <c r="BH88" i="22"/>
  <c r="BH89" i="22"/>
  <c r="BG86" i="22"/>
  <c r="BG87" i="22"/>
  <c r="BG88" i="22"/>
  <c r="BG89" i="22"/>
  <c r="BF86" i="22"/>
  <c r="BF87" i="22"/>
  <c r="BF88" i="22"/>
  <c r="BF89" i="22"/>
  <c r="BE86" i="22"/>
  <c r="BE87" i="22"/>
  <c r="BE88" i="22"/>
  <c r="BE89" i="22"/>
  <c r="BD86" i="22"/>
  <c r="BD87" i="22"/>
  <c r="BD88" i="22"/>
  <c r="BD89" i="22"/>
  <c r="BC86" i="22"/>
  <c r="BC87" i="22"/>
  <c r="BC88" i="22"/>
  <c r="BC89" i="22"/>
  <c r="BB86" i="22"/>
  <c r="BB87" i="22"/>
  <c r="BB88" i="22"/>
  <c r="BB89" i="22"/>
  <c r="BA86" i="22"/>
  <c r="BA87" i="22"/>
  <c r="BA88" i="22"/>
  <c r="BA89" i="22"/>
  <c r="AZ86" i="22"/>
  <c r="AZ87" i="22"/>
  <c r="AZ88" i="22"/>
  <c r="AZ89" i="22"/>
  <c r="AY86" i="22"/>
  <c r="AY87" i="22"/>
  <c r="AY88" i="22"/>
  <c r="AY89" i="22"/>
  <c r="AX86" i="22"/>
  <c r="AX87" i="22"/>
  <c r="AX88" i="22"/>
  <c r="AX89" i="22"/>
  <c r="AW86" i="22"/>
  <c r="AW87" i="22"/>
  <c r="AW88" i="22"/>
  <c r="AW89" i="22"/>
  <c r="AV86" i="22"/>
  <c r="AV87" i="22"/>
  <c r="AV88" i="22"/>
  <c r="AV89" i="22"/>
  <c r="AU86" i="22"/>
  <c r="AU66" i="22"/>
  <c r="AU67" i="22"/>
  <c r="AU68" i="22"/>
  <c r="AU69" i="22"/>
  <c r="AU70" i="22"/>
  <c r="AU87" i="22"/>
  <c r="AU71" i="22"/>
  <c r="AU72" i="22"/>
  <c r="AU73" i="22"/>
  <c r="AU74" i="22"/>
  <c r="AU75" i="22"/>
  <c r="AU76" i="22"/>
  <c r="AU77" i="22"/>
  <c r="AU78" i="22"/>
  <c r="AU79" i="22"/>
  <c r="AU80" i="22"/>
  <c r="AU81" i="22"/>
  <c r="AU82" i="22"/>
  <c r="AU83" i="22"/>
  <c r="AU84" i="22"/>
  <c r="AU85" i="22"/>
  <c r="AU88" i="22"/>
  <c r="AU89" i="22"/>
  <c r="AT86" i="22"/>
  <c r="AT66" i="22"/>
  <c r="AT67" i="22"/>
  <c r="AT68" i="22"/>
  <c r="AT69" i="22"/>
  <c r="AT70" i="22"/>
  <c r="AT87" i="22"/>
  <c r="AT71" i="22"/>
  <c r="AT72" i="22"/>
  <c r="AT73" i="22"/>
  <c r="AT74" i="22"/>
  <c r="AT75" i="22"/>
  <c r="AT76" i="22"/>
  <c r="AT77" i="22"/>
  <c r="AT78" i="22"/>
  <c r="AT79" i="22"/>
  <c r="AT80" i="22"/>
  <c r="AT81" i="22"/>
  <c r="AT82" i="22"/>
  <c r="AT83" i="22"/>
  <c r="AT84" i="22"/>
  <c r="AT85" i="22"/>
  <c r="AT88" i="22"/>
  <c r="AT89" i="22"/>
  <c r="AS86" i="22"/>
  <c r="AS66" i="22"/>
  <c r="AS67" i="22"/>
  <c r="AS68" i="22"/>
  <c r="AS69" i="22"/>
  <c r="AS70" i="22"/>
  <c r="AS87" i="22"/>
  <c r="AS71" i="22"/>
  <c r="AS72" i="22"/>
  <c r="AS73" i="22"/>
  <c r="AS74" i="22"/>
  <c r="AS75" i="22"/>
  <c r="AS76" i="22"/>
  <c r="AS77" i="22"/>
  <c r="AS78" i="22"/>
  <c r="AS79" i="22"/>
  <c r="AS80" i="22"/>
  <c r="AS81" i="22"/>
  <c r="AS82" i="22"/>
  <c r="AS83" i="22"/>
  <c r="AS84" i="22"/>
  <c r="AS85" i="22"/>
  <c r="AS88" i="22"/>
  <c r="AS89" i="22"/>
  <c r="AR86" i="22"/>
  <c r="AR66" i="22"/>
  <c r="AR67" i="22"/>
  <c r="AR68" i="22"/>
  <c r="AR69" i="22"/>
  <c r="AR70" i="22"/>
  <c r="AR87" i="22"/>
  <c r="AR71" i="22"/>
  <c r="AR72" i="22"/>
  <c r="AR73" i="22"/>
  <c r="AR74" i="22"/>
  <c r="AR75" i="22"/>
  <c r="AR76" i="22"/>
  <c r="AR77" i="22"/>
  <c r="AR78" i="22"/>
  <c r="AR79" i="22"/>
  <c r="AR80" i="22"/>
  <c r="AR81" i="22"/>
  <c r="AR82" i="22"/>
  <c r="AR83" i="22"/>
  <c r="AR84" i="22"/>
  <c r="AR85" i="22"/>
  <c r="AR88" i="22"/>
  <c r="AR89" i="22"/>
  <c r="AQ86" i="22"/>
  <c r="AQ66" i="22"/>
  <c r="AQ67" i="22"/>
  <c r="AQ68" i="22"/>
  <c r="AQ69" i="22"/>
  <c r="AQ70" i="22"/>
  <c r="AQ87" i="22"/>
  <c r="AQ71" i="22"/>
  <c r="AQ72" i="22"/>
  <c r="AQ73" i="22"/>
  <c r="AQ74" i="22"/>
  <c r="AQ75" i="22"/>
  <c r="AQ76" i="22"/>
  <c r="AQ77" i="22"/>
  <c r="AQ78" i="22"/>
  <c r="AQ79" i="22"/>
  <c r="AQ80" i="22"/>
  <c r="AQ81" i="22"/>
  <c r="AQ82" i="22"/>
  <c r="AQ83" i="22"/>
  <c r="AQ84" i="22"/>
  <c r="AQ85" i="22"/>
  <c r="AQ88" i="22"/>
  <c r="AQ89" i="22"/>
  <c r="AP86" i="22"/>
  <c r="AP66" i="22"/>
  <c r="AP67" i="22"/>
  <c r="AP68" i="22"/>
  <c r="AP69" i="22"/>
  <c r="AP70" i="22"/>
  <c r="AP87" i="22"/>
  <c r="AP71" i="22"/>
  <c r="AP72" i="22"/>
  <c r="AP73" i="22"/>
  <c r="AP74" i="22"/>
  <c r="AP75" i="22"/>
  <c r="AP76" i="22"/>
  <c r="AP77" i="22"/>
  <c r="AP78" i="22"/>
  <c r="AP79" i="22"/>
  <c r="AP80" i="22"/>
  <c r="AP81" i="22"/>
  <c r="AP82" i="22"/>
  <c r="AP83" i="22"/>
  <c r="AP84" i="22"/>
  <c r="AP85" i="22"/>
  <c r="AP88" i="22"/>
  <c r="AP89" i="22"/>
  <c r="AO86" i="22"/>
  <c r="AO87" i="22"/>
  <c r="AO88" i="22"/>
  <c r="AO89" i="22"/>
  <c r="AN86" i="22"/>
  <c r="AN87" i="22"/>
  <c r="AN88" i="22"/>
  <c r="AN89" i="22"/>
  <c r="AM86" i="22"/>
  <c r="AM87" i="22"/>
  <c r="AM88" i="22"/>
  <c r="AM89" i="22"/>
  <c r="AL86" i="22"/>
  <c r="AL87" i="22"/>
  <c r="AL88" i="22"/>
  <c r="AL89" i="22"/>
  <c r="AK86" i="22"/>
  <c r="AK87" i="22"/>
  <c r="AK88" i="22"/>
  <c r="AK89" i="22"/>
  <c r="AJ86" i="22"/>
  <c r="AJ87" i="22"/>
  <c r="AJ88" i="22"/>
  <c r="AJ89" i="22"/>
  <c r="AI86" i="22"/>
  <c r="AI87" i="22"/>
  <c r="AI88" i="22"/>
  <c r="AI89" i="22"/>
  <c r="AH86" i="22"/>
  <c r="AH87" i="22"/>
  <c r="AH88" i="22"/>
  <c r="AH89" i="22"/>
  <c r="AG86" i="22"/>
  <c r="AG87" i="22"/>
  <c r="AG88" i="22"/>
  <c r="AG89" i="22"/>
  <c r="AF86" i="22"/>
  <c r="AF87" i="22"/>
  <c r="AF88" i="22"/>
  <c r="AF89" i="22"/>
  <c r="AE86" i="22"/>
  <c r="AE87" i="22"/>
  <c r="AE88" i="22"/>
  <c r="AE89" i="22"/>
  <c r="AD86" i="22"/>
  <c r="AD87" i="22"/>
  <c r="AD88" i="22"/>
  <c r="AD89" i="22"/>
  <c r="M86" i="22"/>
  <c r="M66" i="22"/>
  <c r="M67" i="22"/>
  <c r="M68" i="22"/>
  <c r="M69" i="22"/>
  <c r="M70" i="22"/>
  <c r="M87" i="22"/>
  <c r="M71" i="22"/>
  <c r="M72" i="22"/>
  <c r="M73" i="22"/>
  <c r="M74" i="22"/>
  <c r="M75" i="22"/>
  <c r="M76" i="22"/>
  <c r="M77" i="22"/>
  <c r="M78" i="22"/>
  <c r="M79" i="22"/>
  <c r="M80" i="22"/>
  <c r="M81" i="22"/>
  <c r="M82" i="22"/>
  <c r="M83" i="22"/>
  <c r="M84" i="22"/>
  <c r="M85" i="22"/>
  <c r="M88" i="22"/>
  <c r="M89" i="22"/>
  <c r="L86" i="22"/>
  <c r="L66" i="22"/>
  <c r="L67" i="22"/>
  <c r="L68" i="22"/>
  <c r="L69" i="22"/>
  <c r="L70" i="22"/>
  <c r="L87" i="22"/>
  <c r="L88" i="22"/>
  <c r="L89" i="22"/>
  <c r="E86" i="22"/>
  <c r="E87" i="22"/>
  <c r="E88" i="22"/>
  <c r="E89" i="22"/>
  <c r="D86" i="22"/>
  <c r="D87" i="22"/>
  <c r="D88" i="22"/>
  <c r="D89" i="22"/>
  <c r="C86" i="22"/>
  <c r="C87" i="22"/>
  <c r="C88" i="22"/>
  <c r="C89" i="22"/>
  <c r="B86" i="22"/>
  <c r="B87" i="22"/>
  <c r="B88" i="22"/>
  <c r="B89" i="22"/>
  <c r="J18" i="30"/>
  <c r="J17" i="30"/>
  <c r="J16" i="30"/>
  <c r="J15" i="30"/>
  <c r="J14" i="30"/>
  <c r="J13" i="30"/>
  <c r="J12" i="30"/>
  <c r="J11" i="30"/>
  <c r="J10" i="30"/>
  <c r="J9" i="30"/>
  <c r="I10" i="30"/>
  <c r="I11" i="30"/>
  <c r="I12" i="30"/>
  <c r="I13" i="30"/>
  <c r="I14" i="30"/>
  <c r="I15" i="30"/>
  <c r="I16" i="30"/>
  <c r="I17" i="30"/>
  <c r="I18" i="30"/>
  <c r="I9" i="30"/>
  <c r="S62" i="25"/>
  <c r="Q62" i="25"/>
  <c r="S58" i="25"/>
  <c r="Q58" i="25"/>
  <c r="S137" i="22"/>
  <c r="S138" i="22"/>
  <c r="S139" i="22"/>
  <c r="S140" i="22"/>
  <c r="S136" i="22"/>
  <c r="S135" i="22"/>
  <c r="S134" i="22"/>
  <c r="S133" i="22"/>
  <c r="S132" i="22"/>
  <c r="S131" i="22"/>
  <c r="S130" i="22"/>
  <c r="S129" i="22"/>
  <c r="S128" i="22"/>
  <c r="S127" i="22"/>
  <c r="S126" i="22"/>
  <c r="S125" i="22"/>
  <c r="S124" i="22"/>
  <c r="S123" i="22"/>
  <c r="S122" i="22"/>
  <c r="S121" i="22"/>
  <c r="S120" i="22"/>
  <c r="S119" i="22"/>
  <c r="S118" i="22"/>
  <c r="S117" i="22"/>
  <c r="S116" i="22"/>
  <c r="S115" i="22"/>
  <c r="S114" i="22"/>
  <c r="S113" i="22"/>
  <c r="S112" i="22"/>
  <c r="S111" i="22"/>
  <c r="S110" i="22"/>
  <c r="S109" i="22"/>
  <c r="S108" i="22"/>
  <c r="S107" i="22"/>
  <c r="S106" i="22"/>
  <c r="S105" i="22"/>
  <c r="S104" i="22"/>
  <c r="S103" i="22"/>
  <c r="S102" i="22"/>
  <c r="S101" i="22"/>
  <c r="S100" i="22"/>
  <c r="S99" i="22"/>
  <c r="S98" i="22"/>
  <c r="S97" i="22"/>
  <c r="N28" i="33"/>
  <c r="M28" i="33"/>
  <c r="N23" i="33"/>
  <c r="N27" i="33"/>
  <c r="M23" i="33"/>
  <c r="M27" i="33"/>
  <c r="N26" i="33"/>
  <c r="M26" i="33"/>
  <c r="H21" i="30"/>
  <c r="H18" i="25"/>
  <c r="H38" i="25"/>
  <c r="H39" i="25"/>
  <c r="H20" i="25"/>
  <c r="H40" i="25"/>
  <c r="H21" i="25"/>
  <c r="H41" i="25"/>
  <c r="H37" i="25"/>
  <c r="H29" i="25"/>
  <c r="H30" i="25"/>
  <c r="H31" i="25"/>
  <c r="H32" i="25"/>
  <c r="H28" i="25"/>
  <c r="Y21" i="25"/>
  <c r="Y41" i="25"/>
  <c r="X21" i="25"/>
  <c r="X41" i="25"/>
  <c r="W21" i="25"/>
  <c r="W41" i="25"/>
  <c r="V21" i="25"/>
  <c r="V41" i="25"/>
  <c r="U21" i="25"/>
  <c r="U41" i="25"/>
  <c r="T21" i="25"/>
  <c r="T41" i="25"/>
  <c r="S21" i="25"/>
  <c r="S41" i="25"/>
  <c r="R21" i="25"/>
  <c r="R41" i="25"/>
  <c r="Q21" i="25"/>
  <c r="Q41" i="25"/>
  <c r="P21" i="25"/>
  <c r="P41" i="25"/>
  <c r="O21" i="25"/>
  <c r="O41" i="25"/>
  <c r="N21" i="25"/>
  <c r="N41" i="25"/>
  <c r="M21" i="25"/>
  <c r="M41" i="25"/>
  <c r="J21" i="25"/>
  <c r="J41" i="25"/>
  <c r="I21" i="25"/>
  <c r="I41" i="25"/>
  <c r="G21" i="25"/>
  <c r="G41" i="25"/>
  <c r="F21" i="25"/>
  <c r="F41" i="25"/>
  <c r="E21" i="25"/>
  <c r="E41" i="25"/>
  <c r="D21" i="25"/>
  <c r="D41" i="25"/>
  <c r="Y20" i="25"/>
  <c r="Y40" i="25"/>
  <c r="X20" i="25"/>
  <c r="X40" i="25"/>
  <c r="W20" i="25"/>
  <c r="W40" i="25"/>
  <c r="V20" i="25"/>
  <c r="V40" i="25"/>
  <c r="U20" i="25"/>
  <c r="U40" i="25"/>
  <c r="T20" i="25"/>
  <c r="T40" i="25"/>
  <c r="S11" i="25"/>
  <c r="S20" i="25"/>
  <c r="S40" i="25"/>
  <c r="R20" i="25"/>
  <c r="R40" i="25"/>
  <c r="Q11" i="25"/>
  <c r="Q20" i="25"/>
  <c r="Q40" i="25"/>
  <c r="P20" i="25"/>
  <c r="P40" i="25"/>
  <c r="O20" i="25"/>
  <c r="O40" i="25"/>
  <c r="N20" i="25"/>
  <c r="N40" i="25"/>
  <c r="M20" i="25"/>
  <c r="M40" i="25"/>
  <c r="J40" i="25"/>
  <c r="I20" i="25"/>
  <c r="I40" i="25"/>
  <c r="G20" i="25"/>
  <c r="G40" i="25"/>
  <c r="F40" i="25"/>
  <c r="E20" i="25"/>
  <c r="E40" i="25"/>
  <c r="D40" i="25"/>
  <c r="Y19" i="25"/>
  <c r="Y39" i="25"/>
  <c r="X19" i="25"/>
  <c r="X39" i="25"/>
  <c r="W19" i="25"/>
  <c r="W39" i="25"/>
  <c r="V19" i="25"/>
  <c r="V39" i="25"/>
  <c r="U19" i="25"/>
  <c r="U39" i="25"/>
  <c r="T19" i="25"/>
  <c r="T39" i="25"/>
  <c r="S10" i="25"/>
  <c r="S19" i="25"/>
  <c r="S39" i="25"/>
  <c r="R19" i="25"/>
  <c r="R39" i="25"/>
  <c r="Q10" i="25"/>
  <c r="Q19" i="25"/>
  <c r="Q39" i="25"/>
  <c r="P19" i="25"/>
  <c r="P39" i="25"/>
  <c r="O19" i="25"/>
  <c r="O39" i="25"/>
  <c r="N19" i="25"/>
  <c r="N39" i="25"/>
  <c r="M19" i="25"/>
  <c r="M39" i="25"/>
  <c r="J19" i="25"/>
  <c r="J39" i="25"/>
  <c r="I19" i="25"/>
  <c r="I39" i="25"/>
  <c r="G19" i="25"/>
  <c r="G39" i="25"/>
  <c r="F19" i="25"/>
  <c r="F39" i="25"/>
  <c r="E19" i="25"/>
  <c r="E39" i="25"/>
  <c r="D39" i="25"/>
  <c r="Y18" i="25"/>
  <c r="Y38" i="25"/>
  <c r="X18" i="25"/>
  <c r="X38" i="25"/>
  <c r="W18" i="25"/>
  <c r="W38" i="25"/>
  <c r="V18" i="25"/>
  <c r="V38" i="25"/>
  <c r="U18" i="25"/>
  <c r="U38" i="25"/>
  <c r="T18" i="25"/>
  <c r="T38" i="25"/>
  <c r="S18" i="25"/>
  <c r="S38" i="25"/>
  <c r="R18" i="25"/>
  <c r="R38" i="25"/>
  <c r="Q18" i="25"/>
  <c r="Q38" i="25"/>
  <c r="P18" i="25"/>
  <c r="P38" i="25"/>
  <c r="O18" i="25"/>
  <c r="O38" i="25"/>
  <c r="N18" i="25"/>
  <c r="N38" i="25"/>
  <c r="M18" i="25"/>
  <c r="M38" i="25"/>
  <c r="J18" i="25"/>
  <c r="J38" i="25"/>
  <c r="I18" i="25"/>
  <c r="I38" i="25"/>
  <c r="G18" i="25"/>
  <c r="G38" i="25"/>
  <c r="F18" i="25"/>
  <c r="F38" i="25"/>
  <c r="E18" i="25"/>
  <c r="E38" i="25"/>
  <c r="D18" i="25"/>
  <c r="D38" i="25"/>
  <c r="Y17" i="25"/>
  <c r="Y37" i="25"/>
  <c r="X17" i="25"/>
  <c r="X37" i="25"/>
  <c r="W17" i="25"/>
  <c r="W37" i="25"/>
  <c r="V17" i="25"/>
  <c r="V37" i="25"/>
  <c r="U17" i="25"/>
  <c r="U37" i="25"/>
  <c r="T17" i="25"/>
  <c r="T37" i="25"/>
  <c r="S17" i="25"/>
  <c r="S37" i="25"/>
  <c r="R17" i="25"/>
  <c r="R37" i="25"/>
  <c r="Q17" i="25"/>
  <c r="Q37" i="25"/>
  <c r="P17" i="25"/>
  <c r="P37" i="25"/>
  <c r="O17" i="25"/>
  <c r="O37" i="25"/>
  <c r="N17" i="25"/>
  <c r="N37" i="25"/>
  <c r="M17" i="25"/>
  <c r="M37" i="25"/>
  <c r="J37" i="25"/>
  <c r="I17" i="25"/>
  <c r="I37" i="25"/>
  <c r="G17" i="25"/>
  <c r="G37" i="25"/>
  <c r="F37" i="25"/>
  <c r="E17" i="25"/>
  <c r="E37" i="25"/>
  <c r="D37" i="25"/>
  <c r="E28" i="25"/>
  <c r="F28" i="25"/>
  <c r="G28" i="25"/>
  <c r="I28" i="25"/>
  <c r="J28" i="25"/>
  <c r="E29" i="25"/>
  <c r="F29" i="25"/>
  <c r="G29" i="25"/>
  <c r="I29" i="25"/>
  <c r="J29" i="25"/>
  <c r="E30" i="25"/>
  <c r="F30" i="25"/>
  <c r="G30" i="25"/>
  <c r="I30" i="25"/>
  <c r="J30" i="25"/>
  <c r="E31" i="25"/>
  <c r="F31" i="25"/>
  <c r="G31" i="25"/>
  <c r="I31" i="25"/>
  <c r="J31" i="25"/>
  <c r="E32" i="25"/>
  <c r="F32" i="25"/>
  <c r="G32" i="25"/>
  <c r="I32" i="25"/>
  <c r="J32" i="25"/>
  <c r="D29" i="25"/>
  <c r="D30" i="25"/>
  <c r="D31" i="25"/>
  <c r="D32" i="25"/>
  <c r="D28" i="25"/>
  <c r="N28" i="25"/>
  <c r="O28" i="25"/>
  <c r="P28" i="25"/>
  <c r="Q28" i="25"/>
  <c r="R28" i="25"/>
  <c r="S28" i="25"/>
  <c r="T28" i="25"/>
  <c r="U28" i="25"/>
  <c r="V28" i="25"/>
  <c r="W28" i="25"/>
  <c r="X28" i="25"/>
  <c r="Y28" i="25"/>
  <c r="N29" i="25"/>
  <c r="O29" i="25"/>
  <c r="P29" i="25"/>
  <c r="Q29" i="25"/>
  <c r="R29" i="25"/>
  <c r="S29" i="25"/>
  <c r="T29" i="25"/>
  <c r="U29" i="25"/>
  <c r="V29" i="25"/>
  <c r="W29" i="25"/>
  <c r="X29" i="25"/>
  <c r="Y29" i="25"/>
  <c r="N30" i="25"/>
  <c r="O30" i="25"/>
  <c r="P30" i="25"/>
  <c r="Q30" i="25"/>
  <c r="R30" i="25"/>
  <c r="S30" i="25"/>
  <c r="T30" i="25"/>
  <c r="U30" i="25"/>
  <c r="V30" i="25"/>
  <c r="W30" i="25"/>
  <c r="X30" i="25"/>
  <c r="Y30" i="25"/>
  <c r="N31" i="25"/>
  <c r="O31" i="25"/>
  <c r="P31" i="25"/>
  <c r="Q31" i="25"/>
  <c r="R31" i="25"/>
  <c r="S31" i="25"/>
  <c r="T31" i="25"/>
  <c r="U31" i="25"/>
  <c r="V31" i="25"/>
  <c r="W31" i="25"/>
  <c r="X31" i="25"/>
  <c r="Y31" i="25"/>
  <c r="N32" i="25"/>
  <c r="O32" i="25"/>
  <c r="P32" i="25"/>
  <c r="Q32" i="25"/>
  <c r="R32" i="25"/>
  <c r="S32" i="25"/>
  <c r="T32" i="25"/>
  <c r="U32" i="25"/>
  <c r="V32" i="25"/>
  <c r="W32" i="25"/>
  <c r="X32" i="25"/>
  <c r="Y32" i="25"/>
  <c r="M29" i="25"/>
  <c r="M30" i="25"/>
  <c r="M31" i="25"/>
  <c r="M32" i="25"/>
  <c r="M28" i="25"/>
  <c r="Q10" i="6"/>
  <c r="Q11" i="6"/>
  <c r="Q12" i="6"/>
  <c r="Q13" i="6"/>
  <c r="Q14" i="6"/>
  <c r="Q15" i="6"/>
  <c r="Q16" i="6"/>
  <c r="Q17" i="6"/>
  <c r="Q18" i="6"/>
  <c r="Q19" i="6"/>
  <c r="P11" i="6"/>
  <c r="P12" i="6"/>
  <c r="P13" i="6"/>
  <c r="P14" i="6"/>
  <c r="P15" i="6"/>
  <c r="P16" i="6"/>
  <c r="P17" i="6"/>
  <c r="P18" i="6"/>
  <c r="P19" i="6"/>
  <c r="P10" i="6"/>
  <c r="K50" i="6"/>
  <c r="K51" i="6"/>
  <c r="K52" i="6"/>
  <c r="K53" i="6"/>
  <c r="K54" i="6"/>
  <c r="K55" i="6"/>
  <c r="K56" i="6"/>
  <c r="K57" i="6"/>
  <c r="K58" i="6"/>
  <c r="K59" i="6"/>
  <c r="K60" i="6"/>
  <c r="K61" i="6"/>
  <c r="K62" i="6"/>
  <c r="K63" i="6"/>
  <c r="K64" i="6"/>
  <c r="K65" i="6"/>
  <c r="K66" i="6"/>
  <c r="K67" i="6"/>
  <c r="K68" i="6"/>
  <c r="K69" i="6"/>
  <c r="K70" i="6"/>
  <c r="K71" i="6"/>
  <c r="K72" i="6"/>
  <c r="K73" i="6"/>
  <c r="K74" i="6"/>
  <c r="K75" i="6"/>
  <c r="K49" i="6"/>
  <c r="M17" i="33"/>
  <c r="N17" i="33"/>
  <c r="G58" i="31"/>
  <c r="G56" i="31"/>
  <c r="G55" i="31"/>
  <c r="G54" i="31"/>
  <c r="G53" i="31"/>
  <c r="G52" i="31"/>
  <c r="G51" i="31"/>
  <c r="G50" i="31"/>
  <c r="G49" i="31"/>
  <c r="G48" i="31"/>
  <c r="G47" i="31"/>
  <c r="G46" i="31"/>
  <c r="G45" i="31"/>
  <c r="G44" i="31"/>
  <c r="G43" i="31"/>
  <c r="G23" i="31"/>
  <c r="G24" i="31"/>
  <c r="G25" i="31"/>
  <c r="G26" i="31"/>
  <c r="G27" i="31"/>
  <c r="G28" i="31"/>
  <c r="G29" i="31"/>
  <c r="G30" i="31"/>
  <c r="G31" i="31"/>
  <c r="G32" i="31"/>
  <c r="G33" i="31"/>
  <c r="G34" i="31"/>
  <c r="G35" i="31"/>
  <c r="G37" i="31"/>
  <c r="G22" i="31"/>
  <c r="F6" i="31"/>
  <c r="F7" i="31"/>
  <c r="F8" i="31"/>
  <c r="F9" i="31"/>
  <c r="F10" i="31"/>
  <c r="F11" i="31"/>
  <c r="F12" i="31"/>
  <c r="F13" i="31"/>
  <c r="F14" i="31"/>
  <c r="F15" i="31"/>
  <c r="F16" i="31"/>
  <c r="F17" i="31"/>
  <c r="C6" i="31"/>
  <c r="D6" i="31"/>
  <c r="E6" i="31"/>
  <c r="C7" i="31"/>
  <c r="D7" i="31"/>
  <c r="E7" i="31"/>
  <c r="C8" i="31"/>
  <c r="D8" i="31"/>
  <c r="E8" i="31"/>
  <c r="C9" i="31"/>
  <c r="D9" i="31"/>
  <c r="E9" i="31"/>
  <c r="C10" i="31"/>
  <c r="D10" i="31"/>
  <c r="E10" i="31"/>
  <c r="C11" i="31"/>
  <c r="D11" i="31"/>
  <c r="E11" i="31"/>
  <c r="C12" i="31"/>
  <c r="D12" i="31"/>
  <c r="E12" i="31"/>
  <c r="C13" i="31"/>
  <c r="D13" i="31"/>
  <c r="E13" i="31"/>
  <c r="C14" i="31"/>
  <c r="D14" i="31"/>
  <c r="E14" i="31"/>
  <c r="C15" i="31"/>
  <c r="D15" i="31"/>
  <c r="E15" i="31"/>
  <c r="C16" i="31"/>
  <c r="D16" i="31"/>
  <c r="E16" i="31"/>
  <c r="E17" i="31"/>
  <c r="G17" i="31"/>
  <c r="D17" i="31"/>
  <c r="C17" i="31"/>
  <c r="G7" i="31"/>
  <c r="G8" i="31"/>
  <c r="G9" i="31"/>
  <c r="G10" i="31"/>
  <c r="G11" i="31"/>
  <c r="G12" i="31"/>
  <c r="G13" i="31"/>
  <c r="G14" i="31"/>
  <c r="G15" i="31"/>
  <c r="G16" i="31"/>
  <c r="G6" i="31"/>
  <c r="H49" i="10"/>
  <c r="I82" i="10"/>
  <c r="H82" i="10"/>
  <c r="I81" i="10"/>
  <c r="H81" i="10"/>
  <c r="I80" i="10"/>
  <c r="H80" i="10"/>
  <c r="I79" i="10"/>
  <c r="H79" i="10"/>
  <c r="I78" i="10"/>
  <c r="H78" i="10"/>
  <c r="I77" i="10"/>
  <c r="H77" i="10"/>
  <c r="I76" i="10"/>
  <c r="H76" i="10"/>
  <c r="I75" i="10"/>
  <c r="H75" i="10"/>
  <c r="I74" i="10"/>
  <c r="H74" i="10"/>
  <c r="I73" i="10"/>
  <c r="H73" i="10"/>
  <c r="I72" i="10"/>
  <c r="H72" i="10"/>
  <c r="I71" i="10"/>
  <c r="H71" i="10"/>
  <c r="I70" i="10"/>
  <c r="H70" i="10"/>
  <c r="I69" i="10"/>
  <c r="H69" i="10"/>
  <c r="I68" i="10"/>
  <c r="H68" i="10"/>
  <c r="I67" i="10"/>
  <c r="H67" i="10"/>
  <c r="I66" i="10"/>
  <c r="H66" i="10"/>
  <c r="I65" i="10"/>
  <c r="H65" i="10"/>
  <c r="I64" i="10"/>
  <c r="H64" i="10"/>
  <c r="I63" i="10"/>
  <c r="H63" i="10"/>
  <c r="I62" i="10"/>
  <c r="H62" i="10"/>
  <c r="I61" i="10"/>
  <c r="H61" i="10"/>
  <c r="I60" i="10"/>
  <c r="H60" i="10"/>
  <c r="I59" i="10"/>
  <c r="H59" i="10"/>
  <c r="I58" i="10"/>
  <c r="H58" i="10"/>
  <c r="I57" i="10"/>
  <c r="H57" i="10"/>
  <c r="I56" i="10"/>
  <c r="H56" i="10"/>
  <c r="H55" i="10"/>
  <c r="I55" i="10"/>
  <c r="AG7" i="8"/>
  <c r="AG8" i="8"/>
  <c r="AG9" i="8"/>
  <c r="AG5" i="8"/>
  <c r="AG6" i="8"/>
  <c r="AG4" i="8"/>
  <c r="AG10" i="8"/>
  <c r="AG15" i="8"/>
  <c r="AG16" i="8"/>
  <c r="AG17" i="8"/>
  <c r="AG18" i="8"/>
  <c r="AG19" i="8"/>
  <c r="AG20" i="8"/>
  <c r="AG21" i="8"/>
  <c r="AG22" i="8"/>
  <c r="AG11" i="8"/>
  <c r="AG12" i="8"/>
  <c r="AG13" i="8"/>
  <c r="AG14" i="8"/>
  <c r="AG23" i="8"/>
  <c r="AG24" i="8"/>
  <c r="AG25" i="8"/>
  <c r="AG26" i="8"/>
  <c r="AG27" i="8"/>
  <c r="AG28" i="8"/>
  <c r="AG29" i="8"/>
  <c r="AG30" i="8"/>
  <c r="AG31" i="8"/>
  <c r="AG32" i="8"/>
  <c r="AG33" i="8"/>
  <c r="AG34" i="8"/>
  <c r="AG35" i="8"/>
  <c r="AG107" i="8"/>
  <c r="AG108" i="8"/>
  <c r="AG110" i="8"/>
  <c r="AG112" i="8"/>
  <c r="AG92" i="8"/>
  <c r="AG93" i="8"/>
  <c r="AG94" i="8"/>
  <c r="AG96" i="8"/>
  <c r="AG97" i="8"/>
  <c r="AG99" i="8"/>
  <c r="AG100" i="8"/>
  <c r="AG103" i="8"/>
  <c r="AG104" i="8"/>
  <c r="AG101" i="8"/>
  <c r="AG109" i="8"/>
  <c r="AG111" i="8"/>
  <c r="AG91" i="8"/>
  <c r="AG95" i="8"/>
  <c r="AG98" i="8"/>
  <c r="AG102" i="8"/>
  <c r="AG105" i="8"/>
  <c r="AG106" i="8"/>
  <c r="AG115" i="8"/>
  <c r="AG117" i="8"/>
  <c r="AG118" i="8"/>
  <c r="AG116" i="8"/>
  <c r="AG119" i="8"/>
  <c r="AG114" i="8"/>
  <c r="AG113" i="8"/>
  <c r="AG36" i="8"/>
  <c r="AG54" i="8"/>
  <c r="AG55" i="8"/>
  <c r="AG57" i="8"/>
  <c r="AG45" i="8"/>
  <c r="AG56" i="8"/>
  <c r="AG58" i="8"/>
  <c r="AG59" i="8"/>
  <c r="AG37" i="8"/>
  <c r="AG38" i="8"/>
  <c r="AG39" i="8"/>
  <c r="AG41" i="8"/>
  <c r="AG42" i="8"/>
  <c r="AG43" i="8"/>
  <c r="AG44" i="8"/>
  <c r="AG46" i="8"/>
  <c r="AG48" i="8"/>
  <c r="AG49" i="8"/>
  <c r="AG50" i="8"/>
  <c r="AG52" i="8"/>
  <c r="AG53" i="8"/>
  <c r="AG60" i="8"/>
  <c r="AG40" i="8"/>
  <c r="AG47" i="8"/>
  <c r="AG51" i="8"/>
  <c r="AG85" i="8"/>
  <c r="AG86" i="8"/>
  <c r="AG87" i="8"/>
  <c r="AG88" i="8"/>
  <c r="AG89" i="8"/>
  <c r="AG90" i="8"/>
  <c r="AG81" i="8"/>
  <c r="AG82" i="8"/>
  <c r="AG83" i="8"/>
  <c r="AG84" i="8"/>
  <c r="AG120" i="8"/>
  <c r="AG122" i="8"/>
  <c r="AG123" i="8"/>
  <c r="AG124" i="8"/>
  <c r="AG125" i="8"/>
  <c r="AG126" i="8"/>
  <c r="AG127" i="8"/>
  <c r="AG128" i="8"/>
  <c r="AG129" i="8"/>
  <c r="AG121" i="8"/>
  <c r="AG61" i="8"/>
  <c r="AG62" i="8"/>
  <c r="AG63" i="8"/>
  <c r="AG64" i="8"/>
  <c r="AG65" i="8"/>
  <c r="AG66" i="8"/>
  <c r="AG67" i="8"/>
  <c r="AG73" i="8"/>
  <c r="AG74" i="8"/>
  <c r="AG75" i="8"/>
  <c r="AG76" i="8"/>
  <c r="AG77" i="8"/>
  <c r="AG78" i="8"/>
  <c r="AG79" i="8"/>
  <c r="AG80" i="8"/>
  <c r="AG68" i="8"/>
  <c r="AG69" i="8"/>
  <c r="AG70" i="8"/>
  <c r="AG71" i="8"/>
  <c r="AG72" i="8"/>
  <c r="AG130" i="8"/>
  <c r="AG131" i="8"/>
  <c r="AG132" i="8"/>
  <c r="AG133" i="8"/>
  <c r="AG134" i="8"/>
  <c r="AG135" i="8"/>
  <c r="AG136" i="8"/>
  <c r="AG137" i="8"/>
  <c r="AG138" i="8"/>
  <c r="AG139" i="8"/>
  <c r="AG140" i="8"/>
  <c r="AG141" i="8"/>
  <c r="AG142" i="8"/>
  <c r="AG143" i="8"/>
  <c r="AG144" i="8"/>
  <c r="AG145" i="8"/>
  <c r="AG146" i="8"/>
  <c r="AG147" i="8"/>
  <c r="AG148" i="8"/>
  <c r="AG149" i="8"/>
  <c r="AG150" i="8"/>
  <c r="AG151" i="8"/>
  <c r="AG152" i="8"/>
  <c r="AG153" i="8"/>
  <c r="AG154" i="8"/>
  <c r="AG155" i="8"/>
  <c r="AG156" i="8"/>
  <c r="AG157" i="8"/>
  <c r="AG158" i="8"/>
  <c r="AG159" i="8"/>
  <c r="AG160" i="8"/>
  <c r="AG161" i="8"/>
  <c r="AG162" i="8"/>
  <c r="AG163" i="8"/>
  <c r="AG164" i="8"/>
  <c r="AG165" i="8"/>
  <c r="AG166" i="8"/>
  <c r="AG167" i="8"/>
  <c r="AG168" i="8"/>
  <c r="AG169" i="8"/>
  <c r="AG170" i="8"/>
  <c r="AG171" i="8"/>
  <c r="AG172" i="8"/>
  <c r="AG173" i="8"/>
  <c r="AG174" i="8"/>
  <c r="AG175" i="8"/>
  <c r="AG176" i="8"/>
  <c r="AG177" i="8"/>
  <c r="AG178" i="8"/>
  <c r="AG179" i="8"/>
  <c r="AG180" i="8"/>
  <c r="AG181" i="8"/>
  <c r="AG182" i="8"/>
  <c r="AG183" i="8"/>
  <c r="AG184" i="8"/>
  <c r="AG185" i="8"/>
  <c r="AG186" i="8"/>
  <c r="AG187" i="8"/>
  <c r="AG188" i="8"/>
  <c r="AG189" i="8"/>
  <c r="AG190" i="8"/>
  <c r="AG191" i="8"/>
  <c r="AG192" i="8"/>
  <c r="AG193" i="8"/>
  <c r="AG194" i="8"/>
  <c r="AG195" i="8"/>
  <c r="AG196" i="8"/>
  <c r="AG197" i="8"/>
  <c r="AG198" i="8"/>
  <c r="AG199" i="8"/>
  <c r="AG200" i="8"/>
  <c r="AG201" i="8"/>
  <c r="AG202" i="8"/>
  <c r="AG203" i="8"/>
  <c r="AG204" i="8"/>
  <c r="AG205" i="8"/>
  <c r="AG206" i="8"/>
  <c r="AG207" i="8"/>
  <c r="AG208" i="8"/>
  <c r="AG209" i="8"/>
  <c r="AG210" i="8"/>
  <c r="AG211" i="8"/>
  <c r="AG212" i="8"/>
  <c r="AG213" i="8"/>
  <c r="AG214" i="8"/>
  <c r="AG215" i="8"/>
  <c r="AG216" i="8"/>
  <c r="AG217" i="8"/>
  <c r="AG218" i="8"/>
  <c r="AG219" i="8"/>
  <c r="AG220" i="8"/>
  <c r="AG221" i="8"/>
  <c r="AG222" i="8"/>
  <c r="AG223" i="8"/>
  <c r="AG224" i="8"/>
  <c r="AG225" i="8"/>
  <c r="AG226" i="8"/>
  <c r="AG227" i="8"/>
  <c r="AG228" i="8"/>
  <c r="AG229" i="8"/>
  <c r="AG230" i="8"/>
  <c r="AG231" i="8"/>
  <c r="AG232" i="8"/>
  <c r="AG233" i="8"/>
  <c r="AG234" i="8"/>
  <c r="AG235" i="8"/>
  <c r="AG236" i="8"/>
  <c r="AG237" i="8"/>
  <c r="AG238" i="8"/>
  <c r="AG239" i="8"/>
  <c r="AG240" i="8"/>
  <c r="AG241" i="8"/>
  <c r="AG242" i="8"/>
  <c r="AG243" i="8"/>
  <c r="AG244" i="8"/>
  <c r="AG245" i="8"/>
  <c r="AG246" i="8"/>
  <c r="AG247" i="8"/>
  <c r="AG248" i="8"/>
  <c r="AG249" i="8"/>
  <c r="AG250" i="8"/>
  <c r="AG251" i="8"/>
  <c r="AG252" i="8"/>
  <c r="AG253" i="8"/>
  <c r="AG254" i="8"/>
  <c r="AG255" i="8"/>
  <c r="AG256" i="8"/>
  <c r="AG257" i="8"/>
  <c r="AG258" i="8"/>
  <c r="AG259" i="8"/>
  <c r="AG260" i="8"/>
  <c r="AG261" i="8"/>
  <c r="AG262" i="8"/>
  <c r="AG263" i="8"/>
  <c r="AG264" i="8"/>
  <c r="AG265" i="8"/>
  <c r="AG270" i="8"/>
  <c r="AG271" i="8"/>
  <c r="AG272" i="8"/>
  <c r="AG273" i="8"/>
  <c r="AG274" i="8"/>
  <c r="AG275" i="8"/>
  <c r="AG268" i="8"/>
  <c r="AG269" i="8"/>
  <c r="AG266" i="8"/>
  <c r="AG267" i="8"/>
  <c r="AG276" i="8"/>
  <c r="AG277" i="8"/>
  <c r="AG280" i="8"/>
  <c r="AG281" i="8"/>
  <c r="AG282" i="8"/>
  <c r="AG283" i="8"/>
  <c r="AG284" i="8"/>
  <c r="AG285" i="8"/>
  <c r="AG286" i="8"/>
  <c r="AG287" i="8"/>
  <c r="AG288" i="8"/>
  <c r="AG289" i="8"/>
  <c r="AG290" i="8"/>
  <c r="AG291" i="8"/>
  <c r="AG292" i="8"/>
  <c r="AG278" i="8"/>
  <c r="AG279" i="8"/>
  <c r="AG293" i="8"/>
  <c r="AG294" i="8"/>
  <c r="AG298" i="8"/>
  <c r="AG299" i="8"/>
  <c r="AG300" i="8"/>
  <c r="AG301" i="8"/>
  <c r="AG295" i="8"/>
  <c r="AG296" i="8"/>
  <c r="AG297" i="8"/>
  <c r="AG302" i="8"/>
  <c r="AG303" i="8"/>
  <c r="AG304" i="8"/>
  <c r="AG315" i="8"/>
  <c r="AG326" i="8"/>
  <c r="AG331" i="8"/>
  <c r="AG332" i="8"/>
  <c r="AG333" i="8"/>
  <c r="AG334" i="8"/>
  <c r="AG335" i="8"/>
  <c r="AG336" i="8"/>
  <c r="AG305" i="8"/>
  <c r="AG306" i="8"/>
  <c r="AG307" i="8"/>
  <c r="AG308" i="8"/>
  <c r="AG309" i="8"/>
  <c r="AG310" i="8"/>
  <c r="AG311" i="8"/>
  <c r="AG312" i="8"/>
  <c r="AG313" i="8"/>
  <c r="AG314" i="8"/>
  <c r="AG316" i="8"/>
  <c r="AG317" i="8"/>
  <c r="AG318" i="8"/>
  <c r="AG319" i="8"/>
  <c r="AG320" i="8"/>
  <c r="AG321" i="8"/>
  <c r="AG322" i="8"/>
  <c r="AG323" i="8"/>
  <c r="AG324" i="8"/>
  <c r="AG325" i="8"/>
  <c r="AG327" i="8"/>
  <c r="AG328" i="8"/>
  <c r="AG329" i="8"/>
  <c r="AG330" i="8"/>
  <c r="AG337" i="8"/>
  <c r="AG338" i="8"/>
  <c r="AG339" i="8"/>
  <c r="AG340" i="8"/>
  <c r="AG341" i="8"/>
  <c r="AG342" i="8"/>
  <c r="AG343" i="8"/>
  <c r="AG344" i="8"/>
  <c r="AG345" i="8"/>
  <c r="AG346" i="8"/>
  <c r="FN22" i="23"/>
  <c r="FN23" i="23"/>
  <c r="FN24" i="23"/>
  <c r="FN25" i="23"/>
  <c r="FN26" i="23"/>
  <c r="FN27" i="23"/>
  <c r="FN28" i="23"/>
  <c r="FN29" i="23"/>
  <c r="FN30" i="23"/>
  <c r="FN31" i="23"/>
  <c r="FN32" i="23"/>
  <c r="FN33" i="23"/>
  <c r="FN34" i="23"/>
  <c r="FN35" i="23"/>
  <c r="FN36" i="23"/>
  <c r="FN37" i="23"/>
  <c r="FN38" i="23"/>
  <c r="FN39" i="23"/>
  <c r="FN40" i="23"/>
  <c r="FN41" i="23"/>
  <c r="FN42" i="23"/>
  <c r="FN43" i="23"/>
  <c r="FN44" i="23"/>
  <c r="FN45" i="23"/>
  <c r="FN46" i="23"/>
  <c r="FN47" i="23"/>
  <c r="FN48" i="23"/>
  <c r="FN49" i="23"/>
  <c r="FN50" i="23"/>
  <c r="FN51" i="23"/>
  <c r="FN52" i="23"/>
  <c r="FN53" i="23"/>
  <c r="FN54" i="23"/>
  <c r="FN55" i="23"/>
  <c r="FN56" i="23"/>
  <c r="FN57" i="23"/>
  <c r="FN58" i="23"/>
  <c r="FN59" i="23"/>
  <c r="FN60" i="23"/>
  <c r="FN61" i="23"/>
  <c r="FN62" i="23"/>
  <c r="FN63" i="23"/>
  <c r="FN64" i="23"/>
  <c r="FN65" i="23"/>
  <c r="FN66" i="23"/>
  <c r="FN67" i="23"/>
  <c r="FN68" i="23"/>
  <c r="FN69" i="23"/>
  <c r="FN70" i="23"/>
  <c r="FN71" i="23"/>
  <c r="FN72" i="23"/>
  <c r="FN73" i="23"/>
  <c r="FN74" i="23"/>
  <c r="FN75" i="23"/>
  <c r="FN76" i="23"/>
  <c r="FN77" i="23"/>
  <c r="FN78" i="23"/>
  <c r="FN79" i="23"/>
  <c r="FN80" i="23"/>
  <c r="FN81" i="23"/>
  <c r="FN82" i="23"/>
  <c r="FN83" i="23"/>
  <c r="FN84" i="23"/>
  <c r="FN85" i="23"/>
  <c r="FN86" i="23"/>
  <c r="FN87" i="23"/>
  <c r="FN88" i="23"/>
  <c r="FN89" i="23"/>
  <c r="FN90" i="23"/>
  <c r="FN91" i="23"/>
  <c r="FN92" i="23"/>
  <c r="FN93" i="23"/>
  <c r="FN21" i="23"/>
  <c r="CJ132" i="21"/>
  <c r="CK132" i="21"/>
  <c r="CL132" i="21"/>
  <c r="CM132" i="21"/>
  <c r="CN132" i="21"/>
  <c r="CO132" i="21"/>
  <c r="CJ199" i="21"/>
  <c r="CK199" i="21"/>
  <c r="CL199" i="21"/>
  <c r="CM199" i="21"/>
  <c r="CN199" i="21"/>
  <c r="CO199" i="21"/>
  <c r="CP199" i="21"/>
  <c r="CQ199" i="21"/>
  <c r="CR199" i="21"/>
  <c r="CS199" i="21"/>
  <c r="BN57" i="21"/>
  <c r="BN58" i="21"/>
  <c r="BN59" i="21"/>
  <c r="BN60" i="21"/>
  <c r="BN61" i="21"/>
  <c r="BN62" i="21"/>
  <c r="BN63" i="21"/>
  <c r="BN64" i="21"/>
  <c r="BN65" i="21"/>
  <c r="BN66" i="21"/>
  <c r="BN67" i="21"/>
  <c r="BQ129" i="21"/>
  <c r="BN56" i="21"/>
  <c r="CK187" i="21"/>
  <c r="CJ187" i="21"/>
  <c r="CL187" i="21"/>
  <c r="CM187" i="21"/>
  <c r="CJ129" i="21"/>
  <c r="CJ130" i="21"/>
  <c r="CJ131" i="21"/>
  <c r="CJ133" i="21"/>
  <c r="CJ139" i="21"/>
  <c r="CJ140" i="21"/>
  <c r="CK129" i="21"/>
  <c r="CK130" i="21"/>
  <c r="CK131" i="21"/>
  <c r="CK133" i="21"/>
  <c r="CK139" i="21"/>
  <c r="CK140" i="21"/>
  <c r="CL129" i="21"/>
  <c r="CL130" i="21"/>
  <c r="CL131" i="21"/>
  <c r="CL133" i="21"/>
  <c r="CL139" i="21"/>
  <c r="CL140" i="21"/>
  <c r="CM129" i="21"/>
  <c r="CM130" i="21"/>
  <c r="CM131" i="21"/>
  <c r="CM133" i="21"/>
  <c r="CM139" i="21"/>
  <c r="CM140" i="21"/>
  <c r="CN129" i="21"/>
  <c r="CN130" i="21"/>
  <c r="CN131" i="21"/>
  <c r="CN133" i="21"/>
  <c r="CN139" i="21"/>
  <c r="CN140" i="21"/>
  <c r="CO140" i="21"/>
  <c r="CP140" i="21"/>
  <c r="CQ140" i="21"/>
  <c r="CR140" i="21"/>
  <c r="CS140" i="21"/>
  <c r="CP129" i="21"/>
  <c r="CQ129" i="21"/>
  <c r="CR129" i="21"/>
  <c r="CS129" i="21"/>
  <c r="CP130" i="21"/>
  <c r="CQ130" i="21"/>
  <c r="CR130" i="21"/>
  <c r="CS130" i="21"/>
  <c r="CP131" i="21"/>
  <c r="CQ131" i="21"/>
  <c r="CR131" i="21"/>
  <c r="CS131" i="21"/>
  <c r="CP132" i="21"/>
  <c r="CQ132" i="21"/>
  <c r="CR132" i="21"/>
  <c r="CS132" i="21"/>
  <c r="CP133" i="21"/>
  <c r="CQ133" i="21"/>
  <c r="CR133" i="21"/>
  <c r="CS133" i="21"/>
  <c r="CP134" i="21"/>
  <c r="CQ134" i="21"/>
  <c r="CR134" i="21"/>
  <c r="CS134" i="21"/>
  <c r="CP135" i="21"/>
  <c r="CQ135" i="21"/>
  <c r="CR135" i="21"/>
  <c r="CS135" i="21"/>
  <c r="CP136" i="21"/>
  <c r="CQ136" i="21"/>
  <c r="CR136" i="21"/>
  <c r="CS136" i="21"/>
  <c r="CP137" i="21"/>
  <c r="CQ137" i="21"/>
  <c r="CR137" i="21"/>
  <c r="CS137" i="21"/>
  <c r="CP138" i="21"/>
  <c r="CQ138" i="21"/>
  <c r="CR138" i="21"/>
  <c r="CS138" i="21"/>
  <c r="CP139" i="21"/>
  <c r="CQ139" i="21"/>
  <c r="CR139" i="21"/>
  <c r="CS139" i="21"/>
  <c r="CO130" i="21"/>
  <c r="CO131" i="21"/>
  <c r="CO133" i="21"/>
  <c r="CO134" i="21"/>
  <c r="CO135" i="21"/>
  <c r="CO136" i="21"/>
  <c r="CO137" i="21"/>
  <c r="CO138" i="21"/>
  <c r="CO139" i="21"/>
  <c r="CO129" i="21"/>
  <c r="CL182" i="21"/>
  <c r="CM183" i="21"/>
  <c r="CM184" i="21"/>
  <c r="CM185" i="21"/>
  <c r="CM186" i="21"/>
  <c r="CM182" i="21"/>
  <c r="CL183" i="21"/>
  <c r="CL184" i="21"/>
  <c r="CL185" i="21"/>
  <c r="CL186" i="21"/>
  <c r="BP131" i="21"/>
  <c r="BP130" i="21"/>
  <c r="BP129" i="21"/>
  <c r="AQ99" i="21"/>
  <c r="AQ100" i="21"/>
  <c r="AQ101" i="21"/>
  <c r="AQ102" i="21"/>
  <c r="AK107" i="21"/>
  <c r="AQ97" i="21"/>
  <c r="AQ98" i="21"/>
  <c r="AK106" i="21"/>
  <c r="AL107" i="21"/>
  <c r="AL106" i="21"/>
  <c r="AR99" i="21"/>
  <c r="AR100" i="21"/>
  <c r="AR101" i="21"/>
  <c r="AR102" i="21"/>
  <c r="AK112" i="21"/>
  <c r="AR97" i="21"/>
  <c r="AR98" i="21"/>
  <c r="AK111" i="21"/>
  <c r="AL112" i="21"/>
  <c r="AL111" i="21"/>
  <c r="BO84" i="21"/>
  <c r="BO85" i="21"/>
  <c r="BO86" i="21"/>
  <c r="BN84" i="21"/>
  <c r="BN85" i="21"/>
  <c r="BN86" i="21"/>
  <c r="CM82" i="21"/>
  <c r="CA82" i="21"/>
  <c r="CM81" i="21"/>
  <c r="CA81" i="21"/>
  <c r="CM80" i="21"/>
  <c r="CA80" i="21"/>
  <c r="CM79" i="21"/>
  <c r="CA79" i="21"/>
  <c r="CM78" i="21"/>
  <c r="CA78" i="21"/>
  <c r="CM77" i="21"/>
  <c r="CA77" i="21"/>
  <c r="CM76" i="21"/>
  <c r="CA76" i="21"/>
  <c r="CM75" i="21"/>
  <c r="CA75" i="21"/>
  <c r="CM74" i="21"/>
  <c r="CA74" i="21"/>
  <c r="CM73" i="21"/>
  <c r="CA73" i="21"/>
  <c r="CM72" i="21"/>
  <c r="CA72" i="21"/>
  <c r="CM71" i="21"/>
  <c r="CA71" i="21"/>
  <c r="CM70" i="21"/>
  <c r="CA70" i="21"/>
  <c r="CM69" i="21"/>
  <c r="CA69" i="21"/>
  <c r="CM68" i="21"/>
  <c r="CA68" i="21"/>
  <c r="CM67" i="21"/>
  <c r="CA67" i="21"/>
  <c r="CM66" i="21"/>
  <c r="CA66" i="21"/>
  <c r="CM65" i="21"/>
  <c r="CA65" i="21"/>
  <c r="CM64" i="21"/>
  <c r="CA64" i="21"/>
  <c r="CM63" i="21"/>
  <c r="CA63" i="21"/>
  <c r="CM62" i="21"/>
  <c r="CA62" i="21"/>
  <c r="CM61" i="21"/>
  <c r="CA61" i="21"/>
  <c r="CM60" i="21"/>
  <c r="CA60" i="21"/>
  <c r="CM59" i="21"/>
  <c r="CA59" i="21"/>
  <c r="CM58" i="21"/>
  <c r="CA58" i="21"/>
  <c r="CM57" i="21"/>
  <c r="CA57" i="21"/>
  <c r="CM56" i="21"/>
  <c r="CA56" i="21"/>
  <c r="CM55" i="21"/>
  <c r="CA55" i="21"/>
  <c r="CM54" i="21"/>
  <c r="CA54" i="21"/>
  <c r="CM53" i="21"/>
  <c r="CA53" i="21"/>
  <c r="CM52" i="21"/>
  <c r="CA52" i="21"/>
  <c r="CM51" i="21"/>
  <c r="CA51" i="21"/>
  <c r="CM50" i="21"/>
  <c r="CA50" i="21"/>
  <c r="CM49" i="21"/>
  <c r="CA49" i="21"/>
  <c r="CM48" i="21"/>
  <c r="CA48" i="21"/>
  <c r="CM47" i="21"/>
  <c r="CA47" i="21"/>
  <c r="CM46" i="21"/>
  <c r="CA46" i="21"/>
  <c r="CM45" i="21"/>
  <c r="CA45" i="21"/>
  <c r="CM44" i="21"/>
  <c r="CA44" i="21"/>
  <c r="CM43" i="21"/>
  <c r="CA43" i="21"/>
  <c r="CM42" i="21"/>
  <c r="CA42" i="21"/>
  <c r="CM41" i="21"/>
  <c r="CA41" i="21"/>
  <c r="CM40" i="21"/>
  <c r="CA40" i="21"/>
  <c r="CM39" i="21"/>
  <c r="CA39" i="21"/>
  <c r="CM38" i="21"/>
  <c r="CA38" i="21"/>
  <c r="CM37" i="21"/>
  <c r="CA37" i="21"/>
  <c r="CM36" i="21"/>
  <c r="CA36" i="21"/>
  <c r="CM35" i="21"/>
  <c r="CA35" i="21"/>
  <c r="CM34" i="21"/>
  <c r="CA34" i="21"/>
  <c r="CM33" i="21"/>
  <c r="CA33" i="21"/>
  <c r="CM32" i="21"/>
  <c r="CA32" i="21"/>
  <c r="CM31" i="21"/>
  <c r="CA31" i="21"/>
  <c r="CM30" i="21"/>
  <c r="CA30" i="21"/>
  <c r="CM29" i="21"/>
  <c r="CA29" i="21"/>
  <c r="CM28" i="21"/>
  <c r="CA28" i="21"/>
  <c r="CM27" i="21"/>
  <c r="CA27" i="21"/>
  <c r="CM26" i="21"/>
  <c r="CA26" i="21"/>
  <c r="CM25" i="21"/>
  <c r="CA25" i="21"/>
  <c r="CM24" i="21"/>
  <c r="CA24" i="21"/>
  <c r="CM23" i="21"/>
  <c r="CA23" i="21"/>
  <c r="CM22" i="21"/>
  <c r="CA22" i="21"/>
  <c r="CM21" i="21"/>
  <c r="CA21" i="21"/>
  <c r="CM20" i="21"/>
  <c r="CA20" i="21"/>
  <c r="CM19" i="21"/>
  <c r="CA19" i="21"/>
  <c r="CM18" i="21"/>
  <c r="CA18" i="21"/>
  <c r="CM17" i="21"/>
  <c r="CA17" i="21"/>
  <c r="CM16" i="21"/>
  <c r="CA16" i="21"/>
  <c r="CM15" i="21"/>
  <c r="CA15" i="21"/>
  <c r="CM14" i="21"/>
  <c r="CA14" i="21"/>
  <c r="CM13" i="21"/>
  <c r="CA13" i="21"/>
  <c r="CM12" i="21"/>
  <c r="CA12" i="21"/>
  <c r="CM11" i="21"/>
  <c r="CA11" i="21"/>
  <c r="CM10" i="21"/>
  <c r="CA10" i="21"/>
  <c r="BJ82" i="21"/>
  <c r="AX82" i="21"/>
  <c r="BJ81" i="21"/>
  <c r="AX81" i="21"/>
  <c r="BJ80" i="21"/>
  <c r="AX80" i="21"/>
  <c r="BJ79" i="21"/>
  <c r="AX79" i="21"/>
  <c r="BJ78" i="21"/>
  <c r="AX78" i="21"/>
  <c r="BJ77" i="21"/>
  <c r="AX77" i="21"/>
  <c r="BJ76" i="21"/>
  <c r="AX76" i="21"/>
  <c r="BJ75" i="21"/>
  <c r="AX75" i="21"/>
  <c r="BJ74" i="21"/>
  <c r="AX74" i="21"/>
  <c r="BJ73" i="21"/>
  <c r="AX73" i="21"/>
  <c r="BJ72" i="21"/>
  <c r="AX72" i="21"/>
  <c r="BJ71" i="21"/>
  <c r="AX71" i="21"/>
  <c r="BJ70" i="21"/>
  <c r="AX70" i="21"/>
  <c r="BJ69" i="21"/>
  <c r="AX69" i="21"/>
  <c r="BJ68" i="21"/>
  <c r="AX68" i="21"/>
  <c r="BJ67" i="21"/>
  <c r="AX67" i="21"/>
  <c r="BJ66" i="21"/>
  <c r="AX66" i="21"/>
  <c r="BJ65" i="21"/>
  <c r="AX65" i="21"/>
  <c r="BJ64" i="21"/>
  <c r="AX64" i="21"/>
  <c r="BJ63" i="21"/>
  <c r="AX63" i="21"/>
  <c r="BJ62" i="21"/>
  <c r="AX62" i="21"/>
  <c r="BJ61" i="21"/>
  <c r="AX61" i="21"/>
  <c r="BJ60" i="21"/>
  <c r="AX60" i="21"/>
  <c r="BJ59" i="21"/>
  <c r="AX59" i="21"/>
  <c r="BJ58" i="21"/>
  <c r="AX58" i="21"/>
  <c r="BJ57" i="21"/>
  <c r="AX57" i="21"/>
  <c r="BJ56" i="21"/>
  <c r="AX56" i="21"/>
  <c r="BJ55" i="21"/>
  <c r="AX55" i="21"/>
  <c r="BJ54" i="21"/>
  <c r="AX54" i="21"/>
  <c r="BJ53" i="21"/>
  <c r="AX53" i="21"/>
  <c r="BJ52" i="21"/>
  <c r="AX52" i="21"/>
  <c r="BJ51" i="21"/>
  <c r="AX51" i="21"/>
  <c r="BJ50" i="21"/>
  <c r="AX50" i="21"/>
  <c r="BJ49" i="21"/>
  <c r="AX49" i="21"/>
  <c r="BJ48" i="21"/>
  <c r="AX48" i="21"/>
  <c r="BJ47" i="21"/>
  <c r="AX47" i="21"/>
  <c r="BJ46" i="21"/>
  <c r="AX46" i="21"/>
  <c r="BJ45" i="21"/>
  <c r="AX45" i="21"/>
  <c r="BJ44" i="21"/>
  <c r="AX44" i="21"/>
  <c r="BJ43" i="21"/>
  <c r="AX43" i="21"/>
  <c r="BJ42" i="21"/>
  <c r="AX42" i="21"/>
  <c r="BJ41" i="21"/>
  <c r="AX41" i="21"/>
  <c r="BJ40" i="21"/>
  <c r="AX40" i="21"/>
  <c r="BJ39" i="21"/>
  <c r="AX39" i="21"/>
  <c r="BJ38" i="21"/>
  <c r="AX38" i="21"/>
  <c r="BJ37" i="21"/>
  <c r="AX37" i="21"/>
  <c r="BJ36" i="21"/>
  <c r="AX36" i="21"/>
  <c r="BJ35" i="21"/>
  <c r="AX35" i="21"/>
  <c r="BJ34" i="21"/>
  <c r="AX34" i="21"/>
  <c r="BJ33" i="21"/>
  <c r="AX33" i="21"/>
  <c r="BJ32" i="21"/>
  <c r="AX32" i="21"/>
  <c r="BJ31" i="21"/>
  <c r="AX31" i="21"/>
  <c r="BJ30" i="21"/>
  <c r="AX30" i="21"/>
  <c r="BJ29" i="21"/>
  <c r="AX29" i="21"/>
  <c r="BJ28" i="21"/>
  <c r="AX28" i="21"/>
  <c r="BJ27" i="21"/>
  <c r="AX27" i="21"/>
  <c r="BJ26" i="21"/>
  <c r="AX26" i="21"/>
  <c r="BJ25" i="21"/>
  <c r="AX25" i="21"/>
  <c r="BJ24" i="21"/>
  <c r="AX24" i="21"/>
  <c r="BJ23" i="21"/>
  <c r="AX23" i="21"/>
  <c r="BJ22" i="21"/>
  <c r="AX22" i="21"/>
  <c r="BJ21" i="21"/>
  <c r="AX21" i="21"/>
  <c r="BJ20" i="21"/>
  <c r="AX20" i="21"/>
  <c r="BJ19" i="21"/>
  <c r="AX19" i="21"/>
  <c r="BJ18" i="21"/>
  <c r="AX18" i="21"/>
  <c r="BJ17" i="21"/>
  <c r="AX17" i="21"/>
  <c r="BJ16" i="21"/>
  <c r="AX16" i="21"/>
  <c r="BJ15" i="21"/>
  <c r="AX15" i="21"/>
  <c r="BJ14" i="21"/>
  <c r="AX14" i="21"/>
  <c r="BJ13" i="21"/>
  <c r="AX13" i="21"/>
  <c r="BJ12" i="21"/>
  <c r="AX12" i="21"/>
  <c r="BJ11" i="21"/>
  <c r="AX11" i="21"/>
  <c r="BJ10" i="21"/>
  <c r="AX10" i="21"/>
  <c r="AG11" i="21"/>
  <c r="AG12" i="21"/>
  <c r="AG13" i="21"/>
  <c r="AG14" i="21"/>
  <c r="AG15" i="21"/>
  <c r="AG16" i="21"/>
  <c r="AG17" i="21"/>
  <c r="AG18" i="21"/>
  <c r="AG19" i="21"/>
  <c r="AG20" i="21"/>
  <c r="AG21" i="21"/>
  <c r="AG22" i="21"/>
  <c r="AG23" i="21"/>
  <c r="AG24" i="21"/>
  <c r="AG25" i="21"/>
  <c r="AG26" i="21"/>
  <c r="AG27" i="21"/>
  <c r="AG28" i="21"/>
  <c r="AG29" i="21"/>
  <c r="AG30" i="21"/>
  <c r="AG31" i="21"/>
  <c r="AG32" i="21"/>
  <c r="AG33" i="21"/>
  <c r="AG34" i="21"/>
  <c r="AG35" i="21"/>
  <c r="AG36" i="21"/>
  <c r="AG37" i="21"/>
  <c r="AG38" i="21"/>
  <c r="AG39" i="21"/>
  <c r="AG40" i="21"/>
  <c r="AG41" i="21"/>
  <c r="AG42" i="21"/>
  <c r="AG43" i="21"/>
  <c r="AG44" i="21"/>
  <c r="AG45" i="21"/>
  <c r="AG46" i="21"/>
  <c r="AG47" i="21"/>
  <c r="AG48" i="21"/>
  <c r="AG49" i="21"/>
  <c r="AG50" i="21"/>
  <c r="AG51" i="21"/>
  <c r="AG52" i="21"/>
  <c r="AG53" i="21"/>
  <c r="AG54" i="21"/>
  <c r="AG55" i="21"/>
  <c r="AG56" i="21"/>
  <c r="AG57" i="21"/>
  <c r="AG58" i="21"/>
  <c r="AG59" i="21"/>
  <c r="AG60" i="21"/>
  <c r="AG61" i="21"/>
  <c r="AG62" i="21"/>
  <c r="AG63" i="21"/>
  <c r="AG64" i="21"/>
  <c r="AG65" i="21"/>
  <c r="AG66" i="21"/>
  <c r="AG67" i="21"/>
  <c r="AG68" i="21"/>
  <c r="AG69" i="21"/>
  <c r="AG70" i="21"/>
  <c r="AG71" i="21"/>
  <c r="AG72" i="21"/>
  <c r="AG73" i="21"/>
  <c r="AG74" i="21"/>
  <c r="AG75" i="21"/>
  <c r="AG76" i="21"/>
  <c r="AG77" i="21"/>
  <c r="AG78" i="21"/>
  <c r="AG79" i="21"/>
  <c r="AG80" i="21"/>
  <c r="AG81" i="21"/>
  <c r="AG82" i="21"/>
  <c r="AG10" i="21"/>
  <c r="U11" i="21"/>
  <c r="U12" i="21"/>
  <c r="U13" i="21"/>
  <c r="U14" i="21"/>
  <c r="U15" i="21"/>
  <c r="U16" i="21"/>
  <c r="U17" i="21"/>
  <c r="U18" i="21"/>
  <c r="U19" i="21"/>
  <c r="U20" i="21"/>
  <c r="U21" i="21"/>
  <c r="U22" i="21"/>
  <c r="U23" i="21"/>
  <c r="U24" i="21"/>
  <c r="U25" i="21"/>
  <c r="U26" i="21"/>
  <c r="U27" i="21"/>
  <c r="U28" i="21"/>
  <c r="U29" i="21"/>
  <c r="U30" i="21"/>
  <c r="U31" i="21"/>
  <c r="U32" i="21"/>
  <c r="U33" i="21"/>
  <c r="U34" i="21"/>
  <c r="U35" i="21"/>
  <c r="U36" i="21"/>
  <c r="U37" i="21"/>
  <c r="U38" i="21"/>
  <c r="U39" i="21"/>
  <c r="U40" i="21"/>
  <c r="U41" i="21"/>
  <c r="U42" i="21"/>
  <c r="U43" i="21"/>
  <c r="U44" i="21"/>
  <c r="U45" i="21"/>
  <c r="U46" i="21"/>
  <c r="U47" i="21"/>
  <c r="U48" i="21"/>
  <c r="U49" i="21"/>
  <c r="U50" i="21"/>
  <c r="U51" i="21"/>
  <c r="U52" i="21"/>
  <c r="U53" i="21"/>
  <c r="U54" i="21"/>
  <c r="U55" i="21"/>
  <c r="U56" i="21"/>
  <c r="U57" i="21"/>
  <c r="U58" i="21"/>
  <c r="U59" i="21"/>
  <c r="U60" i="21"/>
  <c r="U61" i="21"/>
  <c r="U62" i="21"/>
  <c r="U63" i="21"/>
  <c r="U64" i="21"/>
  <c r="U65" i="21"/>
  <c r="U66" i="21"/>
  <c r="U67" i="21"/>
  <c r="U68" i="21"/>
  <c r="U69" i="21"/>
  <c r="U70" i="21"/>
  <c r="U71" i="21"/>
  <c r="U72" i="21"/>
  <c r="U73" i="21"/>
  <c r="U74" i="21"/>
  <c r="U75" i="21"/>
  <c r="U76" i="21"/>
  <c r="U77" i="21"/>
  <c r="U78" i="21"/>
  <c r="U79" i="21"/>
  <c r="U80" i="21"/>
  <c r="U81" i="21"/>
  <c r="U82" i="21"/>
  <c r="U10" i="21"/>
  <c r="AN24" i="7"/>
  <c r="AN25" i="7"/>
  <c r="AN26" i="7"/>
  <c r="AN27" i="7"/>
  <c r="AN28" i="7"/>
  <c r="AN29" i="7"/>
  <c r="AN30" i="7"/>
  <c r="AN31" i="7"/>
  <c r="AN32" i="7"/>
  <c r="AN23" i="7"/>
  <c r="AL84" i="21"/>
  <c r="AL85" i="21"/>
  <c r="AL86" i="21"/>
  <c r="AK84" i="21"/>
  <c r="AK85" i="21"/>
  <c r="AK86" i="21"/>
  <c r="H83" i="21"/>
  <c r="I84" i="21"/>
  <c r="I86" i="21"/>
  <c r="H84" i="21"/>
  <c r="H85" i="21"/>
  <c r="H86" i="21"/>
  <c r="I85" i="21"/>
  <c r="AI28" i="7"/>
  <c r="AI29" i="7"/>
  <c r="AI30" i="7"/>
  <c r="AI31" i="7"/>
  <c r="AH32" i="7"/>
  <c r="AI32" i="7"/>
  <c r="AI24" i="7"/>
  <c r="AI25" i="7"/>
  <c r="AI26" i="7"/>
  <c r="AI27" i="7"/>
  <c r="L12" i="11"/>
  <c r="L13" i="11"/>
  <c r="L14" i="11"/>
  <c r="L15" i="11"/>
  <c r="L16" i="11"/>
  <c r="L17" i="11"/>
  <c r="L18" i="11"/>
  <c r="L19" i="11"/>
  <c r="L20" i="11"/>
  <c r="L21" i="11"/>
  <c r="L22" i="11"/>
  <c r="L23" i="11"/>
  <c r="L24" i="11"/>
  <c r="L25" i="11"/>
  <c r="L26" i="11"/>
  <c r="L27" i="11"/>
  <c r="L28" i="11"/>
  <c r="L29" i="11"/>
  <c r="L30" i="11"/>
  <c r="L31" i="11"/>
  <c r="H49" i="11"/>
  <c r="H32" i="11"/>
  <c r="L32" i="11"/>
  <c r="H33" i="11"/>
  <c r="L33" i="11"/>
  <c r="H34" i="11"/>
  <c r="L34" i="11"/>
  <c r="H35" i="11"/>
  <c r="L35" i="11"/>
  <c r="H36" i="11"/>
  <c r="L36" i="11"/>
  <c r="H37" i="11"/>
  <c r="L37" i="11"/>
  <c r="H38" i="11"/>
  <c r="L38" i="11"/>
  <c r="H39" i="11"/>
  <c r="L39" i="11"/>
  <c r="H40" i="11"/>
  <c r="L40" i="11"/>
  <c r="H41" i="11"/>
  <c r="L41" i="11"/>
  <c r="H42" i="11"/>
  <c r="L42" i="11"/>
  <c r="H43" i="11"/>
  <c r="L43" i="11"/>
  <c r="H44" i="11"/>
  <c r="L44" i="11"/>
  <c r="H45" i="11"/>
  <c r="L45" i="11"/>
  <c r="H46" i="11"/>
  <c r="L46" i="11"/>
  <c r="H47" i="11"/>
  <c r="L47" i="11"/>
  <c r="H48" i="11"/>
  <c r="L48" i="11"/>
  <c r="L49" i="11"/>
  <c r="H50" i="11"/>
  <c r="L50" i="11"/>
  <c r="H51" i="11"/>
  <c r="L51" i="11"/>
  <c r="H52" i="11"/>
  <c r="L52" i="11"/>
  <c r="H53" i="11"/>
  <c r="L53" i="11"/>
  <c r="H54" i="11"/>
  <c r="L54" i="11"/>
  <c r="L11" i="11"/>
  <c r="L10" i="11"/>
  <c r="L83" i="11"/>
  <c r="M55" i="11"/>
  <c r="M56" i="11"/>
  <c r="M57" i="11"/>
  <c r="M58" i="11"/>
  <c r="M59" i="11"/>
  <c r="M60" i="11"/>
  <c r="M61" i="11"/>
  <c r="M62" i="11"/>
  <c r="M63" i="11"/>
  <c r="M64" i="11"/>
  <c r="M65" i="11"/>
  <c r="M66" i="11"/>
  <c r="M67" i="11"/>
  <c r="M84" i="11"/>
  <c r="M86" i="11"/>
  <c r="L55" i="11"/>
  <c r="L56" i="11"/>
  <c r="L57" i="11"/>
  <c r="L58" i="11"/>
  <c r="L59" i="11"/>
  <c r="L60" i="11"/>
  <c r="L61" i="11"/>
  <c r="L62" i="11"/>
  <c r="L63" i="11"/>
  <c r="L64" i="11"/>
  <c r="L65" i="11"/>
  <c r="L66" i="11"/>
  <c r="L67" i="11"/>
  <c r="L84" i="11"/>
  <c r="L86" i="11"/>
  <c r="K84" i="11"/>
  <c r="K85" i="11"/>
  <c r="K86" i="11"/>
  <c r="J84" i="11"/>
  <c r="J85" i="11"/>
  <c r="J86" i="11"/>
  <c r="H83" i="11"/>
  <c r="I84" i="11"/>
  <c r="I86" i="11"/>
  <c r="H84" i="11"/>
  <c r="H85" i="11"/>
  <c r="H86" i="11"/>
  <c r="M68" i="11"/>
  <c r="M69" i="11"/>
  <c r="M70" i="11"/>
  <c r="M71" i="11"/>
  <c r="M72" i="11"/>
  <c r="M73" i="11"/>
  <c r="M74" i="11"/>
  <c r="M75" i="11"/>
  <c r="M76" i="11"/>
  <c r="M77" i="11"/>
  <c r="M78" i="11"/>
  <c r="M79" i="11"/>
  <c r="M80" i="11"/>
  <c r="M81" i="11"/>
  <c r="M82" i="11"/>
  <c r="M85" i="11"/>
  <c r="L68" i="11"/>
  <c r="L69" i="11"/>
  <c r="L70" i="11"/>
  <c r="L71" i="11"/>
  <c r="L72" i="11"/>
  <c r="L73" i="11"/>
  <c r="L74" i="11"/>
  <c r="L75" i="11"/>
  <c r="L76" i="11"/>
  <c r="L77" i="11"/>
  <c r="L78" i="11"/>
  <c r="L79" i="11"/>
  <c r="L80" i="11"/>
  <c r="L81" i="11"/>
  <c r="L82" i="11"/>
  <c r="L85" i="11"/>
  <c r="I85" i="11"/>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50" i="10"/>
  <c r="H51" i="10"/>
  <c r="H52" i="10"/>
  <c r="H53" i="10"/>
  <c r="H54" i="10"/>
  <c r="H83"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11" i="10"/>
  <c r="L10" i="10"/>
  <c r="L83" i="10"/>
  <c r="M55" i="10"/>
  <c r="M56" i="10"/>
  <c r="M57" i="10"/>
  <c r="M58" i="10"/>
  <c r="M59" i="10"/>
  <c r="M60" i="10"/>
  <c r="M61" i="10"/>
  <c r="M62" i="10"/>
  <c r="M63" i="10"/>
  <c r="M64" i="10"/>
  <c r="M65" i="10"/>
  <c r="M66" i="10"/>
  <c r="M67" i="10"/>
  <c r="M84" i="10"/>
  <c r="M86" i="10"/>
  <c r="L55" i="10"/>
  <c r="L56" i="10"/>
  <c r="L57" i="10"/>
  <c r="L58" i="10"/>
  <c r="L59" i="10"/>
  <c r="L60" i="10"/>
  <c r="L61" i="10"/>
  <c r="L62" i="10"/>
  <c r="L63" i="10"/>
  <c r="L64" i="10"/>
  <c r="L65" i="10"/>
  <c r="L66" i="10"/>
  <c r="L67" i="10"/>
  <c r="L84" i="10"/>
  <c r="L86" i="10"/>
  <c r="K84" i="10"/>
  <c r="K85" i="10"/>
  <c r="K86" i="10"/>
  <c r="J84" i="10"/>
  <c r="J85" i="10"/>
  <c r="J86" i="10"/>
  <c r="I84" i="10"/>
  <c r="I86" i="10"/>
  <c r="H84" i="10"/>
  <c r="H85" i="10"/>
  <c r="H86" i="10"/>
  <c r="M68" i="10"/>
  <c r="M69" i="10"/>
  <c r="M70" i="10"/>
  <c r="M71" i="10"/>
  <c r="M72" i="10"/>
  <c r="M73" i="10"/>
  <c r="M74" i="10"/>
  <c r="M75" i="10"/>
  <c r="M76" i="10"/>
  <c r="M77" i="10"/>
  <c r="M78" i="10"/>
  <c r="M79" i="10"/>
  <c r="M80" i="10"/>
  <c r="M81" i="10"/>
  <c r="M82" i="10"/>
  <c r="M85" i="10"/>
  <c r="L68" i="10"/>
  <c r="L69" i="10"/>
  <c r="L70" i="10"/>
  <c r="L71" i="10"/>
  <c r="L72" i="10"/>
  <c r="L73" i="10"/>
  <c r="L74" i="10"/>
  <c r="L75" i="10"/>
  <c r="L76" i="10"/>
  <c r="L77" i="10"/>
  <c r="L78" i="10"/>
  <c r="L79" i="10"/>
  <c r="L80" i="10"/>
  <c r="L81" i="10"/>
  <c r="L82" i="10"/>
  <c r="L85" i="10"/>
  <c r="I85" i="10"/>
  <c r="F13" i="13"/>
  <c r="G13" i="13"/>
  <c r="H13" i="13"/>
  <c r="F14" i="13"/>
  <c r="G14" i="13"/>
  <c r="H14" i="13"/>
  <c r="F15" i="13"/>
  <c r="G15" i="13"/>
  <c r="H15" i="13"/>
  <c r="F16" i="13"/>
  <c r="G16" i="13"/>
  <c r="H16" i="13"/>
  <c r="F17" i="13"/>
  <c r="G17" i="13"/>
  <c r="H17" i="13"/>
  <c r="F18" i="13"/>
  <c r="G18" i="13"/>
  <c r="H18" i="13"/>
  <c r="F19" i="13"/>
  <c r="G19" i="13"/>
  <c r="H19" i="13"/>
  <c r="F20" i="13"/>
  <c r="G20" i="13"/>
  <c r="H20" i="13"/>
  <c r="F21" i="13"/>
  <c r="G21" i="13"/>
  <c r="H21" i="13"/>
  <c r="F22" i="13"/>
  <c r="G22" i="13"/>
  <c r="H22" i="13"/>
  <c r="F23" i="13"/>
  <c r="G23" i="13"/>
  <c r="H23" i="13"/>
  <c r="F24" i="13"/>
  <c r="G24" i="13"/>
  <c r="H24" i="13"/>
  <c r="F25" i="13"/>
  <c r="G25" i="13"/>
  <c r="H25" i="13"/>
  <c r="F26" i="13"/>
  <c r="G26" i="13"/>
  <c r="H26" i="13"/>
  <c r="F27" i="13"/>
  <c r="G27" i="13"/>
  <c r="H27" i="13"/>
  <c r="F28" i="13"/>
  <c r="G28" i="13"/>
  <c r="H28" i="13"/>
  <c r="F29" i="13"/>
  <c r="G29" i="13"/>
  <c r="H29" i="13"/>
  <c r="F30" i="13"/>
  <c r="G30" i="13"/>
  <c r="H30" i="13"/>
  <c r="F31" i="13"/>
  <c r="G31" i="13"/>
  <c r="H31" i="13"/>
  <c r="F32" i="13"/>
  <c r="G32" i="13"/>
  <c r="H32" i="13"/>
  <c r="F33" i="13"/>
  <c r="G33" i="13"/>
  <c r="H33" i="13"/>
  <c r="F34" i="13"/>
  <c r="G34" i="13"/>
  <c r="H34" i="13"/>
  <c r="F35" i="13"/>
  <c r="G35" i="13"/>
  <c r="H35" i="13"/>
  <c r="F36" i="13"/>
  <c r="G36" i="13"/>
  <c r="H36" i="13"/>
  <c r="F37" i="13"/>
  <c r="G37" i="13"/>
  <c r="H37" i="13"/>
  <c r="F38" i="13"/>
  <c r="G38" i="13"/>
  <c r="H38" i="13"/>
  <c r="F39" i="13"/>
  <c r="G39" i="13"/>
  <c r="H39" i="13"/>
  <c r="F40" i="13"/>
  <c r="G40" i="13"/>
  <c r="H40" i="13"/>
  <c r="F41" i="13"/>
  <c r="G41" i="13"/>
  <c r="H41" i="13"/>
  <c r="F42" i="13"/>
  <c r="G42" i="13"/>
  <c r="H42" i="13"/>
  <c r="F43" i="13"/>
  <c r="G43" i="13"/>
  <c r="H43" i="13"/>
  <c r="F44" i="13"/>
  <c r="G44" i="13"/>
  <c r="H44" i="13"/>
  <c r="F45" i="13"/>
  <c r="G45" i="13"/>
  <c r="H45" i="13"/>
  <c r="F46" i="13"/>
  <c r="G46" i="13"/>
  <c r="H46" i="13"/>
  <c r="F47" i="13"/>
  <c r="G47" i="13"/>
  <c r="H47" i="13"/>
  <c r="F48" i="13"/>
  <c r="G48" i="13"/>
  <c r="H48" i="13"/>
  <c r="F49" i="13"/>
  <c r="G49" i="13"/>
  <c r="H49" i="13"/>
  <c r="F50" i="13"/>
  <c r="G50" i="13"/>
  <c r="H50" i="13"/>
  <c r="F51" i="13"/>
  <c r="G51" i="13"/>
  <c r="H51" i="13"/>
  <c r="F52" i="13"/>
  <c r="G52" i="13"/>
  <c r="H52" i="13"/>
  <c r="F53" i="13"/>
  <c r="G53" i="13"/>
  <c r="H53" i="13"/>
  <c r="F54" i="13"/>
  <c r="G54" i="13"/>
  <c r="H54" i="13"/>
  <c r="F55" i="13"/>
  <c r="G55" i="13"/>
  <c r="H55" i="13"/>
  <c r="F56" i="13"/>
  <c r="G56" i="13"/>
  <c r="H56" i="13"/>
  <c r="F57" i="13"/>
  <c r="G57" i="13"/>
  <c r="H57" i="13"/>
  <c r="F58" i="13"/>
  <c r="G58" i="13"/>
  <c r="H58" i="13"/>
  <c r="F59" i="13"/>
  <c r="G59" i="13"/>
  <c r="H59" i="13"/>
  <c r="F60" i="13"/>
  <c r="G60" i="13"/>
  <c r="H60" i="13"/>
  <c r="F61" i="13"/>
  <c r="G61" i="13"/>
  <c r="H61" i="13"/>
  <c r="F62" i="13"/>
  <c r="G62" i="13"/>
  <c r="H62" i="13"/>
  <c r="F12" i="13"/>
  <c r="G12" i="13"/>
  <c r="H12" i="13"/>
  <c r="B13" i="13"/>
  <c r="C13" i="13"/>
  <c r="D13" i="13"/>
  <c r="B14" i="13"/>
  <c r="C14" i="13"/>
  <c r="D14" i="13"/>
  <c r="B15" i="13"/>
  <c r="C15" i="13"/>
  <c r="D15" i="13"/>
  <c r="B16" i="13"/>
  <c r="C16" i="13"/>
  <c r="D16" i="13"/>
  <c r="B17" i="13"/>
  <c r="C17" i="13"/>
  <c r="D17" i="13"/>
  <c r="B18" i="13"/>
  <c r="C18" i="13"/>
  <c r="D18" i="13"/>
  <c r="B19" i="13"/>
  <c r="C19" i="13"/>
  <c r="D19" i="13"/>
  <c r="B20" i="13"/>
  <c r="C20" i="13"/>
  <c r="D20" i="13"/>
  <c r="B21" i="13"/>
  <c r="C21" i="13"/>
  <c r="D21" i="13"/>
  <c r="B22" i="13"/>
  <c r="C22" i="13"/>
  <c r="D22" i="13"/>
  <c r="B23" i="13"/>
  <c r="C23" i="13"/>
  <c r="D23" i="13"/>
  <c r="B24" i="13"/>
  <c r="C24" i="13"/>
  <c r="D24" i="13"/>
  <c r="B25" i="13"/>
  <c r="C25" i="13"/>
  <c r="D25" i="13"/>
  <c r="B26" i="13"/>
  <c r="C26" i="13"/>
  <c r="D26" i="13"/>
  <c r="B27" i="13"/>
  <c r="C27" i="13"/>
  <c r="D27" i="13"/>
  <c r="B28" i="13"/>
  <c r="C28" i="13"/>
  <c r="D28" i="13"/>
  <c r="B29" i="13"/>
  <c r="C29" i="13"/>
  <c r="D29" i="13"/>
  <c r="B30" i="13"/>
  <c r="C30" i="13"/>
  <c r="D30" i="13"/>
  <c r="B31" i="13"/>
  <c r="C31" i="13"/>
  <c r="D31" i="13"/>
  <c r="B32" i="13"/>
  <c r="C32" i="13"/>
  <c r="D32" i="13"/>
  <c r="B33" i="13"/>
  <c r="C33" i="13"/>
  <c r="D33" i="13"/>
  <c r="B34" i="13"/>
  <c r="C34" i="13"/>
  <c r="D34" i="13"/>
  <c r="B35" i="13"/>
  <c r="C35" i="13"/>
  <c r="D35" i="13"/>
  <c r="B36" i="13"/>
  <c r="C36" i="13"/>
  <c r="D36" i="13"/>
  <c r="B37" i="13"/>
  <c r="C37" i="13"/>
  <c r="D37" i="13"/>
  <c r="B38" i="13"/>
  <c r="C38" i="13"/>
  <c r="D38" i="13"/>
  <c r="B39" i="13"/>
  <c r="C39" i="13"/>
  <c r="D39" i="13"/>
  <c r="B40" i="13"/>
  <c r="C40" i="13"/>
  <c r="D40" i="13"/>
  <c r="B41" i="13"/>
  <c r="C41" i="13"/>
  <c r="D41" i="13"/>
  <c r="B42" i="13"/>
  <c r="C42" i="13"/>
  <c r="D42" i="13"/>
  <c r="B43" i="13"/>
  <c r="C43" i="13"/>
  <c r="D43" i="13"/>
  <c r="B44" i="13"/>
  <c r="C44" i="13"/>
  <c r="D44" i="13"/>
  <c r="B45" i="13"/>
  <c r="C45" i="13"/>
  <c r="D45" i="13"/>
  <c r="B46" i="13"/>
  <c r="C46" i="13"/>
  <c r="D46" i="13"/>
  <c r="B47" i="13"/>
  <c r="C47" i="13"/>
  <c r="D47" i="13"/>
  <c r="B48" i="13"/>
  <c r="C48" i="13"/>
  <c r="D48" i="13"/>
  <c r="B49" i="13"/>
  <c r="C49" i="13"/>
  <c r="D49" i="13"/>
  <c r="B50" i="13"/>
  <c r="C50" i="13"/>
  <c r="D50" i="13"/>
  <c r="B51" i="13"/>
  <c r="C51" i="13"/>
  <c r="D51" i="13"/>
  <c r="B52" i="13"/>
  <c r="C52" i="13"/>
  <c r="D52" i="13"/>
  <c r="B53" i="13"/>
  <c r="C53" i="13"/>
  <c r="D53" i="13"/>
  <c r="B54" i="13"/>
  <c r="C54" i="13"/>
  <c r="D54" i="13"/>
  <c r="B55" i="13"/>
  <c r="C55" i="13"/>
  <c r="D55" i="13"/>
  <c r="B56" i="13"/>
  <c r="C56" i="13"/>
  <c r="D56" i="13"/>
  <c r="B57" i="13"/>
  <c r="C57" i="13"/>
  <c r="D57" i="13"/>
  <c r="B58" i="13"/>
  <c r="C58" i="13"/>
  <c r="D58" i="13"/>
  <c r="B59" i="13"/>
  <c r="C59" i="13"/>
  <c r="D59" i="13"/>
  <c r="B60" i="13"/>
  <c r="C60" i="13"/>
  <c r="D60" i="13"/>
  <c r="B61" i="13"/>
  <c r="C61" i="13"/>
  <c r="D61" i="13"/>
  <c r="B62" i="13"/>
  <c r="C62" i="13"/>
  <c r="D62" i="13"/>
  <c r="B12" i="13"/>
  <c r="C12" i="13"/>
  <c r="D12" i="13"/>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83" i="11"/>
  <c r="G55" i="11"/>
  <c r="G56" i="11"/>
  <c r="G57" i="11"/>
  <c r="G58" i="11"/>
  <c r="G59" i="11"/>
  <c r="G60" i="11"/>
  <c r="G61" i="11"/>
  <c r="G62" i="11"/>
  <c r="G63" i="11"/>
  <c r="G64" i="11"/>
  <c r="G65" i="11"/>
  <c r="G66" i="11"/>
  <c r="G67" i="11"/>
  <c r="G84" i="11"/>
  <c r="G86" i="11"/>
  <c r="F55" i="11"/>
  <c r="F56" i="11"/>
  <c r="F57" i="11"/>
  <c r="F58" i="11"/>
  <c r="F59" i="11"/>
  <c r="F60" i="11"/>
  <c r="F61" i="11"/>
  <c r="F62" i="11"/>
  <c r="F63" i="11"/>
  <c r="F64" i="11"/>
  <c r="F65" i="11"/>
  <c r="F66" i="11"/>
  <c r="F67" i="11"/>
  <c r="F84" i="11"/>
  <c r="F86" i="11"/>
  <c r="E84" i="11"/>
  <c r="E85" i="11"/>
  <c r="E86" i="11"/>
  <c r="D84" i="11"/>
  <c r="D85" i="11"/>
  <c r="D86" i="11"/>
  <c r="B83" i="11"/>
  <c r="C84" i="11"/>
  <c r="C86" i="11"/>
  <c r="B84" i="11"/>
  <c r="B85" i="11"/>
  <c r="B86" i="11"/>
  <c r="G68" i="11"/>
  <c r="G69" i="11"/>
  <c r="G70" i="11"/>
  <c r="G71" i="11"/>
  <c r="G72" i="11"/>
  <c r="G73" i="11"/>
  <c r="G74" i="11"/>
  <c r="G75" i="11"/>
  <c r="G76" i="11"/>
  <c r="G77" i="11"/>
  <c r="G78" i="11"/>
  <c r="G79" i="11"/>
  <c r="G80" i="11"/>
  <c r="G81" i="11"/>
  <c r="G82" i="11"/>
  <c r="G85" i="11"/>
  <c r="F68" i="11"/>
  <c r="F69" i="11"/>
  <c r="F70" i="11"/>
  <c r="F71" i="11"/>
  <c r="F72" i="11"/>
  <c r="F73" i="11"/>
  <c r="F74" i="11"/>
  <c r="F75" i="11"/>
  <c r="F76" i="11"/>
  <c r="F77" i="11"/>
  <c r="F78" i="11"/>
  <c r="F79" i="11"/>
  <c r="F80" i="11"/>
  <c r="F81" i="11"/>
  <c r="F82" i="11"/>
  <c r="F85" i="11"/>
  <c r="C85" i="11"/>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83" i="10"/>
  <c r="G55" i="10"/>
  <c r="G56" i="10"/>
  <c r="G57" i="10"/>
  <c r="G58" i="10"/>
  <c r="G59" i="10"/>
  <c r="G60" i="10"/>
  <c r="G61" i="10"/>
  <c r="G62" i="10"/>
  <c r="G63" i="10"/>
  <c r="G64" i="10"/>
  <c r="G65" i="10"/>
  <c r="G66" i="10"/>
  <c r="G67" i="10"/>
  <c r="G84" i="10"/>
  <c r="G86" i="10"/>
  <c r="F55" i="10"/>
  <c r="F56" i="10"/>
  <c r="F57" i="10"/>
  <c r="F58" i="10"/>
  <c r="F59" i="10"/>
  <c r="F60" i="10"/>
  <c r="F61" i="10"/>
  <c r="F62" i="10"/>
  <c r="F63" i="10"/>
  <c r="F64" i="10"/>
  <c r="F65" i="10"/>
  <c r="F66" i="10"/>
  <c r="F67" i="10"/>
  <c r="F84" i="10"/>
  <c r="F86" i="10"/>
  <c r="E84" i="10"/>
  <c r="E85" i="10"/>
  <c r="E86" i="10"/>
  <c r="D84" i="10"/>
  <c r="D85" i="10"/>
  <c r="D86" i="10"/>
  <c r="B83" i="10"/>
  <c r="C84" i="10"/>
  <c r="C86" i="10"/>
  <c r="B84" i="10"/>
  <c r="B85" i="10"/>
  <c r="B86" i="10"/>
  <c r="G68" i="10"/>
  <c r="G69" i="10"/>
  <c r="G70" i="10"/>
  <c r="G71" i="10"/>
  <c r="G72" i="10"/>
  <c r="G73" i="10"/>
  <c r="G74" i="10"/>
  <c r="G75" i="10"/>
  <c r="G76" i="10"/>
  <c r="G77" i="10"/>
  <c r="G78" i="10"/>
  <c r="G79" i="10"/>
  <c r="G80" i="10"/>
  <c r="G81" i="10"/>
  <c r="G82" i="10"/>
  <c r="G85" i="10"/>
  <c r="F68" i="10"/>
  <c r="F69" i="10"/>
  <c r="F70" i="10"/>
  <c r="F71" i="10"/>
  <c r="F72" i="10"/>
  <c r="F73" i="10"/>
  <c r="F74" i="10"/>
  <c r="F75" i="10"/>
  <c r="F76" i="10"/>
  <c r="F77" i="10"/>
  <c r="F78" i="10"/>
  <c r="F79" i="10"/>
  <c r="F80" i="10"/>
  <c r="F81" i="10"/>
  <c r="F82" i="10"/>
  <c r="F85" i="10"/>
  <c r="C85" i="10"/>
</calcChain>
</file>

<file path=xl/comments1.xml><?xml version="1.0" encoding="utf-8"?>
<comments xmlns="http://schemas.openxmlformats.org/spreadsheetml/2006/main">
  <authors>
    <author>Justin Boucher</author>
  </authors>
  <commentList>
    <comment ref="C9" authorId="0">
      <text>
        <r>
          <rPr>
            <b/>
            <sz val="10"/>
            <color indexed="81"/>
            <rFont val="Calibri"/>
            <family val="2"/>
          </rPr>
          <t>Justin Boucher:</t>
        </r>
        <r>
          <rPr>
            <sz val="10"/>
            <color indexed="81"/>
            <rFont val="Calibri"/>
            <family val="2"/>
          </rPr>
          <t xml:space="preserve">
All of these values are with PFCA's removed</t>
        </r>
      </text>
    </comment>
    <comment ref="E9" authorId="0">
      <text>
        <r>
          <rPr>
            <b/>
            <sz val="10"/>
            <color indexed="81"/>
            <rFont val="Calibri"/>
            <family val="2"/>
          </rPr>
          <t>Justin Boucher:</t>
        </r>
        <r>
          <rPr>
            <sz val="10"/>
            <color indexed="81"/>
            <rFont val="Calibri"/>
            <family val="2"/>
          </rPr>
          <t xml:space="preserve">
All of these values are with PFCA's removed</t>
        </r>
      </text>
    </comment>
    <comment ref="G9" authorId="0">
      <text>
        <r>
          <rPr>
            <b/>
            <sz val="10"/>
            <color indexed="81"/>
            <rFont val="Calibri"/>
            <family val="2"/>
          </rPr>
          <t>Justin Boucher:</t>
        </r>
        <r>
          <rPr>
            <sz val="10"/>
            <color indexed="81"/>
            <rFont val="Calibri"/>
            <family val="2"/>
          </rPr>
          <t xml:space="preserve">
All of these values are with PFCA's removed</t>
        </r>
      </text>
    </comment>
    <comment ref="I9" authorId="0">
      <text>
        <r>
          <rPr>
            <b/>
            <sz val="10"/>
            <color indexed="81"/>
            <rFont val="Calibri"/>
            <family val="2"/>
          </rPr>
          <t>Justin Boucher:</t>
        </r>
        <r>
          <rPr>
            <sz val="10"/>
            <color indexed="81"/>
            <rFont val="Calibri"/>
            <family val="2"/>
          </rPr>
          <t xml:space="preserve">
All of these values are with PFCA's removed</t>
        </r>
      </text>
    </comment>
    <comment ref="K9" authorId="0">
      <text>
        <r>
          <rPr>
            <b/>
            <sz val="10"/>
            <color indexed="81"/>
            <rFont val="Calibri"/>
            <family val="2"/>
          </rPr>
          <t>Justin Boucher:</t>
        </r>
        <r>
          <rPr>
            <sz val="10"/>
            <color indexed="81"/>
            <rFont val="Calibri"/>
            <family val="2"/>
          </rPr>
          <t xml:space="preserve">
All of these values are with PFCA's removed</t>
        </r>
      </text>
    </comment>
    <comment ref="M9" authorId="0">
      <text>
        <r>
          <rPr>
            <b/>
            <sz val="10"/>
            <color indexed="81"/>
            <rFont val="Calibri"/>
            <family val="2"/>
          </rPr>
          <t>Justin Boucher:</t>
        </r>
        <r>
          <rPr>
            <sz val="10"/>
            <color indexed="81"/>
            <rFont val="Calibri"/>
            <family val="2"/>
          </rPr>
          <t xml:space="preserve">
All of these values are with PFCA's removed</t>
        </r>
      </text>
    </comment>
  </commentList>
</comments>
</file>

<file path=xl/comments2.xml><?xml version="1.0" encoding="utf-8"?>
<comments xmlns="http://schemas.openxmlformats.org/spreadsheetml/2006/main">
  <authors>
    <author>Microsoft Office User</author>
    <author>Justin Boucher</author>
    <author>Zhanyun Wang</author>
  </authors>
  <commentList>
    <comment ref="FQ9" authorId="0">
      <text>
        <r>
          <rPr>
            <b/>
            <sz val="10"/>
            <color indexed="81"/>
            <rFont val="Calibri"/>
            <family val="2"/>
          </rPr>
          <t>Microsoft Office User:</t>
        </r>
        <r>
          <rPr>
            <sz val="10"/>
            <color indexed="81"/>
            <rFont val="Calibri"/>
            <family val="2"/>
          </rPr>
          <t xml:space="preserve">
Use of this factor may be unnecessary, however set up this way initially, and leaves space for future changes, if needed.</t>
        </r>
      </text>
    </comment>
    <comment ref="DQ12" authorId="1">
      <text>
        <r>
          <rPr>
            <b/>
            <sz val="10"/>
            <color indexed="81"/>
            <rFont val="Calibri"/>
            <family val="2"/>
          </rPr>
          <t>Justin Boucher:</t>
        </r>
        <r>
          <rPr>
            <sz val="10"/>
            <color indexed="81"/>
            <rFont val="Calibri"/>
            <family val="2"/>
          </rPr>
          <t xml:space="preserve">
Change lower bound use and disposal release levels here before re-running model (normally switching between 10% and 50%). Levels for further use and disposal are automatically updated.</t>
        </r>
      </text>
    </comment>
    <comment ref="J48" authorId="0">
      <text>
        <r>
          <rPr>
            <b/>
            <sz val="10"/>
            <color indexed="81"/>
            <rFont val="Calibri"/>
            <family val="2"/>
          </rPr>
          <t>Microsoft Office User:</t>
        </r>
        <r>
          <rPr>
            <sz val="10"/>
            <color indexed="81"/>
            <rFont val="Calibri"/>
            <family val="2"/>
          </rPr>
          <t xml:space="preserve">
Assumed linear growth between 1993 and 2004 (first known production value).</t>
        </r>
      </text>
    </comment>
    <comment ref="DL56" authorId="2">
      <text>
        <r>
          <rPr>
            <b/>
            <sz val="9"/>
            <color indexed="81"/>
            <rFont val="Calibri"/>
            <family val="2"/>
          </rPr>
          <t>Zhanyun Wang:</t>
        </r>
        <r>
          <rPr>
            <sz val="9"/>
            <color indexed="81"/>
            <rFont val="Calibri"/>
            <family val="2"/>
          </rPr>
          <t xml:space="preserve">
modified
</t>
        </r>
      </text>
    </comment>
    <comment ref="DQ58" authorId="0">
      <text>
        <r>
          <rPr>
            <b/>
            <sz val="10"/>
            <color indexed="81"/>
            <rFont val="Calibri"/>
            <family val="2"/>
          </rPr>
          <t>Microsoft Office User:</t>
        </r>
        <r>
          <rPr>
            <sz val="10"/>
            <color indexed="81"/>
            <rFont val="Calibri"/>
            <family val="2"/>
          </rPr>
          <t xml:space="preserve">
Representative of technology shift.</t>
        </r>
      </text>
    </comment>
    <comment ref="FM58" authorId="0">
      <text>
        <r>
          <rPr>
            <b/>
            <sz val="10"/>
            <color indexed="81"/>
            <rFont val="Calibri"/>
            <family val="2"/>
          </rPr>
          <t>Microsoft Office User:</t>
        </r>
        <r>
          <rPr>
            <sz val="10"/>
            <color indexed="81"/>
            <rFont val="Calibri"/>
            <family val="2"/>
          </rPr>
          <t xml:space="preserve">
Representative of technology shift.</t>
        </r>
      </text>
    </comment>
    <comment ref="J60" authorId="0">
      <text>
        <r>
          <rPr>
            <b/>
            <sz val="10"/>
            <color indexed="81"/>
            <rFont val="Calibri"/>
            <family val="2"/>
          </rPr>
          <t>Microsoft Office User:</t>
        </r>
        <r>
          <rPr>
            <sz val="10"/>
            <color indexed="81"/>
            <rFont val="Calibri"/>
            <family val="2"/>
          </rPr>
          <t xml:space="preserve">
Updated to reflect change/correction in EtFOSA report (March 2016)</t>
        </r>
      </text>
    </comment>
    <comment ref="AJ63" authorId="0">
      <text>
        <r>
          <rPr>
            <b/>
            <sz val="10"/>
            <color indexed="81"/>
            <rFont val="Calibri"/>
            <family val="2"/>
          </rPr>
          <t>Microsoft Office User:</t>
        </r>
        <r>
          <rPr>
            <sz val="10"/>
            <color indexed="81"/>
            <rFont val="Calibri"/>
            <family val="2"/>
          </rPr>
          <t xml:space="preserve">
New Efs set for Chinese production after 2008.</t>
        </r>
      </text>
    </comment>
    <comment ref="CO63" authorId="0">
      <text>
        <r>
          <rPr>
            <b/>
            <sz val="10"/>
            <color indexed="81"/>
            <rFont val="Calibri"/>
            <family val="2"/>
          </rPr>
          <t>Microsoft Office User:</t>
        </r>
        <r>
          <rPr>
            <sz val="10"/>
            <color indexed="81"/>
            <rFont val="Calibri"/>
            <family val="2"/>
          </rPr>
          <t xml:space="preserve">
Total EF manufacturing set separately for China after 2008.</t>
        </r>
      </text>
    </comment>
    <comment ref="D71" authorId="0">
      <text>
        <r>
          <rPr>
            <b/>
            <sz val="10"/>
            <color indexed="81"/>
            <rFont val="Calibri"/>
            <family val="2"/>
          </rPr>
          <t>Microsoft Office User:</t>
        </r>
        <r>
          <rPr>
            <sz val="10"/>
            <color indexed="81"/>
            <rFont val="Calibri"/>
            <family val="2"/>
          </rPr>
          <t xml:space="preserve">
Assumed linear decrease until 0tons wthin 3 years.</t>
        </r>
      </text>
    </comment>
    <comment ref="E71" authorId="0">
      <text>
        <r>
          <rPr>
            <b/>
            <sz val="10"/>
            <color indexed="81"/>
            <rFont val="Calibri"/>
            <family val="2"/>
          </rPr>
          <t>Microsoft Office User:</t>
        </r>
        <r>
          <rPr>
            <sz val="10"/>
            <color indexed="81"/>
            <rFont val="Calibri"/>
            <family val="2"/>
          </rPr>
          <t xml:space="preserve">
Assumed linear decrease to 0tons within 10 years.</t>
        </r>
      </text>
    </comment>
  </commentList>
</comments>
</file>

<file path=xl/comments3.xml><?xml version="1.0" encoding="utf-8"?>
<comments xmlns="http://schemas.openxmlformats.org/spreadsheetml/2006/main">
  <authors>
    <author>Microsoft Office User</author>
    <author>Justin</author>
    <author>Justin Boucher</author>
  </authors>
  <commentList>
    <comment ref="D8" authorId="0">
      <text>
        <r>
          <rPr>
            <b/>
            <sz val="10"/>
            <color indexed="81"/>
            <rFont val="Calibri"/>
            <family val="2"/>
          </rPr>
          <t>Microsoft Office User:</t>
        </r>
        <r>
          <rPr>
            <sz val="10"/>
            <color indexed="81"/>
            <rFont val="Calibri"/>
            <family val="2"/>
          </rPr>
          <t xml:space="preserve">
Assumed to match degredation in water.</t>
        </r>
      </text>
    </comment>
    <comment ref="E8" authorId="0">
      <text>
        <r>
          <rPr>
            <b/>
            <sz val="10"/>
            <color indexed="81"/>
            <rFont val="Calibri"/>
            <family val="2"/>
          </rPr>
          <t>Microsoft Office User:</t>
        </r>
        <r>
          <rPr>
            <sz val="10"/>
            <color indexed="81"/>
            <rFont val="Calibri"/>
            <family val="2"/>
          </rPr>
          <t xml:space="preserve">
Taken from Armitage's model run.</t>
        </r>
      </text>
    </comment>
    <comment ref="F8" authorId="1">
      <text>
        <r>
          <rPr>
            <b/>
            <sz val="9"/>
            <color indexed="81"/>
            <rFont val="Calibri"/>
            <family val="2"/>
          </rPr>
          <t>Justin:</t>
        </r>
        <r>
          <rPr>
            <sz val="9"/>
            <color indexed="81"/>
            <rFont val="Calibri"/>
            <family val="2"/>
          </rPr>
          <t xml:space="preserve">
Lower scenario set to t 1/2 of 2 years (0.00095), higher scenario of 180 days (.00385). Source/reason?
</t>
        </r>
      </text>
    </comment>
    <comment ref="G8" authorId="0">
      <text>
        <r>
          <rPr>
            <b/>
            <sz val="10"/>
            <color indexed="81"/>
            <rFont val="Calibri"/>
            <family val="2"/>
          </rPr>
          <t>Microsoft Office User:</t>
        </r>
        <r>
          <rPr>
            <sz val="10"/>
            <color indexed="81"/>
            <rFont val="Calibri"/>
            <family val="2"/>
          </rPr>
          <t xml:space="preserve">
No emissions to this compartment, but assumed no degredation occurs.</t>
        </r>
      </text>
    </comment>
    <comment ref="H8" authorId="0">
      <text>
        <r>
          <rPr>
            <b/>
            <sz val="10"/>
            <color indexed="81"/>
            <rFont val="Calibri"/>
            <family val="2"/>
          </rPr>
          <t>Microsoft Office User:</t>
        </r>
        <r>
          <rPr>
            <sz val="10"/>
            <color indexed="81"/>
            <rFont val="Calibri"/>
            <family val="2"/>
          </rPr>
          <t xml:space="preserve">
Indirect photolysis of POSF was not found to take place (through reaction with OH radicals) (3M report E01-0739). 
Could be affected by hydrolysis taking place in air. Need to define an average, lumped t1/2 value to describe this (?)
Currently set with t1/2 bounds of 2years and 180 days.</t>
        </r>
      </text>
    </comment>
    <comment ref="J8" authorId="0">
      <text>
        <r>
          <rPr>
            <b/>
            <sz val="10"/>
            <color indexed="81"/>
            <rFont val="Calibri"/>
            <family val="2"/>
          </rPr>
          <t>Microsoft Office User:</t>
        </r>
        <r>
          <rPr>
            <sz val="10"/>
            <color indexed="81"/>
            <rFont val="Calibri"/>
            <family val="2"/>
          </rPr>
          <t xml:space="preserve">
Taken from Armitage's model run.</t>
        </r>
      </text>
    </comment>
    <comment ref="Q8" authorId="0">
      <text>
        <r>
          <rPr>
            <b/>
            <sz val="10"/>
            <color indexed="81"/>
            <rFont val="Calibri"/>
            <family val="2"/>
          </rPr>
          <t>Microsoft Office User:</t>
        </r>
        <r>
          <rPr>
            <sz val="10"/>
            <color indexed="81"/>
            <rFont val="Calibri"/>
            <family val="2"/>
          </rPr>
          <t xml:space="preserve">
Calculated in COSMO (4.41).</t>
        </r>
      </text>
    </comment>
    <comment ref="R8" authorId="2">
      <text>
        <r>
          <rPr>
            <b/>
            <sz val="10"/>
            <color indexed="81"/>
            <rFont val="Calibri"/>
            <family val="2"/>
          </rPr>
          <t>Justin Boucher:</t>
        </r>
        <r>
          <rPr>
            <sz val="10"/>
            <color indexed="81"/>
            <rFont val="Calibri"/>
            <family val="2"/>
          </rPr>
          <t xml:space="preserve">
Calculated using the known dUow values and the method by Macleod et al., 2007.</t>
        </r>
      </text>
    </comment>
    <comment ref="S8" authorId="0">
      <text>
        <r>
          <rPr>
            <b/>
            <sz val="10"/>
            <color indexed="81"/>
            <rFont val="Calibri"/>
            <family val="2"/>
          </rPr>
          <t>Microsoft Office User:</t>
        </r>
        <r>
          <rPr>
            <sz val="10"/>
            <color indexed="81"/>
            <rFont val="Calibri"/>
            <family val="2"/>
          </rPr>
          <t xml:space="preserve">
Calculated in COSMO. Used the dry value.</t>
        </r>
      </text>
    </comment>
    <comment ref="T8" authorId="0">
      <text>
        <r>
          <rPr>
            <b/>
            <sz val="10"/>
            <color indexed="81"/>
            <rFont val="Calibri"/>
            <family val="2"/>
          </rPr>
          <t>Microsoft Office User:</t>
        </r>
        <r>
          <rPr>
            <sz val="10"/>
            <color indexed="81"/>
            <rFont val="Calibri"/>
            <family val="2"/>
          </rPr>
          <t xml:space="preserve">
All dUow values here calculated by Zhanyun via chemical properties modeling software on Nov 17.</t>
        </r>
      </text>
    </comment>
    <comment ref="U8" authorId="1">
      <text>
        <r>
          <rPr>
            <b/>
            <sz val="9"/>
            <color indexed="81"/>
            <rFont val="Calibri"/>
            <family val="2"/>
          </rPr>
          <t>Justin:</t>
        </r>
        <r>
          <rPr>
            <sz val="9"/>
            <color indexed="81"/>
            <rFont val="Calibri"/>
            <family val="2"/>
          </rPr>
          <t xml:space="preserve">
alpha, beta, logKha, and Vx input variables found to have no effect on the CliMoChem results we are considering in this project. No need to edit them. They are most likely linked to ice calculations. 22/9/2015</t>
        </r>
      </text>
    </comment>
    <comment ref="Q9" authorId="0">
      <text>
        <r>
          <rPr>
            <b/>
            <sz val="10"/>
            <color indexed="81"/>
            <rFont val="Calibri"/>
            <family val="2"/>
          </rPr>
          <t>Microsoft Office User:</t>
        </r>
        <r>
          <rPr>
            <sz val="10"/>
            <color indexed="81"/>
            <rFont val="Calibri"/>
            <family val="2"/>
          </rPr>
          <t xml:space="preserve">
Taken from Armitage's model run.</t>
        </r>
      </text>
    </comment>
    <comment ref="S9" authorId="0">
      <text>
        <r>
          <rPr>
            <b/>
            <sz val="10"/>
            <color indexed="81"/>
            <rFont val="Calibri"/>
            <family val="2"/>
          </rPr>
          <t>Microsoft Office User:</t>
        </r>
        <r>
          <rPr>
            <sz val="10"/>
            <color indexed="81"/>
            <rFont val="Calibri"/>
            <family val="2"/>
          </rPr>
          <t xml:space="preserve">
Taken from Armitage's model run.</t>
        </r>
      </text>
    </comment>
    <comment ref="Y9" authorId="0">
      <text>
        <r>
          <rPr>
            <b/>
            <sz val="10"/>
            <color indexed="81"/>
            <rFont val="Calibri"/>
            <family val="2"/>
          </rPr>
          <t>Microsoft Office User:</t>
        </r>
        <r>
          <rPr>
            <sz val="10"/>
            <color indexed="81"/>
            <rFont val="Calibri"/>
            <family val="2"/>
          </rPr>
          <t xml:space="preserve">
As taken from SciFinder database. Why did Armitage use 538 g/mol?</t>
        </r>
      </text>
    </comment>
    <comment ref="D10" authorId="0">
      <text>
        <r>
          <rPr>
            <b/>
            <sz val="10"/>
            <color indexed="81"/>
            <rFont val="Calibri"/>
            <family val="2"/>
          </rPr>
          <t>Microsoft Office User:</t>
        </r>
        <r>
          <rPr>
            <sz val="10"/>
            <color indexed="81"/>
            <rFont val="Calibri"/>
            <family val="2"/>
          </rPr>
          <t xml:space="preserve">
Half life of 365 days used in Gilljam, 2015 as a lower bound (t1/2 = 1.9E-3) and 13.9 days as a higher bound (t1/2 = 4.98E-2, taken from Avendano, 2015).</t>
        </r>
      </text>
    </comment>
    <comment ref="E10" authorId="0">
      <text>
        <r>
          <rPr>
            <b/>
            <sz val="10"/>
            <color indexed="81"/>
            <rFont val="Calibri"/>
            <family val="2"/>
          </rPr>
          <t>Microsoft Office User:</t>
        </r>
        <r>
          <rPr>
            <sz val="10"/>
            <color indexed="81"/>
            <rFont val="Calibri"/>
            <family val="2"/>
          </rPr>
          <t xml:space="preserve">
Assumed photodegredation neglible based on Taniyasu, 2013.</t>
        </r>
      </text>
    </comment>
    <comment ref="F10" authorId="0">
      <text>
        <r>
          <rPr>
            <b/>
            <sz val="10"/>
            <color indexed="81"/>
            <rFont val="Calibri"/>
            <family val="2"/>
          </rPr>
          <t>Microsoft Office User:</t>
        </r>
        <r>
          <rPr>
            <sz val="10"/>
            <color indexed="81"/>
            <rFont val="Calibri"/>
            <family val="2"/>
          </rPr>
          <t xml:space="preserve">
Taken from Armitage's model run.</t>
        </r>
      </text>
    </comment>
    <comment ref="G10" authorId="0">
      <text>
        <r>
          <rPr>
            <b/>
            <sz val="10"/>
            <color indexed="81"/>
            <rFont val="Calibri"/>
            <family val="2"/>
          </rPr>
          <t>Microsoft Office User:</t>
        </r>
        <r>
          <rPr>
            <sz val="10"/>
            <color indexed="81"/>
            <rFont val="Calibri"/>
            <family val="2"/>
          </rPr>
          <t xml:space="preserve">
Assumed photodegredation neglible based on Taniyasu, 2013.</t>
        </r>
      </text>
    </comment>
    <comment ref="H10" authorId="1">
      <text>
        <r>
          <rPr>
            <b/>
            <sz val="9"/>
            <color indexed="81"/>
            <rFont val="Calibri"/>
            <family val="2"/>
          </rPr>
          <t>Justin:</t>
        </r>
        <r>
          <rPr>
            <sz val="9"/>
            <color indexed="81"/>
            <rFont val="Calibri"/>
            <family val="2"/>
          </rPr>
          <t xml:space="preserve">
Half life value assumed to be 40 days for the lower scenario and 20 days for the higher. Median value of 22.10 days from Wang, 2012, and this is based on Martin et al., 2006.
Avg t1/2 value of 28.6 days used by Urs Schenker (thesis Table 9.24, p. 155) as based on Martin et al., 2006.</t>
        </r>
      </text>
    </comment>
    <comment ref="I10" authorId="0">
      <text>
        <r>
          <rPr>
            <b/>
            <sz val="10"/>
            <color indexed="81"/>
            <rFont val="Calibri"/>
            <family val="2"/>
          </rPr>
          <t>Microsoft Office User:</t>
        </r>
        <r>
          <rPr>
            <sz val="10"/>
            <color indexed="81"/>
            <rFont val="Calibri"/>
            <family val="2"/>
          </rPr>
          <t xml:space="preserve">
Assumed photodegredation neglible based on Taniyasu, 2013.</t>
        </r>
      </text>
    </comment>
    <comment ref="J10" authorId="0">
      <text>
        <r>
          <rPr>
            <b/>
            <sz val="10"/>
            <color indexed="81"/>
            <rFont val="Calibri"/>
            <family val="2"/>
          </rPr>
          <t>Microsoft Office User:</t>
        </r>
        <r>
          <rPr>
            <sz val="10"/>
            <color indexed="81"/>
            <rFont val="Calibri"/>
            <family val="2"/>
          </rPr>
          <t xml:space="preserve">
Taken from Armitage's model run.</t>
        </r>
      </text>
    </comment>
    <comment ref="O10" authorId="1">
      <text>
        <r>
          <rPr>
            <b/>
            <sz val="9"/>
            <color indexed="81"/>
            <rFont val="Calibri"/>
            <family val="2"/>
          </rPr>
          <t>Justin:</t>
        </r>
        <r>
          <rPr>
            <sz val="9"/>
            <color indexed="81"/>
            <rFont val="Calibri"/>
            <family val="2"/>
          </rPr>
          <t xml:space="preserve">
From Wang, et al 2012 (original citation from Wallington, 2006).</t>
        </r>
      </text>
    </comment>
    <comment ref="Q10" authorId="0">
      <text>
        <r>
          <rPr>
            <b/>
            <sz val="10"/>
            <color indexed="81"/>
            <rFont val="Calibri"/>
            <family val="2"/>
          </rPr>
          <t>Microsoft Office User:</t>
        </r>
        <r>
          <rPr>
            <sz val="10"/>
            <color indexed="81"/>
            <rFont val="Calibri"/>
            <family val="2"/>
          </rPr>
          <t xml:space="preserve">
Average of COSMO data</t>
        </r>
      </text>
    </comment>
    <comment ref="S10" authorId="0">
      <text>
        <r>
          <rPr>
            <b/>
            <sz val="10"/>
            <color indexed="81"/>
            <rFont val="Calibri"/>
            <family val="2"/>
          </rPr>
          <t>Microsoft Office User:</t>
        </r>
        <r>
          <rPr>
            <sz val="10"/>
            <color indexed="81"/>
            <rFont val="Calibri"/>
            <family val="2"/>
          </rPr>
          <t xml:space="preserve">
Average of COSMO data</t>
        </r>
      </text>
    </comment>
    <comment ref="T10" authorId="1">
      <text>
        <r>
          <rPr>
            <b/>
            <sz val="9"/>
            <color indexed="81"/>
            <rFont val="Calibri"/>
            <family val="2"/>
          </rPr>
          <t>Justin:</t>
        </r>
        <r>
          <rPr>
            <sz val="9"/>
            <color indexed="81"/>
            <rFont val="Calibri"/>
            <family val="2"/>
          </rPr>
          <t xml:space="preserve">
Calculated by Zhanyun via modeling software on Nov 17. Also from Zhanyun's PhD thesis (Atmospheric fate of poly/perfluorinated alkyl substances paper (in SI)</t>
        </r>
      </text>
    </comment>
    <comment ref="D11" authorId="0">
      <text>
        <r>
          <rPr>
            <b/>
            <sz val="10"/>
            <color indexed="81"/>
            <rFont val="Calibri"/>
            <family val="2"/>
          </rPr>
          <t>Microsoft Office User:</t>
        </r>
        <r>
          <rPr>
            <sz val="10"/>
            <color indexed="81"/>
            <rFont val="Calibri"/>
            <family val="2"/>
          </rPr>
          <t xml:space="preserve">
Based on found t1/2 of EtFOSE in marine sediment in Benskin, 2013. Lower (160 days, k=.0043) and upper (44 days, k=.01575)</t>
        </r>
      </text>
    </comment>
    <comment ref="E11" authorId="0">
      <text>
        <r>
          <rPr>
            <b/>
            <sz val="10"/>
            <color indexed="81"/>
            <rFont val="Calibri"/>
            <family val="2"/>
          </rPr>
          <t>Microsoft Office User:</t>
        </r>
        <r>
          <rPr>
            <sz val="10"/>
            <color indexed="81"/>
            <rFont val="Calibri"/>
            <family val="2"/>
          </rPr>
          <t xml:space="preserve">
Assumed photodegredation neglible based on Taniyasu, 2013.</t>
        </r>
      </text>
    </comment>
    <comment ref="F11" authorId="0">
      <text>
        <r>
          <rPr>
            <b/>
            <sz val="10"/>
            <color indexed="81"/>
            <rFont val="Calibri"/>
            <family val="2"/>
          </rPr>
          <t>Microsoft Office User:</t>
        </r>
        <r>
          <rPr>
            <sz val="10"/>
            <color indexed="81"/>
            <rFont val="Calibri"/>
            <family val="2"/>
          </rPr>
          <t xml:space="preserve">
Found half lives of 6.3 and 7.3 years @ 25 degC for N-MeFOSE and N-EtFOSE. From 3M reports W1880 and W1872. Set as lower and upper bounds.</t>
        </r>
      </text>
    </comment>
    <comment ref="G11" authorId="0">
      <text>
        <r>
          <rPr>
            <b/>
            <sz val="10"/>
            <color indexed="81"/>
            <rFont val="Calibri"/>
            <family val="2"/>
          </rPr>
          <t>Microsoft Office User:</t>
        </r>
        <r>
          <rPr>
            <sz val="10"/>
            <color indexed="81"/>
            <rFont val="Calibri"/>
            <family val="2"/>
          </rPr>
          <t xml:space="preserve">
Negligible in water. From 3M report No. W2783.</t>
        </r>
      </text>
    </comment>
    <comment ref="H11" authorId="0">
      <text>
        <r>
          <rPr>
            <b/>
            <sz val="10"/>
            <color indexed="81"/>
            <rFont val="Calibri"/>
            <family val="2"/>
          </rPr>
          <t>Microsoft Office User:</t>
        </r>
        <r>
          <rPr>
            <sz val="10"/>
            <color indexed="81"/>
            <rFont val="Calibri"/>
            <family val="2"/>
          </rPr>
          <t xml:space="preserve">
Uses avg t1/2 value of 1.8 days used by Urs Schenker (thesis Table 9.24, p. 155) as based on D'eon et al., 2006</t>
        </r>
      </text>
    </comment>
    <comment ref="I11" authorId="0">
      <text>
        <r>
          <rPr>
            <b/>
            <sz val="10"/>
            <color indexed="81"/>
            <rFont val="Calibri"/>
            <family val="2"/>
          </rPr>
          <t>Microsoft Office User:</t>
        </r>
        <r>
          <rPr>
            <sz val="10"/>
            <color indexed="81"/>
            <rFont val="Calibri"/>
            <family val="2"/>
          </rPr>
          <t xml:space="preserve">
Assumed photodegredation neglible based on Taniyasu, 2013.</t>
        </r>
      </text>
    </comment>
    <comment ref="J11" authorId="0">
      <text>
        <r>
          <rPr>
            <b/>
            <sz val="10"/>
            <color indexed="81"/>
            <rFont val="Calibri"/>
            <family val="2"/>
          </rPr>
          <t>Microsoft Office User:</t>
        </r>
        <r>
          <rPr>
            <sz val="10"/>
            <color indexed="81"/>
            <rFont val="Calibri"/>
            <family val="2"/>
          </rPr>
          <t xml:space="preserve">
Taken from Armitage's model run.</t>
        </r>
      </text>
    </comment>
    <comment ref="O11" authorId="0">
      <text>
        <r>
          <rPr>
            <b/>
            <sz val="10"/>
            <color indexed="81"/>
            <rFont val="Calibri"/>
            <family val="2"/>
          </rPr>
          <t>Microsoft Office User:</t>
        </r>
        <r>
          <rPr>
            <sz val="10"/>
            <color indexed="81"/>
            <rFont val="Calibri"/>
            <family val="2"/>
          </rPr>
          <t xml:space="preserve">
Set to 5000 to match the known value for xFOSA.</t>
        </r>
      </text>
    </comment>
    <comment ref="Q11" authorId="0">
      <text>
        <r>
          <rPr>
            <b/>
            <sz val="10"/>
            <color indexed="81"/>
            <rFont val="Calibri"/>
            <family val="2"/>
          </rPr>
          <t>Microsoft Office User:</t>
        </r>
        <r>
          <rPr>
            <sz val="10"/>
            <color indexed="81"/>
            <rFont val="Calibri"/>
            <family val="2"/>
          </rPr>
          <t xml:space="preserve">
Average of COSMOtherm data.</t>
        </r>
      </text>
    </comment>
    <comment ref="D12" authorId="0">
      <text>
        <r>
          <rPr>
            <b/>
            <sz val="10"/>
            <color indexed="81"/>
            <rFont val="Calibri"/>
            <family val="2"/>
          </rPr>
          <t>Microsoft Office User:</t>
        </r>
        <r>
          <rPr>
            <sz val="10"/>
            <color indexed="81"/>
            <rFont val="Calibri"/>
            <family val="2"/>
          </rPr>
          <t xml:space="preserve">
Taken from Armitage's model run.</t>
        </r>
      </text>
    </comment>
    <comment ref="E12" authorId="0">
      <text>
        <r>
          <rPr>
            <b/>
            <sz val="10"/>
            <color indexed="81"/>
            <rFont val="Calibri"/>
            <family val="2"/>
          </rPr>
          <t>Microsoft Office User:</t>
        </r>
        <r>
          <rPr>
            <sz val="10"/>
            <color indexed="81"/>
            <rFont val="Calibri"/>
            <family val="2"/>
          </rPr>
          <t xml:space="preserve">
Taken from Armitage's model run.</t>
        </r>
      </text>
    </comment>
    <comment ref="F12" authorId="0">
      <text>
        <r>
          <rPr>
            <b/>
            <sz val="10"/>
            <color indexed="81"/>
            <rFont val="Calibri"/>
            <family val="2"/>
          </rPr>
          <t>Microsoft Office User:</t>
        </r>
        <r>
          <rPr>
            <sz val="10"/>
            <color indexed="81"/>
            <rFont val="Calibri"/>
            <family val="2"/>
          </rPr>
          <t xml:space="preserve">
Taken from Armitage's model run.</t>
        </r>
      </text>
    </comment>
    <comment ref="G12" authorId="0">
      <text>
        <r>
          <rPr>
            <b/>
            <sz val="10"/>
            <color indexed="81"/>
            <rFont val="Calibri"/>
            <family val="2"/>
          </rPr>
          <t>Microsoft Office User:</t>
        </r>
        <r>
          <rPr>
            <sz val="10"/>
            <color indexed="81"/>
            <rFont val="Calibri"/>
            <family val="2"/>
          </rPr>
          <t xml:space="preserve">
Taken from Armitage's model run.</t>
        </r>
      </text>
    </comment>
    <comment ref="H12" authorId="0">
      <text>
        <r>
          <rPr>
            <b/>
            <sz val="10"/>
            <color indexed="81"/>
            <rFont val="Calibri"/>
            <family val="2"/>
          </rPr>
          <t>Microsoft Office User:</t>
        </r>
        <r>
          <rPr>
            <sz val="10"/>
            <color indexed="81"/>
            <rFont val="Calibri"/>
            <family val="2"/>
          </rPr>
          <t xml:space="preserve">
Uses avg t1/2 value of 28.6 days used by Urs Schenker (thesis Table 9.24, p. 155).</t>
        </r>
      </text>
    </comment>
    <comment ref="J12" authorId="0">
      <text>
        <r>
          <rPr>
            <b/>
            <sz val="10"/>
            <color indexed="81"/>
            <rFont val="Calibri"/>
            <family val="2"/>
          </rPr>
          <t>Microsoft Office User:</t>
        </r>
        <r>
          <rPr>
            <sz val="10"/>
            <color indexed="81"/>
            <rFont val="Calibri"/>
            <family val="2"/>
          </rPr>
          <t xml:space="preserve">
Taken from Armitage's model run.</t>
        </r>
      </text>
    </comment>
    <comment ref="Q12" authorId="0">
      <text>
        <r>
          <rPr>
            <b/>
            <sz val="10"/>
            <color indexed="81"/>
            <rFont val="Calibri"/>
            <family val="2"/>
          </rPr>
          <t>Microsoft Office User:</t>
        </r>
        <r>
          <rPr>
            <sz val="10"/>
            <color indexed="81"/>
            <rFont val="Calibri"/>
            <family val="2"/>
          </rPr>
          <t xml:space="preserve">
Taken from Armitage's model run.</t>
        </r>
      </text>
    </comment>
    <comment ref="S12" authorId="0">
      <text>
        <r>
          <rPr>
            <b/>
            <sz val="10"/>
            <color indexed="81"/>
            <rFont val="Calibri"/>
            <family val="2"/>
          </rPr>
          <t>Microsoft Office User:</t>
        </r>
        <r>
          <rPr>
            <sz val="10"/>
            <color indexed="81"/>
            <rFont val="Calibri"/>
            <family val="2"/>
          </rPr>
          <t xml:space="preserve">
Taken from Armitage's model run.</t>
        </r>
      </text>
    </comment>
    <comment ref="Y12" authorId="0">
      <text>
        <r>
          <rPr>
            <b/>
            <sz val="10"/>
            <color indexed="81"/>
            <rFont val="Calibri"/>
            <family val="2"/>
          </rPr>
          <t>Microsoft Office User:</t>
        </r>
        <r>
          <rPr>
            <sz val="10"/>
            <color indexed="81"/>
            <rFont val="Calibri"/>
            <family val="2"/>
          </rPr>
          <t xml:space="preserve">
Taken from Armitage's model run.</t>
        </r>
      </text>
    </comment>
    <comment ref="D17" authorId="0">
      <text>
        <r>
          <rPr>
            <b/>
            <sz val="10"/>
            <color indexed="81"/>
            <rFont val="Calibri"/>
            <family val="2"/>
          </rPr>
          <t>Microsoft Office User:</t>
        </r>
        <r>
          <rPr>
            <sz val="10"/>
            <color indexed="81"/>
            <rFont val="Calibri"/>
            <family val="2"/>
          </rPr>
          <t xml:space="preserve">
Assumed to match water.</t>
        </r>
      </text>
    </comment>
    <comment ref="I75" authorId="0">
      <text>
        <r>
          <rPr>
            <b/>
            <sz val="10"/>
            <color indexed="81"/>
            <rFont val="Calibri"/>
            <family val="2"/>
          </rPr>
          <t>Microsoft Office User:</t>
        </r>
        <r>
          <rPr>
            <sz val="10"/>
            <color indexed="81"/>
            <rFont val="Calibri"/>
            <family val="2"/>
          </rPr>
          <t xml:space="preserve">
Defined in degredation scheme of Figure S5</t>
        </r>
      </text>
    </comment>
    <comment ref="I82" authorId="0">
      <text>
        <r>
          <rPr>
            <b/>
            <sz val="10"/>
            <color indexed="81"/>
            <rFont val="Calibri"/>
            <family val="2"/>
          </rPr>
          <t>Microsoft Office User:</t>
        </r>
        <r>
          <rPr>
            <sz val="10"/>
            <color indexed="81"/>
            <rFont val="Calibri"/>
            <family val="2"/>
          </rPr>
          <t xml:space="preserve">
Calculated on Nov 17 using degredation pathway and solving for the path from radical to creating the overall yield (0.01-0.045).</t>
        </r>
      </text>
    </comment>
    <comment ref="I89" authorId="0">
      <text>
        <r>
          <rPr>
            <b/>
            <sz val="10"/>
            <color indexed="81"/>
            <rFont val="Calibri"/>
            <family val="2"/>
          </rPr>
          <t>Microsoft Office User:</t>
        </r>
        <r>
          <rPr>
            <sz val="10"/>
            <color indexed="81"/>
            <rFont val="Calibri"/>
            <family val="2"/>
          </rPr>
          <t xml:space="preserve">
Defined in degredation scheme in Figure S5.</t>
        </r>
      </text>
    </comment>
    <comment ref="I96" authorId="0">
      <text>
        <r>
          <rPr>
            <b/>
            <sz val="10"/>
            <color indexed="81"/>
            <rFont val="Calibri"/>
            <family val="2"/>
          </rPr>
          <t>Microsoft Office User:</t>
        </r>
        <r>
          <rPr>
            <sz val="10"/>
            <color indexed="81"/>
            <rFont val="Calibri"/>
            <family val="2"/>
          </rPr>
          <t xml:space="preserve">
Calculated on Nov 17 using degredation pathway and solving for the path from radical to creating the overall yield (0.01-0.045).</t>
        </r>
      </text>
    </comment>
    <comment ref="I103" authorId="0">
      <text>
        <r>
          <rPr>
            <b/>
            <sz val="10"/>
            <color indexed="81"/>
            <rFont val="Calibri"/>
            <family val="2"/>
          </rPr>
          <t>Microsoft Office User:</t>
        </r>
        <r>
          <rPr>
            <sz val="10"/>
            <color indexed="81"/>
            <rFont val="Calibri"/>
            <family val="2"/>
          </rPr>
          <t xml:space="preserve">
Calculated on Nov 17 using degredation pathway and solving for the path from radical to creating the overall yield (0.01-0.045).</t>
        </r>
      </text>
    </comment>
    <comment ref="I119" authorId="0">
      <text>
        <r>
          <rPr>
            <b/>
            <sz val="10"/>
            <color indexed="81"/>
            <rFont val="Calibri"/>
            <family val="2"/>
          </rPr>
          <t>Microsoft Office User:</t>
        </r>
        <r>
          <rPr>
            <sz val="10"/>
            <color indexed="81"/>
            <rFont val="Calibri"/>
            <family val="2"/>
          </rPr>
          <t xml:space="preserve">
Defined in degredation scheme of Figure S5</t>
        </r>
      </text>
    </comment>
    <comment ref="I126" authorId="0">
      <text>
        <r>
          <rPr>
            <b/>
            <sz val="10"/>
            <color indexed="81"/>
            <rFont val="Calibri"/>
            <family val="2"/>
          </rPr>
          <t>Microsoft Office User:</t>
        </r>
        <r>
          <rPr>
            <sz val="10"/>
            <color indexed="81"/>
            <rFont val="Calibri"/>
            <family val="2"/>
          </rPr>
          <t xml:space="preserve">
Calculated on Nov 17 using degredation pathway and solving for the path from radical to creating the overall yield (0.01-0.045).</t>
        </r>
      </text>
    </comment>
    <comment ref="I133" authorId="0">
      <text>
        <r>
          <rPr>
            <b/>
            <sz val="10"/>
            <color indexed="81"/>
            <rFont val="Calibri"/>
            <family val="2"/>
          </rPr>
          <t>Microsoft Office User:</t>
        </r>
        <r>
          <rPr>
            <sz val="10"/>
            <color indexed="81"/>
            <rFont val="Calibri"/>
            <family val="2"/>
          </rPr>
          <t xml:space="preserve">
Defined in degredation scheme in Figure S5.</t>
        </r>
      </text>
    </comment>
    <comment ref="I140" authorId="0">
      <text>
        <r>
          <rPr>
            <b/>
            <sz val="10"/>
            <color indexed="81"/>
            <rFont val="Calibri"/>
            <family val="2"/>
          </rPr>
          <t>Microsoft Office User:</t>
        </r>
        <r>
          <rPr>
            <sz val="10"/>
            <color indexed="81"/>
            <rFont val="Calibri"/>
            <family val="2"/>
          </rPr>
          <t xml:space="preserve">
Calculated on Nov 17 using degredation pathway and solving for the path from radical to creating the overall yield (0.01-0.045).</t>
        </r>
      </text>
    </comment>
    <comment ref="I147" authorId="0">
      <text>
        <r>
          <rPr>
            <b/>
            <sz val="10"/>
            <color indexed="81"/>
            <rFont val="Calibri"/>
            <family val="2"/>
          </rPr>
          <t>Microsoft Office User:</t>
        </r>
        <r>
          <rPr>
            <sz val="10"/>
            <color indexed="81"/>
            <rFont val="Calibri"/>
            <family val="2"/>
          </rPr>
          <t xml:space="preserve">
Calculated on Nov 17 using degredation pathway and solving for the path from radical to creating the overall yield (0.01-0.045).</t>
        </r>
      </text>
    </comment>
  </commentList>
</comments>
</file>

<file path=xl/comments4.xml><?xml version="1.0" encoding="utf-8"?>
<comments xmlns="http://schemas.openxmlformats.org/spreadsheetml/2006/main">
  <authors>
    <author>Justin</author>
  </authors>
  <commentList>
    <comment ref="Q31" authorId="0">
      <text>
        <r>
          <rPr>
            <b/>
            <sz val="9"/>
            <color indexed="81"/>
            <rFont val="Calibri"/>
            <family val="2"/>
          </rPr>
          <t>Justin:</t>
        </r>
        <r>
          <rPr>
            <sz val="9"/>
            <color indexed="81"/>
            <rFont val="Calibri"/>
            <family val="2"/>
          </rPr>
          <t xml:space="preserve">
Was previously 15.2.</t>
        </r>
      </text>
    </comment>
    <comment ref="Q33" authorId="0">
      <text>
        <r>
          <rPr>
            <b/>
            <sz val="9"/>
            <color indexed="81"/>
            <rFont val="Calibri"/>
            <family val="2"/>
          </rPr>
          <t>Justin:</t>
        </r>
        <r>
          <rPr>
            <sz val="9"/>
            <color indexed="81"/>
            <rFont val="Calibri"/>
            <family val="2"/>
          </rPr>
          <t xml:space="preserve">
Was 7.5.</t>
        </r>
      </text>
    </comment>
    <comment ref="Q34" authorId="0">
      <text>
        <r>
          <rPr>
            <b/>
            <sz val="9"/>
            <color indexed="81"/>
            <rFont val="Calibri"/>
            <family val="2"/>
          </rPr>
          <t>Justin:</t>
        </r>
        <r>
          <rPr>
            <sz val="9"/>
            <color indexed="81"/>
            <rFont val="Calibri"/>
            <family val="2"/>
          </rPr>
          <t xml:space="preserve">
Was 5.4</t>
        </r>
      </text>
    </comment>
  </commentList>
</comments>
</file>

<file path=xl/sharedStrings.xml><?xml version="1.0" encoding="utf-8"?>
<sst xmlns="http://schemas.openxmlformats.org/spreadsheetml/2006/main" count="10435" uniqueCount="2211">
  <si>
    <t>Total</t>
  </si>
  <si>
    <t>Year</t>
  </si>
  <si>
    <t>Country Group I</t>
  </si>
  <si>
    <t>-</t>
  </si>
  <si>
    <t>∑(1951-2002)</t>
  </si>
  <si>
    <t>∑(2003-2015)</t>
  </si>
  <si>
    <t>=</t>
  </si>
  <si>
    <t>+</t>
  </si>
  <si>
    <t>, which includes</t>
  </si>
  <si>
    <t>Average</t>
  </si>
  <si>
    <t>1. Country Group I = Japan + Western Europe + U.S.</t>
  </si>
  <si>
    <t>China</t>
  </si>
  <si>
    <t>2. For the period from 1958 to 2002, the estimated POSF production volumes are the averaged global value.</t>
  </si>
  <si>
    <t>POSF production volumes [t/yr]</t>
  </si>
  <si>
    <t>Global</t>
  </si>
  <si>
    <t>Non-polymeric</t>
  </si>
  <si>
    <t>polymeric</t>
  </si>
  <si>
    <t>Non-polymeric:Polyermic ratios [NPR]</t>
  </si>
  <si>
    <t>[Total consumption of POSF] × [NPR]</t>
  </si>
  <si>
    <t>Polymeric</t>
  </si>
  <si>
    <t>Total consumption of POSF</t>
  </si>
  <si>
    <t>Both polymeric and non-polymeric species</t>
  </si>
  <si>
    <t>Transfer efficiency [TE]</t>
  </si>
  <si>
    <t>Manu.</t>
  </si>
  <si>
    <t>In polymeric Prod.</t>
  </si>
  <si>
    <t>non-polymeric Prod.</t>
  </si>
  <si>
    <t>Small</t>
  </si>
  <si>
    <t>Big-&gt;Small</t>
  </si>
  <si>
    <t>[%] of degradable</t>
  </si>
  <si>
    <t>[Relevant POSF. Vol.] × [TE] × ([RL] or [%]);                                                                                                 Lifetime: Manu. immediately; non-polymeric = 2 years, polymeric = 10 years;</t>
  </si>
  <si>
    <t>C5</t>
  </si>
  <si>
    <t>C6</t>
  </si>
  <si>
    <t>C7</t>
  </si>
  <si>
    <t>C8</t>
  </si>
  <si>
    <t>C9</t>
  </si>
  <si>
    <t>C10</t>
  </si>
  <si>
    <t>Formula</t>
  </si>
  <si>
    <t>Step I:</t>
  </si>
  <si>
    <t>Soil (through agricultural treatment)</t>
  </si>
  <si>
    <t>Transfer efficiency [TE] to the environment</t>
  </si>
  <si>
    <t>PFOS</t>
  </si>
  <si>
    <t>Lower</t>
  </si>
  <si>
    <t>Higher</t>
  </si>
  <si>
    <t>∑(2016-2030)</t>
  </si>
  <si>
    <t>lower</t>
  </si>
  <si>
    <t>higher</t>
  </si>
  <si>
    <t>Precursors</t>
  </si>
  <si>
    <t>Air</t>
  </si>
  <si>
    <t>Water</t>
  </si>
  <si>
    <t>Soil</t>
  </si>
  <si>
    <t>CGI</t>
  </si>
  <si>
    <t>Emi. of PFOS from Manu. [t/yr]</t>
  </si>
  <si>
    <t>Emi. of Precursors from Manu. [t/yr]</t>
  </si>
  <si>
    <t>Location</t>
  </si>
  <si>
    <t>Sample Nr.</t>
  </si>
  <si>
    <t>PFBS</t>
  </si>
  <si>
    <t>d_PFBS</t>
  </si>
  <si>
    <t>PFHxS</t>
  </si>
  <si>
    <t>d_PFHxS</t>
  </si>
  <si>
    <t>d_PFOS</t>
  </si>
  <si>
    <t>PFDS</t>
  </si>
  <si>
    <t>d_PFDS</t>
  </si>
  <si>
    <t xml:space="preserve">Ref. </t>
  </si>
  <si>
    <t>Central to Eastern Pacific ocean</t>
  </si>
  <si>
    <t>Yamashita, N.; Kannan, K.; Taniyasu, S.; Horii, Y.; Petrick, G.; Gamo, T. A global survey of perfluorinated acids in oceans. In; 2005; Vol. 51, pp. 658–668.</t>
  </si>
  <si>
    <t>North Atlantic Ocean</t>
  </si>
  <si>
    <t>Wei, S.; Chen, L. Q.; Taniyasu, S.; So, M. K.; Murphy, M. B.; Yamashita, N.; Yeung, L. W. Y.; Lam, P. K. S. Distribution of perfluorinated compounds in surface seawaters between Asia and Antarctica. Mar Pollut Bull 2007, 54, 1813–1818.</t>
  </si>
  <si>
    <t>Yamashita, N.; Taniyasu, S.; Petrick, G.; Wei, S.; Gamo, T.; Lam, P. K. S.; Kannan, K. Perfluorinated acids as novel chemical tracers of global circulation of ocean waters. Chemosphere 2008, 70, 1247–1255.</t>
  </si>
  <si>
    <t>Mid Atlantic Ocean</t>
  </si>
  <si>
    <t>Ahrens, L.; Barber, J. L.; Xie, Z.; Ebinghaus, R. Longitudinal and latitudinal distribution of perfluoroalkyl compounds in the surface water of the Atlantic Ocean. Environ Sci Technol 2009, 43, 3122–3127.</t>
  </si>
  <si>
    <t>Ahrens, L.; Gerwinski, W.; Theobald, N.; Ebinghaus, R. Sources of polyfluoroalkyl compounds in the North Sea, Baltic Sea and Norwegian Sea: Evidence from their spatial distribution in surface water. Mar Pollut Bull 2010, 60, 255–260.</t>
  </si>
  <si>
    <t>Western Pacific</t>
  </si>
  <si>
    <t>SHB-1</t>
  </si>
  <si>
    <t>Benskin, J. P.; Ahrens, L.; Muir, D. C. G.; Scott, B. F.; Spencer, C.; Rosenberg, B.; Tomy, G.; Kylin, H.; Lohmann, R.; Martin, J. W. Manufacturing origin of perfluorooctanoate (PFOA) in Atlantic and Canadian Arctic seawater. Environ Sci Technol 2012, 46, 677–685.</t>
  </si>
  <si>
    <t>Atlantic Ocean</t>
  </si>
  <si>
    <t>Cai, M.; Yang, H.; Xie, Z.; Zhao, Z.; Wang, F.; Lu, Z.; Sturm, R.; Ebinghaus, R. Per- and polyfluoroalkyl substances in snow, lake, surface runoff water and coastal seawater in Fildes Peninsula, King George Island, Antarctica. J Hazard Mater 2012, 209-210, 335–342.</t>
  </si>
  <si>
    <t>Cai, M.; Zhao, Z.; Yin, Z.; Ahrens, L.; Huang, P.; Cai, M.; Yang, H.; He, J.; Sturm, R.; Ebinghaus, R.; Xie, Z. Occurrence of perfluoroalkyl compounds in surface waters from the North Pacific to the Arctic Ocean. Environ Sci Technol 2012, 46, 661–668.</t>
  </si>
  <si>
    <t>Benskin, J. P.; Muir, D. C. G.; Scott, B. F.; Spencer, C.; De Silva, A. O.; Kylin, H.; Martin, J. W.; Morris, A.; Lohmann, R.; Tomy, G.; Rosenberg, B.; Taniyasu, S.; Yamashita, N. Perfluoroalkyl Acids in the Atlantic and Canadian Arctic Oceans. Environ Sci Technol 2012, 120514125808005.</t>
  </si>
  <si>
    <t>A</t>
  </si>
  <si>
    <t>B</t>
  </si>
  <si>
    <t>C</t>
  </si>
  <si>
    <t>D</t>
  </si>
  <si>
    <t>E</t>
  </si>
  <si>
    <t>F</t>
  </si>
  <si>
    <t>G</t>
  </si>
  <si>
    <t>H</t>
  </si>
  <si>
    <t>I</t>
  </si>
  <si>
    <t>J</t>
  </si>
  <si>
    <t>K</t>
  </si>
  <si>
    <t>L</t>
  </si>
  <si>
    <t>M</t>
  </si>
  <si>
    <t>N</t>
  </si>
  <si>
    <t>O</t>
  </si>
  <si>
    <t>P</t>
  </si>
  <si>
    <t>Q</t>
  </si>
  <si>
    <t>R</t>
  </si>
  <si>
    <t>Open North Sea</t>
  </si>
  <si>
    <t>Northern Europe, Atlantic and Sourthern Ocean</t>
  </si>
  <si>
    <t>Arctic Ocean</t>
  </si>
  <si>
    <t>B1</t>
  </si>
  <si>
    <t>B2</t>
  </si>
  <si>
    <t>B3</t>
  </si>
  <si>
    <t>B4</t>
  </si>
  <si>
    <t>B5</t>
  </si>
  <si>
    <t>B6</t>
  </si>
  <si>
    <t>B7</t>
  </si>
  <si>
    <t>B8</t>
  </si>
  <si>
    <t>B9</t>
  </si>
  <si>
    <t>B10</t>
  </si>
  <si>
    <t>B11</t>
  </si>
  <si>
    <t>B12</t>
  </si>
  <si>
    <t>B13</t>
  </si>
  <si>
    <t>Northwest Pacific Ocean and Bering Sea</t>
  </si>
  <si>
    <t>A1</t>
  </si>
  <si>
    <t>A2</t>
  </si>
  <si>
    <t>A3</t>
  </si>
  <si>
    <t>C1</t>
  </si>
  <si>
    <t>C2</t>
  </si>
  <si>
    <t>C3</t>
  </si>
  <si>
    <t>C4</t>
  </si>
  <si>
    <t>Eastern Atlantic</t>
  </si>
  <si>
    <t>Northern Atlantic</t>
  </si>
  <si>
    <t>A9</t>
  </si>
  <si>
    <t>A10</t>
  </si>
  <si>
    <t>A11</t>
  </si>
  <si>
    <t>A12</t>
  </si>
  <si>
    <t>A13</t>
  </si>
  <si>
    <t>A14</t>
  </si>
  <si>
    <t>A15</t>
  </si>
  <si>
    <t>A16</t>
  </si>
  <si>
    <t>A17</t>
  </si>
  <si>
    <t>A18</t>
  </si>
  <si>
    <t>G1</t>
  </si>
  <si>
    <t>G2</t>
  </si>
  <si>
    <t>G6</t>
  </si>
  <si>
    <t>G7</t>
  </si>
  <si>
    <t>G9</t>
  </si>
  <si>
    <t>G10</t>
  </si>
  <si>
    <t>G11</t>
  </si>
  <si>
    <t>G12</t>
  </si>
  <si>
    <t>G13</t>
  </si>
  <si>
    <t>G14</t>
  </si>
  <si>
    <t>G15</t>
  </si>
  <si>
    <t>G16</t>
  </si>
  <si>
    <t>G18</t>
  </si>
  <si>
    <t>G19</t>
  </si>
  <si>
    <t>G20</t>
  </si>
  <si>
    <t>G21</t>
  </si>
  <si>
    <t>G22</t>
  </si>
  <si>
    <t>G23</t>
  </si>
  <si>
    <t>Indian Ocean to Antarctica</t>
  </si>
  <si>
    <t>PLZW-1</t>
  </si>
  <si>
    <t>PLZW-2</t>
  </si>
  <si>
    <t>PLZW-3</t>
  </si>
  <si>
    <t>PLZW-4</t>
  </si>
  <si>
    <t>PLZW-5</t>
  </si>
  <si>
    <t>NDY-1</t>
  </si>
  <si>
    <t>NDY-2</t>
  </si>
  <si>
    <t>NDY-3</t>
  </si>
  <si>
    <t>Ahrens, L.; Xie, Z.; Ebinghaus, R. Distribution of perfluoroalkyl compounds in seawater from Northern Europe, Atlantic Ocean, and Southern Ocean. Chemosphere 2010, 78, 1011–1016.</t>
  </si>
  <si>
    <t>NDY-4</t>
  </si>
  <si>
    <t>Busch, J.; Ahrens, L.; Xie, Z.; Sturm, R.; Ebinghaus, R. Polyfluoroalkyl compounds in the East Greenland Arctic Ocean. J Environ Monitor 2010, 12, 1242–1246.</t>
  </si>
  <si>
    <t>NDY-5</t>
  </si>
  <si>
    <t>SX-1</t>
  </si>
  <si>
    <t>SX-2</t>
  </si>
  <si>
    <t>Atlantic and Southern Ocean</t>
  </si>
  <si>
    <t>Eastern Atlantic Ocean</t>
  </si>
  <si>
    <t>Southern Atlantic</t>
  </si>
  <si>
    <t>A19</t>
  </si>
  <si>
    <t>A20</t>
  </si>
  <si>
    <t>A21</t>
  </si>
  <si>
    <t>A22</t>
  </si>
  <si>
    <t>A23</t>
  </si>
  <si>
    <t>A24</t>
  </si>
  <si>
    <t>A25</t>
  </si>
  <si>
    <t>A26</t>
  </si>
  <si>
    <t>A27</t>
  </si>
  <si>
    <t>A28</t>
  </si>
  <si>
    <t>A29</t>
  </si>
  <si>
    <t>A30</t>
  </si>
  <si>
    <t>A31</t>
  </si>
  <si>
    <t>A32</t>
  </si>
  <si>
    <t>A33</t>
  </si>
  <si>
    <t>A34</t>
  </si>
  <si>
    <t>Southern ocean</t>
  </si>
  <si>
    <t>S1</t>
  </si>
  <si>
    <t>S2</t>
  </si>
  <si>
    <t>S3</t>
  </si>
  <si>
    <t>S6</t>
  </si>
  <si>
    <t>S7</t>
  </si>
  <si>
    <t>S8</t>
  </si>
  <si>
    <t>S9</t>
  </si>
  <si>
    <t>S13</t>
  </si>
  <si>
    <t>Greenland Arctic</t>
  </si>
  <si>
    <t>PFNS</t>
  </si>
  <si>
    <t>d_PFNS</t>
  </si>
  <si>
    <t>Lat.</t>
  </si>
  <si>
    <t>[pg/l]</t>
  </si>
  <si>
    <t>46˚20.280</t>
  </si>
  <si>
    <t>46˚07.020</t>
  </si>
  <si>
    <t>45˚47.341</t>
  </si>
  <si>
    <t>44˚05.940</t>
  </si>
  <si>
    <t>43˚51.360</t>
  </si>
  <si>
    <t>42˚51.120</t>
  </si>
  <si>
    <t>41˚51.600</t>
  </si>
  <si>
    <t>38˚26.280</t>
  </si>
  <si>
    <t>35˚31.020</t>
  </si>
  <si>
    <t>28˚07.260</t>
  </si>
  <si>
    <t>09˚38.580</t>
  </si>
  <si>
    <t>04˚51.420</t>
  </si>
  <si>
    <t>0˚15.060</t>
  </si>
  <si>
    <t>5˚55.740</t>
  </si>
  <si>
    <t>10˚11.160</t>
  </si>
  <si>
    <t>23˚13.260</t>
  </si>
  <si>
    <t>27˚21.9</t>
  </si>
  <si>
    <t>29˚25.860</t>
  </si>
  <si>
    <t>38˚45.501</t>
  </si>
  <si>
    <t>50˚56.173</t>
  </si>
  <si>
    <t>55˚59.942</t>
  </si>
  <si>
    <t>60˚40.184</t>
  </si>
  <si>
    <t>64˚08.013</t>
  </si>
  <si>
    <t>64˚59.929</t>
  </si>
  <si>
    <t>67˚21.191</t>
  </si>
  <si>
    <t>69˚08.391</t>
  </si>
  <si>
    <t>07˚50.160</t>
  </si>
  <si>
    <t>08˚00.540</t>
  </si>
  <si>
    <t>08˚18.480</t>
  </si>
  <si>
    <t>09˚44.100</t>
  </si>
  <si>
    <t>10˚14.520</t>
  </si>
  <si>
    <t>10˚30.960</t>
  </si>
  <si>
    <t>11˚37.860</t>
  </si>
  <si>
    <t>11˚56.700</t>
  </si>
  <si>
    <t>12˚58.740</t>
  </si>
  <si>
    <t>13˚49.440</t>
  </si>
  <si>
    <t>15˚20.820</t>
  </si>
  <si>
    <t>18˚16.980</t>
  </si>
  <si>
    <t>20˚42.960</t>
  </si>
  <si>
    <t>20˚58.980</t>
  </si>
  <si>
    <t>19˚49.980</t>
  </si>
  <si>
    <t>16˚16.020</t>
  </si>
  <si>
    <t>38˚09.84</t>
  </si>
  <si>
    <t>37˚17.93</t>
  </si>
  <si>
    <t>36˚14.66</t>
  </si>
  <si>
    <t>35˚20.38</t>
  </si>
  <si>
    <t>34˚33.61</t>
  </si>
  <si>
    <t>33˚38.29</t>
  </si>
  <si>
    <t>32˚48.67</t>
  </si>
  <si>
    <t>31˚53.78</t>
  </si>
  <si>
    <t>29˚59.90</t>
  </si>
  <si>
    <t>29˚26.12</t>
  </si>
  <si>
    <t>28˚20.60</t>
  </si>
  <si>
    <t>27˚32.92</t>
  </si>
  <si>
    <t>26˚44.39</t>
  </si>
  <si>
    <t>25˚50.26</t>
  </si>
  <si>
    <t>22˚26.30</t>
  </si>
  <si>
    <t>11˚24.70</t>
  </si>
  <si>
    <t>06˚31.76</t>
  </si>
  <si>
    <t>04˚04.46</t>
  </si>
  <si>
    <t>03˚05.09</t>
  </si>
  <si>
    <t>70˚31.74</t>
  </si>
  <si>
    <t>70˚15.93</t>
  </si>
  <si>
    <t>70˚00.74</t>
  </si>
  <si>
    <t>69˚47.37</t>
  </si>
  <si>
    <t>69˚33.45</t>
  </si>
  <si>
    <t>69˚17.74</t>
  </si>
  <si>
    <t>68˚51.07</t>
  </si>
  <si>
    <t>68˚28.29</t>
  </si>
  <si>
    <t>67˚59.61</t>
  </si>
  <si>
    <t>63˚37.05</t>
  </si>
  <si>
    <t>67˚01.61</t>
  </si>
  <si>
    <t>66˚52.25</t>
  </si>
  <si>
    <t>65˚36.38</t>
  </si>
  <si>
    <t>63˚49.22</t>
  </si>
  <si>
    <t>56˚27.60</t>
  </si>
  <si>
    <t>52˚49.48</t>
  </si>
  <si>
    <t>50˚53.64</t>
  </si>
  <si>
    <t>47˚21.85</t>
  </si>
  <si>
    <t>42˚59.36</t>
  </si>
  <si>
    <t>41˚14.86</t>
  </si>
  <si>
    <t>55˚55.08</t>
  </si>
  <si>
    <t>55˚30.07</t>
  </si>
  <si>
    <t>55˚45.98</t>
  </si>
  <si>
    <t>26˚40.036</t>
  </si>
  <si>
    <t>25˚29.587</t>
  </si>
  <si>
    <t>24˚41.732</t>
  </si>
  <si>
    <t>22˚30.657</t>
  </si>
  <si>
    <t>20˚09.986</t>
  </si>
  <si>
    <t>17˚09.137</t>
  </si>
  <si>
    <t>14˚37.361</t>
  </si>
  <si>
    <t>11˚47.590</t>
  </si>
  <si>
    <t>10˚11.867</t>
  </si>
  <si>
    <t>08˚06.418</t>
  </si>
  <si>
    <t>06˚41.328</t>
  </si>
  <si>
    <t>05˚02.993</t>
  </si>
  <si>
    <t>03˚30.652</t>
  </si>
  <si>
    <t>02˚15.446</t>
  </si>
  <si>
    <t>01˚13.523</t>
  </si>
  <si>
    <t>47˚31.530</t>
  </si>
  <si>
    <t>44˚18.728</t>
  </si>
  <si>
    <t>47˚06.103</t>
  </si>
  <si>
    <t>47˚01.698</t>
  </si>
  <si>
    <t>46˚59.893</t>
  </si>
  <si>
    <t>46˚58.500</t>
  </si>
  <si>
    <t>42˚42.012</t>
  </si>
  <si>
    <t>42˚06.548</t>
  </si>
  <si>
    <t>42˚47.637</t>
  </si>
  <si>
    <t>43˚49.980</t>
  </si>
  <si>
    <t>44˚51.484</t>
  </si>
  <si>
    <t>46˚59.028</t>
  </si>
  <si>
    <t>46˚45.984</t>
  </si>
  <si>
    <t>42˚41.516</t>
  </si>
  <si>
    <t>41˚32.530</t>
  </si>
  <si>
    <t>37˚42.467</t>
  </si>
  <si>
    <t>34˚06.428</t>
  </si>
  <si>
    <t>32˚28.675</t>
  </si>
  <si>
    <t>17˚13.217</t>
  </si>
  <si>
    <t>19˚17.573</t>
  </si>
  <si>
    <t>20˚44.640</t>
  </si>
  <si>
    <t>20˚51.172</t>
  </si>
  <si>
    <t>20˚58.390</t>
  </si>
  <si>
    <t>21˚07.505</t>
  </si>
  <si>
    <t>21˚11.231</t>
  </si>
  <si>
    <t>20˚26.967</t>
  </si>
  <si>
    <t>20˚03.115</t>
  </si>
  <si>
    <t>18˚50.586</t>
  </si>
  <si>
    <t>17˚39.397</t>
  </si>
  <si>
    <t>16˚17.380</t>
  </si>
  <si>
    <t>15˚00.554</t>
  </si>
  <si>
    <t>13˚20.527</t>
  </si>
  <si>
    <t>11˚57.961</t>
  </si>
  <si>
    <t>52˚01.455</t>
  </si>
  <si>
    <t>50˚05.773</t>
  </si>
  <si>
    <t>44˚57.691</t>
  </si>
  <si>
    <t>43˚09.601</t>
  </si>
  <si>
    <t>42˚54.675</t>
  </si>
  <si>
    <t>41˚01.986</t>
  </si>
  <si>
    <t>47˚30.021</t>
  </si>
  <si>
    <t>45˚11.957</t>
  </si>
  <si>
    <t>42˚19.648</t>
  </si>
  <si>
    <t>38˚37.856</t>
  </si>
  <si>
    <t>34˚59.425</t>
  </si>
  <si>
    <t>31˚56.440</t>
  </si>
  <si>
    <t>30˚32.736</t>
  </si>
  <si>
    <t>27˚49.606</t>
  </si>
  <si>
    <t>27˚05.618</t>
  </si>
  <si>
    <t>24˚38.880</t>
  </si>
  <si>
    <t>20˚59.002</t>
  </si>
  <si>
    <t>19˚22.527</t>
  </si>
  <si>
    <t>00˚29.615</t>
  </si>
  <si>
    <t>03˚59.562</t>
  </si>
  <si>
    <t>07˚26.390</t>
  </si>
  <si>
    <t>10˚38.548</t>
  </si>
  <si>
    <t>13˚21.221</t>
  </si>
  <si>
    <t>15˚49.494</t>
  </si>
  <si>
    <t>19˚27.539</t>
  </si>
  <si>
    <t>22˚59.804</t>
  </si>
  <si>
    <t>25˚16.359</t>
  </si>
  <si>
    <t>26˚29.940</t>
  </si>
  <si>
    <t>09˚40.469</t>
  </si>
  <si>
    <t>06˚44.382</t>
  </si>
  <si>
    <t>04˚08.697</t>
  </si>
  <si>
    <t>01˚39.086</t>
  </si>
  <si>
    <t>05˚11.34</t>
  </si>
  <si>
    <t>08˚09.58</t>
  </si>
  <si>
    <t>11˚21.66</t>
  </si>
  <si>
    <t>15˚03.94</t>
  </si>
  <si>
    <t>22˚40.12</t>
  </si>
  <si>
    <t>25˚28.11</t>
  </si>
  <si>
    <t>28˚55.05</t>
  </si>
  <si>
    <t>39˚08.50</t>
  </si>
  <si>
    <t>42˚38.80</t>
  </si>
  <si>
    <t>48˚41.02</t>
  </si>
  <si>
    <t>51˚56.02</t>
  </si>
  <si>
    <t>32˚02.88</t>
  </si>
  <si>
    <t>32˚56.63</t>
  </si>
  <si>
    <t>34˚28.60</t>
  </si>
  <si>
    <t>36˚02.96</t>
  </si>
  <si>
    <t>37˚32.86</t>
  </si>
  <si>
    <t>39˚42.58</t>
  </si>
  <si>
    <t>42˚40.17</t>
  </si>
  <si>
    <t>46˚33.50</t>
  </si>
  <si>
    <t>57˚15.05</t>
  </si>
  <si>
    <t>60˚59.90</t>
  </si>
  <si>
    <t>65˚42.07</t>
  </si>
  <si>
    <t>67˚34.06</t>
  </si>
  <si>
    <t>00˚03.78</t>
  </si>
  <si>
    <t>30˚18.29</t>
  </si>
  <si>
    <t>Zhao, Z., Z. Xie, A. Möller, R. Sturm, J. Tang, G. Zhang, and R. Ebinghaus, 2012, Distribution and long-range transport of polyfluoroalkyl substances in the Arctic, Atlantic Ocean and Antarctic coast.: Environmental pollution (Barking, Essex : 1987), v. 170, p. 71–77, doi:10.1016/j.envpol.2012.06.004.</t>
  </si>
  <si>
    <t>EtFOSA</t>
  </si>
  <si>
    <t>MeFOSE</t>
  </si>
  <si>
    <t>EtFOSE</t>
  </si>
  <si>
    <t>MeFOSA</t>
  </si>
  <si>
    <t>POSF</t>
  </si>
  <si>
    <t>xFOSA/Es</t>
  </si>
  <si>
    <t>FOSA</t>
  </si>
  <si>
    <t>Emi. of POSF from Manu. [t/yr]</t>
  </si>
  <si>
    <t xml:space="preserve">Important </t>
  </si>
  <si>
    <t>Important assumption: 3M has not produced PHxSF and PDSF in purpose, but rather as byproducts. 3M, however, has found specific uses for PHxSF and PDSF. For PHxSF, the known use includes: 1) use in the AFFFs (big molecule, similar structure to FTAB); 2) side-chain fluorinated polymers used in after-market products.</t>
  </si>
  <si>
    <t>Zone</t>
  </si>
  <si>
    <t>Zone 3</t>
  </si>
  <si>
    <t>Zone 4</t>
  </si>
  <si>
    <t>xFOSEs</t>
  </si>
  <si>
    <t>kg</t>
  </si>
  <si>
    <t>t</t>
  </si>
  <si>
    <t>xFOSA</t>
  </si>
  <si>
    <t>d_xFOSA</t>
  </si>
  <si>
    <t>xFOSE</t>
  </si>
  <si>
    <t>d_xFOSE</t>
  </si>
  <si>
    <t>German Bight</t>
  </si>
  <si>
    <t>xFOSA/E = FOSAE + MeFOSA/E + EtFOSA/E</t>
  </si>
  <si>
    <t>[pg/m3]</t>
  </si>
  <si>
    <t>Dreyer, A.; Ebinghaus, R. Polyfluorinated compounds in ambient air from ship- and land-based measurements in northern Germany. Atmos Environ 2009, 43, 1527–1535.</t>
  </si>
  <si>
    <t>GKSS 61b</t>
  </si>
  <si>
    <t>Waldhof</t>
  </si>
  <si>
    <t>W1</t>
  </si>
  <si>
    <t>Jahnke, A.; Ahrens, L.; Ebinghaus, R.; Temme, C. Urban versus Remote Air Concentrations of Fluorotelomer Alcohols and Other Polyfluorinated Alkyl Substances in Germany. Environ Sci Technol 2007, 41, 745–752.</t>
  </si>
  <si>
    <t>W2</t>
  </si>
  <si>
    <t>W3</t>
  </si>
  <si>
    <t>W4</t>
  </si>
  <si>
    <t>Note</t>
  </si>
  <si>
    <t>low temperature</t>
  </si>
  <si>
    <t>high temperature</t>
  </si>
  <si>
    <t>mid temperature</t>
  </si>
  <si>
    <t>Hamatonbetsu, JP</t>
  </si>
  <si>
    <t>J1</t>
  </si>
  <si>
    <t>Li, J.; Del Vento, S.; Schuster, J.; Zhang, G.; Chakraborty, P.; Kobara, Y.; Jones, K. C. Perfluorinated compounds in the Asian atmosphere. Environ Sci Technol 2011, 45, 110815145537091.</t>
  </si>
  <si>
    <t>Seiro, JP</t>
  </si>
  <si>
    <t>J3</t>
  </si>
  <si>
    <t>Ogasawara, JP</t>
  </si>
  <si>
    <t>J5</t>
  </si>
  <si>
    <t>Nankoku, JP</t>
  </si>
  <si>
    <t>J7</t>
  </si>
  <si>
    <t>Chikushino, JP</t>
  </si>
  <si>
    <t>J8</t>
  </si>
  <si>
    <t>Naha, JP</t>
  </si>
  <si>
    <t>J9</t>
  </si>
  <si>
    <t>Pandua, India</t>
  </si>
  <si>
    <t>D1</t>
  </si>
  <si>
    <t>New Alipurduar, India</t>
  </si>
  <si>
    <t>D12</t>
  </si>
  <si>
    <t>Tuoji Island, PRC</t>
  </si>
  <si>
    <t>C17</t>
  </si>
  <si>
    <t>Jianfeng Mountain, PRC</t>
  </si>
  <si>
    <t>C18</t>
  </si>
  <si>
    <t>rural, passive</t>
  </si>
  <si>
    <t>background, passive</t>
  </si>
  <si>
    <t>0/1</t>
  </si>
  <si>
    <t>Mount Bachelor, USA</t>
  </si>
  <si>
    <t>Piekarz, A. M.; Primbs, T.; Field, J. A.; Barofsky, D. F.; Simonich, S. Semivolatile Fluorinated Organic Compounds in Asian and Western U.S. Air Masses. Environ Sci Technol 2007, 41, 8248–8255.</t>
  </si>
  <si>
    <t>Japan sea to the Arctic</t>
  </si>
  <si>
    <t>A4</t>
  </si>
  <si>
    <t>A5</t>
  </si>
  <si>
    <t>A6</t>
  </si>
  <si>
    <t>A7</t>
  </si>
  <si>
    <t>A8</t>
  </si>
  <si>
    <t>including FOSA</t>
  </si>
  <si>
    <t>Cai, M.; Xie, Z.; Möller, A.; Yin, Z.; Huang, P.; Cai, M.; Yang, H.; Sturm, R.; He, J.; Ebinghaus, R. Polyfluorinated compounds in the atmosphere along a cruise pathway from the Japan Sea to the Arctic Ocean. Chemosphere 2012, 87, 989–997.</t>
  </si>
  <si>
    <t>Atlantic sea</t>
  </si>
  <si>
    <t>46-45</t>
  </si>
  <si>
    <t>6-4</t>
  </si>
  <si>
    <t>40-30</t>
  </si>
  <si>
    <t>10-16</t>
  </si>
  <si>
    <t>30-18</t>
  </si>
  <si>
    <t>16-20</t>
  </si>
  <si>
    <t>18-6</t>
  </si>
  <si>
    <t>20-16</t>
  </si>
  <si>
    <t>16-8</t>
  </si>
  <si>
    <t>6-(-4)</t>
  </si>
  <si>
    <t>(-8)-(-17)</t>
  </si>
  <si>
    <t>(-17)-(-25)</t>
  </si>
  <si>
    <t>5-(-2)</t>
  </si>
  <si>
    <t>(-2)-(-9)</t>
  </si>
  <si>
    <t>Jahnke, A.; Berger, U.; Ebinghaus, R.; Temme, C. Latitudinal gradient of airborne polyfluorinated alkyl substances in the marine atmosphere between Germany and South Africa (53 degrees N-33 degrees S). Environ Sci Technol 2007, 41, 3055–3061.</t>
  </si>
  <si>
    <t>Agassiz Ice Cap</t>
  </si>
  <si>
    <t>Devon Ice Cap</t>
  </si>
  <si>
    <t>Meighen Ice Cap</t>
  </si>
  <si>
    <t>Melville Ice Cap</t>
  </si>
  <si>
    <t>Dreyer, A.; Weinberg, I.; Temme, C.; Ebinghaus, R. Polyfluorinated compounds in the atmosphere of the Atlantic and Southern Oceans: evidence for a global distribution. Environ Sci Technol 2009, 43, 6507–6514.</t>
  </si>
  <si>
    <t>Atlantic Ocean and Southern Ocean</t>
  </si>
  <si>
    <t>MSM056-1</t>
  </si>
  <si>
    <t>MSM056-4</t>
  </si>
  <si>
    <t>MSM056-6</t>
  </si>
  <si>
    <t>MSM056-7</t>
  </si>
  <si>
    <t>AntXXIV1-1</t>
  </si>
  <si>
    <t>AntXXIV1-2</t>
  </si>
  <si>
    <t>AntXXIV1-3</t>
  </si>
  <si>
    <t>AntXXIV1-4</t>
  </si>
  <si>
    <t>AntXXIV1-5</t>
  </si>
  <si>
    <t>AntXXIV1-6</t>
  </si>
  <si>
    <t>AntXXIV1-7</t>
  </si>
  <si>
    <t>AntXXIV1-8</t>
  </si>
  <si>
    <t>AntXXIV1-9</t>
  </si>
  <si>
    <t>AntXXIV1-10</t>
  </si>
  <si>
    <t>AntXXIV1-11</t>
  </si>
  <si>
    <t>AntXXIV1-12</t>
  </si>
  <si>
    <t>AntXXIV1-13</t>
  </si>
  <si>
    <t>AntXXIV1-14</t>
  </si>
  <si>
    <t>AntXXIV1-15</t>
  </si>
  <si>
    <t>AntXXIV1-16</t>
  </si>
  <si>
    <t>AntXXIV1-18</t>
  </si>
  <si>
    <t>AntXXIV1-20</t>
  </si>
  <si>
    <t>AntXXIV1-21</t>
  </si>
  <si>
    <t>AntXXIV1-22</t>
  </si>
  <si>
    <t>AntXXIV1-23</t>
  </si>
  <si>
    <t>AntXXIV1-24</t>
  </si>
  <si>
    <t>AntXXIV1-25</t>
  </si>
  <si>
    <t>AntXXIV1-26</t>
  </si>
  <si>
    <t>AntXXIV1-27</t>
  </si>
  <si>
    <t>AntXXV1-1</t>
  </si>
  <si>
    <t>AntXXV1-2</t>
  </si>
  <si>
    <t>AntXXV1-3</t>
  </si>
  <si>
    <t>AntXXV1-4</t>
  </si>
  <si>
    <t>AntXXV1-5</t>
  </si>
  <si>
    <t>AntXXV1-6</t>
  </si>
  <si>
    <t>AntXXV1-7</t>
  </si>
  <si>
    <t>AntXXV2-2</t>
  </si>
  <si>
    <t>AntXXV2-3</t>
  </si>
  <si>
    <t>AntXXV2-4</t>
  </si>
  <si>
    <t>AntXXV2-5</t>
  </si>
  <si>
    <t>AntXXV2-6</t>
  </si>
  <si>
    <t>AntXXV2-7</t>
  </si>
  <si>
    <t>AntXXV2-8</t>
  </si>
  <si>
    <t>AntXXV2-9</t>
  </si>
  <si>
    <t>AntXXV2-10</t>
  </si>
  <si>
    <t>AntXXV2-11</t>
  </si>
  <si>
    <t>AntXXV2-12</t>
  </si>
  <si>
    <t>AntXXV2-13</t>
  </si>
  <si>
    <t>AntXXV2-14</t>
  </si>
  <si>
    <t>MSM051-2</t>
  </si>
  <si>
    <t>MSM051-3</t>
  </si>
  <si>
    <t>MSM051-4</t>
  </si>
  <si>
    <t>MSM051-5</t>
  </si>
  <si>
    <t>MSM051-6</t>
  </si>
  <si>
    <t>MSM051-7</t>
  </si>
  <si>
    <t>MSM051-9</t>
  </si>
  <si>
    <t>MSM051-10</t>
  </si>
  <si>
    <t>MSM051-11</t>
  </si>
  <si>
    <t>MSM051-12</t>
  </si>
  <si>
    <t>MSM051-13</t>
  </si>
  <si>
    <t>MSM051-14</t>
  </si>
  <si>
    <t>MSM051-15</t>
  </si>
  <si>
    <t>MSM051-16</t>
  </si>
  <si>
    <t>MSM051-17</t>
  </si>
  <si>
    <t>MSM051-18</t>
  </si>
  <si>
    <t>MSM051-19</t>
  </si>
  <si>
    <t>MSM051-20</t>
  </si>
  <si>
    <t>MSM051-21</t>
  </si>
  <si>
    <t>MSM051-22</t>
  </si>
  <si>
    <t>MSM051-23</t>
  </si>
  <si>
    <t>MSM051-24</t>
  </si>
  <si>
    <t>Atalante3</t>
  </si>
  <si>
    <t>Atalante4</t>
  </si>
  <si>
    <t>Atalante5</t>
  </si>
  <si>
    <t>Atalante6</t>
  </si>
  <si>
    <t>Atalante7</t>
  </si>
  <si>
    <t>Atalante9</t>
  </si>
  <si>
    <t>Atalante10</t>
  </si>
  <si>
    <t>Atalante12</t>
  </si>
  <si>
    <t>Atalante13</t>
  </si>
  <si>
    <t>Atalante16</t>
  </si>
  <si>
    <t>MSM056-5</t>
  </si>
  <si>
    <t>MSM056-8</t>
  </si>
  <si>
    <t>MSM056-11</t>
  </si>
  <si>
    <t>MSM083_GaB1</t>
  </si>
  <si>
    <t>MSM083_GaB2</t>
  </si>
  <si>
    <t>MSM083_GaB3</t>
  </si>
  <si>
    <t>MSM083_GaB4</t>
  </si>
  <si>
    <t>MSM083_GaB5</t>
  </si>
  <si>
    <t>MSM083_GaB6</t>
  </si>
  <si>
    <t>MSM083_GaB7</t>
  </si>
  <si>
    <t>MSM083_GaB8</t>
  </si>
  <si>
    <t>MSM083_GaB9</t>
  </si>
  <si>
    <t>MSM083_GaB10</t>
  </si>
  <si>
    <t>78.156-71.991</t>
  </si>
  <si>
    <t>68.050-64.423</t>
  </si>
  <si>
    <t>64.423-60.816</t>
  </si>
  <si>
    <t>60.816-57.890</t>
  </si>
  <si>
    <t>50.040-46.784</t>
  </si>
  <si>
    <t>46.784-45.848</t>
  </si>
  <si>
    <t>45.848-42.174</t>
  </si>
  <si>
    <t>42.174-34.209</t>
  </si>
  <si>
    <t>34.209-30.531</t>
  </si>
  <si>
    <t>30.531-28.139</t>
  </si>
  <si>
    <t>28.139-25.398</t>
  </si>
  <si>
    <t>25.398-22.168</t>
  </si>
  <si>
    <t>22.168-16.729</t>
  </si>
  <si>
    <t>16.729-11.676</t>
  </si>
  <si>
    <t>11.676-9.701</t>
  </si>
  <si>
    <t>9.701-6.317</t>
  </si>
  <si>
    <t>6.317-3.451</t>
  </si>
  <si>
    <t>2.086-(-0.311)</t>
  </si>
  <si>
    <t>(-0.311)-(-3.143)</t>
  </si>
  <si>
    <t>(-3.143)-(-6.642)</t>
  </si>
  <si>
    <t>(-6.642)-(-9.906)</t>
  </si>
  <si>
    <t>(-9.906)-(-13.197)</t>
  </si>
  <si>
    <t>(-13.197)-15.228</t>
  </si>
  <si>
    <t>(-3.416)-(-6.074)</t>
  </si>
  <si>
    <t>(-6.074)-(-12.021)</t>
  </si>
  <si>
    <t>(-12.021)-(-15.253)</t>
  </si>
  <si>
    <t>(-15.253)-(-17.799)</t>
  </si>
  <si>
    <t>(-17.799)-(-21.267)</t>
  </si>
  <si>
    <t>(-21.267)-(-23.713)</t>
  </si>
  <si>
    <t>(-23.713)-(-34.027)</t>
  </si>
  <si>
    <t>(-41.302)-(-49.901)</t>
  </si>
  <si>
    <t>(-49.901)-(-58.708)</t>
  </si>
  <si>
    <t>(-58.708)-(-64.673)</t>
  </si>
  <si>
    <t>(-64.673)-(-69.406)</t>
  </si>
  <si>
    <t>(-69.406)-(-69.894)</t>
  </si>
  <si>
    <t>(-69.894)-(-64.997)</t>
  </si>
  <si>
    <t>(-64.997)-(-65)</t>
  </si>
  <si>
    <t>(-65)-(-61.812)</t>
  </si>
  <si>
    <t>(-61.812)-(-55.747)</t>
  </si>
  <si>
    <t>(-55.747)-(-50.553)</t>
  </si>
  <si>
    <t>(-50.553)-(-45.540)</t>
  </si>
  <si>
    <t>(-45.540)-(-39.516)</t>
  </si>
  <si>
    <t>(-39.516)-(-37.188)</t>
  </si>
  <si>
    <t>28.894-32.920</t>
  </si>
  <si>
    <t>32.92-36.609</t>
  </si>
  <si>
    <t>44.71-47.368</t>
  </si>
  <si>
    <t>47.368-45.117</t>
  </si>
  <si>
    <t>45.117-44.092</t>
  </si>
  <si>
    <t>44.092-42.309</t>
  </si>
  <si>
    <t>42.309-42.655</t>
  </si>
  <si>
    <t>42.655-43.341</t>
  </si>
  <si>
    <t>43.341-47.192</t>
  </si>
  <si>
    <t>47.192-46.926</t>
  </si>
  <si>
    <t>46.926-47.047</t>
  </si>
  <si>
    <t>47.047-47.340</t>
  </si>
  <si>
    <t>47.340-47.549</t>
  </si>
  <si>
    <t>(-7.09)-(-6.121)</t>
  </si>
  <si>
    <t>(-6.121)-(-5.055)</t>
  </si>
  <si>
    <t>(-5.055)-(-4.810)</t>
  </si>
  <si>
    <t>(-4.810)-(-5.183)</t>
  </si>
  <si>
    <t>(-5.183)-(-5.097)</t>
  </si>
  <si>
    <t>(-5.097)-(-4.81)</t>
  </si>
  <si>
    <t>(-4.81)-(-5.101)</t>
  </si>
  <si>
    <t>1.82-5.284</t>
  </si>
  <si>
    <t>9.35-12.246</t>
  </si>
  <si>
    <t>68.05-60.816</t>
  </si>
  <si>
    <t>60.816-57.411</t>
  </si>
  <si>
    <t>57.411-54.317</t>
  </si>
  <si>
    <t>50.04-45.848</t>
  </si>
  <si>
    <t>45.848-30.531</t>
  </si>
  <si>
    <t>30.531-22.168</t>
  </si>
  <si>
    <t>22.168-9.701</t>
  </si>
  <si>
    <t>(-6.642)-15.228</t>
  </si>
  <si>
    <t>54.173-57.711</t>
  </si>
  <si>
    <t>54.711-55.439</t>
  </si>
  <si>
    <t>55.439-57.306</t>
  </si>
  <si>
    <t>57.306-57.584</t>
  </si>
  <si>
    <t>57.584-64.708</t>
  </si>
  <si>
    <t>64.708-59.391</t>
  </si>
  <si>
    <t>59.391-59.449</t>
  </si>
  <si>
    <t>59.449-58.583</t>
  </si>
  <si>
    <t>58.583-56.363</t>
  </si>
  <si>
    <t>56.363-58.146</t>
  </si>
  <si>
    <t>28.152-28.894</t>
  </si>
  <si>
    <t>28.894-32.946</t>
  </si>
  <si>
    <t>32.946-44.710</t>
  </si>
  <si>
    <t>44.71-44.092</t>
  </si>
  <si>
    <t>44.092-42.655</t>
  </si>
  <si>
    <t>42.655-47.192</t>
  </si>
  <si>
    <t>47.192-47.047</t>
  </si>
  <si>
    <t>47.047-47.549</t>
  </si>
  <si>
    <t>Southern Ocean</t>
  </si>
  <si>
    <t>S4</t>
  </si>
  <si>
    <t>S5</t>
  </si>
  <si>
    <t>(-54)-(-69)</t>
  </si>
  <si>
    <t>Del Vento, S.; Halsall, C.; Gioia, R.; Jones, K.; Dachs, J. Volatile per– and polyfluoroalkyl compounds in the remote atmosphere of the western Antarctic Peninsula: an indirect source of perfluoroalkyl acids to Antarctic waters? APR 2012, 3, 450–455.</t>
  </si>
  <si>
    <t>North Sea</t>
  </si>
  <si>
    <t>Northeast Atlantic Ocean</t>
  </si>
  <si>
    <t>G3</t>
  </si>
  <si>
    <t>G4</t>
  </si>
  <si>
    <t>G5</t>
  </si>
  <si>
    <t>G8</t>
  </si>
  <si>
    <t>Xie, Z.; Zhao, Z.; Möller, A.; Wolschke, H.; Ahrens, L.; Sturm, R.; Ebinghaus, R. Neutral poly- and perfluoroalkyl substances in air and seawater of the North Sea. Environ Sci Pollut R 2013.</t>
  </si>
  <si>
    <t>concentration is a little high</t>
  </si>
  <si>
    <t>Shoeib, M.; Vlahos, P.; Harner, T.; Peters, A.; Graustein, M.; Narayan, J. Survey of polyfluorinated chemicals (PFCs) in the atmosphere over the northeast Atlantic Ocean. Atmos Environ 2010, 44, 2887–2893.</t>
  </si>
  <si>
    <t>SI1</t>
  </si>
  <si>
    <t>SI2</t>
  </si>
  <si>
    <t>SI3</t>
  </si>
  <si>
    <t>SI4</t>
  </si>
  <si>
    <t>SI7</t>
  </si>
  <si>
    <t>SI8</t>
  </si>
  <si>
    <t>SI9</t>
  </si>
  <si>
    <t>Canadian Arctic</t>
  </si>
  <si>
    <t>73-75</t>
  </si>
  <si>
    <t>92-95</t>
  </si>
  <si>
    <t>too high LOD</t>
  </si>
  <si>
    <t>Stock, N. L.; Furdui, V. I.; Muir, D. C. G.; Mabury, S. A. Perfluoroalkyl contaminants in the Canadian Arctic: evidence of atmospheric transport and local contamination. Environ Sci Technol 2007, 41, 3529–3536.</t>
  </si>
  <si>
    <t>Air/Water</t>
  </si>
  <si>
    <t>CG I</t>
  </si>
  <si>
    <t>Zone 6</t>
  </si>
  <si>
    <t>Emission Factors</t>
  </si>
  <si>
    <t>Production Volumes</t>
  </si>
  <si>
    <t>x</t>
  </si>
  <si>
    <t>[fraction (%)]</t>
  </si>
  <si>
    <r>
      <t>Sum[Emissions of PFOS</t>
    </r>
    <r>
      <rPr>
        <b/>
        <vertAlign val="subscript"/>
        <sz val="12"/>
        <color theme="1"/>
        <rFont val="Constantia"/>
        <family val="1"/>
      </rPr>
      <t>USE/DISP</t>
    </r>
    <r>
      <rPr>
        <b/>
        <sz val="12"/>
        <color theme="1"/>
        <rFont val="Constantia"/>
        <family val="1"/>
      </rPr>
      <t>] x PFOS Ratio</t>
    </r>
  </si>
  <si>
    <t>Step I.2  Total released actual PFOS (not including precursors)</t>
  </si>
  <si>
    <t>[Relevant POSF amount] × [TE]]; Lifetime: Manu. = 1 yr; non-polymeric = 2 yrs;</t>
  </si>
  <si>
    <r>
      <t>[Emissions of Precursors</t>
    </r>
    <r>
      <rPr>
        <b/>
        <vertAlign val="subscript"/>
        <sz val="12"/>
        <color theme="1"/>
        <rFont val="Constantia"/>
        <family val="1"/>
      </rPr>
      <t>MANU</t>
    </r>
    <r>
      <rPr>
        <b/>
        <sz val="12"/>
        <color theme="1"/>
        <rFont val="Constantia"/>
        <family val="1"/>
      </rPr>
      <t>]</t>
    </r>
  </si>
  <si>
    <t>[Polymeric POSF products]</t>
  </si>
  <si>
    <t>Manufacturing</t>
  </si>
  <si>
    <t>Solid Waste</t>
  </si>
  <si>
    <t>PHXsF production volumes [t/yr]</t>
  </si>
  <si>
    <t>PDSF production volumes [t/yr]</t>
  </si>
  <si>
    <r>
      <t>[POSF prod. vol.] - [Total Emi. from Manu.]</t>
    </r>
    <r>
      <rPr>
        <b/>
        <vertAlign val="subscript"/>
        <sz val="12"/>
        <color theme="1"/>
        <rFont val="Constantia"/>
        <family val="1"/>
      </rPr>
      <t>INCL.</t>
    </r>
  </si>
  <si>
    <t>Total POSF in Product Use &amp; Disposal [t/yr]</t>
  </si>
  <si>
    <t>Relevant Precursors from Manu. [t/yr]</t>
  </si>
  <si>
    <t>Relevant POSF from use and disposal [t/yr]</t>
  </si>
  <si>
    <t>Step III - Indirect emissions of PFSAs from degradable POSF-based products</t>
  </si>
  <si>
    <t>Yamashita, 2005</t>
  </si>
  <si>
    <t>Wei, 2007</t>
  </si>
  <si>
    <t>Ahrens, 2009</t>
  </si>
  <si>
    <t>Busch, 2010</t>
  </si>
  <si>
    <t>Benskin, 2012</t>
  </si>
  <si>
    <t>Zhao, 2012</t>
  </si>
  <si>
    <t>Xie, 2013</t>
  </si>
  <si>
    <t>Reference</t>
  </si>
  <si>
    <t>Dreyer, 2009 Route Map</t>
  </si>
  <si>
    <t>xFOSA Note</t>
  </si>
  <si>
    <t>xFOSE Note</t>
  </si>
  <si>
    <t>NEtFOSA, NMeFOSA</t>
  </si>
  <si>
    <t>NMeFOSE (gas&amp;particulate),NEtFOSE (gas&amp;particulate)</t>
  </si>
  <si>
    <t>NEtFOSA</t>
  </si>
  <si>
    <t>MeFOSA,Me2FOSA,EtFOSA,PFOSA</t>
  </si>
  <si>
    <t>MEFOSE, EtFOSE</t>
  </si>
  <si>
    <t>NMeFOSA, NEtFOSA</t>
  </si>
  <si>
    <t>NMeFOSE, NEtFOSE</t>
  </si>
  <si>
    <t>rural, passive, ignored &lt;MDL values</t>
  </si>
  <si>
    <t>background, passive, ignored &lt;MDL values</t>
  </si>
  <si>
    <t>Li, 2011</t>
  </si>
  <si>
    <t>Piekarz, 2007</t>
  </si>
  <si>
    <t>MeFOSA (gas&amp;particulate), EtFOSA (gas&amp;particulate)</t>
  </si>
  <si>
    <t>MeFOSE(gas&amp;particulate), EtFOSE(gas&amp;particulate)</t>
  </si>
  <si>
    <t>NMeFOSE, NEtFOSe</t>
  </si>
  <si>
    <t>MeFOSE, EtFOSE</t>
  </si>
  <si>
    <t>Del Vento, 2012</t>
  </si>
  <si>
    <t>MeFOSA, EtFOSA</t>
  </si>
  <si>
    <t>Shoeib, 2010</t>
  </si>
  <si>
    <t>Snow</t>
  </si>
  <si>
    <t>Rain</t>
  </si>
  <si>
    <t>Theobald, 2011</t>
  </si>
  <si>
    <r>
      <t xml:space="preserve">Theobald, N., Caliebe, C., Gerwinski, W., Hühnerfuss, H., &amp; Lepom, P. (2012). Occurrence of perfluorinated organic acids in the North and Baltic Seas. Part 1: Distribution in sea water. </t>
    </r>
    <r>
      <rPr>
        <i/>
        <sz val="12"/>
        <color theme="1"/>
        <rFont val="Calibri"/>
        <family val="2"/>
        <scheme val="minor"/>
      </rPr>
      <t>Environmental Science and Pollution Research</t>
    </r>
    <r>
      <rPr>
        <sz val="12"/>
        <color theme="1"/>
        <rFont val="Calibri"/>
        <family val="2"/>
        <scheme val="minor"/>
      </rPr>
      <t xml:space="preserve">, </t>
    </r>
    <r>
      <rPr>
        <i/>
        <sz val="12"/>
        <color theme="1"/>
        <rFont val="Calibri"/>
        <family val="2"/>
        <scheme val="minor"/>
      </rPr>
      <t>19</t>
    </r>
    <r>
      <rPr>
        <sz val="12"/>
        <color theme="1"/>
        <rFont val="Calibri"/>
        <family val="2"/>
        <scheme val="minor"/>
      </rPr>
      <t>(2), 313–324. http://doi.org/10.1007/s11356-011-0559-4</t>
    </r>
  </si>
  <si>
    <t>St_52</t>
  </si>
  <si>
    <t>St_43</t>
  </si>
  <si>
    <t>St_36</t>
  </si>
  <si>
    <t>St_29</t>
  </si>
  <si>
    <t>60˚00</t>
  </si>
  <si>
    <t>58˚00</t>
  </si>
  <si>
    <t>56˚59.9</t>
  </si>
  <si>
    <t>56˚00</t>
  </si>
  <si>
    <t>Zhao, Z., Xie, Z., Tang, J., Sturm, R., Chen, Y., Zhang, G., &amp; Ebinghaus, R. (2014). Seasonal variations and spatial distributions of perfluoroalkyl substances in the rivers Elbe and lower Weser and the North Sea. Chemosphere, 129, 118–125. http://doi.org/10.1016/j.chemosphere.2014.03.050</t>
  </si>
  <si>
    <t>Zhao, 2014</t>
  </si>
  <si>
    <t>Comment</t>
  </si>
  <si>
    <t>Values seem too high to represent background concentration in open oceans. Need to reconsider if points should be included in model comparison.</t>
  </si>
  <si>
    <t>70.983 - 71.47</t>
  </si>
  <si>
    <t>(-133.76) - (-133.93)</t>
  </si>
  <si>
    <t>71.07 - 71</t>
  </si>
  <si>
    <t>(-126.03) - (126.92)</t>
  </si>
  <si>
    <t>71 - 71.55</t>
  </si>
  <si>
    <t>(-126.96) - (-130.7)</t>
  </si>
  <si>
    <t>70.82 - 70.72</t>
  </si>
  <si>
    <t>(-122.43) - (-123.33)</t>
  </si>
  <si>
    <t>72.61 - 75.17</t>
  </si>
  <si>
    <t>(-126.03) - (-128.93)</t>
  </si>
  <si>
    <t>75.17 - 74.5</t>
  </si>
  <si>
    <t>(-128.93) - (-125)</t>
  </si>
  <si>
    <t>particulates below LOD (assume 0)</t>
  </si>
  <si>
    <t>Wang &amp; Xie, 2015</t>
  </si>
  <si>
    <t>Start</t>
  </si>
  <si>
    <r>
      <t xml:space="preserve">Xie, Z., Wang, Z., Mi, W., Möller, A., Wolschke, H., &amp; Ebinghaus, R. (2015). Neutral Poly-/perfluoroalkyl Substances in Air and Snow from the Arctic. </t>
    </r>
    <r>
      <rPr>
        <i/>
        <sz val="12"/>
        <color theme="1"/>
        <rFont val="Calibri"/>
        <family val="2"/>
        <scheme val="minor"/>
      </rPr>
      <t>Scientific Reports</t>
    </r>
    <r>
      <rPr>
        <sz val="12"/>
        <color theme="1"/>
        <rFont val="Calibri"/>
        <family val="2"/>
        <scheme val="minor"/>
      </rPr>
      <t xml:space="preserve">, </t>
    </r>
    <r>
      <rPr>
        <i/>
        <sz val="12"/>
        <color theme="1"/>
        <rFont val="Calibri"/>
        <family val="2"/>
        <scheme val="minor"/>
      </rPr>
      <t>5</t>
    </r>
    <r>
      <rPr>
        <sz val="12"/>
        <color theme="1"/>
        <rFont val="Calibri"/>
        <family val="2"/>
        <scheme val="minor"/>
      </rPr>
      <t>, 8912. http://doi.org/10.1038/srep08912</t>
    </r>
  </si>
  <si>
    <t>Xie, 2015</t>
  </si>
  <si>
    <t>Arctic</t>
  </si>
  <si>
    <t>Alert Station, Canadian Arctic</t>
  </si>
  <si>
    <t>Hung, Unpublished</t>
  </si>
  <si>
    <t>EtFOSA, MeFOSA</t>
  </si>
  <si>
    <t>Hung, H, Unpublished data received from Environment Canada. See email correspondence with Hayley Hung.</t>
  </si>
  <si>
    <t>Stock, 2007</t>
  </si>
  <si>
    <t>Date</t>
  </si>
  <si>
    <t>Mean PFOS Fluxes to Arctic [kg/yr]</t>
  </si>
  <si>
    <t>Young, 2007</t>
  </si>
  <si>
    <t>References</t>
  </si>
  <si>
    <t>Young, C. J., Furdui, V. I., Franklin, J., Koerner, R. M., Muir, D. C. G., &amp; Mabury, S. a. (2007). Perfluorinated acids in arctic snow: New evidence for atmospheric formation. Environmental Science and Technology, 41(10), 3455–3461. http://doi.org/10.1021/es0626234</t>
  </si>
  <si>
    <t>Ny-Alesund Station, Arctic</t>
  </si>
  <si>
    <t>Sample Number</t>
  </si>
  <si>
    <t>Mean PFOS concentration measured [pg/l]</t>
  </si>
  <si>
    <t>xFOSA Concentration (pg/L)</t>
  </si>
  <si>
    <t>xFOSE Concentration (pg/L)</t>
  </si>
  <si>
    <t>Zone in CliMoChem</t>
  </si>
  <si>
    <t>Xie, Z., Wang, Z., Mi, W., Möller, A., Wolschke, H., &amp; Ebinghaus, R. (2015). Neutral Poly-/perfluoroalkyl Substances in Air and Snow from the Arctic. Scientific Reports, 5, 8912. http://doi.org/10.1038/srep08912</t>
  </si>
  <si>
    <t>Anarctic peninsula</t>
  </si>
  <si>
    <t>xFOSA Air/Snow Flux (pg/m2*d) (+ = snow to air)</t>
  </si>
  <si>
    <t>xFOSE Air/Snow Flux (pg/m2*d) (- = air to snow)</t>
  </si>
  <si>
    <t>Average values</t>
  </si>
  <si>
    <t>Wang, Z., Xie, Z., Mi, W., Möller, A., Wolschke, H., &amp; Ebinghaus, R. (2015). Neutral Poly/Per-Fluoroalkyl Substances in Air from the Atlantic to the Southern Ocean and in Antarctic Snow. Environmental Science &amp; Technology, 49(13), 7770–7775. http://doi.org/10.1021/acs.est.5b00920</t>
  </si>
  <si>
    <t>M-IC1</t>
  </si>
  <si>
    <t>M-IC2</t>
  </si>
  <si>
    <t>M-IC3</t>
  </si>
  <si>
    <t>M-IC4</t>
  </si>
  <si>
    <t>M-IC5</t>
  </si>
  <si>
    <t>M-IC6</t>
  </si>
  <si>
    <t>M-IC7</t>
  </si>
  <si>
    <t>M-IC8</t>
  </si>
  <si>
    <t>M-IC9</t>
  </si>
  <si>
    <t>M-IC10</t>
  </si>
  <si>
    <t>1996-1997</t>
  </si>
  <si>
    <t>1994-1995</t>
  </si>
  <si>
    <t>1990-1991</t>
  </si>
  <si>
    <t>1992-1993</t>
  </si>
  <si>
    <t>1987-1989</t>
  </si>
  <si>
    <t>1985-1986</t>
  </si>
  <si>
    <t>1983-1984</t>
  </si>
  <si>
    <t>1980-1982</t>
  </si>
  <si>
    <t>Wang &amp; Halsall, 2014</t>
  </si>
  <si>
    <t>Long W.</t>
  </si>
  <si>
    <t>Lat</t>
  </si>
  <si>
    <t>Mt. Muztagata Glacier Tibet, snowcore</t>
  </si>
  <si>
    <t>Lake Namco Tibet, surface snow</t>
  </si>
  <si>
    <t>1a</t>
  </si>
  <si>
    <t>1b</t>
  </si>
  <si>
    <t>1c</t>
  </si>
  <si>
    <t>2a</t>
  </si>
  <si>
    <t>2b</t>
  </si>
  <si>
    <t>2c</t>
  </si>
  <si>
    <t>2d</t>
  </si>
  <si>
    <t>LOD = 25.2, 3 SD from average in blanks</t>
  </si>
  <si>
    <t>Mt. Zuoqiupu Glaciet Tibet, snow core</t>
  </si>
  <si>
    <t>Z-IC1</t>
  </si>
  <si>
    <t>Z-IC2</t>
  </si>
  <si>
    <t>Z-IC3</t>
  </si>
  <si>
    <t>Z-IC4</t>
  </si>
  <si>
    <t>Z-IC5</t>
  </si>
  <si>
    <t>Z-IC6</t>
  </si>
  <si>
    <t>Z-IC7</t>
  </si>
  <si>
    <t>Z-IC8</t>
  </si>
  <si>
    <t>Z-IC9</t>
  </si>
  <si>
    <t>Z-IC10</t>
  </si>
  <si>
    <t>Z-IC11</t>
  </si>
  <si>
    <t>Z-IC12</t>
  </si>
  <si>
    <t>Below detection limit of 25.2</t>
  </si>
  <si>
    <t>Kwok, 2013</t>
  </si>
  <si>
    <t>Svalbard, Norway, ice core</t>
  </si>
  <si>
    <t>Ice Core 1</t>
  </si>
  <si>
    <t>Raw values existed in plot form only, estimated from plots</t>
  </si>
  <si>
    <t>Ice Core 2</t>
  </si>
  <si>
    <t>PFOS Flux (fg/m2/year)</t>
  </si>
  <si>
    <t>Kwok, K. Y., Yamazaki, E., Yamashita, N., Taniyasu, S., Murphy, M. B., Horii, Y., … Lam, P. K. S. (2013). Transport of Perfluoroalkyl substances (PFAS) from an arctic glacier to downstream locations: Implications for sources. Science of the Total Environment, 447, 46–55. http://doi.org/10.1016/j.scitotenv.2012.10.091</t>
  </si>
  <si>
    <t>Taniyasu, S., Yamashita, N., Moon, H. B., Kwok, K. Y., Lam, P. K. S., Horii, Y., … Kannan, K. (2013). Does wet precipitation represent local and regional atmospheric transportation by perfluorinated alkyl substances? Environment International, 55, 25–32. http://doi.org/10.1016/j.envint.2013.02.005</t>
  </si>
  <si>
    <t>Taniyasu, 2013</t>
  </si>
  <si>
    <t>Japan Sea</t>
  </si>
  <si>
    <t>0-1 mm of rainfall</t>
  </si>
  <si>
    <t>1-2 mm of rainfall</t>
  </si>
  <si>
    <t>2-3 mm of rainfall</t>
  </si>
  <si>
    <t>3-4 mm of rainfall</t>
  </si>
  <si>
    <t>4-5 mm of rainfall</t>
  </si>
  <si>
    <t>PFOS Average Deposition Flux (ng/m2)</t>
  </si>
  <si>
    <t>Model Latitude Zones</t>
  </si>
  <si>
    <t>End</t>
  </si>
  <si>
    <t>Zone #</t>
  </si>
  <si>
    <t>?</t>
  </si>
  <si>
    <t>Date not stated. Assumed January 1, 2005.</t>
  </si>
  <si>
    <t>min, sampeled 2002-2004, assumed 2003, lat zone assumed based on location name</t>
  </si>
  <si>
    <t>max, sampeled 2002-2004, assumed 2003, lat zone assumed based on location name</t>
  </si>
  <si>
    <t>Assumed 42.0</t>
  </si>
  <si>
    <t>Assumed 13.0</t>
  </si>
  <si>
    <t>Assumed 29.0</t>
  </si>
  <si>
    <t>Sampler Type</t>
  </si>
  <si>
    <t>passive</t>
  </si>
  <si>
    <t>active</t>
  </si>
  <si>
    <t>min1</t>
  </si>
  <si>
    <t>max1</t>
  </si>
  <si>
    <t>min2</t>
  </si>
  <si>
    <t>max2</t>
  </si>
  <si>
    <t>min3</t>
  </si>
  <si>
    <t>max3</t>
  </si>
  <si>
    <t>Hemisphere</t>
  </si>
  <si>
    <t>Northern</t>
  </si>
  <si>
    <t>Southern</t>
  </si>
  <si>
    <t>sampling_time</t>
  </si>
  <si>
    <t>climochem_zone</t>
  </si>
  <si>
    <t>some samples were influenced by urban area. xFOSA=BLQ 3.2, xFOSE= BLZ 14.7</t>
  </si>
  <si>
    <t>particulates below LOD (assume 0), xFOSE not quatifiable</t>
  </si>
  <si>
    <t>awaiting data via request</t>
  </si>
  <si>
    <t>Unknown</t>
  </si>
  <si>
    <t>Ahrens and Shoeib, 2011</t>
  </si>
  <si>
    <t>Cai and Xie, 2012</t>
  </si>
  <si>
    <t>Dreyer and Ebinghaus, 2009</t>
  </si>
  <si>
    <t>Dreyer and Weinberg, 2009</t>
  </si>
  <si>
    <t>Jahnke and Ahrens, 2007</t>
  </si>
  <si>
    <t>Jahnke and Berger, 2007</t>
  </si>
  <si>
    <t>Wang and Xie, 2015</t>
  </si>
  <si>
    <t>Ahrens and Gerwinski, 2010</t>
  </si>
  <si>
    <t>Ahrens and Xie, 2010</t>
  </si>
  <si>
    <t>Cai and Zhao, 2012</t>
  </si>
  <si>
    <t>Benskin and Muir, 2012</t>
  </si>
  <si>
    <t>Atair1</t>
  </si>
  <si>
    <t>Atair3</t>
  </si>
  <si>
    <t>Atair4</t>
  </si>
  <si>
    <t>Atair5</t>
  </si>
  <si>
    <t>GKSS61B</t>
  </si>
  <si>
    <t>34_samples</t>
  </si>
  <si>
    <t>A1_to_A45</t>
  </si>
  <si>
    <t>Zone 1</t>
  </si>
  <si>
    <t>Zone 2</t>
  </si>
  <si>
    <t>Zone 5</t>
  </si>
  <si>
    <t>Zone 7</t>
  </si>
  <si>
    <t>Zone 8</t>
  </si>
  <si>
    <t>Zone 9</t>
  </si>
  <si>
    <t>Zone 10</t>
  </si>
  <si>
    <t>Lat Range</t>
  </si>
  <si>
    <t>Americas</t>
  </si>
  <si>
    <t>European</t>
  </si>
  <si>
    <t>Asia</t>
  </si>
  <si>
    <t>72.01 to 90</t>
  </si>
  <si>
    <t>54.01 to 72</t>
  </si>
  <si>
    <t>36.01 to 54</t>
  </si>
  <si>
    <t>18.01 to 36</t>
  </si>
  <si>
    <t>0.01 to 18</t>
  </si>
  <si>
    <t>-0.01 to -18</t>
  </si>
  <si>
    <t>-18.01 to -36</t>
  </si>
  <si>
    <t>-36.01 to -54</t>
  </si>
  <si>
    <t>-54.01 to -72</t>
  </si>
  <si>
    <t>-72.01 to -90</t>
  </si>
  <si>
    <t>3M Decatur, AL</t>
  </si>
  <si>
    <t>3M Antwerp, Belgium</t>
  </si>
  <si>
    <t>Brazil</t>
  </si>
  <si>
    <t>China, Japan</t>
  </si>
  <si>
    <t>Site Locations</t>
  </si>
  <si>
    <t>3M Cottage Grove, MN; 3M Cordova, IL</t>
  </si>
  <si>
    <t>3M Wuhan China, Japan</t>
  </si>
  <si>
    <t>CG I Zone Distribution of POSF Manufacturing Emissions</t>
  </si>
  <si>
    <t>CG I: Zone Distribution of POSF Product Emissions</t>
  </si>
  <si>
    <t>CG I POSF Production Volumes</t>
  </si>
  <si>
    <t>Country Group I (tons)</t>
  </si>
  <si>
    <t>China (tons)</t>
  </si>
  <si>
    <t>China Zone Distribution of PFOS Manufacturing Emissions</t>
  </si>
  <si>
    <t>China Zone Distribution of PFOS Product Emissions</t>
  </si>
  <si>
    <t>South America Zone Distribution of EtFOSA Product Emissions</t>
  </si>
  <si>
    <t>Metal Plating (t/y)</t>
  </si>
  <si>
    <t>AFFFs (t/y)</t>
  </si>
  <si>
    <t>Sulfuramid (t/y)</t>
  </si>
  <si>
    <t>Area</t>
  </si>
  <si>
    <t>Northeast China</t>
  </si>
  <si>
    <t>Central-north China</t>
  </si>
  <si>
    <t>Central China</t>
  </si>
  <si>
    <t>Southwest China</t>
  </si>
  <si>
    <t>East China</t>
  </si>
  <si>
    <t>South China</t>
  </si>
  <si>
    <t>Manufacture range: .715-2.177</t>
  </si>
  <si>
    <t>Manufacture range: .126 - .384</t>
  </si>
  <si>
    <t>%</t>
  </si>
  <si>
    <t>Zhang, 2012, Table 2: Regional environmental releases of PFOS during production and uses in China</t>
  </si>
  <si>
    <t>Total (t/y)</t>
  </si>
  <si>
    <t>na</t>
  </si>
  <si>
    <t>UNEP</t>
  </si>
  <si>
    <t>IBAMA 2015</t>
  </si>
  <si>
    <t>Internal</t>
  </si>
  <si>
    <t>Production</t>
  </si>
  <si>
    <t>Sales</t>
  </si>
  <si>
    <t>Technical Sulfluramid</t>
  </si>
  <si>
    <t>(93-98% EtFOSA) [tonnes EtFOSA]</t>
  </si>
  <si>
    <t>Formulated Sulfluramid</t>
  </si>
  <si>
    <t>(0.3% EtFOSA) [tonnes EtFOSA]</t>
  </si>
  <si>
    <t>Total Quantity of EtFOSA</t>
  </si>
  <si>
    <t>[tonnes]</t>
  </si>
  <si>
    <t>Source</t>
  </si>
  <si>
    <r>
      <t>G</t>
    </r>
    <r>
      <rPr>
        <b/>
        <sz val="12"/>
        <color theme="1"/>
        <rFont val="Calibri"/>
        <family val="2"/>
        <scheme val="minor"/>
      </rPr>
      <t>ilijam, 2015: Table S9</t>
    </r>
    <r>
      <rPr>
        <sz val="12"/>
        <color theme="1"/>
        <rFont val="Calibri"/>
        <family val="2"/>
        <scheme val="minor"/>
      </rPr>
      <t xml:space="preserve"> Technical and Formulated Sulfluramid produced in Brazil and sold internally as well as the calculated total EtFOSA content. All values shown have been converted to mass of EtFOSA.</t>
    </r>
  </si>
  <si>
    <r>
      <rPr>
        <b/>
        <sz val="12"/>
        <color theme="1"/>
        <rFont val="Calibri"/>
        <family val="2"/>
        <scheme val="minor"/>
      </rPr>
      <t>Gilijam, 2015: Table S10</t>
    </r>
    <r>
      <rPr>
        <sz val="12"/>
        <color theme="1"/>
        <rFont val="Calibri"/>
        <family val="2"/>
        <scheme val="minor"/>
      </rPr>
      <t xml:space="preserve">. Quantity of EtFOSA imported into Brazil. Values shown are in terms of kg technical product (93-98% EtFOSA; top) and converted to kg EtFOSA (using a factor of 0.955 to convert from kg technical product to kg EtFOSA).  </t>
    </r>
  </si>
  <si>
    <t>kg of EtFOSA</t>
  </si>
  <si>
    <t>1997-2004</t>
  </si>
  <si>
    <t>China (other)</t>
  </si>
  <si>
    <t>China (Hong Kong)</t>
  </si>
  <si>
    <t>India</t>
  </si>
  <si>
    <t>Unaccounted</t>
  </si>
  <si>
    <t>Total (Importation)</t>
  </si>
  <si>
    <t>Country</t>
  </si>
  <si>
    <t>1993- 2007</t>
  </si>
  <si>
    <t>(Jan-May)</t>
  </si>
  <si>
    <t>Total EtFOSA (kg)</t>
  </si>
  <si>
    <t>Angola</t>
  </si>
  <si>
    <r>
      <t>Argentina (TP)</t>
    </r>
    <r>
      <rPr>
        <b/>
        <vertAlign val="superscript"/>
        <sz val="10"/>
        <color rgb="FF000000"/>
        <rFont val="Times New Roman"/>
        <family val="1"/>
      </rPr>
      <t>*</t>
    </r>
  </si>
  <si>
    <r>
      <t>Argentina (FP)</t>
    </r>
    <r>
      <rPr>
        <b/>
        <vertAlign val="superscript"/>
        <sz val="10"/>
        <color rgb="FF000000"/>
        <rFont val="Times New Roman"/>
        <family val="1"/>
      </rPr>
      <t>*</t>
    </r>
  </si>
  <si>
    <t>Bolivia</t>
  </si>
  <si>
    <t>Chile</t>
  </si>
  <si>
    <t>Colombia</t>
  </si>
  <si>
    <t>Costa Rica</t>
  </si>
  <si>
    <t>Cuba</t>
  </si>
  <si>
    <t>El Salvador</t>
  </si>
  <si>
    <t>Equador</t>
  </si>
  <si>
    <t>Guatemala</t>
  </si>
  <si>
    <t>Honduras</t>
  </si>
  <si>
    <t>Panama</t>
  </si>
  <si>
    <t>Paraguay</t>
  </si>
  <si>
    <t>Peru</t>
  </si>
  <si>
    <t>Suriname</t>
  </si>
  <si>
    <t>Trinidad and Tobago</t>
  </si>
  <si>
    <t>Uruguay</t>
  </si>
  <si>
    <t>USA</t>
  </si>
  <si>
    <t>Venezuela</t>
  </si>
  <si>
    <r>
      <rPr>
        <b/>
        <sz val="12"/>
        <color theme="1"/>
        <rFont val="Calibri"/>
        <family val="2"/>
        <scheme val="minor"/>
      </rPr>
      <t>Gilijam, 2015: Table S11</t>
    </r>
    <r>
      <rPr>
        <sz val="12"/>
        <color theme="1"/>
        <rFont val="Calibri"/>
        <family val="2"/>
        <scheme val="minor"/>
      </rPr>
      <t>. kg of EtFOSA exported from Brazil from 1993 - 2015. All values have been converted from mass of formulated product (i.e. 0.3% EtFOSA) with the exception of for Argentina, where exports also included technical product (93-98% EtFOSA), in which case a conversion factor of 0.955 was applied.</t>
    </r>
  </si>
  <si>
    <t>State</t>
  </si>
  <si>
    <t>FP</t>
  </si>
  <si>
    <t>TP</t>
  </si>
  <si>
    <t>Rondônia</t>
  </si>
  <si>
    <t>Acre</t>
  </si>
  <si>
    <t>Amazonas</t>
  </si>
  <si>
    <t>Roraima</t>
  </si>
  <si>
    <t>Pará</t>
  </si>
  <si>
    <t>Amapá</t>
  </si>
  <si>
    <t>Tocantins</t>
  </si>
  <si>
    <t>Maranhão</t>
  </si>
  <si>
    <t>Piauí</t>
  </si>
  <si>
    <t>Ceará</t>
  </si>
  <si>
    <t>Rio Grande do Norte</t>
  </si>
  <si>
    <t>Pernambuco</t>
  </si>
  <si>
    <t>Paraíba</t>
  </si>
  <si>
    <t>Alagoas</t>
  </si>
  <si>
    <t>Sergipe</t>
  </si>
  <si>
    <t>Bahia</t>
  </si>
  <si>
    <t>Minas Gerais</t>
  </si>
  <si>
    <t>Espírito Santo</t>
  </si>
  <si>
    <t>Rio de Janeiro</t>
  </si>
  <si>
    <t>São Paulo</t>
  </si>
  <si>
    <t>Paraná</t>
  </si>
  <si>
    <t>Santa Catarina</t>
  </si>
  <si>
    <t>Rio Grande do Sul</t>
  </si>
  <si>
    <t>Mato Grosso do Sul</t>
  </si>
  <si>
    <t>Mato Grosso</t>
  </si>
  <si>
    <t>Goias</t>
  </si>
  <si>
    <t>Distrito Federal</t>
  </si>
  <si>
    <t>Sales without state information</t>
  </si>
  <si>
    <t>Total by product (kg)</t>
  </si>
  <si>
    <t>Total EtFOSA sold (kg)</t>
  </si>
  <si>
    <r>
      <rPr>
        <b/>
        <sz val="12"/>
        <color theme="1"/>
        <rFont val="Calibri"/>
        <family val="2"/>
        <scheme val="minor"/>
      </rPr>
      <t>Gilijam, 2015: Table S12</t>
    </r>
    <r>
      <rPr>
        <sz val="12"/>
        <color theme="1"/>
        <rFont val="Calibri"/>
        <family val="2"/>
        <scheme val="minor"/>
      </rPr>
      <t>. Kg of EtFOSA sold in Brazilian states from 2009-2013. For 2011 and 2012, information on both formulated product (FP) and technical product (TP) were available.</t>
    </r>
  </si>
  <si>
    <t>Manufacture Max (t/y)</t>
  </si>
  <si>
    <t>Manufacture Min (t/y)</t>
  </si>
  <si>
    <t>Zone Distribution Max</t>
  </si>
  <si>
    <t>Zone Distribution Min</t>
  </si>
  <si>
    <t>Max Total</t>
  </si>
  <si>
    <t>Min Total</t>
  </si>
  <si>
    <t>EtFOSA Produced in Brazil (tons)</t>
  </si>
  <si>
    <t>Calculated EtFOSA Production and Import into Brazil</t>
  </si>
  <si>
    <t>Production data not available, assumed trend of 30 tons continues</t>
  </si>
  <si>
    <t>Calculated Zonal Distribution of EtFOSA Used in Brazil</t>
  </si>
  <si>
    <t>Zone 6 Total EtFOSA Sold</t>
  </si>
  <si>
    <t>Zone 7 Total EtFOSA Sold</t>
  </si>
  <si>
    <t>Zone 6: % of Total</t>
  </si>
  <si>
    <t>Zone 7: % of Total</t>
  </si>
  <si>
    <t>Most of the agricultrually important areas located in zone 7 (between districts 7 and 10): http://www.fao.org/ag/agp/agpc/doc/counprof/chile/cile.htm</t>
  </si>
  <si>
    <t>Agruculture appears to be primarily in the North of the country (zone 7, visual inspection through Google maps)</t>
  </si>
  <si>
    <t>Most of the country exists in Zone 6, a small fraction in the north is Zone 5, assume Zone 6 to represent</t>
  </si>
  <si>
    <t>Split across zones 3 and 4, assumed to be representative of the more tropical southern agricultural areas in zone 3 where leaf cutting ants may exist (good assumption)?</t>
  </si>
  <si>
    <t>Zone 3 Total EtFOSA Exported</t>
  </si>
  <si>
    <t>Zone 4 Total EtFOSA Exported</t>
  </si>
  <si>
    <t>Zone 5 Total EtFOSA Exported</t>
  </si>
  <si>
    <t>Zone 6 Total EtFOSA Exported</t>
  </si>
  <si>
    <t>Zone 7 Total EtFOSA Exported</t>
  </si>
  <si>
    <t>Zone 3: % of Total</t>
  </si>
  <si>
    <t>Zone 4: % of Total</t>
  </si>
  <si>
    <t>Zone 5: % of Total</t>
  </si>
  <si>
    <t>Helper:</t>
  </si>
  <si>
    <t>All Years</t>
  </si>
  <si>
    <t>Calculated EtFOSA Export Zonal Distribution (kg)</t>
  </si>
  <si>
    <t>EtFOSA Produced in Brazil and Imported to Brazil (tons)</t>
  </si>
  <si>
    <t>China PFOS Production Volumes</t>
  </si>
  <si>
    <t>Brazil Production and Import (tons)</t>
  </si>
  <si>
    <t>Brazil EtFOSA Production &amp; Import Volumes</t>
  </si>
  <si>
    <t>Calculated Zonal Distribution of EtFOSA Used in Brazil and Exported from Brazil</t>
  </si>
  <si>
    <t>Zone 3 Total EtFOSA</t>
  </si>
  <si>
    <t>Zone 4 Total EtFOSA</t>
  </si>
  <si>
    <t>Zone 5 Total EtFOSA</t>
  </si>
  <si>
    <t>Zone 6 Total EtFOSA</t>
  </si>
  <si>
    <t>Zone 7 Total EtFOSA</t>
  </si>
  <si>
    <t>All Years (2009-2013)</t>
  </si>
  <si>
    <t>Country Group I POSF</t>
  </si>
  <si>
    <t>Brazil EtFOSA</t>
  </si>
  <si>
    <t>Emissions from Manufacturing</t>
  </si>
  <si>
    <t>PFOS Use and Disposal [t/yr]</t>
  </si>
  <si>
    <t>PFOS in use and disposal</t>
  </si>
  <si>
    <t>Emission to Compartments</t>
  </si>
  <si>
    <t>non-polymeric (xFOSA/Es to air)</t>
  </si>
  <si>
    <t>EtFOSA Application</t>
  </si>
  <si>
    <t>POSF Manufacturing</t>
  </si>
  <si>
    <t>PFOS Manufacturing</t>
  </si>
  <si>
    <t>Precursors Manufacturing</t>
  </si>
  <si>
    <t>China (CGII) POSF</t>
  </si>
  <si>
    <t>Emission of EtFOSA from Application (t/yr)</t>
  </si>
  <si>
    <t>% of POSF Used for PFOS Production</t>
  </si>
  <si>
    <t>Fate of Residuals in Polymeric Products</t>
  </si>
  <si>
    <t>Released PFOS from Use and Disposal [t/yr]</t>
  </si>
  <si>
    <t>Precursors Released from Manufacturing (xFOSA/Es) (t/yr)</t>
  </si>
  <si>
    <t xml:space="preserve"> Global Degradable POSF from Use and Disposal (xFOSA/Es) [t/yr]</t>
  </si>
  <si>
    <t>Global POSF</t>
  </si>
  <si>
    <t>Total Emissions</t>
  </si>
  <si>
    <t>Total POSF Emissions [t/yr]</t>
  </si>
  <si>
    <t>Total PFOS Emissions [t/yr]</t>
  </si>
  <si>
    <t>Total xFOSA/Es Emissions [t/yr]</t>
  </si>
  <si>
    <t>xFOSA/Es Output</t>
  </si>
  <si>
    <t>PFOS Output</t>
  </si>
  <si>
    <t>EtFOSA Output</t>
  </si>
  <si>
    <t xml:space="preserve">PFOS Output </t>
  </si>
  <si>
    <t>POSF Output</t>
  </si>
  <si>
    <t>Homologue Distributions</t>
  </si>
  <si>
    <t>PFOS - Higher</t>
  </si>
  <si>
    <t>PFOS - Lower</t>
  </si>
  <si>
    <t>xFOSA/Es - Higher</t>
  </si>
  <si>
    <t>xFOSA/Es - Lower</t>
  </si>
  <si>
    <t>Total Emissions by Homologue</t>
  </si>
  <si>
    <t>Total PFOS Emissions by Homologue [t/yr]</t>
  </si>
  <si>
    <t>Total xFOSA/Es Emissions by Homologue [t/yr]</t>
  </si>
  <si>
    <t>POSF Emissions Manufacturing [t/yr]</t>
  </si>
  <si>
    <t>PFOS Emissions Manufacturing [t/yr]</t>
  </si>
  <si>
    <t>PFOS Emissions Use and Disposal [t/yr]</t>
  </si>
  <si>
    <t>Total POSF Emissions by Homologue [t/yr]</t>
  </si>
  <si>
    <t>Data available to calculate distribution</t>
  </si>
  <si>
    <t>No data from here above, assumed value of following year</t>
  </si>
  <si>
    <t>No data from here above, assumed value of previous year</t>
  </si>
  <si>
    <t>xFOSA/Es Emissions Manufacturing [t/yr]</t>
  </si>
  <si>
    <t>xFOSA/Es Emissions Use and Disposal [t/yr]</t>
  </si>
  <si>
    <t>Brazil &amp; Exports</t>
  </si>
  <si>
    <t>C8 Homolgue Distribution (Referenced)</t>
  </si>
  <si>
    <t>South America Zone Distribution of EtFOSA Manufacturing Emissions (Not Used)</t>
  </si>
  <si>
    <t>POSF Emissions [t/yr]</t>
  </si>
  <si>
    <t>PFOS Emissions [t/yr]</t>
  </si>
  <si>
    <r>
      <t>[Production Amount x EF</t>
    </r>
    <r>
      <rPr>
        <b/>
        <vertAlign val="subscript"/>
        <sz val="12"/>
        <color theme="1"/>
        <rFont val="Constantia"/>
        <family val="1"/>
      </rPr>
      <t>Mfg</t>
    </r>
    <r>
      <rPr>
        <b/>
        <sz val="12"/>
        <color theme="1"/>
        <rFont val="Constantia"/>
        <family val="1"/>
      </rPr>
      <t>]</t>
    </r>
  </si>
  <si>
    <r>
      <t>[Production Amount x EF</t>
    </r>
    <r>
      <rPr>
        <b/>
        <vertAlign val="subscript"/>
        <sz val="12"/>
        <color theme="1"/>
        <rFont val="Constantia"/>
        <family val="1"/>
      </rPr>
      <t>Application</t>
    </r>
    <r>
      <rPr>
        <b/>
        <sz val="12"/>
        <color theme="1"/>
        <rFont val="Constantia"/>
        <family val="1"/>
      </rPr>
      <t>]</t>
    </r>
  </si>
  <si>
    <t>Sum[Emissons]</t>
  </si>
  <si>
    <t>[Total Emissons] x [Homologue Distribution %]</t>
  </si>
  <si>
    <t>Emissions Manufacturing x C8 % x Zone %</t>
  </si>
  <si>
    <t>Emissions Use and Disposal x C8 % x Zone %</t>
  </si>
  <si>
    <t>Sum[Emissons from Mfg &amp; Use and Disposal]</t>
  </si>
  <si>
    <t>Emissions by Region, Zone, and Life Cycle Stage</t>
  </si>
  <si>
    <t>1 = soil, 2 = water, 3 = air</t>
  </si>
  <si>
    <t>Phase #'s:</t>
  </si>
  <si>
    <t>Substance #'s:</t>
  </si>
  <si>
    <t>Year Index</t>
  </si>
  <si>
    <t>zone_num</t>
  </si>
  <si>
    <t>phase_num</t>
  </si>
  <si>
    <t>subst_num</t>
  </si>
  <si>
    <t>scenario</t>
  </si>
  <si>
    <t>season_num</t>
  </si>
  <si>
    <t>year</t>
  </si>
  <si>
    <t>col_index (row), row_index (column)</t>
  </si>
  <si>
    <t>none</t>
  </si>
  <si>
    <t>raw index</t>
  </si>
  <si>
    <t>Substance Properties</t>
  </si>
  <si>
    <t>Name</t>
  </si>
  <si>
    <t>ksoil</t>
  </si>
  <si>
    <t>kwat</t>
  </si>
  <si>
    <t>kair'</t>
  </si>
  <si>
    <t>kveg</t>
  </si>
  <si>
    <t>Easoil</t>
  </si>
  <si>
    <t>Eawat</t>
  </si>
  <si>
    <t>Eaair</t>
  </si>
  <si>
    <t>Eaveg</t>
  </si>
  <si>
    <t>logKaw</t>
  </si>
  <si>
    <t>dUaw</t>
  </si>
  <si>
    <t>logKow</t>
  </si>
  <si>
    <t>dUow</t>
  </si>
  <si>
    <t>alpha</t>
  </si>
  <si>
    <t>beta</t>
  </si>
  <si>
    <t>logKha</t>
  </si>
  <si>
    <t>molmass</t>
  </si>
  <si>
    <t>[d-1]</t>
  </si>
  <si>
    <t>[(d*OH)-1]</t>
  </si>
  <si>
    <t>[J]</t>
  </si>
  <si>
    <t>[-]</t>
  </si>
  <si>
    <t>[J/mol]</t>
  </si>
  <si>
    <t>[g/mol]</t>
  </si>
  <si>
    <t>Fractions of Formation</t>
  </si>
  <si>
    <t># of Parent Compound</t>
  </si>
  <si>
    <t># of Daughter Compound</t>
  </si>
  <si>
    <t># of Phase</t>
  </si>
  <si>
    <t>Parent Compound</t>
  </si>
  <si>
    <t>Daughter Compound</t>
  </si>
  <si>
    <t>Phase</t>
  </si>
  <si>
    <t>Fraction of Formation - Lower Bound</t>
  </si>
  <si>
    <t>Fraction of Formation - Higher Bound</t>
  </si>
  <si>
    <t>ksoilphoto</t>
  </si>
  <si>
    <t>[h sunlight-1]</t>
  </si>
  <si>
    <t>kwatphoto</t>
  </si>
  <si>
    <t>kair'direct</t>
  </si>
  <si>
    <t>[(d*sunlight)-1)]</t>
  </si>
  <si>
    <t>Vx</t>
  </si>
  <si>
    <t>[1E-4 m3/mol]</t>
  </si>
  <si>
    <t>xFOSAEs</t>
  </si>
  <si>
    <t>N-MeFOSA</t>
  </si>
  <si>
    <t>N-EtFOSA</t>
  </si>
  <si>
    <t>N-MeFOSE</t>
  </si>
  <si>
    <t>N-EtFOSE</t>
  </si>
  <si>
    <t>PFOS/POSF - Lower</t>
  </si>
  <si>
    <t>PFOS/POSF - Higher</t>
  </si>
  <si>
    <t>xFOSAs Emissions Use and Disposal [t/yr]</t>
  </si>
  <si>
    <t>xFOSAs Emissions [t/yr]</t>
  </si>
  <si>
    <t>xFOSEs Emissions [t/yr]</t>
  </si>
  <si>
    <t>1 = POSF, 2 = PFOS, 3 = xFOSAs, 4 = xFOSEs</t>
  </si>
  <si>
    <t>xFOSAs</t>
  </si>
  <si>
    <t>INT</t>
  </si>
  <si>
    <t>ocean</t>
  </si>
  <si>
    <t>north_sea</t>
  </si>
  <si>
    <t>atlantic</t>
  </si>
  <si>
    <t>pacific</t>
  </si>
  <si>
    <t>arctic</t>
  </si>
  <si>
    <t>southern</t>
  </si>
  <si>
    <t>baltic_sea</t>
  </si>
  <si>
    <t>land</t>
  </si>
  <si>
    <t>% Assigned Distribution of xFOSA/E Emissions</t>
  </si>
  <si>
    <t>E or W</t>
  </si>
  <si>
    <t>N or S</t>
  </si>
  <si>
    <t>Lon.</t>
  </si>
  <si>
    <t>11° 51.420'</t>
  </si>
  <si>
    <t>07° 03.600'</t>
  </si>
  <si>
    <t>03° 25.980'</t>
  </si>
  <si>
    <t>00° 17.310'</t>
  </si>
  <si>
    <t>00° 03.008'</t>
  </si>
  <si>
    <t>01° 00.127'</t>
  </si>
  <si>
    <t>02° 03.057'</t>
  </si>
  <si>
    <t>05° 04.594'</t>
  </si>
  <si>
    <t>lat_dec</t>
  </si>
  <si>
    <t>lon_dec</t>
  </si>
  <si>
    <t>25˚00.000</t>
  </si>
  <si>
    <t>15˚00.000</t>
  </si>
  <si>
    <t>19˚11.100</t>
  </si>
  <si>
    <t>44˚32.880</t>
  </si>
  <si>
    <t>13° 29.880'</t>
  </si>
  <si>
    <t>08° 04.500'</t>
  </si>
  <si>
    <t>11° 19.080'</t>
  </si>
  <si>
    <t>10° 05.446'</t>
  </si>
  <si>
    <t>14° 14.725'</t>
  </si>
  <si>
    <t>12° 48.142'</t>
  </si>
  <si>
    <t>08˚28.00</t>
  </si>
  <si>
    <t>66˚33.30</t>
  </si>
  <si>
    <t>30˚54.13</t>
  </si>
  <si>
    <t>69˚07.71</t>
  </si>
  <si>
    <t>09˚32.16</t>
  </si>
  <si>
    <t>3˚00</t>
  </si>
  <si>
    <t>3˚30.4</t>
  </si>
  <si>
    <t>2˚00</t>
  </si>
  <si>
    <t>Estimated from map using GraphClick</t>
  </si>
  <si>
    <t>(-4.8)-(1.820)</t>
  </si>
  <si>
    <t>(2.086)-(-6.642)</t>
  </si>
  <si>
    <t>Extracted through graph click</t>
  </si>
  <si>
    <t>Lon start</t>
  </si>
  <si>
    <t>(-2.503) , (-6.388)</t>
  </si>
  <si>
    <t>(-15.348) , (-19.549)</t>
  </si>
  <si>
    <t>(-19.459) , (-20.87)</t>
  </si>
  <si>
    <t>(-20.87) , (-21.146)</t>
  </si>
  <si>
    <t>(-20.87) , (-19.929)</t>
  </si>
  <si>
    <t>(-21.146) , (-20.147)</t>
  </si>
  <si>
    <t>(-20.417) , (-19.929)</t>
  </si>
  <si>
    <t>(-19.929) , (-17.346)</t>
  </si>
  <si>
    <t>(-17.346) , (-14.954)</t>
  </si>
  <si>
    <t>(-2.503) , (-6.638)</t>
  </si>
  <si>
    <t>(-13.114) , (-9.918)</t>
  </si>
  <si>
    <t>(-13.114) , (-4.733)</t>
  </si>
  <si>
    <t>(-9.918) , (-7.383)</t>
  </si>
  <si>
    <t>(-7.383) , (-4.733)</t>
  </si>
  <si>
    <t>(-4.733) , (-2.223)</t>
  </si>
  <si>
    <t>(-4.733) , (1.907)</t>
  </si>
  <si>
    <t>(-2.223) , (0.393)</t>
  </si>
  <si>
    <t>(0.393) , (1.907)</t>
  </si>
  <si>
    <t>(-6.388) , (-6.638)</t>
  </si>
  <si>
    <t>(-6.638) , (-10.629)</t>
  </si>
  <si>
    <t>(-6.638) , (-14.353)</t>
  </si>
  <si>
    <t>(-10.629) , (-13.335)</t>
  </si>
  <si>
    <t>(-13.335) , (-14.353)</t>
  </si>
  <si>
    <t>(-14.353) , (-20.87)</t>
  </si>
  <si>
    <t>(-9.182) , (-6.937)</t>
  </si>
  <si>
    <t>(-6.937) , (-1.847)</t>
  </si>
  <si>
    <t>(-1.847) , (0.95)</t>
  </si>
  <si>
    <t>(0.95) , (3.19)</t>
  </si>
  <si>
    <t>(3.19) , (6.295)</t>
  </si>
  <si>
    <t>(6.295) , (8.525)</t>
  </si>
  <si>
    <t>(8.525) , (18.165)</t>
  </si>
  <si>
    <t>(10.846) , (12.864)</t>
  </si>
  <si>
    <t>(12.864) , (12.864)</t>
  </si>
  <si>
    <t>(14.336) , (15.262)</t>
  </si>
  <si>
    <t>(15.262) , (16.502)</t>
  </si>
  <si>
    <t>(16.502) , (17.215)</t>
  </si>
  <si>
    <t>(9.635) , (2.813)</t>
  </si>
  <si>
    <t>(2.813) , (0.193)</t>
  </si>
  <si>
    <t>(0.193) , (0.022)</t>
  </si>
  <si>
    <t>(0.022) , (-5.536)</t>
  </si>
  <si>
    <t>(-5.536) , (-5.538)</t>
  </si>
  <si>
    <t>(-5.538) , (-0.344)</t>
  </si>
  <si>
    <t>(-0.344) , (6)</t>
  </si>
  <si>
    <t>(6) , (10.846)</t>
  </si>
  <si>
    <t>(-12.373) , (-11.685)</t>
  </si>
  <si>
    <t>(-12.371) , (-14.057)</t>
  </si>
  <si>
    <t>(-14.057) , (-15.312)</t>
  </si>
  <si>
    <t>(-16.808) , (-17.534)</t>
  </si>
  <si>
    <t>(-28.014) , (-21.176)</t>
  </si>
  <si>
    <t>(-21.176) , (-14.081)</t>
  </si>
  <si>
    <t>(-14.081) , (-12.374)</t>
  </si>
  <si>
    <t>(-12.374) , (-11.692)</t>
  </si>
  <si>
    <t>(-11.692) , (-11.671)</t>
  </si>
  <si>
    <t>(-11.671) , (-12.373)</t>
  </si>
  <si>
    <t>(-29.147) , (-37.724)</t>
  </si>
  <si>
    <t>(-31.508) , (-34.083)</t>
  </si>
  <si>
    <t>(-34.083) , (-37.724)</t>
  </si>
  <si>
    <t>(-37.724) , (-44.103)</t>
  </si>
  <si>
    <t>(-37.724) , (-47.327)</t>
  </si>
  <si>
    <t>(-44.103) , (-47.327)</t>
  </si>
  <si>
    <t>(-47.327) , (-49.513)</t>
  </si>
  <si>
    <t>(-47.327) , (-46.456)</t>
  </si>
  <si>
    <t>(-49.513) , (-46.456)</t>
  </si>
  <si>
    <t>(-46.456) , (-43.19)</t>
  </si>
  <si>
    <t>(-15.411) , (-15.938)</t>
  </si>
  <si>
    <t>(-46.456) , (-42.337)</t>
  </si>
  <si>
    <t>(-43.19) , (-42.337)</t>
  </si>
  <si>
    <t>(-42.337) , (-48.167)</t>
  </si>
  <si>
    <t>(-42.337) , (-52.392)</t>
  </si>
  <si>
    <t>(-48.167) , (-52.392)</t>
  </si>
  <si>
    <t>(-15.938) , (-19.809)</t>
  </si>
  <si>
    <t>(-15.938) , (-19.834)</t>
  </si>
  <si>
    <t>(-19.809) , (-23.508)</t>
  </si>
  <si>
    <t>(-19.834) , (-29.147)</t>
  </si>
  <si>
    <t>(-29.147) , (-31.508)</t>
  </si>
  <si>
    <t>(10.215) , (10.215)</t>
  </si>
  <si>
    <t>(11.44) , (10.136)</t>
  </si>
  <si>
    <t>(2.1) , (0.565)</t>
  </si>
  <si>
    <t>(2.1) , (3.858)</t>
  </si>
  <si>
    <t>(0.565) , (3.858)</t>
  </si>
  <si>
    <t>(3.858) , (7.156)</t>
  </si>
  <si>
    <t>(12.909) , (12.775)</t>
  </si>
  <si>
    <t>(12.226) , (10.275)</t>
  </si>
  <si>
    <t>(12.775) , (15.229)</t>
  </si>
  <si>
    <t>(15.229) , (20.078)</t>
  </si>
  <si>
    <t>(20.078) , (19.989)</t>
  </si>
  <si>
    <t>(19.989) , (22.053)</t>
  </si>
  <si>
    <t>(22.81) , (24.771)</t>
  </si>
  <si>
    <t>(24.771) , (18.234)</t>
  </si>
  <si>
    <t>Canadian Arctic, potentially contaminated site</t>
  </si>
  <si>
    <t>(2.807) , (-6.182)</t>
  </si>
  <si>
    <t>(-3.587) , (-4.782)</t>
  </si>
  <si>
    <t>(-4.666) , (-4.812)</t>
  </si>
  <si>
    <t>(-4.898) , (-10.107)</t>
  </si>
  <si>
    <t>(-10.107) , (-12.55)</t>
  </si>
  <si>
    <t>(-12.55) , (-13.469)</t>
  </si>
  <si>
    <t>(-13.476) , (-15.408)</t>
  </si>
  <si>
    <t>(-15.425) , (-20.564)</t>
  </si>
  <si>
    <t>(-20.564) , (-21)</t>
  </si>
  <si>
    <t>(-21) , (-20.168)</t>
  </si>
  <si>
    <t>(-20.168) , (-20.168)</t>
  </si>
  <si>
    <t>(-17.659) , (-11.236)</t>
  </si>
  <si>
    <t>(-11.145) , (-4.381)</t>
  </si>
  <si>
    <t>(-4.287) , (3.023)</t>
  </si>
  <si>
    <t>(3.022) , (8.747)</t>
  </si>
  <si>
    <t>(8.805) , (12.912)</t>
  </si>
  <si>
    <t>(12.879) , (15.925)</t>
  </si>
  <si>
    <t>(15.952) , (18.433)</t>
  </si>
  <si>
    <t>(15.114) , (9.689)</t>
  </si>
  <si>
    <t>(9.55) , (4.256)</t>
  </si>
  <si>
    <t>(4.141) , (0.003)</t>
  </si>
  <si>
    <t>(0) , (0.007)</t>
  </si>
  <si>
    <t>(0.001) , (-0.047)</t>
  </si>
  <si>
    <t>(-0.05) , (-1.085)</t>
  </si>
  <si>
    <t>(-7.982) , (-13.86)</t>
  </si>
  <si>
    <t>(-13.845) , (-27.093)</t>
  </si>
  <si>
    <t>(-27.475) , (-37.233)</t>
  </si>
  <si>
    <t>(-37.778) , (-48.369)</t>
  </si>
  <si>
    <t>(-49.079) , (-55.573)</t>
  </si>
  <si>
    <t>(-57.429) , (-65.434)</t>
  </si>
  <si>
    <t>(-66.91) , (-67.948)</t>
  </si>
  <si>
    <t>(-73.227) , (-70.556)</t>
  </si>
  <si>
    <t>(-70.482) , (-69.987)</t>
  </si>
  <si>
    <t>(52.413) , (49.982)</t>
  </si>
  <si>
    <t>(49.774) , (46.606)</t>
  </si>
  <si>
    <t>(46.537) , (45.833)</t>
  </si>
  <si>
    <t>(45.839) , (43.254)</t>
  </si>
  <si>
    <t>(42.878) , (36.031)</t>
  </si>
  <si>
    <t>(36.031) , (33.929)</t>
  </si>
  <si>
    <t>(33.913) , (28.142)</t>
  </si>
  <si>
    <t>(28.007) , (24.29)</t>
  </si>
  <si>
    <t>(24.29) , (14.448)</t>
  </si>
  <si>
    <t>(14.428) , (5.24)</t>
  </si>
  <si>
    <t>(5.24) , (-0.48)</t>
  </si>
  <si>
    <t>(-0.486) , (-6.728)</t>
  </si>
  <si>
    <t>(-6.816) , (-13.301)</t>
  </si>
  <si>
    <t>(-13.39) , (-18.985)</t>
  </si>
  <si>
    <t>(-19.985) , (-23.999)</t>
  </si>
  <si>
    <t>(-24.061) , (-28.412)</t>
  </si>
  <si>
    <t>(-28.412) , (-31.522)</t>
  </si>
  <si>
    <t>(-31.522) , (-33.915)</t>
  </si>
  <si>
    <t>(-35.783) , (-41.473)</t>
  </si>
  <si>
    <t>(-41.652) , (-47.661)</t>
  </si>
  <si>
    <t>(-47.771) , (-55.502)</t>
  </si>
  <si>
    <t>(-55.708) , (-59.066)</t>
  </si>
  <si>
    <t>(-59.082) , (-64.009)</t>
  </si>
  <si>
    <t>(-63.995) , (-60.198)</t>
  </si>
  <si>
    <t>(-70.375) , (-70.305)</t>
  </si>
  <si>
    <t>(-70.303) , (-66.626)</t>
  </si>
  <si>
    <t>(-66.584) , (-65.537)</t>
  </si>
  <si>
    <t>(-65.442) , (-64.039)</t>
  </si>
  <si>
    <t>(-63.899) , (-63.698)</t>
  </si>
  <si>
    <t>(-62.91) , (-62.17)</t>
  </si>
  <si>
    <t>(-64.744) , (-66.111)</t>
  </si>
  <si>
    <t>(-67.435) , (-67.235)</t>
  </si>
  <si>
    <t>(-67.272) , (-65.615)</t>
  </si>
  <si>
    <t>Armitage's Back Calculated Model Input</t>
  </si>
  <si>
    <t>Our Model Input</t>
  </si>
  <si>
    <t>Brazil and South America</t>
  </si>
  <si>
    <t>Non-polymeric Residual level [RL]</t>
  </si>
  <si>
    <t>non-polymeric products (xFOSA/Es to air)</t>
  </si>
  <si>
    <t>Armitage's Inputs</t>
  </si>
  <si>
    <t>Fraction of Formation</t>
  </si>
  <si>
    <t>Armitage Inputs</t>
  </si>
  <si>
    <t>Country Group I POSF (w/o PFCAs)</t>
  </si>
  <si>
    <t>China (CGII) POSF (w/o PFCAs)</t>
  </si>
  <si>
    <t>Assumed %PFCAs:</t>
  </si>
  <si>
    <t>1958-2002</t>
  </si>
  <si>
    <t>PFBS_LOD</t>
  </si>
  <si>
    <t>PFBS_LOQ</t>
  </si>
  <si>
    <t>PFHxS_LOQ</t>
  </si>
  <si>
    <t>PFHxS_LOD</t>
  </si>
  <si>
    <t>PFOS_LOD</t>
  </si>
  <si>
    <t>PFOS_LOQ</t>
  </si>
  <si>
    <t>not defined</t>
  </si>
  <si>
    <t>signal_noise_ratio_3</t>
  </si>
  <si>
    <t>Use and disposal (CGI)</t>
  </si>
  <si>
    <t>Use and disposal (China)</t>
  </si>
  <si>
    <t>Using Agassiz Ice Cap</t>
  </si>
  <si>
    <t>Using Devon Ice Cap</t>
  </si>
  <si>
    <t>Using Melville Ice Cap</t>
  </si>
  <si>
    <t>PFDS_LOD</t>
  </si>
  <si>
    <t>PFDS_LOQ</t>
  </si>
  <si>
    <t>undefined</t>
  </si>
  <si>
    <t>EtFOSAs_LOD</t>
  </si>
  <si>
    <t>EtFOSAs_LOQ</t>
  </si>
  <si>
    <t>MeFOSA_LOD</t>
  </si>
  <si>
    <t>MeFOSA_LOQ</t>
  </si>
  <si>
    <t>EtFOSEs_LOD</t>
  </si>
  <si>
    <t>EtFOSE_LOQ</t>
  </si>
  <si>
    <t>MeFOSE_LOD</t>
  </si>
  <si>
    <t>MeFOSE_LOQ</t>
  </si>
  <si>
    <t>FOSA_LOD</t>
  </si>
  <si>
    <t>FOSA_LOQ</t>
  </si>
  <si>
    <t>exclude_PFOS</t>
  </si>
  <si>
    <t>exclude_xFOSAs</t>
  </si>
  <si>
    <t>exclude_xFOSEs</t>
  </si>
  <si>
    <t>MeFOSA, EtFOSA (PFOSA logged separately, but not included) (gaseous)</t>
  </si>
  <si>
    <t>MeFOSE, EtFOSE (gaseous)</t>
  </si>
  <si>
    <t>.1 (gas) and .4 (particulate)</t>
  </si>
  <si>
    <t>.1 (gas) and .3 (particulate)</t>
  </si>
  <si>
    <t>NMeFOSA, NEtFOSA (gas)</t>
  </si>
  <si>
    <t>NMeFOSE, NEtFOSE (gas)</t>
  </si>
  <si>
    <t>This section not updated</t>
  </si>
  <si>
    <t>19˚05.91</t>
  </si>
  <si>
    <t>58˚09.00 (error in SI)</t>
  </si>
  <si>
    <t>50˚07.60 (error in SI)</t>
  </si>
  <si>
    <t>(3.858) , (11.44) (manually changed since average is on land)</t>
  </si>
  <si>
    <t>(18.234) , (12.226) (manually changed since average value is on land)</t>
  </si>
  <si>
    <t>(22.053) , (22.81) (manually changed since average value is on land)</t>
  </si>
  <si>
    <t>PFOS in Oceans</t>
  </si>
  <si>
    <t>Report</t>
  </si>
  <si>
    <t># Measurements Considered</t>
  </si>
  <si>
    <t># Samples &gt; LOQ</t>
  </si>
  <si>
    <t>hard_yes</t>
  </si>
  <si>
    <t># Measurements Excluded due to Contamination</t>
  </si>
  <si>
    <t># Measurements</t>
  </si>
  <si>
    <t>TOTAL</t>
  </si>
  <si>
    <t>xFOSEs in Atmosphere</t>
  </si>
  <si>
    <t>xFOSAs in Atmosphere</t>
  </si>
  <si>
    <t>Environmental Measurements: Frequency of Detection</t>
  </si>
  <si>
    <t>% of Measurements Where All Species &gt; LOQ</t>
  </si>
  <si>
    <t>% of Measurements &gt; LOQ</t>
  </si>
  <si>
    <t>meas_type</t>
  </si>
  <si>
    <t>gas&amp;particulate</t>
  </si>
  <si>
    <t>gas</t>
  </si>
  <si>
    <t>Sources</t>
  </si>
  <si>
    <t>Armitage et al.</t>
  </si>
  <si>
    <t>1957 - 2010</t>
  </si>
  <si>
    <t>1958 - 2015</t>
  </si>
  <si>
    <t>1. Emission from manufacturing</t>
  </si>
  <si>
    <t>75 - 299</t>
  </si>
  <si>
    <t>860 - 870</t>
  </si>
  <si>
    <t>2. new inclusion of emissions to soil through land treatment.</t>
  </si>
  <si>
    <t>2. Emission from use and disposal</t>
  </si>
  <si>
    <t>275 - 2785</t>
  </si>
  <si>
    <t>1720 -  3760</t>
  </si>
  <si>
    <t>1. higher emission factors for the lower scenario (50% vs 10%);</t>
  </si>
  <si>
    <t>3. Emission from degradation of xFOSA/Es</t>
  </si>
  <si>
    <t>3 - 168</t>
  </si>
  <si>
    <t>18.7 - 334</t>
  </si>
  <si>
    <t>1. Armitage have used model output where biodegradation was not considered;</t>
  </si>
  <si>
    <t>4. Emission from degradation of POSF</t>
  </si>
  <si>
    <t>353 - 3252</t>
  </si>
  <si>
    <t>3550 - 5750</t>
  </si>
  <si>
    <t xml:space="preserve">1. POSF may not be so much in ocean water and manufacturing sites including soil </t>
  </si>
  <si>
    <t xml:space="preserve">1. Emission from manufacturing </t>
  </si>
  <si>
    <t>681 - 905</t>
  </si>
  <si>
    <t>330 - 630</t>
  </si>
  <si>
    <t>1. more detailed information on emissions from the manufacturing sites;</t>
  </si>
  <si>
    <t>64 - 3146</t>
  </si>
  <si>
    <t>1540 - 6795</t>
  </si>
  <si>
    <r>
      <t xml:space="preserve">1. new inclusion of degradation of complex molecules to </t>
    </r>
    <r>
      <rPr>
        <i/>
        <sz val="11"/>
        <color theme="1"/>
        <rFont val="Constantia"/>
        <family val="1"/>
      </rPr>
      <t>x</t>
    </r>
    <r>
      <rPr>
        <sz val="11"/>
        <color theme="1"/>
        <rFont val="Constantia"/>
        <family val="1"/>
      </rPr>
      <t>FOSA/Es;</t>
    </r>
  </si>
  <si>
    <t>2. higher emission factors of non-polymeric products (10% and 19% vs. 0.1% and 5%, for the lower and higher sce.)</t>
  </si>
  <si>
    <t>∑(1958-2002)</t>
  </si>
  <si>
    <t>Our Study</t>
  </si>
  <si>
    <t>POSF Production CGI</t>
  </si>
  <si>
    <t>POSF Production China</t>
  </si>
  <si>
    <t>Brazil EtFOSA Production</t>
  </si>
  <si>
    <t>Manufacturing Emissions</t>
  </si>
  <si>
    <t>Production Amounts</t>
  </si>
  <si>
    <t>Use and Disposal Emissions</t>
  </si>
  <si>
    <t>xFOSA/Es (Precursors)</t>
  </si>
  <si>
    <t>Total Manufacturing</t>
  </si>
  <si>
    <t>EtFOSA Application to Soil (Brazil)</t>
  </si>
  <si>
    <t>Matches almost (330-630 estimated by Zhanyun)</t>
  </si>
  <si>
    <t>New</t>
  </si>
  <si>
    <t>Area of the Arctic &gt; 65deg N (km2)</t>
  </si>
  <si>
    <t>Calculated PFOS Flux to Arctic (kg/year)</t>
  </si>
  <si>
    <t>Calculated xFOSA Air/Snow Flux to Arctic(kg/yr)</t>
  </si>
  <si>
    <t>Calculated xFOSE Air/Snow Flux to Arctic(kg/yr)</t>
  </si>
  <si>
    <t>Kwok, 2014</t>
  </si>
  <si>
    <t>Ice Core 3</t>
  </si>
  <si>
    <t>Slow Degredation</t>
  </si>
  <si>
    <t>Fast Degredation</t>
  </si>
  <si>
    <t>Armitage et al</t>
  </si>
  <si>
    <t>Not considered</t>
  </si>
  <si>
    <t>Assumption</t>
  </si>
  <si>
    <t>As Used by Armitage</t>
  </si>
  <si>
    <t>Justified via Citation</t>
  </si>
  <si>
    <t>[d]</t>
  </si>
  <si>
    <t>Defined Half Lives</t>
  </si>
  <si>
    <t>Calculated Degredation Constants</t>
  </si>
  <si>
    <t>t1/2 soil</t>
  </si>
  <si>
    <t>t1/2 soilphoto</t>
  </si>
  <si>
    <t>t1/2 wat</t>
  </si>
  <si>
    <t>t1/2 watphoto</t>
  </si>
  <si>
    <t>t1/2 air'</t>
  </si>
  <si>
    <t>t1/2 air'direct</t>
  </si>
  <si>
    <t>t1/2 veg</t>
  </si>
  <si>
    <t>[h sunlight]</t>
  </si>
  <si>
    <t>[d*sunlight]</t>
  </si>
  <si>
    <t>Not yet justified</t>
  </si>
  <si>
    <t>Matches PFOS emissions from manufacturing</t>
  </si>
  <si>
    <t>Matches PFOS emissions from use and disposal</t>
  </si>
  <si>
    <t>Matches xFOSA/Es emission from use and disposal</t>
  </si>
  <si>
    <t>Our study (Estimated by Zhanyun)</t>
  </si>
  <si>
    <t>Total xFOSA/Es Use and Disposal</t>
  </si>
  <si>
    <t>Matches POSF emissions from manufacturing (and assuming all degrades to PFOS, also matches emissions from degredation of POSF)</t>
  </si>
  <si>
    <t>Assumed amount of POSF used for PFOS production</t>
  </si>
  <si>
    <t>Assumption: 1E19 = infinity (no degredation)</t>
  </si>
  <si>
    <t>POSF based product production in China</t>
  </si>
  <si>
    <t>Assumed to start in 2003 and cease after 2010.</t>
  </si>
  <si>
    <t>Assumed to start at a very low level in 2002, continue until 2010, and then decrease to 0 by 2015 (lower scenario) or continue at the 2010 level into the future (higher scenario).</t>
  </si>
  <si>
    <t>3. new inclusion of EtFOSA application in Brazil</t>
  </si>
  <si>
    <t>PFOS Flux to Arctic from Young, 2007 (kg/year)</t>
  </si>
  <si>
    <t>Using Meighen Ice Cap</t>
  </si>
  <si>
    <t>MacInnes, 2015</t>
  </si>
  <si>
    <t>Flux to Devon Ice Cap (ng/m2/yr)</t>
  </si>
  <si>
    <t>Area of arctic:</t>
  </si>
  <si>
    <t>km2</t>
  </si>
  <si>
    <t>Calculated Flux to Arctic (kg/yr)</t>
  </si>
  <si>
    <t>Literature Flux Results</t>
  </si>
  <si>
    <t>PFOS Flux into Arctic: Model vs Env Data Comparison</t>
  </si>
  <si>
    <t>MacInnes, 2015 Flux</t>
  </si>
  <si>
    <t>Young 2007, Flux</t>
  </si>
  <si>
    <t>y</t>
  </si>
  <si>
    <t>Plot Lines:</t>
  </si>
  <si>
    <t>Consideration of emissions through land treatment</t>
  </si>
  <si>
    <t>Use and Disposal</t>
  </si>
  <si>
    <t>Emissions of POSF from manufacturing</t>
  </si>
  <si>
    <t>Emissions in wastewater</t>
  </si>
  <si>
    <t>Not specifically considered</t>
  </si>
  <si>
    <t>Consideration of PFCA impurities in POSF based products</t>
  </si>
  <si>
    <t>PFOS precursors classifified into polymeric and non-polymeric products, and consideration of non-polymeric degredation</t>
  </si>
  <si>
    <r>
      <t xml:space="preserve">Purity of </t>
    </r>
    <r>
      <rPr>
        <sz val="12"/>
        <color theme="1"/>
        <rFont val="Calibri (Body)"/>
      </rPr>
      <t>chemical susbstances</t>
    </r>
  </si>
  <si>
    <t>"purity of commercial PFOS was estimated to be 86.9%" and include contaminants such as lesser homologues, metals, inorganic fluoride, etc (ppS12, ln17)</t>
  </si>
  <si>
    <t>Assumed a purity range of 84.5% to 84.7% for POSF/PFOS products released into the environment (based on PFOS commercial product compositions. Assumed range of 80% to 98.9% for xFOSA/Es released based on compositions of commercial products with xFOSA/Es as main ingredients. (pp19, ln530)</t>
  </si>
  <si>
    <t>"Following ref 14, we assume that direct uses of PFOS in products such as AFFFs was expanded greatly after 1970 and set emissions to zero prior to this year" (ppS13, ln13)</t>
  </si>
  <si>
    <t>3.2% until 2002, then from 2003-2010 a value of 50% (ppS13, ln21)</t>
  </si>
  <si>
    <t>Emissions from direct uses of PFOS in products</t>
  </si>
  <si>
    <t>Assumed they are negligible since the value is quite small and probably much lower than our uncertainty range. (pp14,ln335)</t>
  </si>
  <si>
    <t>For CGI: 5% until 2002, and then afterwards 100%. For China: 12.5% from 2002-2008, then after 30%. (ppS15,ln357)</t>
  </si>
  <si>
    <t>Release of residuals from use and disposal (non-PFOS residuals)</t>
  </si>
  <si>
    <t>POSF-based species emissions from product use and disposal</t>
  </si>
  <si>
    <t>Assumed that 1.5 wt% of PFCA impurities formed for all years (ppS16,ln410)</t>
  </si>
  <si>
    <t>Assumed that non-polymeric residuals exist in products in a range from 0.1 to 5% mass concentration and are semivolatile xFOSEs that are volatized into air. (ppS14, ln456)</t>
  </si>
  <si>
    <t>PFOS residuals in POSF based products</t>
  </si>
  <si>
    <t>Release from degredation of non-polymeric species (whether through mfg, infredients, or residuals in either prodct type)</t>
  </si>
  <si>
    <t>Considered. Ratios of polymeric:non-polymeric assigned based on 3M reports for CGI and other reports for China (ppS13,ln294). 10 year lifetime assumed for polymeric products, and a 2 year lifetime for non-polymeric products (ppS14,ln326). Range of 5 to 10% of species released are simple molecules (assumed xFOSA/Es) emitted to air, and the remaining 90-95% are complex molecules some of which can be degraded (biotic or abiotically) to simple molecules (xFOSA/Es). After 2008, products from China assumed 45% simple vs 55% complex molecules (ppS17,ln439). All species with complex molecules break down into small molecules with a range of 2.5% and 10% yields of xFOSA/Es (ppS18,ln502).</t>
  </si>
  <si>
    <t>All degredation assumed to take place in the same year as the emission occurs (ppS18,ln477) Need to finalize and then compare the set degredation rates and fofs.</t>
  </si>
  <si>
    <t>Use of EtFOSA based insecticide in Brazil (and other South American countries)</t>
  </si>
  <si>
    <t>Considered based on report using inventory data published in Gilljam, 2015 (ppS19,ln516). All EtFOSA assumed to be applied to soil with 100% transfer efficiency.</t>
  </si>
  <si>
    <t>0.005% - 0.1% and assumed release times of either 1 year or 5 years (ppS17, ln6)</t>
  </si>
  <si>
    <t>"Assumed that xFOSE residual content ranges from 0.1-5%" (ppS19,ln8) Assumed to be released into the environment in the same year as production or 5 years after production and to volatilize into air (ppS19,ln16).</t>
  </si>
  <si>
    <t>For xFOSE to PFOS, assumed an overall degredation yield of 1 to 4.5% (ppS19,ln20). Degredation rate constants defined in section S3 (to be compared when finalized) (ppS24). Degredation in water and soil were considered negligible for all substances (ppS24,ln3).</t>
  </si>
  <si>
    <t>Only emissions to air and wastewater were considered (ppS7,ln6)</t>
  </si>
  <si>
    <t>Assumed to contain both xFOSE and PFOS. Handled by assuming an 80:20 split of the to create minimum and maximum emissions scenarios (i.e. PFOS = 20% of waste stream, xFOSE = 80% or PFOS = 80% of waste 20 stream, xFOSE = 20%) (ppS8,ln16).</t>
  </si>
  <si>
    <t>Considered partially in the general purity estimate of PFOS (ppS12,ln17)</t>
  </si>
  <si>
    <t>Emissions from land treatment considered before 3M started transporting sludge to an offsite landfill. Upper and lower bound transfer efficiencies of 20% and 80% were assumed to volatize into the air from the soil.</t>
  </si>
  <si>
    <t>1. New inclusion of POSF emissions (value here assuming all POSF released degrades into PFOS)</t>
  </si>
  <si>
    <r>
      <t xml:space="preserve">2. higher emission estimates of </t>
    </r>
    <r>
      <rPr>
        <i/>
        <sz val="11"/>
        <color theme="1"/>
        <rFont val="Constantia"/>
        <family val="1"/>
      </rPr>
      <t>x</t>
    </r>
    <r>
      <rPr>
        <sz val="11"/>
        <color theme="1"/>
        <rFont val="Constantia"/>
        <family val="1"/>
      </rPr>
      <t>FOSA/Es in our study</t>
    </r>
  </si>
  <si>
    <t>Considered reports previously overlooked (3M report to US-EPA AR226 and others)</t>
  </si>
  <si>
    <t xml:space="preserve">1. more detailed information on emissions from the manufacturing sites from US-EPA AR226 records; </t>
  </si>
  <si>
    <t>Detailed release data allowed for creation of estimated emission factors for PFOS, xFOSA/Es, as well as POSF (US-EPA AR226 records). What data has been specifically updated to waste water? Actual measurements? Armitage already considered the improvement to the wastewater system.</t>
  </si>
  <si>
    <t>It seems that we have considered emissions from direct use of PFOS in products starting from 1958. How is this defended? (It is probably neglegible since the amounts are so small, but we did assume there would be releases since it was still being produced even in small amounts. (This may be a difference is conceptual perception).</t>
  </si>
  <si>
    <t>Justified Assumption</t>
  </si>
  <si>
    <t>Total PFOS Emissions</t>
  </si>
  <si>
    <t>Total xFOSA/Es Emissions (PreFOS)</t>
  </si>
  <si>
    <t>xFOSA/Es Use and Disposal (not Brazil Sulfluramid)</t>
  </si>
  <si>
    <t>Total POSF Emissions</t>
  </si>
  <si>
    <t>In CG1, a range of 50% and 100% set until 2002. Afterwards, advancements in technology assumed to occur between 2003 and 2005 leading to a range of 10% and 50%. In China: a range of 50% to 100% used throughout all years. Emissions set to release over an assumed product lifetime of 2 years for non-polymeric and 10 years for polymeric. (ppS16,ln420)</t>
  </si>
  <si>
    <t>Range of 10% and 100% emitted from products for all years (P.S14). Armitage had release lag times for xFOSE residuals in products of 1 and 5 years.</t>
  </si>
  <si>
    <t>03°52.77'S</t>
  </si>
  <si>
    <t>29°04.02'W</t>
  </si>
  <si>
    <t>04°51.36'S</t>
  </si>
  <si>
    <t>27°20.67'W</t>
  </si>
  <si>
    <t>10°21.18'S</t>
  </si>
  <si>
    <t>17°20.76'W</t>
  </si>
  <si>
    <t>12°00.57'S</t>
  </si>
  <si>
    <t>13°45.80'W</t>
  </si>
  <si>
    <t>14°05.87'S</t>
  </si>
  <si>
    <t>09°39.17'W</t>
  </si>
  <si>
    <t>17°34.40'S</t>
  </si>
  <si>
    <t>00°58.20'W</t>
  </si>
  <si>
    <t>19°06.10'S</t>
  </si>
  <si>
    <t>03°27.30'E</t>
  </si>
  <si>
    <t>21°11.00'S</t>
  </si>
  <si>
    <t>09°16.00'E</t>
  </si>
  <si>
    <t>27˚18.35'N</t>
  </si>
  <si>
    <t>19˚00.30'W</t>
  </si>
  <si>
    <t>31˚02.58'N</t>
  </si>
  <si>
    <t>17˚53.77'W</t>
  </si>
  <si>
    <t>34˚39.98'N</t>
  </si>
  <si>
    <t>15˚03.90'W</t>
  </si>
  <si>
    <t>22˚38.90'N</t>
  </si>
  <si>
    <t>22˚17.13'W</t>
  </si>
  <si>
    <t>23˚36.61'N</t>
  </si>
  <si>
    <t>20˚33.85'W</t>
  </si>
  <si>
    <t>8˚27.06'N</t>
  </si>
  <si>
    <t>26˚48.55'W</t>
  </si>
  <si>
    <t>12˚17.22'N</t>
  </si>
  <si>
    <t>25˚12.85'W</t>
  </si>
  <si>
    <t>(-14.353) , (-15.348)</t>
  </si>
  <si>
    <t>Set Above in PFOS Use and Disposal Section</t>
  </si>
  <si>
    <t>Reasons for difference</t>
  </si>
  <si>
    <t>3. impurities not yet considered in this value, which will lower it by about 15% (i.e. 3200t) (not ture, our results here already account for this)</t>
  </si>
  <si>
    <r>
      <t>Chinese Emission Factors 1958-2030 [EF</t>
    </r>
    <r>
      <rPr>
        <b/>
        <vertAlign val="subscript"/>
        <sz val="16"/>
        <color theme="1"/>
        <rFont val="Constantia"/>
        <family val="1"/>
      </rPr>
      <t>MANU</t>
    </r>
    <r>
      <rPr>
        <b/>
        <sz val="16"/>
        <color theme="1"/>
        <rFont val="Constantia"/>
        <family val="1"/>
      </rPr>
      <t>]</t>
    </r>
  </si>
  <si>
    <t>CGI Emission Factors (Chinese Below)</t>
  </si>
  <si>
    <t>Kwok 2013, 
Core 2</t>
  </si>
  <si>
    <t>Kwok 2013, 
Core 1</t>
  </si>
  <si>
    <t>Flux to Svalbard, Norway (fg/m2/yr)</t>
  </si>
  <si>
    <t>m2/km2:</t>
  </si>
  <si>
    <t>Our Study (Current Results)</t>
  </si>
  <si>
    <t>∑(1958-2030)</t>
  </si>
  <si>
    <t>List of Differences in Assumptions</t>
  </si>
  <si>
    <t>∑(1958-2015)</t>
  </si>
  <si>
    <t>.</t>
  </si>
  <si>
    <t>1958-2015</t>
  </si>
  <si>
    <t>1958-2030</t>
  </si>
  <si>
    <t>2003-2015</t>
  </si>
  <si>
    <t>2016-2030</t>
  </si>
  <si>
    <t>lower_slow_lower</t>
  </si>
  <si>
    <t>lower_slow</t>
  </si>
  <si>
    <t>lower_fast_lower</t>
  </si>
  <si>
    <t>lower_fast</t>
  </si>
  <si>
    <t>higher_slow</t>
  </si>
  <si>
    <t>higher_fast</t>
  </si>
  <si>
    <t>From POSF (decoupled model run)</t>
  </si>
  <si>
    <t>Paste Results from Python Script for Precursors Degraded to PFOS (step 5)</t>
  </si>
  <si>
    <t>From xFOSAEs (decoupled model run)</t>
  </si>
  <si>
    <t>*Updates the emissions table for publication (above)</t>
  </si>
  <si>
    <t>*automatically updated</t>
  </si>
  <si>
    <t>Ice</t>
  </si>
  <si>
    <t>Vegetation</t>
  </si>
  <si>
    <t>Vegsoil</t>
  </si>
  <si>
    <t>Production Inventory</t>
  </si>
  <si>
    <t>Emissions Distribution Assignment</t>
  </si>
  <si>
    <t>Resulting Emissions by Zone</t>
  </si>
  <si>
    <t>Environmental Measurements: Snow and Ice</t>
  </si>
  <si>
    <t>Environmental Measurements: Atmospheric</t>
  </si>
  <si>
    <t>Environmental Measurements: Oceans</t>
  </si>
  <si>
    <t>Total PFOS Flux to Arctic from All Emissions</t>
  </si>
  <si>
    <t>PFOS Flux to Arctic from POSF Emissions</t>
  </si>
  <si>
    <t>With Snow and Ice On</t>
  </si>
  <si>
    <t>With Snow and Ice Off</t>
  </si>
  <si>
    <t>% from POSF Emissions</t>
  </si>
  <si>
    <t>PFOS Folder (From PFOS Emissions)</t>
  </si>
  <si>
    <t>PFOS Flux to Arctic from xFOSA/Es Emissions</t>
  </si>
  <si>
    <t>POSF1 Folder (From xFOSE Emissions)</t>
  </si>
  <si>
    <t>PFOS Flux Results from Urs Schenker's Output Files Using Python Output (Urs Previous Results/PFOS/model configuration) (kg)</t>
  </si>
  <si>
    <t>POSF5 Folder (From xFOSE Emissions)</t>
  </si>
  <si>
    <t>PFOS Flux to Arctic from PFOS Emissions</t>
  </si>
  <si>
    <t>PFOS Flux Results from Python Output (all substances, dec 15 and dec16 runs, "Lower(50%)/Slow" scenario) (kg)</t>
  </si>
  <si>
    <t>Comparison of Flux Results from Model Runs</t>
  </si>
  <si>
    <t>All Substances, Ice/Snow On vs Off</t>
  </si>
  <si>
    <t>All Substances Except POSF, Ice/Snow On vs Off</t>
  </si>
  <si>
    <t>PFOS Flux Results from Python Output (all substances without POSF, dec 16 runs "noPOSF", "Lower(50%)/Slow" scenario) (kg)</t>
  </si>
  <si>
    <t>xFOSAs In</t>
  </si>
  <si>
    <t>xFOSEs In</t>
  </si>
  <si>
    <t>PFOS In</t>
  </si>
  <si>
    <t>Ice/Snow On (kg)</t>
  </si>
  <si>
    <t>Ice/Snow Off (kg)</t>
  </si>
  <si>
    <t>Molar Mass (g/mol)</t>
  </si>
  <si>
    <t>xFOSAs Out</t>
  </si>
  <si>
    <t>xFOSEs Out</t>
  </si>
  <si>
    <t>xFOSAs Losses</t>
  </si>
  <si>
    <t>xFOSEs Losses</t>
  </si>
  <si>
    <t>INT Losses</t>
  </si>
  <si>
    <t>PFOS Out (PFOS run)</t>
  </si>
  <si>
    <t>PFOS Out (xFOSAEs run)</t>
  </si>
  <si>
    <t>PFOS Losses (xFOSAEs run)</t>
  </si>
  <si>
    <t>PFOS Losses (PFOS run)</t>
  </si>
  <si>
    <t>Mass Balance Results (Lower(50%)/Slow) (kg)</t>
  </si>
  <si>
    <t>PFOS Equivalents In</t>
  </si>
  <si>
    <t>PFOS Equivalent Losses</t>
  </si>
  <si>
    <t>PFOS Equivalent Out</t>
  </si>
  <si>
    <t>(Used to calculate mass balance)</t>
  </si>
  <si>
    <t>Total xFOSAs In (tons)</t>
  </si>
  <si>
    <t>Total xFOSEs In (tons)</t>
  </si>
  <si>
    <t>Total PFOS In (tons)</t>
  </si>
  <si>
    <t>Total Emissions Model Input</t>
  </si>
  <si>
    <t>PFOS/xFOSEs</t>
  </si>
  <si>
    <t>PFOS/xFOSAs</t>
  </si>
  <si>
    <t>PFOS/INT</t>
  </si>
  <si>
    <t>Balance: In-Losses-Out</t>
  </si>
  <si>
    <t>Used runs: dec16_PFOS_single_on_1 (and off) and dec16_xFOSAEs_single_on_1 (and off)</t>
  </si>
  <si>
    <t>Available via permanent loss extraction Python script</t>
  </si>
  <si>
    <t>Available via Excel inventory on results summary sheet</t>
  </si>
  <si>
    <t>xFOSA/Es to PFOS Slow Yield</t>
  </si>
  <si>
    <t>Balance for xFOSAEs and PFOS</t>
  </si>
  <si>
    <t>Available via Degradation Extraction Python script or looking at Year 2030 in mass.distribution file</t>
  </si>
  <si>
    <t>PFSAs (Based on PFOS emissions)</t>
  </si>
  <si>
    <t>Total [t]</t>
  </si>
  <si>
    <t>2016-2030 [t]</t>
  </si>
  <si>
    <t>2003-2015 [t]</t>
  </si>
  <si>
    <t>1958-2002 [t]</t>
  </si>
  <si>
    <t>Helper Columns:</t>
  </si>
  <si>
    <t>posf</t>
  </si>
  <si>
    <t>pfos</t>
  </si>
  <si>
    <t>xfosaes</t>
  </si>
  <si>
    <t>Helper Column:</t>
  </si>
  <si>
    <t>Helper row:</t>
  </si>
  <si>
    <t>PASFs (Based on POSF emissions)</t>
  </si>
  <si>
    <t>xFOSAE to Other Products (new method)</t>
  </si>
  <si>
    <t>PFOS Balance</t>
  </si>
  <si>
    <t>xFOSA/Es Balance</t>
  </si>
  <si>
    <t>Air to None (phi): On</t>
  </si>
  <si>
    <t>Air to None (phi): Off</t>
  </si>
  <si>
    <t>Total POSF In (tons)</t>
  </si>
  <si>
    <t>POSF In</t>
  </si>
  <si>
    <t>POSF Permanent Losses</t>
  </si>
  <si>
    <t>PFOS Permanent Losses</t>
  </si>
  <si>
    <t>Balance: In-Out-Losses</t>
  </si>
  <si>
    <t>Snow/Ice On (Higher/Fast)</t>
  </si>
  <si>
    <t>Snow/Ice Off (Higher/Fast)</t>
  </si>
  <si>
    <t>Snow/Ice On (Lower/Slow)</t>
  </si>
  <si>
    <t>Snow/Ice Off (Lower/Slow)</t>
  </si>
  <si>
    <t>POSF Existing at End</t>
  </si>
  <si>
    <t>PFOS Existing at End</t>
  </si>
  <si>
    <t>POSF Mass Balance (tons) (Feb 10, 2016 runs)</t>
  </si>
  <si>
    <t>POSF/PFOS Ratio</t>
  </si>
  <si>
    <t>xFOSA/Es to PFOS Fast Yield</t>
  </si>
  <si>
    <t>Higher/Fast</t>
  </si>
  <si>
    <t>Higher/Slow</t>
  </si>
  <si>
    <t>Lower/Fast</t>
  </si>
  <si>
    <t>Lower/Slow</t>
  </si>
  <si>
    <t>Lower/Fast/Lower</t>
  </si>
  <si>
    <t>Lower/Slow/Lower</t>
  </si>
  <si>
    <t>Used runs: feb10_POSF_multi_off_1, feb10_POSF_multi_on_1</t>
  </si>
  <si>
    <t>Used runs: feb10_POSF_multi_on_1,  feb10_POSF_multi_on_1_lower</t>
  </si>
  <si>
    <t>All Runs (Snow&amp;Ice On) (tons)</t>
  </si>
  <si>
    <t>Used runs: feb11_xFOSAEs_multi_on_1 and feb11_xFOSAEs_multi_on_1_lower</t>
  </si>
  <si>
    <t>XFOSA/Es Balance (Snow&amp;Ice On) (tons)</t>
  </si>
  <si>
    <t>PFOS Balance (Snow&amp;Ice On) (tons)</t>
  </si>
  <si>
    <t>Used runs: feb11_PFOS_multi_on_1 and feb11_PFOS_multi_on_1_lower</t>
  </si>
  <si>
    <t>PFOS Permanent Losses (PFOS run)</t>
  </si>
  <si>
    <t>Table below updated automatically:</t>
  </si>
  <si>
    <t>year2</t>
  </si>
  <si>
    <t>UPDATED MASS BALANCE CHECKS (All Substance Runs)</t>
  </si>
  <si>
    <t>Villum Research Station, Greenland Arctic</t>
  </si>
  <si>
    <t>Bossi, 2016</t>
  </si>
  <si>
    <t>NEtFOSA (gas&amp;particulate), NMeFOSA (gas&amp;particulate)</t>
  </si>
  <si>
    <t>POSF Produced (Lower)</t>
  </si>
  <si>
    <t>POSF Produced (Higher)</t>
  </si>
  <si>
    <t>% Assumed for PFOS Production</t>
  </si>
  <si>
    <t>PFOS Produed (Lower)</t>
  </si>
  <si>
    <t>PFOS Produed (Higher)</t>
  </si>
  <si>
    <t>Total Until 2015</t>
  </si>
  <si>
    <t>Emission Inventory Tables for Publication</t>
  </si>
  <si>
    <t>China PFOS Production Estimate (Calculations Not Linked or Relevant for Model Functioning)</t>
  </si>
  <si>
    <t>Model Higher/Fast</t>
  </si>
  <si>
    <t>Model Higher/Slow</t>
  </si>
  <si>
    <t>Model Lower(50%)/Fast</t>
  </si>
  <si>
    <t>Model Lower(50%)/Slow</t>
  </si>
  <si>
    <t>Model Lower(10%)/Fast</t>
  </si>
  <si>
    <t>Model Lower(10%)/Slow</t>
  </si>
  <si>
    <t>(Ignored now)</t>
  </si>
  <si>
    <t>Model Arctic Flux Results without POSF (From Python Output Table) (kg/yr)</t>
  </si>
  <si>
    <t>Model Arctic Flux Results with POSF (From Python Output Table) (kg/yr)</t>
  </si>
  <si>
    <t>Young et al., 2007</t>
  </si>
  <si>
    <t>Scenario Summary</t>
  </si>
  <si>
    <t>High</t>
  </si>
  <si>
    <t>Medium</t>
  </si>
  <si>
    <t>Low</t>
  </si>
  <si>
    <t>PFOS Flux to Arctic</t>
  </si>
  <si>
    <t>1957 - 2010 [t]</t>
  </si>
  <si>
    <t>1958 - 2015 [t]</t>
  </si>
  <si>
    <t>1958 - 2002 [t]</t>
  </si>
  <si>
    <t>2003 - 2015 [t]</t>
  </si>
  <si>
    <t>2016 - 2030 [t]</t>
  </si>
  <si>
    <t>1958 - 2030 [t]</t>
  </si>
  <si>
    <t>Emissions Table Helper Lookup Table:</t>
  </si>
  <si>
    <t>2. Emissions from use and disposal</t>
  </si>
  <si>
    <t>This Study</t>
  </si>
  <si>
    <r>
      <t>C</t>
    </r>
    <r>
      <rPr>
        <vertAlign val="subscript"/>
        <sz val="16"/>
        <color theme="1"/>
        <rFont val="Cambria"/>
        <family val="1"/>
        <scheme val="major"/>
      </rPr>
      <t>n</t>
    </r>
    <r>
      <rPr>
        <sz val="16"/>
        <color theme="1"/>
        <rFont val="Cambria"/>
        <family val="1"/>
        <scheme val="major"/>
      </rPr>
      <t xml:space="preserve"> PFSA</t>
    </r>
  </si>
  <si>
    <r>
      <t>C</t>
    </r>
    <r>
      <rPr>
        <vertAlign val="subscript"/>
        <sz val="16"/>
        <color theme="1"/>
        <rFont val="Cambria"/>
        <family val="1"/>
        <scheme val="major"/>
      </rPr>
      <t>n</t>
    </r>
    <r>
      <rPr>
        <sz val="16"/>
        <color theme="1"/>
        <rFont val="Cambria"/>
        <family val="1"/>
        <scheme val="major"/>
      </rPr>
      <t xml:space="preserve"> PASF</t>
    </r>
  </si>
  <si>
    <t>production before 3M's phase-out</t>
  </si>
  <si>
    <t>period</t>
  </si>
  <si>
    <t>1970-2002</t>
  </si>
  <si>
    <t>1957-2002</t>
  </si>
  <si>
    <t>data source</t>
  </si>
  <si>
    <t>3M's reports</t>
  </si>
  <si>
    <t>production after 3M's phase-out</t>
  </si>
  <si>
    <t>2003-2012; assumed values</t>
  </si>
  <si>
    <t>2003-2010; reported + assumed values</t>
  </si>
  <si>
    <t>peer-reviewed articles + national reports + assumptions</t>
  </si>
  <si>
    <t>assumptions</t>
  </si>
  <si>
    <t>included</t>
  </si>
  <si>
    <t>not included</t>
  </si>
  <si>
    <t>air and wastewater</t>
  </si>
  <si>
    <t>impurities only</t>
  </si>
  <si>
    <t>intentional use + residuals (degradation of polymers not included)</t>
  </si>
  <si>
    <t>unclear</t>
  </si>
  <si>
    <t>residuals (degradation of polymers not included)</t>
  </si>
  <si>
    <t>product life span</t>
  </si>
  <si>
    <t xml:space="preserve">included </t>
  </si>
  <si>
    <t>peer-reviewed articles + 3M's reports + assumptions</t>
  </si>
  <si>
    <t>3M's reports + assumptions</t>
  </si>
  <si>
    <t>break down on homologue basis</t>
  </si>
  <si>
    <t>emissions from production</t>
  </si>
  <si>
    <t>Need to check/confirm</t>
  </si>
  <si>
    <t>What is the difference between "estimated" and "assumed"?</t>
  </si>
  <si>
    <t>national reports + assumptions</t>
  </si>
  <si>
    <t>Which compartment are these emissions from product use/disposal set to go to?</t>
  </si>
  <si>
    <t>emissions from product use and disposal</t>
  </si>
  <si>
    <r>
      <t>C</t>
    </r>
    <r>
      <rPr>
        <vertAlign val="subscript"/>
        <sz val="16"/>
        <color theme="1"/>
        <rFont val="Cambria"/>
        <family val="1"/>
        <scheme val="major"/>
      </rPr>
      <t xml:space="preserve">4 </t>
    </r>
    <r>
      <rPr>
        <sz val="16"/>
        <color theme="1"/>
        <rFont val="Cambria"/>
        <family val="1"/>
        <scheme val="major"/>
      </rPr>
      <t>FBSA/Es</t>
    </r>
  </si>
  <si>
    <r>
      <t>C</t>
    </r>
    <r>
      <rPr>
        <vertAlign val="subscript"/>
        <sz val="16"/>
        <color theme="1"/>
        <rFont val="Cambria"/>
        <family val="1"/>
        <scheme val="major"/>
      </rPr>
      <t xml:space="preserve">5 </t>
    </r>
    <r>
      <rPr>
        <sz val="16"/>
        <color theme="1"/>
        <rFont val="Cambria"/>
        <family val="1"/>
        <scheme val="major"/>
      </rPr>
      <t>FPeSA/Es</t>
    </r>
  </si>
  <si>
    <r>
      <t>C</t>
    </r>
    <r>
      <rPr>
        <vertAlign val="subscript"/>
        <sz val="16"/>
        <color theme="1"/>
        <rFont val="Cambria"/>
        <family val="1"/>
        <scheme val="major"/>
      </rPr>
      <t xml:space="preserve">6 </t>
    </r>
    <r>
      <rPr>
        <sz val="16"/>
        <color theme="1"/>
        <rFont val="Cambria"/>
        <family val="1"/>
        <scheme val="major"/>
      </rPr>
      <t>FHxSA/Es</t>
    </r>
  </si>
  <si>
    <r>
      <t>C</t>
    </r>
    <r>
      <rPr>
        <vertAlign val="subscript"/>
        <sz val="16"/>
        <color theme="1"/>
        <rFont val="Cambria"/>
        <family val="1"/>
        <scheme val="major"/>
      </rPr>
      <t xml:space="preserve">7 </t>
    </r>
    <r>
      <rPr>
        <sz val="16"/>
        <color theme="1"/>
        <rFont val="Cambria"/>
        <family val="1"/>
        <scheme val="major"/>
      </rPr>
      <t>FHpSA/Es</t>
    </r>
  </si>
  <si>
    <r>
      <t>C</t>
    </r>
    <r>
      <rPr>
        <vertAlign val="subscript"/>
        <sz val="16"/>
        <color theme="1"/>
        <rFont val="Cambria"/>
        <family val="1"/>
        <scheme val="major"/>
      </rPr>
      <t xml:space="preserve">8 </t>
    </r>
    <r>
      <rPr>
        <sz val="16"/>
        <color theme="1"/>
        <rFont val="Cambria"/>
        <family val="1"/>
        <scheme val="major"/>
      </rPr>
      <t>FOSA/Es</t>
    </r>
  </si>
  <si>
    <r>
      <t>C</t>
    </r>
    <r>
      <rPr>
        <vertAlign val="subscript"/>
        <sz val="16"/>
        <color theme="1"/>
        <rFont val="Cambria"/>
        <family val="1"/>
        <scheme val="major"/>
      </rPr>
      <t xml:space="preserve">9 </t>
    </r>
    <r>
      <rPr>
        <sz val="16"/>
        <color theme="1"/>
        <rFont val="Cambria"/>
        <family val="1"/>
        <scheme val="major"/>
      </rPr>
      <t>FNSA/Es</t>
    </r>
  </si>
  <si>
    <r>
      <t>C</t>
    </r>
    <r>
      <rPr>
        <vertAlign val="subscript"/>
        <sz val="16"/>
        <color theme="1"/>
        <rFont val="Cambria"/>
        <family val="1"/>
        <scheme val="major"/>
      </rPr>
      <t xml:space="preserve">10 </t>
    </r>
    <r>
      <rPr>
        <sz val="16"/>
        <color theme="1"/>
        <rFont val="Cambria"/>
        <family val="1"/>
        <scheme val="major"/>
      </rPr>
      <t>FDSA/Es</t>
    </r>
  </si>
  <si>
    <r>
      <t>C</t>
    </r>
    <r>
      <rPr>
        <vertAlign val="subscript"/>
        <sz val="16"/>
        <color theme="1"/>
        <rFont val="Cambria"/>
        <family val="1"/>
        <scheme val="major"/>
      </rPr>
      <t xml:space="preserve">4 </t>
    </r>
    <r>
      <rPr>
        <sz val="16"/>
        <color theme="1"/>
        <rFont val="Cambria"/>
        <family val="1"/>
        <scheme val="major"/>
      </rPr>
      <t>PFBS</t>
    </r>
  </si>
  <si>
    <r>
      <t>C</t>
    </r>
    <r>
      <rPr>
        <vertAlign val="subscript"/>
        <sz val="16"/>
        <color theme="1"/>
        <rFont val="Cambria"/>
        <family val="1"/>
        <scheme val="major"/>
      </rPr>
      <t xml:space="preserve">6 </t>
    </r>
    <r>
      <rPr>
        <sz val="16"/>
        <color theme="1"/>
        <rFont val="Cambria"/>
        <family val="1"/>
        <scheme val="major"/>
      </rPr>
      <t>PFHxS</t>
    </r>
  </si>
  <si>
    <r>
      <t>C</t>
    </r>
    <r>
      <rPr>
        <vertAlign val="subscript"/>
        <sz val="16"/>
        <color theme="1"/>
        <rFont val="Cambria"/>
        <family val="1"/>
        <scheme val="major"/>
      </rPr>
      <t xml:space="preserve">7 </t>
    </r>
    <r>
      <rPr>
        <sz val="16"/>
        <color theme="1"/>
        <rFont val="Cambria"/>
        <family val="1"/>
        <scheme val="major"/>
      </rPr>
      <t>PFHpS</t>
    </r>
  </si>
  <si>
    <r>
      <t>C</t>
    </r>
    <r>
      <rPr>
        <vertAlign val="subscript"/>
        <sz val="16"/>
        <color theme="1"/>
        <rFont val="Cambria"/>
        <family val="1"/>
        <scheme val="major"/>
      </rPr>
      <t xml:space="preserve">8 </t>
    </r>
    <r>
      <rPr>
        <sz val="16"/>
        <color theme="1"/>
        <rFont val="Cambria"/>
        <family val="1"/>
        <scheme val="major"/>
      </rPr>
      <t>PFOS</t>
    </r>
  </si>
  <si>
    <r>
      <t>C</t>
    </r>
    <r>
      <rPr>
        <vertAlign val="subscript"/>
        <sz val="16"/>
        <color theme="1"/>
        <rFont val="Cambria"/>
        <family val="1"/>
        <scheme val="major"/>
      </rPr>
      <t xml:space="preserve">9 </t>
    </r>
    <r>
      <rPr>
        <sz val="16"/>
        <color theme="1"/>
        <rFont val="Cambria"/>
        <family val="1"/>
        <scheme val="major"/>
      </rPr>
      <t>PFNS</t>
    </r>
  </si>
  <si>
    <r>
      <t>C</t>
    </r>
    <r>
      <rPr>
        <vertAlign val="subscript"/>
        <sz val="16"/>
        <color theme="1"/>
        <rFont val="Cambria"/>
        <family val="1"/>
        <scheme val="major"/>
      </rPr>
      <t xml:space="preserve">10 </t>
    </r>
    <r>
      <rPr>
        <sz val="16"/>
        <color theme="1"/>
        <rFont val="Cambria"/>
        <family val="1"/>
        <scheme val="major"/>
      </rPr>
      <t>PFDS</t>
    </r>
  </si>
  <si>
    <r>
      <t>C</t>
    </r>
    <r>
      <rPr>
        <vertAlign val="subscript"/>
        <sz val="16"/>
        <color theme="1"/>
        <rFont val="Cambria"/>
        <family val="1"/>
        <scheme val="major"/>
      </rPr>
      <t xml:space="preserve">5 </t>
    </r>
    <r>
      <rPr>
        <sz val="16"/>
        <color theme="1"/>
        <rFont val="Cambria"/>
        <family val="1"/>
        <scheme val="major"/>
      </rPr>
      <t>PFPeS</t>
    </r>
  </si>
  <si>
    <r>
      <t>C</t>
    </r>
    <r>
      <rPr>
        <vertAlign val="subscript"/>
        <sz val="16"/>
        <color theme="1"/>
        <rFont val="Cambria"/>
        <family val="1"/>
        <scheme val="major"/>
      </rPr>
      <t xml:space="preserve">4 </t>
    </r>
    <r>
      <rPr>
        <sz val="16"/>
        <color theme="1"/>
        <rFont val="Cambria"/>
        <family val="1"/>
        <scheme val="major"/>
      </rPr>
      <t>PBSF</t>
    </r>
  </si>
  <si>
    <r>
      <t>C</t>
    </r>
    <r>
      <rPr>
        <vertAlign val="subscript"/>
        <sz val="16"/>
        <color theme="1"/>
        <rFont val="Cambria"/>
        <family val="1"/>
        <scheme val="major"/>
      </rPr>
      <t xml:space="preserve">5 </t>
    </r>
    <r>
      <rPr>
        <sz val="16"/>
        <color theme="1"/>
        <rFont val="Cambria"/>
        <family val="1"/>
        <scheme val="major"/>
      </rPr>
      <t>PPeSF</t>
    </r>
  </si>
  <si>
    <r>
      <t>C</t>
    </r>
    <r>
      <rPr>
        <vertAlign val="subscript"/>
        <sz val="16"/>
        <color theme="1"/>
        <rFont val="Cambria"/>
        <family val="1"/>
        <scheme val="major"/>
      </rPr>
      <t xml:space="preserve">6 </t>
    </r>
    <r>
      <rPr>
        <sz val="16"/>
        <color theme="1"/>
        <rFont val="Cambria"/>
        <family val="1"/>
        <scheme val="major"/>
      </rPr>
      <t>PHxSF</t>
    </r>
  </si>
  <si>
    <r>
      <t>C</t>
    </r>
    <r>
      <rPr>
        <vertAlign val="subscript"/>
        <sz val="16"/>
        <color theme="1"/>
        <rFont val="Cambria"/>
        <family val="1"/>
        <scheme val="major"/>
      </rPr>
      <t xml:space="preserve">7 </t>
    </r>
    <r>
      <rPr>
        <sz val="16"/>
        <color theme="1"/>
        <rFont val="Cambria"/>
        <family val="1"/>
        <scheme val="major"/>
      </rPr>
      <t>PHpSF</t>
    </r>
  </si>
  <si>
    <r>
      <t>C</t>
    </r>
    <r>
      <rPr>
        <vertAlign val="subscript"/>
        <sz val="16"/>
        <color theme="1"/>
        <rFont val="Cambria"/>
        <family val="1"/>
        <scheme val="major"/>
      </rPr>
      <t xml:space="preserve">8 </t>
    </r>
    <r>
      <rPr>
        <sz val="16"/>
        <color theme="1"/>
        <rFont val="Cambria"/>
        <family val="1"/>
        <scheme val="major"/>
      </rPr>
      <t>POSF</t>
    </r>
  </si>
  <si>
    <r>
      <t>C</t>
    </r>
    <r>
      <rPr>
        <vertAlign val="subscript"/>
        <sz val="16"/>
        <color theme="1"/>
        <rFont val="Cambria"/>
        <family val="1"/>
        <scheme val="major"/>
      </rPr>
      <t xml:space="preserve">9 </t>
    </r>
    <r>
      <rPr>
        <sz val="16"/>
        <color theme="1"/>
        <rFont val="Cambria"/>
        <family val="1"/>
        <scheme val="major"/>
      </rPr>
      <t>PNSF</t>
    </r>
  </si>
  <si>
    <r>
      <t>C</t>
    </r>
    <r>
      <rPr>
        <vertAlign val="subscript"/>
        <sz val="16"/>
        <color theme="1"/>
        <rFont val="Cambria"/>
        <family val="1"/>
        <scheme val="major"/>
      </rPr>
      <t xml:space="preserve">10 </t>
    </r>
    <r>
      <rPr>
        <sz val="16"/>
        <color theme="1"/>
        <rFont val="Cambria"/>
        <family val="1"/>
        <scheme val="major"/>
      </rPr>
      <t>PDSF</t>
    </r>
  </si>
  <si>
    <t>∑(1958-2010)</t>
  </si>
  <si>
    <t>∑(2003-2010)</t>
  </si>
  <si>
    <t>1958 - 2010 [t]</t>
  </si>
  <si>
    <t>Armitage</t>
  </si>
  <si>
    <t>1958-2010</t>
  </si>
  <si>
    <t>Emissions Comparison 1957/8 - 2010</t>
  </si>
  <si>
    <t>Delta</t>
  </si>
  <si>
    <t>Production (Ours)</t>
  </si>
  <si>
    <t>Production (Armitage)</t>
  </si>
  <si>
    <t>Use and Disposal (Ours)</t>
  </si>
  <si>
    <t>Degradation of Precursors (Ours)</t>
  </si>
  <si>
    <t>Use and Disposal (Armitage)</t>
  </si>
  <si>
    <t>Degradation of Precursors (Armitage)</t>
  </si>
  <si>
    <t>Lower (tons)</t>
  </si>
  <si>
    <t>Higher (tons)</t>
  </si>
  <si>
    <t>PFOS Production in Current Model Results (1958-2015):</t>
  </si>
  <si>
    <t>2. higher PFOS production in the past (4114t vs 2721t), as Armitage have likely forgot the production in Antwerpen</t>
  </si>
  <si>
    <t>3. Emissions from application in Brazil</t>
  </si>
  <si>
    <t>3. Emission from application in Brazil</t>
  </si>
  <si>
    <t>Scenario</t>
  </si>
  <si>
    <t>From Water Deposition (33)</t>
  </si>
  <si>
    <t>From Ice (109)</t>
  </si>
  <si>
    <t>POSF1</t>
  </si>
  <si>
    <t>POSF5</t>
  </si>
  <si>
    <t>Our Losses (All 10 Zones)</t>
  </si>
  <si>
    <t>Our Losses (Zones 1-4)</t>
  </si>
  <si>
    <t>Our Losses (Zones 1-4, snow/ice &amp; rain off)</t>
  </si>
  <si>
    <t>Armitage's Results (Zones 1-4)</t>
  </si>
  <si>
    <t>xFOSAE to Other Products (PFOS Equivalents) (new method)</t>
  </si>
  <si>
    <t>POSF Production (Inventory)</t>
  </si>
  <si>
    <t>Emissions Inventory by Chemical Across All Zones and Compartments (Input into Model)</t>
  </si>
  <si>
    <t>helper row: substance_id</t>
  </si>
  <si>
    <t>2003-2030</t>
  </si>
  <si>
    <t>Total PFOS/POSF</t>
  </si>
  <si>
    <t>Total Precursors</t>
  </si>
  <si>
    <t>1957-2010</t>
  </si>
  <si>
    <t>xFOSE to Air (Production) (Table S3a)</t>
  </si>
  <si>
    <t>PFOS/xFOSE to Water (Production) (Table S3b)</t>
  </si>
  <si>
    <t>PFOS Released (Use &amp; Disposal) (Table S4)</t>
  </si>
  <si>
    <t>PFOS Released (Residuals) (Table S6)</t>
  </si>
  <si>
    <t>Armitage Emissions (from their SI) (tonnes)</t>
  </si>
  <si>
    <t>FOSx Released (Residuals) (Table S7)</t>
  </si>
  <si>
    <t>Table S8 Total Results</t>
  </si>
  <si>
    <t>745-4051</t>
  </si>
  <si>
    <t>353-3252</t>
  </si>
  <si>
    <t>Total PFOS</t>
  </si>
  <si>
    <t>Total xFOSE</t>
  </si>
  <si>
    <t>t1/2 ice</t>
  </si>
  <si>
    <t>t1/2 snow</t>
  </si>
  <si>
    <t>kice</t>
  </si>
  <si>
    <t>ksnow</t>
  </si>
  <si>
    <t>Gonzalez-Gaya, 2014</t>
  </si>
  <si>
    <t>17/12/2010</t>
  </si>
  <si>
    <t>19/12/2010</t>
  </si>
  <si>
    <t>21/12/2010</t>
  </si>
  <si>
    <t>23/12/2010</t>
  </si>
  <si>
    <t>24/12/2010</t>
  </si>
  <si>
    <t>25/12/2010</t>
  </si>
  <si>
    <t>27/12/2010</t>
  </si>
  <si>
    <t>28/12/2010</t>
  </si>
  <si>
    <t>29/12/2010</t>
  </si>
  <si>
    <t>30/12/2010</t>
  </si>
  <si>
    <t>31/12/2010</t>
  </si>
  <si>
    <t>02/01/2011</t>
  </si>
  <si>
    <t>03/01/2011</t>
  </si>
  <si>
    <t>05/01/2011</t>
  </si>
  <si>
    <t>06/01/2011</t>
  </si>
  <si>
    <t>08/01/2011</t>
  </si>
  <si>
    <t>09/01/2011</t>
  </si>
  <si>
    <t>11/01/2011</t>
  </si>
  <si>
    <t>20/01/2011</t>
  </si>
  <si>
    <t>21/01/2011</t>
  </si>
  <si>
    <t>22/01/2011</t>
  </si>
  <si>
    <t>23/01/2011</t>
  </si>
  <si>
    <t>24/01/2011</t>
  </si>
  <si>
    <t>25/01/2011</t>
  </si>
  <si>
    <t>26/01/2011</t>
  </si>
  <si>
    <t>29/01/2011</t>
  </si>
  <si>
    <t>30/01/2011</t>
  </si>
  <si>
    <t>31/01/2011</t>
  </si>
  <si>
    <t>01/02/2011</t>
  </si>
  <si>
    <t>02/02/2011</t>
  </si>
  <si>
    <t>03/02/2011</t>
  </si>
  <si>
    <t>04/02/2011</t>
  </si>
  <si>
    <t>05/02/2011</t>
  </si>
  <si>
    <t>14/02/2011</t>
  </si>
  <si>
    <t>15/02/2011</t>
  </si>
  <si>
    <t>17/02/2011</t>
  </si>
  <si>
    <t>18/02/2011</t>
  </si>
  <si>
    <t>24/02/2011</t>
  </si>
  <si>
    <t>25/02/2011</t>
  </si>
  <si>
    <t>27/02/2011</t>
  </si>
  <si>
    <t>01/03/2011</t>
  </si>
  <si>
    <t>02/03/2011</t>
  </si>
  <si>
    <t>04/03/2011</t>
  </si>
  <si>
    <t>07/03/2011</t>
  </si>
  <si>
    <t>08/03/2011</t>
  </si>
  <si>
    <t>10/03/2011</t>
  </si>
  <si>
    <t>11/03/2011</t>
  </si>
  <si>
    <t>20/03/2011</t>
  </si>
  <si>
    <t>21/03/2011</t>
  </si>
  <si>
    <t>24/03/2011</t>
  </si>
  <si>
    <t>25/03/2011</t>
  </si>
  <si>
    <t>28/03/2011</t>
  </si>
  <si>
    <t>29/03/2011</t>
  </si>
  <si>
    <t>20/04/2011</t>
  </si>
  <si>
    <t>22/04/2011</t>
  </si>
  <si>
    <t>24/04/2011</t>
  </si>
  <si>
    <t>26/04/2011</t>
  </si>
  <si>
    <t>28/04/2011</t>
  </si>
  <si>
    <t>30/04/2011</t>
  </si>
  <si>
    <t>02/05/2011</t>
  </si>
  <si>
    <t>05/05/2011</t>
  </si>
  <si>
    <t>07/05/2011</t>
  </si>
  <si>
    <t>15/05/2011</t>
  </si>
  <si>
    <t>16/05/2011</t>
  </si>
  <si>
    <t>19/05/2011</t>
  </si>
  <si>
    <t>20/05/2011</t>
  </si>
  <si>
    <t>22/05/2011</t>
  </si>
  <si>
    <t>23/05/2011</t>
  </si>
  <si>
    <t>25/05/2011</t>
  </si>
  <si>
    <t>26/05/2011</t>
  </si>
  <si>
    <t>27/05/2011</t>
  </si>
  <si>
    <t>29/05/2011</t>
  </si>
  <si>
    <t>30/05/2011</t>
  </si>
  <si>
    <t>02/06/2011</t>
  </si>
  <si>
    <t>03/06/2011</t>
  </si>
  <si>
    <t>05/06/2011</t>
  </si>
  <si>
    <t>06/06/2011</t>
  </si>
  <si>
    <t>07/06/2011</t>
  </si>
  <si>
    <t>21/06/2011</t>
  </si>
  <si>
    <t>22/06/2011</t>
  </si>
  <si>
    <t>25/06/2011</t>
  </si>
  <si>
    <t>26/06/2011</t>
  </si>
  <si>
    <t>28/06/2011</t>
  </si>
  <si>
    <t>29/06/2011</t>
  </si>
  <si>
    <t>01/07/2011</t>
  </si>
  <si>
    <t>02/07/2011</t>
  </si>
  <si>
    <t>04/07/2011</t>
  </si>
  <si>
    <t>05/07/2011</t>
  </si>
  <si>
    <t>07/07/2011</t>
  </si>
  <si>
    <t>08/07/2011</t>
  </si>
  <si>
    <t>10/07/2011</t>
  </si>
  <si>
    <t>11/07/2011</t>
  </si>
  <si>
    <t>l</t>
  </si>
  <si>
    <t>Zone:</t>
  </si>
  <si>
    <t>Column1</t>
  </si>
  <si>
    <t>Lat:</t>
  </si>
  <si>
    <t>indian</t>
  </si>
  <si>
    <t>POSF Balance (Snow&amp;Ice On) (tons)</t>
  </si>
  <si>
    <t>POSF Permanent Losses (POSF run)</t>
  </si>
  <si>
    <t>POSF Out (POSF run)</t>
  </si>
  <si>
    <t>PFOS Permanent Losses (POSF run)</t>
  </si>
  <si>
    <t>PFOS Out (POSF run)</t>
  </si>
  <si>
    <t>Inventory Results Summary Tables</t>
  </si>
  <si>
    <t>PFOS in Water</t>
  </si>
  <si>
    <t>Higher Inventory &amp; Faster Degradation &amp; Higher Yield</t>
  </si>
  <si>
    <t>Higher Inventory &amp; Slower Degradation &amp; Lower Yield</t>
  </si>
  <si>
    <t>xFOSA/Es in Air</t>
  </si>
  <si>
    <t>Medium Inventory &amp; Slower Degradation &amp; Lower Yield</t>
  </si>
  <si>
    <t>Medium Inventory &amp; Faster Degradation &amp; Higher Yield</t>
  </si>
  <si>
    <t>Lower Inventory &amp; Slower Degradation &amp; Lower Yield</t>
  </si>
  <si>
    <t>Lower Inventory &amp; Faster Degradation &amp; Higher Yield</t>
  </si>
  <si>
    <t>Amount of Environmental Measurements In Range of Model Scenarios (Manually Counted)</t>
  </si>
  <si>
    <t>2. Emissions from use and disposal (excluding Brazil)</t>
  </si>
  <si>
    <t>3. Emissions from degradation of xFOSA/Es*</t>
  </si>
  <si>
    <t>4. Emissions from degradation of POSF*</t>
  </si>
  <si>
    <t>*These values were estimated by the CliMoChem model</t>
  </si>
  <si>
    <t>intentional use + impurities + degradation of precursors</t>
  </si>
  <si>
    <t>precursors</t>
  </si>
  <si>
    <t xml:space="preserve">  not included</t>
  </si>
  <si>
    <t>2003-2015 &amp; post 2015; reported + assumed values</t>
  </si>
  <si>
    <t>xFASA/Es (Based on xFOSA/Es emissions)</t>
  </si>
  <si>
    <r>
      <t>C</t>
    </r>
    <r>
      <rPr>
        <vertAlign val="subscript"/>
        <sz val="16"/>
        <color theme="1"/>
        <rFont val="Cambria"/>
        <family val="1"/>
        <scheme val="major"/>
      </rPr>
      <t>n</t>
    </r>
    <r>
      <rPr>
        <sz val="16"/>
        <color theme="1"/>
        <rFont val="Cambria"/>
        <family val="1"/>
        <scheme val="major"/>
      </rPr>
      <t xml:space="preserve"> xFASA/Es</t>
    </r>
  </si>
  <si>
    <t>Armitage's Area of Arctic:</t>
  </si>
  <si>
    <t>PEC</t>
  </si>
  <si>
    <t>air, wastewater, and land treatment</t>
  </si>
  <si>
    <t xml:space="preserve">Present study </t>
  </si>
  <si>
    <t xml:space="preserve">Total Losses Summary Table (from Loss Extraction script) </t>
  </si>
  <si>
    <t>name</t>
  </si>
  <si>
    <t>POSF to Water</t>
  </si>
  <si>
    <t>POSF to Ice</t>
  </si>
  <si>
    <t>PFOS to Water</t>
  </si>
  <si>
    <t>PFOS to Ice</t>
  </si>
  <si>
    <t>xFOSAs to Water</t>
  </si>
  <si>
    <t>xFOSAs to Ice</t>
  </si>
  <si>
    <t>xFOSEs to Water</t>
  </si>
  <si>
    <t>xFOSEs to Ice</t>
  </si>
  <si>
    <t>Calculated Permanent Losses by Scenario Combination [tonnes]</t>
  </si>
  <si>
    <t>Substance Name and Compartment of Permanent Loss</t>
  </si>
  <si>
    <t>Paste output from script here:</t>
  </si>
  <si>
    <t>Automatic creation of summary figure for SI:</t>
  </si>
  <si>
    <t>non-polymeric residuals in polymeric products (xFOSA/Es to air)</t>
  </si>
  <si>
    <t>non-polymeric residuals in polymeric products (xFOSA/Es to soil)</t>
  </si>
  <si>
    <t>Waste Calculations</t>
  </si>
  <si>
    <t>Polymeric Products (tons) (FF:FI)</t>
  </si>
  <si>
    <t>Use and Disposal Release Fraction</t>
  </si>
  <si>
    <t>Waste Remaining Fraction</t>
  </si>
  <si>
    <t>Polymeric Waste (90%)</t>
  </si>
  <si>
    <t>Polymeric Waste (50%)</t>
  </si>
  <si>
    <t>Polymeric Waste (0%)</t>
  </si>
  <si>
    <t>Polymeric Use&amp;Disposal (10%)</t>
  </si>
  <si>
    <t>Polymeric Use&amp;Disposal (50%)</t>
  </si>
  <si>
    <t>Polymeric Use&amp;Disposal (100%)</t>
  </si>
  <si>
    <t>2) Use&amp;Disposal vs Waste Fraction Scenarios</t>
  </si>
  <si>
    <t>Wastes Landfilled</t>
  </si>
  <si>
    <t>Scenario 1</t>
  </si>
  <si>
    <t>Scenario 2</t>
  </si>
  <si>
    <t>Scenario 3</t>
  </si>
  <si>
    <t>Wastes Incinerated (Nothing Emitted)</t>
  </si>
  <si>
    <t>Scenario A</t>
  </si>
  <si>
    <t>Scenario B</t>
  </si>
  <si>
    <t>Scenario C</t>
  </si>
  <si>
    <t>Waste Fraction Scenarios</t>
  </si>
  <si>
    <t>Export column to Python</t>
  </si>
  <si>
    <t>Import column from Python</t>
  </si>
  <si>
    <t>A: 20% Landfilled</t>
  </si>
  <si>
    <t>B: 50% Landfilled</t>
  </si>
  <si>
    <t>C: 80% Landfilled</t>
  </si>
  <si>
    <t>Scenario 1 (90% Waste)</t>
  </si>
  <si>
    <t>Scenario 2 (50% Waste)</t>
  </si>
  <si>
    <t>Scenario 3 (0% Waste)</t>
  </si>
  <si>
    <t>User Input</t>
  </si>
  <si>
    <r>
      <t xml:space="preserve">3b) </t>
    </r>
    <r>
      <rPr>
        <b/>
        <sz val="12"/>
        <color rgb="FFFF0000"/>
        <rFont val="Calibri"/>
        <family val="2"/>
        <scheme val="minor"/>
      </rPr>
      <t>Polymer Only</t>
    </r>
    <r>
      <rPr>
        <b/>
        <sz val="12"/>
        <color theme="1"/>
        <rFont val="Calibri"/>
        <family val="2"/>
        <scheme val="minor"/>
      </rPr>
      <t xml:space="preserve"> Wastes Fraction Disposed in Landfills: Scenario Results</t>
    </r>
  </si>
  <si>
    <t>1A: 20% Landfilled</t>
  </si>
  <si>
    <t>1B: 50% Landfilled</t>
  </si>
  <si>
    <t>1C: 80% Landfilled</t>
  </si>
  <si>
    <t>2A: 20% Landfilled</t>
  </si>
  <si>
    <t>2B: 50% Landfilled</t>
  </si>
  <si>
    <t>2C: 80% Landfilled</t>
  </si>
  <si>
    <t>3A: 20% Landfilled</t>
  </si>
  <si>
    <t>3B: 50% Landfilled</t>
  </si>
  <si>
    <t>3C: 80% Landfilled</t>
  </si>
  <si>
    <t>Figure 1 Plotting</t>
  </si>
  <si>
    <t>4) Total Emissions (Nonpolymer) from Mfg, Use&amp;Disposal in Main Inventory Calculations (HF:HW)</t>
  </si>
  <si>
    <t>C8 Homologue Distributions</t>
  </si>
  <si>
    <t>POSF Lower</t>
  </si>
  <si>
    <t>POSF Higher</t>
  </si>
  <si>
    <t>PFOS Lower</t>
  </si>
  <si>
    <t>PFOS Higher</t>
  </si>
  <si>
    <t>1) Total Amount of Products Produced (excludes mfg emissions, Sulfluramid)</t>
  </si>
  <si>
    <r>
      <t xml:space="preserve">3c) </t>
    </r>
    <r>
      <rPr>
        <b/>
        <sz val="12"/>
        <color rgb="FFFF0000"/>
        <rFont val="Calibri"/>
        <family val="2"/>
        <scheme val="minor"/>
      </rPr>
      <t>Nonpolymer Only</t>
    </r>
    <r>
      <rPr>
        <b/>
        <sz val="12"/>
        <color theme="1"/>
        <rFont val="Calibri"/>
        <family val="2"/>
        <scheme val="minor"/>
      </rPr>
      <t xml:space="preserve"> Wastes Fraction Disposed in Landfills: Scenario Results</t>
    </r>
  </si>
  <si>
    <r>
      <t xml:space="preserve">3a) </t>
    </r>
    <r>
      <rPr>
        <b/>
        <sz val="12"/>
        <color rgb="FFFF0000"/>
        <rFont val="Calibri"/>
        <family val="2"/>
        <scheme val="minor"/>
      </rPr>
      <t>Total</t>
    </r>
    <r>
      <rPr>
        <b/>
        <sz val="12"/>
        <color theme="1"/>
        <rFont val="Calibri"/>
        <family val="2"/>
        <scheme val="minor"/>
      </rPr>
      <t xml:space="preserve"> Wastes Fraction Disposed in Landfills (Polymer &amp; Nonpolymer): Scenario Results</t>
    </r>
  </si>
  <si>
    <t>Current Lower Scenario Setting:</t>
  </si>
  <si>
    <t>Should be 10% to match Scenario 1.</t>
  </si>
  <si>
    <t>xFOSA/Es Higher</t>
  </si>
  <si>
    <t>xFOSA/Es Lower</t>
  </si>
  <si>
    <t>Total Lower</t>
  </si>
  <si>
    <t>Total Higher</t>
  </si>
  <si>
    <t>PFOS (fyi includes mfg and from products)</t>
  </si>
  <si>
    <t>POSF in Product Use and Disposal (excluding PFOS): Amount by species [t/yr]</t>
  </si>
  <si>
    <t>[Non-polymeric POSF products]</t>
  </si>
  <si>
    <t>low</t>
  </si>
  <si>
    <t>high</t>
  </si>
  <si>
    <t>Non-polymeric Products (Excluding PFOS and Brazil Sulfluramid) (FB:FE) (tons)</t>
  </si>
  <si>
    <t>Non-polymeric Products Including Brazil Sulfluramid</t>
  </si>
  <si>
    <t>POSF (from mfg)</t>
  </si>
  <si>
    <t>3c) PFOS Only Wastes Fraction Disposed in Landfills: Scenario Results</t>
  </si>
  <si>
    <t>low&amp;high are same</t>
  </si>
  <si>
    <t>Non-polymeric Use&amp;Disposal (10%) High</t>
  </si>
  <si>
    <t>Non-polymeric Use&amp;Disposal (10%) Low</t>
  </si>
  <si>
    <t>Non-polymeric Waste (90%) Low</t>
  </si>
  <si>
    <t>Non-polymeric Waste (90%) High</t>
  </si>
  <si>
    <t>Non-polymeric Use&amp;Disposal (50%) Low</t>
  </si>
  <si>
    <t>Non-polymeric Use&amp;Disposal (50%) High</t>
  </si>
  <si>
    <t>Non-polymeric Waste (50%) Low</t>
  </si>
  <si>
    <t>Non-polymeric Use&amp;Disposal (100%) Low</t>
  </si>
  <si>
    <t>Non-polymeric Waste (0%) Low</t>
  </si>
  <si>
    <t>Non-polymeric Waste (50%) High</t>
  </si>
  <si>
    <t>Non-polymeric Use&amp;Disposal (100%) High</t>
  </si>
  <si>
    <t>Non-polymeric Waste (0%) High</t>
  </si>
  <si>
    <t>Total Use&amp;Disposal (10%) Low</t>
  </si>
  <si>
    <t>Total Use&amp;Disposal (10%) High</t>
  </si>
  <si>
    <t>Total Waste (90%) High</t>
  </si>
  <si>
    <t>Total Use&amp;Disposal (50%) High</t>
  </si>
  <si>
    <t>Total Waste (50%) High</t>
  </si>
  <si>
    <t>Total Use&amp;Disposal (100%) High</t>
  </si>
  <si>
    <t>Total Waste (0%) High</t>
  </si>
  <si>
    <t>Total Waste (90%) Low</t>
  </si>
  <si>
    <t>Total Use&amp;Disposal (50%) Low</t>
  </si>
  <si>
    <t>Total Waste (50%) Low</t>
  </si>
  <si>
    <t>Total Use&amp;Disposal (100%) Low</t>
  </si>
  <si>
    <t>Total Waste (0%) Low</t>
  </si>
  <si>
    <t>1A: 20% Landfilled Low</t>
  </si>
  <si>
    <t>1B: 50% Landfilled Low</t>
  </si>
  <si>
    <t>1C: 80% Landfilled Low</t>
  </si>
  <si>
    <t>2A: 20% Landfilled Low</t>
  </si>
  <si>
    <t>2B: 50% Landfilled Low</t>
  </si>
  <si>
    <t>2C: 80% Landfilled Low</t>
  </si>
  <si>
    <t>1A: 20% Landfilled High</t>
  </si>
  <si>
    <t>1B: 50% Landfilled High</t>
  </si>
  <si>
    <t>1C: 80% Landfilled High</t>
  </si>
  <si>
    <t>2A: 20% Landfilled High</t>
  </si>
  <si>
    <t>2C: 80% Landfilled High</t>
  </si>
  <si>
    <t>2B: 50% Landfilled High</t>
  </si>
  <si>
    <t>Input Comparison: Polymer Input Wang et al. vs This Study</t>
  </si>
  <si>
    <t>Wang et al. Input to Degradation</t>
  </si>
  <si>
    <t>Our Input to Degradation</t>
  </si>
  <si>
    <t>tons</t>
  </si>
  <si>
    <t>Wang et al. Input % Larger</t>
  </si>
  <si>
    <t>Total Difference of Input:</t>
  </si>
  <si>
    <t>intentional use + impurities + degradation of some precursors</t>
  </si>
  <si>
    <t>Table 1: Introductory Section Comparing Our Study to Paul and Armitage et al.</t>
  </si>
  <si>
    <t>Table 2 for Publication:</t>
  </si>
  <si>
    <t>1. Emissions from production</t>
  </si>
  <si>
    <t>Adjustments From POSF Equivalents to Actual Amounts</t>
  </si>
  <si>
    <t>xFOSA/POSF</t>
  </si>
  <si>
    <t>xFOSE/POSF</t>
  </si>
  <si>
    <t>PFOS/POSF</t>
  </si>
  <si>
    <t>Average xFOSE</t>
  </si>
  <si>
    <t>Average xFOSA</t>
  </si>
  <si>
    <t>COSMOtherm Results/Calculation of Average xFOSA/Es Properties</t>
  </si>
  <si>
    <t>Set to be same in water as in air since mechanism via OH radical is the same.</t>
  </si>
  <si>
    <t>Set to be the same in vegetation as in water</t>
  </si>
  <si>
    <t>Updated 24 October, to show upper bounds</t>
  </si>
  <si>
    <t>Based on Benskin et al. 2013</t>
  </si>
  <si>
    <t>Based on Benskin et al. 2013 transformation to EtFOSA</t>
  </si>
  <si>
    <t>Assumed given lack of lower value in studies</t>
  </si>
  <si>
    <t xml:space="preserve">Based on Avendano et al. </t>
  </si>
  <si>
    <t>Different mechanism, there is no int in soil</t>
  </si>
  <si>
    <t>Total Aggregated Emissions by Zone for CliMoChem Input - Non-POSF Equivalents (Finalized and Input File Exported in Python)</t>
  </si>
  <si>
    <t>Current pasted run results: oct25_all_multi_on_1 and _lower</t>
  </si>
  <si>
    <t>air2veg</t>
  </si>
  <si>
    <t>air2watersoilveg</t>
  </si>
  <si>
    <t>air2soils_and_veg</t>
  </si>
  <si>
    <t>air2allsoils</t>
  </si>
  <si>
    <t>air2all</t>
  </si>
  <si>
    <t>comment</t>
  </si>
  <si>
    <t>Current pasted run results: oct25_noPOSF_multi_on_1 and _lower</t>
  </si>
  <si>
    <t>Used runs: oct25_all_multi_on_1 and oct25_all_multi_on_1_lower</t>
  </si>
  <si>
    <t>Current run pasted: oct25_xFOSAEs_multi_on_1 and _lower</t>
  </si>
  <si>
    <t>Current run pasted: oct25_POSF_multi_on_1 and _lower</t>
  </si>
  <si>
    <t>Used runs: oct25_xFOSAEs_multi_on_1 and oct25_xFOSAEs_multi_on_1_lower</t>
  </si>
  <si>
    <t>Used runs: oct25_PFOS_multi_on_1 and oct25_PFOS_multi_on_1_lower</t>
  </si>
  <si>
    <t>SECTION BELOW NOT UPDATED.</t>
  </si>
  <si>
    <t>Used runs: oct25_POSF_multi_on_1 and oct25_POSF_multi_on_1_lower</t>
  </si>
  <si>
    <t>OCTOBER 25 RUN MASS BALANCE CHECKS</t>
  </si>
  <si>
    <t>Results from: oct25_noPOSF_multi_on_1 and _lower</t>
  </si>
  <si>
    <t>XL Toolbox Settings</t>
  </si>
  <si>
    <t>export_preset</t>
  </si>
  <si>
    <t>export_path</t>
  </si>
  <si>
    <r>
      <t>Armitage et al. (2009)</t>
    </r>
    <r>
      <rPr>
        <vertAlign val="superscript"/>
        <sz val="16"/>
        <color theme="1"/>
        <rFont val="Cambria (Headings)"/>
      </rPr>
      <t>4</t>
    </r>
  </si>
  <si>
    <r>
      <t>Paul et al. (2009)</t>
    </r>
    <r>
      <rPr>
        <vertAlign val="superscript"/>
        <sz val="16"/>
        <color theme="1"/>
        <rFont val="Cambria (Headings)"/>
      </rPr>
      <t>3</t>
    </r>
  </si>
  <si>
    <t>\\psf\Home\Desktop\Report Working Files Okt 27\TIFF Files\Table_scenario_definition_1.tif</t>
  </si>
  <si>
    <t>&lt;?xml version="1.0" encoding="utf-16"?&gt;
&lt;Preset xmlns:xsi="http://www.w3.org/2001/XMLSchema-instance" xmlns:xsd="http://www.w3.org/2001/XMLSchema"&gt;
  &lt;Name&gt;Tiff, 600 dpi, RGB, White canvas_1&lt;/Name&gt;
  &lt;Dpi&gt;600&lt;/Dpi&gt;
  &lt;FileType&gt;Tiff&lt;/FileType&gt;
  &lt;ColorSpace&gt;Rgb&lt;/ColorSpace&gt;
  &lt;Transparency&gt;WhiteCanvas&lt;/Transparency&gt;
  &lt;UseColorProfile&gt;false&lt;/UseColorProfile&gt;
  &lt;ColorProfile&gt;sRGB Color Space Profile&lt;/ColorProfile&gt;
&lt;/Preset&gt;</t>
  </si>
  <si>
    <t># Samples &lt; LOQ</t>
  </si>
  <si>
    <t>Detects within modeled range</t>
  </si>
  <si>
    <t>Number of  measurements (of which non-detects)</t>
  </si>
  <si>
    <t># Measurements &lt; 5pg/L</t>
  </si>
  <si>
    <t>% &gt;LOQ Measurements that are &lt;5pg/L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</si>
</sst>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
    <numFmt numFmtId="166" formatCode="0.000%"/>
    <numFmt numFmtId="167" formatCode="0.000"/>
    <numFmt numFmtId="168" formatCode="0.00000%"/>
    <numFmt numFmtId="169" formatCode="0.00000"/>
  </numFmts>
  <fonts count="68" x14ac:knownFonts="1">
    <font>
      <sz val="12"/>
      <color theme="1"/>
      <name val="Calibri"/>
      <family val="2"/>
      <scheme val="minor"/>
    </font>
    <font>
      <sz val="12"/>
      <color theme="1"/>
      <name val="Calibri"/>
      <family val="2"/>
      <scheme val="minor"/>
    </font>
    <font>
      <sz val="12"/>
      <color theme="1"/>
      <name val="Constantia"/>
      <family val="1"/>
    </font>
    <font>
      <b/>
      <sz val="12"/>
      <color theme="1"/>
      <name val="Constantia"/>
      <family val="1"/>
    </font>
    <font>
      <u/>
      <sz val="12"/>
      <color theme="10"/>
      <name val="Calibri"/>
      <family val="2"/>
      <scheme val="minor"/>
    </font>
    <font>
      <u/>
      <sz val="12"/>
      <color theme="11"/>
      <name val="Calibri"/>
      <family val="2"/>
      <scheme val="minor"/>
    </font>
    <font>
      <b/>
      <sz val="12"/>
      <color theme="0"/>
      <name val="Constantia"/>
      <family val="1"/>
    </font>
    <font>
      <b/>
      <vertAlign val="subscript"/>
      <sz val="12"/>
      <color theme="1"/>
      <name val="Constantia"/>
      <family val="1"/>
    </font>
    <font>
      <sz val="12"/>
      <color theme="0"/>
      <name val="Constantia"/>
      <family val="1"/>
    </font>
    <font>
      <b/>
      <sz val="12"/>
      <color rgb="FF000000"/>
      <name val="Constantia"/>
      <family val="1"/>
    </font>
    <font>
      <sz val="9"/>
      <color indexed="81"/>
      <name val="Calibri"/>
      <family val="2"/>
    </font>
    <font>
      <b/>
      <sz val="9"/>
      <color indexed="81"/>
      <name val="Calibri"/>
      <family val="2"/>
    </font>
    <font>
      <sz val="12"/>
      <name val="Constantia"/>
      <family val="1"/>
    </font>
    <font>
      <sz val="12"/>
      <color rgb="FF000000"/>
      <name val="Constantia"/>
      <family val="1"/>
    </font>
    <font>
      <sz val="8"/>
      <name val="Calibri"/>
      <family val="2"/>
      <scheme val="minor"/>
    </font>
    <font>
      <sz val="12"/>
      <color rgb="FFFF0000"/>
      <name val="Constantia"/>
      <family val="1"/>
    </font>
    <font>
      <b/>
      <sz val="14"/>
      <color theme="1"/>
      <name val="Constantia"/>
      <family val="1"/>
    </font>
    <font>
      <sz val="14"/>
      <color theme="1"/>
      <name val="Constantia"/>
      <family val="1"/>
    </font>
    <font>
      <sz val="14"/>
      <color theme="1"/>
      <name val="Calibri"/>
      <family val="2"/>
      <scheme val="minor"/>
    </font>
    <font>
      <b/>
      <sz val="16"/>
      <color theme="1"/>
      <name val="Constantia"/>
      <family val="1"/>
    </font>
    <font>
      <b/>
      <vertAlign val="subscript"/>
      <sz val="16"/>
      <color theme="1"/>
      <name val="Constantia"/>
      <family val="1"/>
    </font>
    <font>
      <b/>
      <sz val="16"/>
      <color rgb="FF000000"/>
      <name val="Constantia"/>
      <family val="1"/>
    </font>
    <font>
      <sz val="16"/>
      <color theme="1"/>
      <name val="Constantia"/>
      <family val="1"/>
    </font>
    <font>
      <sz val="16"/>
      <color theme="1"/>
      <name val="Calibri"/>
      <family val="2"/>
      <scheme val="minor"/>
    </font>
    <font>
      <b/>
      <sz val="14"/>
      <color theme="0"/>
      <name val="Constantia"/>
      <family val="1"/>
    </font>
    <font>
      <b/>
      <sz val="14"/>
      <name val="Constantia"/>
      <family val="1"/>
    </font>
    <font>
      <sz val="12"/>
      <color theme="5"/>
      <name val="Constantia"/>
      <family val="1"/>
    </font>
    <font>
      <i/>
      <sz val="12"/>
      <color theme="1"/>
      <name val="Calibri"/>
      <family val="2"/>
      <scheme val="minor"/>
    </font>
    <font>
      <b/>
      <sz val="12"/>
      <color theme="1"/>
      <name val="Calibri"/>
      <family val="2"/>
      <scheme val="minor"/>
    </font>
    <font>
      <sz val="10"/>
      <color theme="1"/>
      <name val="Times New Roman"/>
      <family val="1"/>
    </font>
    <font>
      <sz val="11"/>
      <color rgb="FF000000"/>
      <name val="Times New Roman"/>
      <family val="1"/>
    </font>
    <font>
      <b/>
      <sz val="11"/>
      <color rgb="FF000000"/>
      <name val="Times New Roman"/>
      <family val="1"/>
    </font>
    <font>
      <b/>
      <sz val="10"/>
      <color rgb="FF000000"/>
      <name val="Times New Roman"/>
      <family val="1"/>
    </font>
    <font>
      <sz val="10"/>
      <color rgb="FFA6A6A6"/>
      <name val="Times New Roman"/>
      <family val="1"/>
    </font>
    <font>
      <sz val="10"/>
      <color rgb="FF000000"/>
      <name val="Times New Roman"/>
      <family val="1"/>
    </font>
    <font>
      <b/>
      <vertAlign val="superscript"/>
      <sz val="10"/>
      <color rgb="FF000000"/>
      <name val="Times New Roman"/>
      <family val="1"/>
    </font>
    <font>
      <b/>
      <sz val="11"/>
      <name val="Times New Roman"/>
      <family val="1"/>
    </font>
    <font>
      <b/>
      <sz val="10"/>
      <color theme="1"/>
      <name val="Times New Roman"/>
      <family val="1"/>
    </font>
    <font>
      <sz val="10"/>
      <name val="Times New Roman"/>
      <family val="1"/>
    </font>
    <font>
      <sz val="9"/>
      <color rgb="FF000000"/>
      <name val="Times New Roman"/>
      <family val="1"/>
    </font>
    <font>
      <sz val="10"/>
      <color indexed="81"/>
      <name val="Calibri"/>
      <family val="2"/>
    </font>
    <font>
      <b/>
      <sz val="10"/>
      <color indexed="81"/>
      <name val="Calibri"/>
      <family val="2"/>
    </font>
    <font>
      <sz val="9"/>
      <color rgb="FF000000"/>
      <name val="Constantia"/>
      <family val="1"/>
    </font>
    <font>
      <b/>
      <sz val="14"/>
      <color theme="1"/>
      <name val="Calibri"/>
      <family val="2"/>
      <scheme val="minor"/>
    </font>
    <font>
      <b/>
      <sz val="16"/>
      <color theme="1"/>
      <name val="Calibri"/>
      <family val="2"/>
      <scheme val="minor"/>
    </font>
    <font>
      <b/>
      <sz val="12"/>
      <color rgb="FFFF0000"/>
      <name val="Calibri"/>
      <family val="2"/>
      <scheme val="minor"/>
    </font>
    <font>
      <sz val="12"/>
      <color rgb="FFFFFF00"/>
      <name val="Constantia"/>
      <family val="1"/>
    </font>
    <font>
      <sz val="11"/>
      <color theme="1"/>
      <name val="Constantia"/>
      <family val="1"/>
    </font>
    <font>
      <b/>
      <sz val="11"/>
      <color theme="1"/>
      <name val="Constantia"/>
      <family val="1"/>
    </font>
    <font>
      <b/>
      <i/>
      <sz val="11"/>
      <color theme="1"/>
      <name val="Constantia"/>
      <family val="1"/>
    </font>
    <font>
      <i/>
      <sz val="11"/>
      <color theme="1"/>
      <name val="Constantia"/>
      <family val="1"/>
    </font>
    <font>
      <b/>
      <sz val="18"/>
      <color theme="1"/>
      <name val="Calibri"/>
      <family val="2"/>
      <scheme val="minor"/>
    </font>
    <font>
      <sz val="12"/>
      <color theme="1"/>
      <name val="Calibri (Body)"/>
    </font>
    <font>
      <b/>
      <sz val="22"/>
      <color theme="1"/>
      <name val="Constantia"/>
      <family val="1"/>
    </font>
    <font>
      <sz val="9"/>
      <color theme="1"/>
      <name val="Calibri"/>
      <family val="2"/>
      <scheme val="minor"/>
    </font>
    <font>
      <sz val="8"/>
      <color theme="1"/>
      <name val="Calibri"/>
      <family val="2"/>
      <scheme val="minor"/>
    </font>
    <font>
      <b/>
      <i/>
      <sz val="12"/>
      <color theme="1"/>
      <name val="Calibri"/>
      <family val="2"/>
      <scheme val="minor"/>
    </font>
    <font>
      <sz val="12"/>
      <color theme="1"/>
      <name val="Cambria"/>
      <family val="1"/>
      <scheme val="major"/>
    </font>
    <font>
      <b/>
      <sz val="16"/>
      <color theme="1"/>
      <name val="Cambria"/>
      <family val="1"/>
      <scheme val="major"/>
    </font>
    <font>
      <sz val="16"/>
      <color theme="1"/>
      <name val="Cambria"/>
      <family val="1"/>
      <scheme val="major"/>
    </font>
    <font>
      <vertAlign val="subscript"/>
      <sz val="16"/>
      <color theme="1"/>
      <name val="Cambria"/>
      <family val="1"/>
      <scheme val="major"/>
    </font>
    <font>
      <sz val="16"/>
      <color theme="1"/>
      <name val="Cambria"/>
      <family val="1"/>
    </font>
    <font>
      <b/>
      <sz val="12"/>
      <color theme="1"/>
      <name val="Cambria"/>
      <family val="1"/>
    </font>
    <font>
      <sz val="12"/>
      <color theme="1"/>
      <name val="Cambria"/>
      <family val="1"/>
    </font>
    <font>
      <b/>
      <sz val="12"/>
      <color theme="1"/>
      <name val="Cambria"/>
      <family val="1"/>
      <scheme val="major"/>
    </font>
    <font>
      <vertAlign val="superscript"/>
      <sz val="12"/>
      <color theme="1"/>
      <name val="Calibri"/>
      <family val="2"/>
      <scheme val="minor"/>
    </font>
    <font>
      <vertAlign val="superscript"/>
      <sz val="16"/>
      <color theme="1"/>
      <name val="Cambria (Headings)"/>
    </font>
    <font>
      <b/>
      <sz val="20"/>
      <color theme="1"/>
      <name val="Calibri"/>
      <family val="2"/>
      <scheme val="minor"/>
    </font>
  </fonts>
  <fills count="50">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rgb="FF66CCFF"/>
        <bgColor indexed="64"/>
      </patternFill>
    </fill>
    <fill>
      <patternFill patternType="solid">
        <fgColor rgb="FFFFFFA2"/>
        <bgColor indexed="64"/>
      </patternFill>
    </fill>
    <fill>
      <patternFill patternType="solid">
        <fgColor theme="9" tint="0.79998168889431442"/>
        <bgColor indexed="64"/>
      </patternFill>
    </fill>
    <fill>
      <patternFill patternType="solid">
        <fgColor rgb="FFCCFF96"/>
        <bgColor indexed="64"/>
      </patternFill>
    </fill>
    <fill>
      <patternFill patternType="solid">
        <fgColor rgb="FFFFFF9A"/>
        <bgColor indexed="64"/>
      </patternFill>
    </fill>
    <fill>
      <patternFill patternType="solid">
        <fgColor theme="0" tint="-4.9989318521683403E-2"/>
        <bgColor indexed="64"/>
      </patternFill>
    </fill>
    <fill>
      <patternFill patternType="solid">
        <fgColor theme="8" tint="-0.249977111117893"/>
        <bgColor indexed="64"/>
      </patternFill>
    </fill>
    <fill>
      <patternFill patternType="solid">
        <fgColor rgb="FF66CCFF"/>
        <bgColor rgb="FF000000"/>
      </patternFill>
    </fill>
    <fill>
      <patternFill patternType="solid">
        <fgColor rgb="FFFFFFFF"/>
        <bgColor rgb="FF000000"/>
      </patternFill>
    </fill>
    <fill>
      <patternFill patternType="solid">
        <fgColor rgb="FF9E0142"/>
        <bgColor rgb="FF000000"/>
      </patternFill>
    </fill>
    <fill>
      <patternFill patternType="solid">
        <fgColor rgb="FFD53E4F"/>
        <bgColor rgb="FF000000"/>
      </patternFill>
    </fill>
    <fill>
      <patternFill patternType="solid">
        <fgColor rgb="FFF46D43"/>
        <bgColor rgb="FF000000"/>
      </patternFill>
    </fill>
    <fill>
      <patternFill patternType="solid">
        <fgColor rgb="FFFDAE61"/>
        <bgColor rgb="FF000000"/>
      </patternFill>
    </fill>
    <fill>
      <patternFill patternType="solid">
        <fgColor rgb="FFFEE08B"/>
        <bgColor rgb="FF000000"/>
      </patternFill>
    </fill>
    <fill>
      <patternFill patternType="solid">
        <fgColor theme="0"/>
        <bgColor rgb="FF000000"/>
      </patternFill>
    </fill>
    <fill>
      <patternFill patternType="solid">
        <fgColor rgb="FFFFFFBF"/>
        <bgColor rgb="FF000000"/>
      </patternFill>
    </fill>
    <fill>
      <patternFill patternType="solid">
        <fgColor rgb="FFFDAE61"/>
        <bgColor indexed="64"/>
      </patternFill>
    </fill>
    <fill>
      <patternFill patternType="solid">
        <fgColor rgb="FF66C2A5"/>
        <bgColor rgb="FF000000"/>
      </patternFill>
    </fill>
    <fill>
      <patternFill patternType="solid">
        <fgColor rgb="FF3288BD"/>
        <bgColor rgb="FF000000"/>
      </patternFill>
    </fill>
    <fill>
      <patternFill patternType="solid">
        <fgColor rgb="FF5E4FA2"/>
        <bgColor rgb="FF000000"/>
      </patternFill>
    </fill>
    <fill>
      <patternFill patternType="solid">
        <fgColor rgb="FFFFFFBF"/>
        <bgColor indexed="64"/>
      </patternFill>
    </fill>
    <fill>
      <patternFill patternType="solid">
        <fgColor rgb="FFE6F598"/>
        <bgColor rgb="FF000000"/>
      </patternFill>
    </fill>
    <fill>
      <patternFill patternType="solid">
        <fgColor rgb="FFABDDA4"/>
        <bgColor rgb="FF000000"/>
      </patternFill>
    </fill>
    <fill>
      <patternFill patternType="solid">
        <fgColor rgb="FFFFFF0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2F2F2"/>
        <bgColor indexed="64"/>
      </patternFill>
    </fill>
    <fill>
      <patternFill patternType="solid">
        <fgColor rgb="FFD9D9D9"/>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FDE9D9"/>
        <bgColor indexed="64"/>
      </patternFill>
    </fill>
    <fill>
      <patternFill patternType="solid">
        <fgColor rgb="FFFFFFFF"/>
        <bgColor indexed="64"/>
      </patternFill>
    </fill>
    <fill>
      <patternFill patternType="solid">
        <fgColor theme="0" tint="-0.14999847407452621"/>
        <bgColor indexed="64"/>
      </patternFill>
    </fill>
    <fill>
      <patternFill patternType="solid">
        <fgColor theme="8"/>
        <bgColor indexed="64"/>
      </patternFill>
    </fill>
    <fill>
      <patternFill patternType="solid">
        <fgColor theme="6"/>
        <bgColor indexed="64"/>
      </patternFill>
    </fill>
    <fill>
      <patternFill patternType="solid">
        <fgColor theme="5" tint="0.79998168889431442"/>
        <bgColor rgb="FF000000"/>
      </patternFill>
    </fill>
    <fill>
      <patternFill patternType="solid">
        <fgColor theme="6" tint="-0.249977111117893"/>
        <bgColor indexed="64"/>
      </patternFill>
    </fill>
    <fill>
      <patternFill patternType="solid">
        <fgColor theme="9" tint="0.79998168889431442"/>
        <bgColor rgb="FF000000"/>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7" tint="0.79998168889431442"/>
        <bgColor indexed="64"/>
      </patternFill>
    </fill>
  </fills>
  <borders count="106">
    <border>
      <left/>
      <right/>
      <top/>
      <bottom/>
      <diagonal/>
    </border>
    <border>
      <left/>
      <right/>
      <top style="medium">
        <color auto="1"/>
      </top>
      <bottom/>
      <diagonal/>
    </border>
    <border>
      <left style="double">
        <color auto="1"/>
      </left>
      <right/>
      <top style="medium">
        <color auto="1"/>
      </top>
      <bottom/>
      <diagonal/>
    </border>
    <border>
      <left/>
      <right style="double">
        <color auto="1"/>
      </right>
      <top style="medium">
        <color auto="1"/>
      </top>
      <bottom/>
      <diagonal/>
    </border>
    <border>
      <left style="double">
        <color auto="1"/>
      </left>
      <right/>
      <top/>
      <bottom/>
      <diagonal/>
    </border>
    <border>
      <left/>
      <right style="double">
        <color auto="1"/>
      </right>
      <top/>
      <bottom/>
      <diagonal/>
    </border>
    <border>
      <left/>
      <right/>
      <top/>
      <bottom style="thin">
        <color auto="1"/>
      </bottom>
      <diagonal/>
    </border>
    <border>
      <left style="double">
        <color auto="1"/>
      </left>
      <right/>
      <top/>
      <bottom style="thin">
        <color auto="1"/>
      </bottom>
      <diagonal/>
    </border>
    <border>
      <left/>
      <right style="double">
        <color auto="1"/>
      </right>
      <top/>
      <bottom style="thin">
        <color auto="1"/>
      </bottom>
      <diagonal/>
    </border>
    <border>
      <left/>
      <right/>
      <top/>
      <bottom style="medium">
        <color auto="1"/>
      </bottom>
      <diagonal/>
    </border>
    <border>
      <left style="double">
        <color auto="1"/>
      </left>
      <right/>
      <top/>
      <bottom style="medium">
        <color auto="1"/>
      </bottom>
      <diagonal/>
    </border>
    <border>
      <left/>
      <right style="double">
        <color auto="1"/>
      </right>
      <top/>
      <bottom style="medium">
        <color auto="1"/>
      </bottom>
      <diagonal/>
    </border>
    <border>
      <left style="double">
        <color auto="1"/>
      </left>
      <right/>
      <top style="thin">
        <color auto="1"/>
      </top>
      <bottom/>
      <diagonal/>
    </border>
    <border>
      <left/>
      <right/>
      <top style="thin">
        <color auto="1"/>
      </top>
      <bottom/>
      <diagonal/>
    </border>
    <border>
      <left/>
      <right style="double">
        <color auto="1"/>
      </right>
      <top style="thin">
        <color auto="1"/>
      </top>
      <bottom/>
      <diagonal/>
    </border>
    <border>
      <left/>
      <right style="dashed">
        <color auto="1"/>
      </right>
      <top/>
      <bottom/>
      <diagonal/>
    </border>
    <border>
      <left/>
      <right style="dashed">
        <color auto="1"/>
      </right>
      <top style="medium">
        <color auto="1"/>
      </top>
      <bottom/>
      <diagonal/>
    </border>
    <border>
      <left/>
      <right style="dashed">
        <color auto="1"/>
      </right>
      <top/>
      <bottom style="thin">
        <color auto="1"/>
      </bottom>
      <diagonal/>
    </border>
    <border>
      <left/>
      <right style="dashed">
        <color auto="1"/>
      </right>
      <top style="thin">
        <color auto="1"/>
      </top>
      <bottom/>
      <diagonal/>
    </border>
    <border>
      <left/>
      <right style="dashed">
        <color auto="1"/>
      </right>
      <top/>
      <bottom style="medium">
        <color auto="1"/>
      </bottom>
      <diagonal/>
    </border>
    <border>
      <left style="dashed">
        <color auto="1"/>
      </left>
      <right/>
      <top/>
      <bottom/>
      <diagonal/>
    </border>
    <border>
      <left style="dashed">
        <color auto="1"/>
      </left>
      <right/>
      <top/>
      <bottom style="thin">
        <color auto="1"/>
      </bottom>
      <diagonal/>
    </border>
    <border>
      <left style="dashed">
        <color auto="1"/>
      </left>
      <right/>
      <top style="medium">
        <color auto="1"/>
      </top>
      <bottom/>
      <diagonal/>
    </border>
    <border>
      <left style="dashed">
        <color auto="1"/>
      </left>
      <right/>
      <top style="thin">
        <color auto="1"/>
      </top>
      <bottom/>
      <diagonal/>
    </border>
    <border>
      <left style="hair">
        <color auto="1"/>
      </left>
      <right/>
      <top/>
      <bottom style="thin">
        <color auto="1"/>
      </bottom>
      <diagonal/>
    </border>
    <border>
      <left style="hair">
        <color auto="1"/>
      </left>
      <right/>
      <top/>
      <bottom/>
      <diagonal/>
    </border>
    <border>
      <left style="hair">
        <color auto="1"/>
      </left>
      <right/>
      <top style="thin">
        <color auto="1"/>
      </top>
      <bottom/>
      <diagonal/>
    </border>
    <border>
      <left/>
      <right style="hair">
        <color auto="1"/>
      </right>
      <top style="thin">
        <color auto="1"/>
      </top>
      <bottom/>
      <diagonal/>
    </border>
    <border>
      <left/>
      <right style="hair">
        <color auto="1"/>
      </right>
      <top/>
      <bottom/>
      <diagonal/>
    </border>
    <border>
      <left style="hair">
        <color auto="1"/>
      </left>
      <right/>
      <top/>
      <bottom style="medium">
        <color auto="1"/>
      </bottom>
      <diagonal/>
    </border>
    <border>
      <left/>
      <right style="hair">
        <color auto="1"/>
      </right>
      <top/>
      <bottom style="medium">
        <color auto="1"/>
      </bottom>
      <diagonal/>
    </border>
    <border>
      <left/>
      <right style="hair">
        <color auto="1"/>
      </right>
      <top/>
      <bottom style="thin">
        <color auto="1"/>
      </bottom>
      <diagonal/>
    </border>
    <border>
      <left/>
      <right style="dashed">
        <color auto="1"/>
      </right>
      <top style="medium">
        <color auto="1"/>
      </top>
      <bottom style="thin">
        <color auto="1"/>
      </bottom>
      <diagonal/>
    </border>
    <border>
      <left style="dashed">
        <color auto="1"/>
      </left>
      <right style="dashed">
        <color auto="1"/>
      </right>
      <top style="thin">
        <color auto="1"/>
      </top>
      <bottom/>
      <diagonal/>
    </border>
    <border>
      <left style="dashed">
        <color auto="1"/>
      </left>
      <right style="dashed">
        <color auto="1"/>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0"/>
      </left>
      <right/>
      <top style="thin">
        <color theme="0"/>
      </top>
      <bottom/>
      <diagonal/>
    </border>
    <border>
      <left style="thin">
        <color theme="0"/>
      </left>
      <right/>
      <top style="thin">
        <color auto="1"/>
      </top>
      <bottom/>
      <diagonal/>
    </border>
    <border>
      <left/>
      <right/>
      <top style="thin">
        <color theme="0"/>
      </top>
      <bottom/>
      <diagonal/>
    </border>
    <border>
      <left style="dashed">
        <color auto="1"/>
      </left>
      <right/>
      <top style="thin">
        <color theme="0"/>
      </top>
      <bottom/>
      <diagonal/>
    </border>
    <border>
      <left style="thin">
        <color theme="0"/>
      </left>
      <right/>
      <top/>
      <bottom/>
      <diagonal/>
    </border>
    <border>
      <left style="dashed">
        <color auto="1"/>
      </left>
      <right style="dashed">
        <color auto="1"/>
      </right>
      <top/>
      <bottom style="thin">
        <color auto="1"/>
      </bottom>
      <diagonal/>
    </border>
    <border>
      <left style="thin">
        <color theme="0"/>
      </left>
      <right/>
      <top/>
      <bottom style="thin">
        <color auto="1"/>
      </bottom>
      <diagonal/>
    </border>
    <border>
      <left style="dashed">
        <color auto="1"/>
      </left>
      <right style="thin">
        <color theme="0"/>
      </right>
      <top/>
      <bottom style="thin">
        <color auto="1"/>
      </bottom>
      <diagonal/>
    </border>
    <border>
      <left style="thin">
        <color auto="1"/>
      </left>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diagonal/>
    </border>
    <border>
      <left/>
      <right style="medium">
        <color auto="1"/>
      </right>
      <top/>
      <bottom/>
      <diagonal/>
    </border>
    <border>
      <left style="medium">
        <color auto="1"/>
      </left>
      <right/>
      <top style="medium">
        <color auto="1"/>
      </top>
      <bottom style="medium">
        <color auto="1"/>
      </bottom>
      <diagonal/>
    </border>
    <border>
      <left style="medium">
        <color auto="1"/>
      </left>
      <right style="medium">
        <color auto="1"/>
      </right>
      <top style="medium">
        <color auto="1"/>
      </top>
      <bottom/>
      <diagonal/>
    </border>
    <border>
      <left/>
      <right/>
      <top style="thin">
        <color auto="1"/>
      </top>
      <bottom style="thin">
        <color auto="1"/>
      </bottom>
      <diagonal/>
    </border>
    <border>
      <left/>
      <right style="dashed">
        <color theme="1"/>
      </right>
      <top style="thin">
        <color auto="1"/>
      </top>
      <bottom/>
      <diagonal/>
    </border>
    <border>
      <left/>
      <right style="dashed">
        <color theme="1"/>
      </right>
      <top/>
      <bottom/>
      <diagonal/>
    </border>
    <border>
      <left/>
      <right style="dashed">
        <color theme="1"/>
      </right>
      <top/>
      <bottom style="thin">
        <color auto="1"/>
      </bottom>
      <diagonal/>
    </border>
    <border>
      <left/>
      <right style="hair">
        <color theme="1"/>
      </right>
      <top/>
      <bottom/>
      <diagonal/>
    </border>
    <border>
      <left/>
      <right style="hair">
        <color theme="1"/>
      </right>
      <top style="thin">
        <color auto="1"/>
      </top>
      <bottom/>
      <diagonal/>
    </border>
    <border>
      <left/>
      <right style="dashed">
        <color theme="1"/>
      </right>
      <top style="medium">
        <color auto="1"/>
      </top>
      <bottom/>
      <diagonal/>
    </border>
    <border>
      <left style="dashed">
        <color theme="1"/>
      </left>
      <right/>
      <top style="medium">
        <color auto="1"/>
      </top>
      <bottom/>
      <diagonal/>
    </border>
    <border>
      <left style="dashed">
        <color theme="1"/>
      </left>
      <right/>
      <top/>
      <bottom/>
      <diagonal/>
    </border>
    <border>
      <left style="dashed">
        <color theme="1"/>
      </left>
      <right/>
      <top/>
      <bottom style="thin">
        <color auto="1"/>
      </bottom>
      <diagonal/>
    </border>
    <border>
      <left style="double">
        <color auto="1"/>
      </left>
      <right style="double">
        <color theme="1"/>
      </right>
      <top/>
      <bottom/>
      <diagonal/>
    </border>
    <border>
      <left/>
      <right style="hair">
        <color theme="1"/>
      </right>
      <top style="medium">
        <color auto="1"/>
      </top>
      <bottom/>
      <diagonal/>
    </border>
    <border>
      <left/>
      <right style="hair">
        <color theme="1"/>
      </right>
      <top/>
      <bottom style="thin">
        <color auto="1"/>
      </bottom>
      <diagonal/>
    </border>
    <border>
      <left/>
      <right style="thin">
        <color theme="1"/>
      </right>
      <top/>
      <bottom/>
      <diagonal/>
    </border>
    <border>
      <left style="double">
        <color auto="1"/>
      </left>
      <right style="double">
        <color auto="1"/>
      </right>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thin">
        <color auto="1"/>
      </left>
      <right style="thin">
        <color auto="1"/>
      </right>
      <top/>
      <bottom/>
      <diagonal/>
    </border>
    <border>
      <left/>
      <right style="double">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theme="0"/>
      </left>
      <right style="thin">
        <color theme="0"/>
      </right>
      <top style="thin">
        <color auto="1"/>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rgb="FFFFFFFF"/>
      </left>
      <right style="thin">
        <color rgb="FFFFFFFF"/>
      </right>
      <top style="thin">
        <color rgb="FFFFFFFF"/>
      </top>
      <bottom style="thin">
        <color rgb="FFFFFFFF"/>
      </bottom>
      <diagonal/>
    </border>
    <border>
      <left/>
      <right style="thin">
        <color auto="1"/>
      </right>
      <top/>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top/>
      <bottom/>
      <diagonal/>
    </border>
    <border>
      <left style="medium">
        <color auto="1"/>
      </left>
      <right/>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medium">
        <color auto="1"/>
      </right>
      <top style="thin">
        <color auto="1"/>
      </top>
      <bottom style="thin">
        <color auto="1"/>
      </bottom>
      <diagonal/>
    </border>
    <border>
      <left style="thin">
        <color auto="1"/>
      </left>
      <right style="medium">
        <color auto="1"/>
      </right>
      <top/>
      <bottom style="thin">
        <color auto="1"/>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s>
  <cellStyleXfs count="287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361">
    <xf numFmtId="0" fontId="0" fillId="0" borderId="0" xfId="0"/>
    <xf numFmtId="0" fontId="2" fillId="2" borderId="0" xfId="0" applyFont="1" applyFill="1"/>
    <xf numFmtId="0" fontId="3" fillId="2" borderId="0" xfId="0" applyFont="1" applyFill="1" applyAlignment="1">
      <alignment horizontal="left" indent="1"/>
    </xf>
    <xf numFmtId="164" fontId="2" fillId="2" borderId="0" xfId="0" applyNumberFormat="1" applyFont="1" applyFill="1" applyBorder="1" applyAlignment="1">
      <alignment horizontal="center"/>
    </xf>
    <xf numFmtId="164" fontId="2" fillId="2" borderId="0" xfId="0" applyNumberFormat="1" applyFont="1" applyFill="1" applyAlignment="1">
      <alignment horizontal="center"/>
    </xf>
    <xf numFmtId="0" fontId="2" fillId="2" borderId="0" xfId="0" applyFont="1" applyFill="1" applyBorder="1"/>
    <xf numFmtId="0" fontId="3" fillId="2" borderId="0" xfId="0" applyFont="1" applyFill="1"/>
    <xf numFmtId="0" fontId="3" fillId="4" borderId="7" xfId="0" applyFont="1" applyFill="1" applyBorder="1" applyAlignment="1">
      <alignment horizontal="center"/>
    </xf>
    <xf numFmtId="0" fontId="3" fillId="4" borderId="6" xfId="0" applyFont="1" applyFill="1" applyBorder="1" applyAlignment="1">
      <alignment horizontal="center"/>
    </xf>
    <xf numFmtId="0" fontId="2" fillId="5"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6" borderId="0" xfId="0" applyFont="1" applyFill="1" applyAlignment="1">
      <alignment horizontal="center"/>
    </xf>
    <xf numFmtId="0" fontId="2" fillId="6" borderId="4" xfId="0" applyFont="1" applyFill="1" applyBorder="1" applyAlignment="1">
      <alignment horizontal="center"/>
    </xf>
    <xf numFmtId="0" fontId="2" fillId="6" borderId="0" xfId="0" applyFont="1" applyFill="1" applyBorder="1" applyAlignment="1">
      <alignment horizontal="center"/>
    </xf>
    <xf numFmtId="0" fontId="3" fillId="4" borderId="8" xfId="0" applyFont="1" applyFill="1" applyBorder="1" applyAlignment="1">
      <alignment horizontal="center"/>
    </xf>
    <xf numFmtId="0" fontId="2" fillId="5" borderId="5" xfId="0" applyFont="1" applyFill="1" applyBorder="1" applyAlignment="1">
      <alignment horizontal="center"/>
    </xf>
    <xf numFmtId="0" fontId="2" fillId="6" borderId="5" xfId="0" applyFont="1" applyFill="1" applyBorder="1" applyAlignment="1">
      <alignment horizontal="center"/>
    </xf>
    <xf numFmtId="0" fontId="2" fillId="9" borderId="0" xfId="0" applyFont="1" applyFill="1" applyAlignment="1">
      <alignment horizontal="center"/>
    </xf>
    <xf numFmtId="0" fontId="6" fillId="10" borderId="14" xfId="0" applyFont="1" applyFill="1" applyBorder="1" applyAlignment="1">
      <alignment horizontal="center"/>
    </xf>
    <xf numFmtId="0" fontId="6" fillId="10" borderId="5" xfId="0" applyFont="1" applyFill="1" applyBorder="1" applyAlignment="1">
      <alignment horizontal="center"/>
    </xf>
    <xf numFmtId="0" fontId="6" fillId="10" borderId="11" xfId="0" applyFont="1" applyFill="1" applyBorder="1" applyAlignment="1">
      <alignment horizontal="center"/>
    </xf>
    <xf numFmtId="0" fontId="8" fillId="10" borderId="4" xfId="0" applyFont="1" applyFill="1" applyBorder="1" applyAlignment="1">
      <alignment horizontal="center"/>
    </xf>
    <xf numFmtId="0" fontId="8" fillId="10" borderId="0" xfId="0" applyFont="1" applyFill="1" applyBorder="1" applyAlignment="1">
      <alignment horizontal="center"/>
    </xf>
    <xf numFmtId="0" fontId="8" fillId="10" borderId="10" xfId="0" applyFont="1" applyFill="1" applyBorder="1" applyAlignment="1">
      <alignment horizontal="center"/>
    </xf>
    <xf numFmtId="0" fontId="8" fillId="10" borderId="9" xfId="0" applyFont="1" applyFill="1" applyBorder="1" applyAlignment="1">
      <alignment horizontal="center"/>
    </xf>
    <xf numFmtId="0" fontId="8" fillId="10" borderId="15" xfId="0" applyFont="1" applyFill="1" applyBorder="1" applyAlignment="1">
      <alignment horizontal="center"/>
    </xf>
    <xf numFmtId="0" fontId="8" fillId="10" borderId="19" xfId="0" applyFont="1" applyFill="1" applyBorder="1" applyAlignment="1">
      <alignment horizontal="center"/>
    </xf>
    <xf numFmtId="0" fontId="8" fillId="10" borderId="5" xfId="0" applyFont="1" applyFill="1" applyBorder="1" applyAlignment="1">
      <alignment horizontal="center"/>
    </xf>
    <xf numFmtId="0" fontId="8" fillId="10" borderId="11" xfId="0" applyFont="1" applyFill="1" applyBorder="1" applyAlignment="1">
      <alignment horizontal="center"/>
    </xf>
    <xf numFmtId="9" fontId="2" fillId="9" borderId="4" xfId="0" applyNumberFormat="1" applyFont="1" applyFill="1" applyBorder="1" applyAlignment="1">
      <alignment horizontal="center"/>
    </xf>
    <xf numFmtId="9" fontId="2" fillId="9" borderId="0" xfId="0" applyNumberFormat="1" applyFont="1" applyFill="1" applyBorder="1" applyAlignment="1">
      <alignment horizontal="center"/>
    </xf>
    <xf numFmtId="9" fontId="2" fillId="9" borderId="15" xfId="0" applyNumberFormat="1" applyFont="1" applyFill="1" applyBorder="1" applyAlignment="1">
      <alignment horizontal="center"/>
    </xf>
    <xf numFmtId="9" fontId="2" fillId="8" borderId="4" xfId="0" applyNumberFormat="1" applyFont="1" applyFill="1" applyBorder="1" applyAlignment="1">
      <alignment horizontal="center"/>
    </xf>
    <xf numFmtId="9" fontId="2" fillId="8" borderId="0" xfId="0" applyNumberFormat="1" applyFont="1" applyFill="1" applyBorder="1" applyAlignment="1">
      <alignment horizontal="center"/>
    </xf>
    <xf numFmtId="9" fontId="2" fillId="8" borderId="15" xfId="0" applyNumberFormat="1" applyFont="1" applyFill="1" applyBorder="1" applyAlignment="1">
      <alignment horizontal="center"/>
    </xf>
    <xf numFmtId="164" fontId="2" fillId="8" borderId="20" xfId="0" applyNumberFormat="1" applyFont="1" applyFill="1" applyBorder="1" applyAlignment="1">
      <alignment horizontal="center"/>
    </xf>
    <xf numFmtId="164" fontId="2" fillId="8" borderId="0" xfId="0" applyNumberFormat="1" applyFont="1" applyFill="1" applyBorder="1" applyAlignment="1">
      <alignment horizontal="center"/>
    </xf>
    <xf numFmtId="164" fontId="2" fillId="9" borderId="5" xfId="0" applyNumberFormat="1" applyFont="1" applyFill="1" applyBorder="1" applyAlignment="1">
      <alignment horizontal="center"/>
    </xf>
    <xf numFmtId="164" fontId="2" fillId="8" borderId="5" xfId="0" applyNumberFormat="1" applyFont="1" applyFill="1" applyBorder="1" applyAlignment="1">
      <alignment horizontal="center"/>
    </xf>
    <xf numFmtId="164" fontId="2" fillId="6" borderId="20" xfId="0" applyNumberFormat="1" applyFont="1" applyFill="1" applyBorder="1" applyAlignment="1">
      <alignment horizontal="center"/>
    </xf>
    <xf numFmtId="164" fontId="2" fillId="6" borderId="0" xfId="0" applyNumberFormat="1" applyFont="1" applyFill="1" applyBorder="1" applyAlignment="1">
      <alignment horizontal="center"/>
    </xf>
    <xf numFmtId="164" fontId="2" fillId="6" borderId="5" xfId="0" applyNumberFormat="1" applyFont="1" applyFill="1" applyBorder="1" applyAlignment="1">
      <alignment horizontal="center"/>
    </xf>
    <xf numFmtId="0" fontId="8" fillId="2" borderId="0" xfId="0" applyFont="1" applyFill="1" applyBorder="1" applyAlignment="1">
      <alignment horizontal="center"/>
    </xf>
    <xf numFmtId="9" fontId="2" fillId="6" borderId="4" xfId="0" applyNumberFormat="1" applyFont="1" applyFill="1" applyBorder="1" applyAlignment="1">
      <alignment horizontal="center"/>
    </xf>
    <xf numFmtId="9" fontId="2" fillId="6" borderId="0" xfId="0" applyNumberFormat="1" applyFont="1" applyFill="1" applyBorder="1" applyAlignment="1">
      <alignment horizontal="center"/>
    </xf>
    <xf numFmtId="0" fontId="3" fillId="2" borderId="0" xfId="0" applyFont="1" applyFill="1" applyBorder="1"/>
    <xf numFmtId="10" fontId="2" fillId="9" borderId="0" xfId="0" applyNumberFormat="1" applyFont="1" applyFill="1" applyBorder="1" applyAlignment="1">
      <alignment horizontal="center"/>
    </xf>
    <xf numFmtId="10" fontId="2" fillId="8" borderId="0" xfId="0" applyNumberFormat="1" applyFont="1" applyFill="1" applyBorder="1" applyAlignment="1">
      <alignment horizontal="center"/>
    </xf>
    <xf numFmtId="164" fontId="8" fillId="10" borderId="0" xfId="0" applyNumberFormat="1" applyFont="1" applyFill="1" applyBorder="1" applyAlignment="1">
      <alignment horizontal="center"/>
    </xf>
    <xf numFmtId="0" fontId="3" fillId="4" borderId="7" xfId="0" applyFont="1" applyFill="1" applyBorder="1" applyAlignment="1">
      <alignment horizontal="center" wrapText="1"/>
    </xf>
    <xf numFmtId="0" fontId="3" fillId="4" borderId="6" xfId="0" applyFont="1" applyFill="1" applyBorder="1" applyAlignment="1">
      <alignment horizontal="center" wrapText="1"/>
    </xf>
    <xf numFmtId="165" fontId="2" fillId="9" borderId="0" xfId="0" applyNumberFormat="1" applyFont="1" applyFill="1" applyBorder="1" applyAlignment="1">
      <alignment horizontal="center"/>
    </xf>
    <xf numFmtId="165" fontId="2" fillId="8" borderId="0" xfId="0" applyNumberFormat="1" applyFont="1" applyFill="1" applyBorder="1" applyAlignment="1">
      <alignment horizontal="center"/>
    </xf>
    <xf numFmtId="0" fontId="3" fillId="4" borderId="21" xfId="0" applyFont="1" applyFill="1" applyBorder="1" applyAlignment="1">
      <alignment horizontal="center" wrapText="1"/>
    </xf>
    <xf numFmtId="0" fontId="3" fillId="4" borderId="8" xfId="0" applyFont="1" applyFill="1" applyBorder="1" applyAlignment="1">
      <alignment horizontal="center" wrapText="1"/>
    </xf>
    <xf numFmtId="2" fontId="2" fillId="8" borderId="20" xfId="0" applyNumberFormat="1" applyFont="1" applyFill="1" applyBorder="1" applyAlignment="1">
      <alignment horizontal="center"/>
    </xf>
    <xf numFmtId="2" fontId="2" fillId="8" borderId="0" xfId="0" applyNumberFormat="1" applyFont="1" applyFill="1" applyBorder="1" applyAlignment="1">
      <alignment horizontal="center"/>
    </xf>
    <xf numFmtId="1" fontId="8" fillId="10" borderId="9" xfId="0" applyNumberFormat="1" applyFont="1" applyFill="1" applyBorder="1" applyAlignment="1">
      <alignment horizontal="center"/>
    </xf>
    <xf numFmtId="1" fontId="2" fillId="8" borderId="4" xfId="0" applyNumberFormat="1" applyFont="1" applyFill="1" applyBorder="1" applyAlignment="1">
      <alignment horizontal="center"/>
    </xf>
    <xf numFmtId="1" fontId="2" fillId="8" borderId="5" xfId="0" applyNumberFormat="1" applyFont="1" applyFill="1" applyBorder="1" applyAlignment="1">
      <alignment horizontal="center"/>
    </xf>
    <xf numFmtId="1" fontId="2" fillId="9" borderId="15" xfId="0" applyNumberFormat="1" applyFont="1" applyFill="1" applyBorder="1" applyAlignment="1">
      <alignment horizontal="center"/>
    </xf>
    <xf numFmtId="1" fontId="2" fillId="8" borderId="0" xfId="0" applyNumberFormat="1" applyFont="1" applyFill="1" applyBorder="1" applyAlignment="1">
      <alignment horizontal="center"/>
    </xf>
    <xf numFmtId="9" fontId="3" fillId="4" borderId="7" xfId="0" applyNumberFormat="1" applyFont="1" applyFill="1" applyBorder="1" applyAlignment="1">
      <alignment horizontal="center" wrapText="1"/>
    </xf>
    <xf numFmtId="9" fontId="3" fillId="4" borderId="6" xfId="0" applyNumberFormat="1" applyFont="1" applyFill="1" applyBorder="1" applyAlignment="1">
      <alignment horizontal="center" wrapText="1"/>
    </xf>
    <xf numFmtId="9" fontId="8" fillId="10" borderId="12" xfId="0" applyNumberFormat="1" applyFont="1" applyFill="1" applyBorder="1" applyAlignment="1">
      <alignment horizontal="center"/>
    </xf>
    <xf numFmtId="9" fontId="8" fillId="10" borderId="13" xfId="0" applyNumberFormat="1" applyFont="1" applyFill="1" applyBorder="1" applyAlignment="1">
      <alignment horizontal="center"/>
    </xf>
    <xf numFmtId="9" fontId="8" fillId="10" borderId="18" xfId="0" applyNumberFormat="1" applyFont="1" applyFill="1" applyBorder="1" applyAlignment="1">
      <alignment horizontal="center"/>
    </xf>
    <xf numFmtId="9" fontId="8" fillId="10" borderId="4" xfId="0" applyNumberFormat="1" applyFont="1" applyFill="1" applyBorder="1" applyAlignment="1">
      <alignment horizontal="center"/>
    </xf>
    <xf numFmtId="9" fontId="8" fillId="10" borderId="0" xfId="0" applyNumberFormat="1" applyFont="1" applyFill="1" applyBorder="1" applyAlignment="1">
      <alignment horizontal="center"/>
    </xf>
    <xf numFmtId="9" fontId="8" fillId="10" borderId="15" xfId="0" applyNumberFormat="1" applyFont="1" applyFill="1" applyBorder="1" applyAlignment="1">
      <alignment horizontal="center"/>
    </xf>
    <xf numFmtId="9" fontId="8" fillId="10" borderId="10" xfId="0" applyNumberFormat="1" applyFont="1" applyFill="1" applyBorder="1" applyAlignment="1">
      <alignment horizontal="center"/>
    </xf>
    <xf numFmtId="9" fontId="8" fillId="10" borderId="9" xfId="0" applyNumberFormat="1" applyFont="1" applyFill="1" applyBorder="1" applyAlignment="1">
      <alignment horizontal="center"/>
    </xf>
    <xf numFmtId="9" fontId="8" fillId="10" borderId="19" xfId="0" applyNumberFormat="1" applyFont="1" applyFill="1" applyBorder="1" applyAlignment="1">
      <alignment horizontal="center"/>
    </xf>
    <xf numFmtId="9" fontId="3" fillId="4" borderId="21" xfId="0" applyNumberFormat="1" applyFont="1" applyFill="1" applyBorder="1" applyAlignment="1">
      <alignment horizontal="center" wrapText="1"/>
    </xf>
    <xf numFmtId="0" fontId="3" fillId="7" borderId="13" xfId="0" applyFont="1" applyFill="1" applyBorder="1" applyAlignment="1">
      <alignment vertical="center"/>
    </xf>
    <xf numFmtId="0" fontId="3" fillId="7" borderId="6" xfId="0" applyFont="1" applyFill="1" applyBorder="1" applyAlignment="1">
      <alignment vertical="center"/>
    </xf>
    <xf numFmtId="9" fontId="2" fillId="9" borderId="5" xfId="0" applyNumberFormat="1" applyFont="1" applyFill="1" applyBorder="1" applyAlignment="1">
      <alignment horizontal="center"/>
    </xf>
    <xf numFmtId="9" fontId="2" fillId="8" borderId="5" xfId="0" applyNumberFormat="1" applyFont="1" applyFill="1" applyBorder="1" applyAlignment="1">
      <alignment horizontal="center"/>
    </xf>
    <xf numFmtId="2" fontId="2" fillId="6" borderId="0" xfId="0" applyNumberFormat="1" applyFont="1" applyFill="1" applyBorder="1" applyAlignment="1">
      <alignment horizontal="center"/>
    </xf>
    <xf numFmtId="2" fontId="8" fillId="10" borderId="0" xfId="0" applyNumberFormat="1" applyFont="1" applyFill="1" applyBorder="1" applyAlignment="1">
      <alignment horizontal="center"/>
    </xf>
    <xf numFmtId="2" fontId="2" fillId="8" borderId="5" xfId="0" applyNumberFormat="1" applyFont="1" applyFill="1" applyBorder="1" applyAlignment="1">
      <alignment horizontal="center"/>
    </xf>
    <xf numFmtId="2" fontId="2" fillId="6" borderId="20" xfId="0" applyNumberFormat="1" applyFont="1" applyFill="1" applyBorder="1" applyAlignment="1">
      <alignment horizontal="center"/>
    </xf>
    <xf numFmtId="2" fontId="2" fillId="6" borderId="5" xfId="0" applyNumberFormat="1" applyFont="1" applyFill="1" applyBorder="1" applyAlignment="1">
      <alignment horizontal="center"/>
    </xf>
    <xf numFmtId="2" fontId="8" fillId="10" borderId="5" xfId="0" applyNumberFormat="1" applyFont="1" applyFill="1" applyBorder="1" applyAlignment="1">
      <alignment horizontal="center"/>
    </xf>
    <xf numFmtId="2" fontId="2" fillId="8" borderId="4" xfId="0" applyNumberFormat="1" applyFont="1" applyFill="1" applyBorder="1" applyAlignment="1">
      <alignment horizontal="center"/>
    </xf>
    <xf numFmtId="0" fontId="3" fillId="4" borderId="17" xfId="0" applyFont="1" applyFill="1" applyBorder="1" applyAlignment="1">
      <alignment horizontal="center" wrapText="1"/>
    </xf>
    <xf numFmtId="2" fontId="2" fillId="8" borderId="15" xfId="0" applyNumberFormat="1" applyFont="1" applyFill="1" applyBorder="1" applyAlignment="1">
      <alignment horizontal="center"/>
    </xf>
    <xf numFmtId="9" fontId="3" fillId="4" borderId="4" xfId="0" applyNumberFormat="1" applyFont="1" applyFill="1" applyBorder="1" applyAlignment="1">
      <alignment vertical="center" wrapText="1"/>
    </xf>
    <xf numFmtId="165" fontId="2" fillId="9" borderId="4" xfId="0" applyNumberFormat="1" applyFont="1" applyFill="1" applyBorder="1" applyAlignment="1">
      <alignment horizontal="center"/>
    </xf>
    <xf numFmtId="165" fontId="2" fillId="8" borderId="4" xfId="0" applyNumberFormat="1" applyFont="1" applyFill="1" applyBorder="1" applyAlignment="1">
      <alignment horizontal="center"/>
    </xf>
    <xf numFmtId="164" fontId="8" fillId="10" borderId="12" xfId="0" applyNumberFormat="1" applyFont="1" applyFill="1" applyBorder="1" applyAlignment="1">
      <alignment horizontal="center"/>
    </xf>
    <xf numFmtId="2" fontId="8" fillId="10" borderId="4" xfId="0" applyNumberFormat="1" applyFont="1" applyFill="1" applyBorder="1" applyAlignment="1">
      <alignment horizontal="center"/>
    </xf>
    <xf numFmtId="164" fontId="8" fillId="10" borderId="10" xfId="0" applyNumberFormat="1" applyFont="1" applyFill="1" applyBorder="1" applyAlignment="1">
      <alignment horizontal="center"/>
    </xf>
    <xf numFmtId="164" fontId="8" fillId="10" borderId="13" xfId="0" applyNumberFormat="1" applyFont="1" applyFill="1" applyBorder="1" applyAlignment="1">
      <alignment horizontal="center"/>
    </xf>
    <xf numFmtId="164" fontId="8" fillId="10" borderId="9" xfId="0" applyNumberFormat="1" applyFont="1" applyFill="1" applyBorder="1" applyAlignment="1">
      <alignment horizontal="center"/>
    </xf>
    <xf numFmtId="164" fontId="8" fillId="10" borderId="14" xfId="0" applyNumberFormat="1" applyFont="1" applyFill="1" applyBorder="1" applyAlignment="1">
      <alignment horizontal="center"/>
    </xf>
    <xf numFmtId="164" fontId="8" fillId="10" borderId="11" xfId="0" applyNumberFormat="1" applyFont="1" applyFill="1" applyBorder="1" applyAlignment="1">
      <alignment horizontal="center"/>
    </xf>
    <xf numFmtId="1" fontId="2" fillId="6" borderId="5" xfId="0" applyNumberFormat="1" applyFont="1" applyFill="1" applyBorder="1" applyAlignment="1">
      <alignment horizontal="center"/>
    </xf>
    <xf numFmtId="1" fontId="2" fillId="6" borderId="0" xfId="0" applyNumberFormat="1" applyFont="1" applyFill="1" applyBorder="1" applyAlignment="1">
      <alignment horizontal="center"/>
    </xf>
    <xf numFmtId="9" fontId="2" fillId="6" borderId="15" xfId="0" applyNumberFormat="1" applyFont="1" applyFill="1" applyBorder="1" applyAlignment="1">
      <alignment horizontal="center"/>
    </xf>
    <xf numFmtId="1" fontId="2" fillId="6" borderId="4" xfId="0" applyNumberFormat="1" applyFont="1" applyFill="1" applyBorder="1" applyAlignment="1">
      <alignment horizontal="center"/>
    </xf>
    <xf numFmtId="9" fontId="2" fillId="6" borderId="5" xfId="0" applyNumberFormat="1" applyFont="1" applyFill="1" applyBorder="1" applyAlignment="1">
      <alignment horizontal="center"/>
    </xf>
    <xf numFmtId="2" fontId="2" fillId="6" borderId="4" xfId="0" applyNumberFormat="1" applyFont="1" applyFill="1" applyBorder="1" applyAlignment="1">
      <alignment horizontal="center"/>
    </xf>
    <xf numFmtId="2" fontId="2" fillId="6" borderId="15" xfId="0" applyNumberFormat="1" applyFont="1" applyFill="1" applyBorder="1" applyAlignment="1">
      <alignment horizontal="center"/>
    </xf>
    <xf numFmtId="165" fontId="2" fillId="6" borderId="0" xfId="0" applyNumberFormat="1" applyFont="1" applyFill="1" applyBorder="1" applyAlignment="1">
      <alignment horizontal="center"/>
    </xf>
    <xf numFmtId="2" fontId="2" fillId="2" borderId="0" xfId="0" applyNumberFormat="1" applyFont="1" applyFill="1"/>
    <xf numFmtId="1" fontId="2" fillId="2" borderId="0" xfId="0" applyNumberFormat="1" applyFont="1" applyFill="1"/>
    <xf numFmtId="165" fontId="2" fillId="6" borderId="4" xfId="0" applyNumberFormat="1" applyFont="1" applyFill="1" applyBorder="1" applyAlignment="1">
      <alignment horizontal="center"/>
    </xf>
    <xf numFmtId="0" fontId="3" fillId="2" borderId="0" xfId="0" applyFont="1" applyFill="1" applyBorder="1" applyAlignment="1">
      <alignment horizontal="center" vertical="center"/>
    </xf>
    <xf numFmtId="0" fontId="3" fillId="4" borderId="24" xfId="0" applyFont="1" applyFill="1" applyBorder="1" applyAlignment="1">
      <alignment horizontal="center" wrapText="1"/>
    </xf>
    <xf numFmtId="165" fontId="2" fillId="9" borderId="28" xfId="0" applyNumberFormat="1" applyFont="1" applyFill="1" applyBorder="1" applyAlignment="1">
      <alignment horizontal="center"/>
    </xf>
    <xf numFmtId="0" fontId="8" fillId="10" borderId="25" xfId="0" applyFont="1" applyFill="1" applyBorder="1" applyAlignment="1">
      <alignment horizontal="center"/>
    </xf>
    <xf numFmtId="0" fontId="8" fillId="10" borderId="28" xfId="0" applyFont="1" applyFill="1" applyBorder="1" applyAlignment="1">
      <alignment horizontal="center"/>
    </xf>
    <xf numFmtId="0" fontId="8" fillId="10" borderId="29" xfId="0" applyFont="1" applyFill="1" applyBorder="1" applyAlignment="1">
      <alignment horizontal="center"/>
    </xf>
    <xf numFmtId="0" fontId="8" fillId="10" borderId="30" xfId="0" applyFont="1" applyFill="1" applyBorder="1" applyAlignment="1">
      <alignment horizontal="center"/>
    </xf>
    <xf numFmtId="0" fontId="3" fillId="4" borderId="31" xfId="0" applyFont="1" applyFill="1" applyBorder="1" applyAlignment="1">
      <alignment horizontal="center" wrapText="1"/>
    </xf>
    <xf numFmtId="166" fontId="2" fillId="9" borderId="25" xfId="0" applyNumberFormat="1" applyFont="1" applyFill="1" applyBorder="1" applyAlignment="1">
      <alignment horizontal="center"/>
    </xf>
    <xf numFmtId="166" fontId="2" fillId="8" borderId="25" xfId="0" applyNumberFormat="1" applyFont="1" applyFill="1" applyBorder="1" applyAlignment="1">
      <alignment horizontal="center"/>
    </xf>
    <xf numFmtId="166" fontId="2" fillId="6" borderId="25" xfId="0" applyNumberFormat="1" applyFont="1" applyFill="1" applyBorder="1" applyAlignment="1">
      <alignment horizontal="center"/>
    </xf>
    <xf numFmtId="10" fontId="2" fillId="6" borderId="0" xfId="0" applyNumberFormat="1" applyFont="1" applyFill="1" applyBorder="1" applyAlignment="1">
      <alignment horizontal="center"/>
    </xf>
    <xf numFmtId="0" fontId="3" fillId="2" borderId="0" xfId="0" applyFont="1" applyFill="1" applyBorder="1" applyAlignment="1">
      <alignment horizontal="center" vertical="center" wrapText="1"/>
    </xf>
    <xf numFmtId="2" fontId="2" fillId="2" borderId="0" xfId="0" applyNumberFormat="1" applyFont="1" applyFill="1" applyBorder="1" applyAlignment="1">
      <alignment horizontal="center"/>
    </xf>
    <xf numFmtId="164" fontId="8" fillId="2" borderId="0" xfId="0" applyNumberFormat="1" applyFont="1" applyFill="1" applyBorder="1" applyAlignment="1">
      <alignment horizontal="center"/>
    </xf>
    <xf numFmtId="0" fontId="3" fillId="2" borderId="0" xfId="0" applyFont="1" applyFill="1" applyBorder="1" applyAlignment="1">
      <alignment horizontal="center" wrapText="1"/>
    </xf>
    <xf numFmtId="1" fontId="8" fillId="2" borderId="0" xfId="0" applyNumberFormat="1" applyFont="1" applyFill="1" applyBorder="1" applyAlignment="1">
      <alignment horizontal="center"/>
    </xf>
    <xf numFmtId="2" fontId="2" fillId="8" borderId="25" xfId="0" applyNumberFormat="1" applyFont="1" applyFill="1" applyBorder="1" applyAlignment="1">
      <alignment horizontal="center"/>
    </xf>
    <xf numFmtId="2" fontId="2" fillId="8" borderId="28" xfId="0" applyNumberFormat="1" applyFont="1" applyFill="1" applyBorder="1" applyAlignment="1">
      <alignment horizontal="center"/>
    </xf>
    <xf numFmtId="1" fontId="2" fillId="8" borderId="25" xfId="0" applyNumberFormat="1" applyFont="1" applyFill="1" applyBorder="1" applyAlignment="1">
      <alignment horizontal="center"/>
    </xf>
    <xf numFmtId="1" fontId="2" fillId="8" borderId="28" xfId="0" applyNumberFormat="1" applyFont="1" applyFill="1" applyBorder="1" applyAlignment="1">
      <alignment horizontal="center"/>
    </xf>
    <xf numFmtId="1" fontId="2" fillId="6" borderId="25" xfId="0" applyNumberFormat="1" applyFont="1" applyFill="1" applyBorder="1" applyAlignment="1">
      <alignment horizontal="center"/>
    </xf>
    <xf numFmtId="1" fontId="2" fillId="6" borderId="28" xfId="0" applyNumberFormat="1" applyFont="1" applyFill="1" applyBorder="1" applyAlignment="1">
      <alignment horizontal="center"/>
    </xf>
    <xf numFmtId="0" fontId="3" fillId="4" borderId="24" xfId="0" applyFont="1" applyFill="1" applyBorder="1" applyAlignment="1">
      <alignment horizontal="center"/>
    </xf>
    <xf numFmtId="0" fontId="3" fillId="4" borderId="31" xfId="0" applyFont="1" applyFill="1" applyBorder="1" applyAlignment="1">
      <alignment horizontal="center"/>
    </xf>
    <xf numFmtId="2" fontId="2" fillId="9" borderId="5" xfId="0" applyNumberFormat="1" applyFont="1" applyFill="1" applyBorder="1" applyAlignment="1">
      <alignment horizontal="center"/>
    </xf>
    <xf numFmtId="9" fontId="3" fillId="4" borderId="8" xfId="0" applyNumberFormat="1" applyFont="1" applyFill="1" applyBorder="1" applyAlignment="1">
      <alignment horizontal="center" wrapText="1"/>
    </xf>
    <xf numFmtId="9" fontId="3" fillId="4" borderId="24" xfId="0" applyNumberFormat="1" applyFont="1" applyFill="1" applyBorder="1" applyAlignment="1">
      <alignment horizontal="center" wrapText="1"/>
    </xf>
    <xf numFmtId="2" fontId="2" fillId="9" borderId="27" xfId="0" applyNumberFormat="1" applyFont="1" applyFill="1" applyBorder="1" applyAlignment="1">
      <alignment horizontal="center"/>
    </xf>
    <xf numFmtId="2" fontId="2" fillId="6" borderId="25" xfId="0" applyNumberFormat="1" applyFont="1" applyFill="1" applyBorder="1" applyAlignment="1">
      <alignment horizontal="center"/>
    </xf>
    <xf numFmtId="2" fontId="2" fillId="6" borderId="28" xfId="0" applyNumberFormat="1" applyFont="1" applyFill="1" applyBorder="1" applyAlignment="1">
      <alignment horizontal="center"/>
    </xf>
    <xf numFmtId="2" fontId="8" fillId="10" borderId="28" xfId="0" applyNumberFormat="1" applyFont="1" applyFill="1" applyBorder="1" applyAlignment="1">
      <alignment horizontal="center"/>
    </xf>
    <xf numFmtId="164" fontId="2" fillId="9" borderId="13" xfId="0" applyNumberFormat="1" applyFont="1" applyFill="1" applyBorder="1" applyAlignment="1">
      <alignment horizontal="center"/>
    </xf>
    <xf numFmtId="164" fontId="2" fillId="8" borderId="28" xfId="0" applyNumberFormat="1" applyFont="1" applyFill="1" applyBorder="1" applyAlignment="1">
      <alignment horizontal="center"/>
    </xf>
    <xf numFmtId="164" fontId="2" fillId="6" borderId="28" xfId="0" applyNumberFormat="1" applyFont="1" applyFill="1" applyBorder="1" applyAlignment="1">
      <alignment horizontal="center"/>
    </xf>
    <xf numFmtId="164" fontId="8" fillId="10" borderId="27" xfId="0" applyNumberFormat="1" applyFont="1" applyFill="1" applyBorder="1" applyAlignment="1">
      <alignment horizontal="center"/>
    </xf>
    <xf numFmtId="164" fontId="8" fillId="10" borderId="30" xfId="0" applyNumberFormat="1" applyFont="1" applyFill="1" applyBorder="1" applyAlignment="1">
      <alignment horizontal="center"/>
    </xf>
    <xf numFmtId="9" fontId="3" fillId="4" borderId="31" xfId="0" applyNumberFormat="1" applyFont="1" applyFill="1" applyBorder="1" applyAlignment="1">
      <alignment horizontal="center" vertical="center" wrapText="1"/>
    </xf>
    <xf numFmtId="0" fontId="2" fillId="2" borderId="0" xfId="0" applyFont="1" applyFill="1" applyAlignment="1">
      <alignment horizontal="center"/>
    </xf>
    <xf numFmtId="0" fontId="9" fillId="12" borderId="32" xfId="0" applyFont="1" applyFill="1" applyBorder="1" applyAlignment="1">
      <alignment horizontal="center"/>
    </xf>
    <xf numFmtId="0" fontId="9" fillId="12" borderId="0" xfId="0" applyFont="1" applyFill="1" applyAlignment="1">
      <alignment horizontal="center"/>
    </xf>
    <xf numFmtId="0" fontId="12" fillId="13" borderId="0" xfId="0" applyFont="1" applyFill="1" applyAlignment="1">
      <alignment horizontal="center"/>
    </xf>
    <xf numFmtId="0" fontId="9" fillId="12" borderId="0" xfId="0" applyFont="1" applyFill="1" applyBorder="1" applyAlignment="1">
      <alignment horizontal="center"/>
    </xf>
    <xf numFmtId="0" fontId="13" fillId="12" borderId="0" xfId="0" applyFont="1" applyFill="1" applyBorder="1" applyAlignment="1">
      <alignment horizontal="center"/>
    </xf>
    <xf numFmtId="0" fontId="12" fillId="12" borderId="0" xfId="0" applyFont="1" applyFill="1" applyAlignment="1">
      <alignment horizontal="left"/>
    </xf>
    <xf numFmtId="0" fontId="12" fillId="14" borderId="0" xfId="0" applyFont="1" applyFill="1" applyAlignment="1">
      <alignment horizontal="center"/>
    </xf>
    <xf numFmtId="0" fontId="12" fillId="15" borderId="0" xfId="0" applyFont="1" applyFill="1" applyAlignment="1">
      <alignment horizontal="center"/>
    </xf>
    <xf numFmtId="0" fontId="12" fillId="16" borderId="0" xfId="0" applyFont="1" applyFill="1" applyAlignment="1">
      <alignment horizontal="center"/>
    </xf>
    <xf numFmtId="0" fontId="12" fillId="2" borderId="0" xfId="0" applyFont="1" applyFill="1"/>
    <xf numFmtId="0" fontId="12" fillId="17" borderId="0" xfId="0" applyFont="1" applyFill="1" applyAlignment="1">
      <alignment horizontal="center"/>
    </xf>
    <xf numFmtId="0" fontId="12" fillId="18" borderId="0" xfId="0" applyFont="1" applyFill="1" applyAlignment="1">
      <alignment horizontal="left"/>
    </xf>
    <xf numFmtId="0" fontId="12" fillId="19" borderId="0" xfId="0" applyFont="1" applyFill="1" applyAlignment="1">
      <alignment horizontal="center"/>
    </xf>
    <xf numFmtId="0" fontId="13" fillId="21" borderId="0" xfId="0" applyFont="1" applyFill="1" applyAlignment="1">
      <alignment horizontal="center"/>
    </xf>
    <xf numFmtId="0" fontId="13" fillId="12" borderId="0" xfId="0" applyFont="1" applyFill="1" applyAlignment="1">
      <alignment horizontal="left"/>
    </xf>
    <xf numFmtId="0" fontId="13" fillId="22" borderId="0" xfId="0" applyFont="1" applyFill="1" applyAlignment="1">
      <alignment horizontal="center"/>
    </xf>
    <xf numFmtId="0" fontId="13" fillId="23" borderId="0" xfId="0" applyFont="1" applyFill="1" applyAlignment="1">
      <alignment horizontal="center"/>
    </xf>
    <xf numFmtId="0" fontId="2" fillId="24" borderId="0" xfId="0" applyFont="1" applyFill="1"/>
    <xf numFmtId="0" fontId="13" fillId="25" borderId="0" xfId="0" applyFont="1" applyFill="1" applyAlignment="1">
      <alignment horizontal="center"/>
    </xf>
    <xf numFmtId="0" fontId="13" fillId="26" borderId="0" xfId="0" applyFont="1" applyFill="1" applyAlignment="1">
      <alignment horizontal="center"/>
    </xf>
    <xf numFmtId="0" fontId="12" fillId="18" borderId="20" xfId="0" applyFont="1" applyFill="1" applyBorder="1" applyAlignment="1">
      <alignment horizontal="center"/>
    </xf>
    <xf numFmtId="0" fontId="12" fillId="18" borderId="15" xfId="0" applyFont="1" applyFill="1" applyBorder="1" applyAlignment="1">
      <alignment horizontal="center"/>
    </xf>
    <xf numFmtId="0" fontId="2" fillId="2" borderId="20" xfId="0" applyFont="1" applyFill="1" applyBorder="1" applyAlignment="1">
      <alignment horizontal="center"/>
    </xf>
    <xf numFmtId="0" fontId="2" fillId="2" borderId="15" xfId="0" applyFont="1" applyFill="1" applyBorder="1" applyAlignment="1">
      <alignment horizontal="center"/>
    </xf>
    <xf numFmtId="0" fontId="13" fillId="18" borderId="20" xfId="0" applyFont="1" applyFill="1" applyBorder="1" applyAlignment="1">
      <alignment horizontal="center"/>
    </xf>
    <xf numFmtId="0" fontId="12" fillId="18" borderId="0" xfId="0" applyFont="1" applyFill="1" applyBorder="1" applyAlignment="1">
      <alignment horizontal="center"/>
    </xf>
    <xf numFmtId="0" fontId="2" fillId="2" borderId="0" xfId="0" applyFont="1" applyFill="1" applyBorder="1" applyAlignment="1">
      <alignment horizontal="center"/>
    </xf>
    <xf numFmtId="0" fontId="13" fillId="18" borderId="0" xfId="0" applyFont="1" applyFill="1" applyBorder="1" applyAlignment="1">
      <alignment horizontal="center"/>
    </xf>
    <xf numFmtId="0" fontId="0" fillId="2" borderId="0" xfId="0" applyFill="1"/>
    <xf numFmtId="15" fontId="2" fillId="2" borderId="34" xfId="0" applyNumberFormat="1" applyFont="1" applyFill="1" applyBorder="1" applyAlignment="1">
      <alignment horizontal="center"/>
    </xf>
    <xf numFmtId="15" fontId="13" fillId="18" borderId="34" xfId="0" applyNumberFormat="1" applyFont="1" applyFill="1" applyBorder="1" applyAlignment="1">
      <alignment horizontal="center"/>
    </xf>
    <xf numFmtId="0" fontId="2" fillId="2" borderId="0" xfId="0" applyFont="1" applyFill="1" applyAlignment="1">
      <alignment horizontal="center"/>
    </xf>
    <xf numFmtId="15" fontId="12" fillId="18" borderId="34" xfId="0" applyNumberFormat="1" applyFont="1" applyFill="1" applyBorder="1" applyAlignment="1">
      <alignment horizontal="center"/>
    </xf>
    <xf numFmtId="0" fontId="2" fillId="2" borderId="13" xfId="0" applyFont="1" applyFill="1" applyBorder="1" applyAlignment="1">
      <alignment horizontal="center"/>
    </xf>
    <xf numFmtId="165" fontId="2" fillId="2" borderId="0" xfId="0" applyNumberFormat="1" applyFont="1" applyFill="1" applyBorder="1" applyAlignment="1">
      <alignment horizontal="center"/>
    </xf>
    <xf numFmtId="0" fontId="2" fillId="2" borderId="9" xfId="0" applyFont="1" applyFill="1" applyBorder="1" applyAlignment="1">
      <alignment horizontal="center"/>
    </xf>
    <xf numFmtId="0" fontId="2" fillId="2" borderId="9" xfId="0" applyFont="1" applyFill="1" applyBorder="1"/>
    <xf numFmtId="0" fontId="9" fillId="11" borderId="21" xfId="0" applyFont="1" applyFill="1" applyBorder="1" applyAlignment="1">
      <alignment horizontal="center" wrapText="1"/>
    </xf>
    <xf numFmtId="0" fontId="9" fillId="11" borderId="6" xfId="0" applyFont="1" applyFill="1" applyBorder="1" applyAlignment="1">
      <alignment horizontal="center" wrapText="1"/>
    </xf>
    <xf numFmtId="0" fontId="9" fillId="11" borderId="24" xfId="0" applyFont="1" applyFill="1" applyBorder="1" applyAlignment="1">
      <alignment horizontal="center" wrapText="1"/>
    </xf>
    <xf numFmtId="0" fontId="9" fillId="11" borderId="31" xfId="0" applyFont="1" applyFill="1" applyBorder="1" applyAlignment="1">
      <alignment horizontal="center" wrapText="1"/>
    </xf>
    <xf numFmtId="0" fontId="9" fillId="11" borderId="17" xfId="0" applyFont="1" applyFill="1" applyBorder="1" applyAlignment="1">
      <alignment horizontal="center" wrapText="1"/>
    </xf>
    <xf numFmtId="10" fontId="2" fillId="9" borderId="12" xfId="0" applyNumberFormat="1" applyFont="1" applyFill="1" applyBorder="1" applyAlignment="1">
      <alignment horizontal="center"/>
    </xf>
    <xf numFmtId="10" fontId="2" fillId="9" borderId="27" xfId="0" applyNumberFormat="1" applyFont="1" applyFill="1" applyBorder="1" applyAlignment="1">
      <alignment horizontal="center"/>
    </xf>
    <xf numFmtId="10" fontId="2" fillId="9" borderId="28" xfId="0" applyNumberFormat="1" applyFont="1" applyFill="1" applyBorder="1" applyAlignment="1">
      <alignment horizontal="center"/>
    </xf>
    <xf numFmtId="10" fontId="2" fillId="9" borderId="4" xfId="0" applyNumberFormat="1" applyFont="1" applyFill="1" applyBorder="1" applyAlignment="1">
      <alignment horizontal="center"/>
    </xf>
    <xf numFmtId="10" fontId="2" fillId="9" borderId="13" xfId="0" applyNumberFormat="1" applyFont="1" applyFill="1" applyBorder="1" applyAlignment="1">
      <alignment horizontal="center"/>
    </xf>
    <xf numFmtId="10" fontId="2" fillId="5" borderId="4" xfId="0" applyNumberFormat="1" applyFont="1" applyFill="1" applyBorder="1" applyAlignment="1">
      <alignment horizontal="center"/>
    </xf>
    <xf numFmtId="10" fontId="2" fillId="5" borderId="0" xfId="0" applyNumberFormat="1" applyFont="1" applyFill="1" applyBorder="1" applyAlignment="1">
      <alignment horizontal="center"/>
    </xf>
    <xf numFmtId="10" fontId="2" fillId="5" borderId="28" xfId="0" applyNumberFormat="1" applyFont="1" applyFill="1" applyBorder="1" applyAlignment="1">
      <alignment horizontal="center"/>
    </xf>
    <xf numFmtId="10" fontId="2" fillId="6" borderId="4" xfId="0" applyNumberFormat="1" applyFont="1" applyFill="1" applyBorder="1" applyAlignment="1">
      <alignment horizontal="center"/>
    </xf>
    <xf numFmtId="10" fontId="2" fillId="6" borderId="28" xfId="0" applyNumberFormat="1" applyFont="1" applyFill="1" applyBorder="1" applyAlignment="1">
      <alignment horizontal="center"/>
    </xf>
    <xf numFmtId="0" fontId="8" fillId="10" borderId="13" xfId="0" applyFont="1" applyFill="1" applyBorder="1" applyAlignment="1">
      <alignment horizontal="center"/>
    </xf>
    <xf numFmtId="0" fontId="2" fillId="9" borderId="0" xfId="0" applyFont="1" applyFill="1" applyBorder="1" applyAlignment="1">
      <alignment horizontal="center"/>
    </xf>
    <xf numFmtId="0" fontId="3" fillId="2" borderId="0" xfId="0" applyFont="1" applyFill="1" applyAlignment="1">
      <alignment horizontal="center"/>
    </xf>
    <xf numFmtId="0" fontId="13" fillId="12" borderId="0" xfId="0" applyFont="1" applyFill="1" applyBorder="1" applyAlignment="1">
      <alignment horizontal="left"/>
    </xf>
    <xf numFmtId="0" fontId="12" fillId="14" borderId="0" xfId="0" applyFont="1" applyFill="1" applyBorder="1" applyAlignment="1">
      <alignment horizontal="center"/>
    </xf>
    <xf numFmtId="49" fontId="2" fillId="2" borderId="0" xfId="0" applyNumberFormat="1" applyFont="1" applyFill="1" applyBorder="1" applyAlignment="1">
      <alignment horizontal="center"/>
    </xf>
    <xf numFmtId="0" fontId="2" fillId="2" borderId="0" xfId="0" applyFont="1" applyFill="1" applyAlignment="1">
      <alignment horizontal="left"/>
    </xf>
    <xf numFmtId="0" fontId="13" fillId="12" borderId="0" xfId="0" applyFont="1" applyFill="1" applyAlignment="1">
      <alignment horizontal="center"/>
    </xf>
    <xf numFmtId="0" fontId="2" fillId="2" borderId="18" xfId="0" applyFont="1" applyFill="1" applyBorder="1" applyAlignment="1">
      <alignment horizontal="center"/>
    </xf>
    <xf numFmtId="0" fontId="12" fillId="13" borderId="0" xfId="0" applyFont="1" applyFill="1" applyBorder="1" applyAlignment="1">
      <alignment horizontal="center"/>
    </xf>
    <xf numFmtId="0" fontId="2" fillId="2" borderId="23" xfId="0" applyFont="1" applyFill="1" applyBorder="1" applyAlignment="1">
      <alignment horizontal="center"/>
    </xf>
    <xf numFmtId="0" fontId="13" fillId="25" borderId="0" xfId="0" applyFont="1" applyFill="1" applyBorder="1" applyAlignment="1">
      <alignment horizontal="center"/>
    </xf>
    <xf numFmtId="0" fontId="12" fillId="17" borderId="15" xfId="0" applyFont="1" applyFill="1" applyBorder="1" applyAlignment="1">
      <alignment horizontal="center"/>
    </xf>
    <xf numFmtId="15" fontId="2" fillId="2" borderId="33" xfId="0" applyNumberFormat="1" applyFont="1" applyFill="1" applyBorder="1" applyAlignment="1">
      <alignment horizontal="center"/>
    </xf>
    <xf numFmtId="0" fontId="2" fillId="2" borderId="0" xfId="0" applyFont="1" applyFill="1" applyAlignment="1">
      <alignment horizontal="center"/>
    </xf>
    <xf numFmtId="2" fontId="2" fillId="6" borderId="6" xfId="0" applyNumberFormat="1" applyFont="1" applyFill="1" applyBorder="1" applyAlignment="1">
      <alignment horizontal="center"/>
    </xf>
    <xf numFmtId="2" fontId="2" fillId="6" borderId="17" xfId="0" applyNumberFormat="1" applyFont="1" applyFill="1" applyBorder="1" applyAlignment="1">
      <alignment horizontal="center"/>
    </xf>
    <xf numFmtId="164" fontId="2" fillId="9" borderId="27" xfId="0" applyNumberFormat="1" applyFont="1" applyFill="1" applyBorder="1" applyAlignment="1">
      <alignment horizontal="center"/>
    </xf>
    <xf numFmtId="164" fontId="2" fillId="9" borderId="28" xfId="0" applyNumberFormat="1" applyFont="1" applyFill="1" applyBorder="1" applyAlignment="1">
      <alignment horizontal="center"/>
    </xf>
    <xf numFmtId="164" fontId="2" fillId="9" borderId="12" xfId="0" applyNumberFormat="1" applyFont="1" applyFill="1" applyBorder="1" applyAlignment="1">
      <alignment horizontal="center"/>
    </xf>
    <xf numFmtId="0" fontId="0" fillId="2" borderId="0" xfId="0" applyFill="1" applyBorder="1"/>
    <xf numFmtId="0" fontId="15" fillId="2" borderId="0" xfId="0" applyFont="1" applyFill="1" applyAlignment="1">
      <alignment horizontal="right"/>
    </xf>
    <xf numFmtId="0" fontId="17" fillId="2" borderId="0" xfId="0" applyFont="1" applyFill="1"/>
    <xf numFmtId="0" fontId="18" fillId="2" borderId="0" xfId="0" applyFont="1" applyFill="1"/>
    <xf numFmtId="0" fontId="19" fillId="2" borderId="0" xfId="0" applyFont="1" applyFill="1" applyBorder="1" applyAlignment="1">
      <alignment horizontal="center"/>
    </xf>
    <xf numFmtId="0" fontId="22" fillId="2" borderId="0" xfId="0" applyFont="1" applyFill="1"/>
    <xf numFmtId="0" fontId="23" fillId="2" borderId="0" xfId="0" applyFont="1" applyFill="1"/>
    <xf numFmtId="9" fontId="3" fillId="28" borderId="8" xfId="0" applyNumberFormat="1" applyFont="1" applyFill="1" applyBorder="1" applyAlignment="1">
      <alignment horizontal="center"/>
    </xf>
    <xf numFmtId="9" fontId="3" fillId="7" borderId="15" xfId="0" applyNumberFormat="1" applyFont="1" applyFill="1" applyBorder="1" applyAlignment="1">
      <alignment horizontal="center" vertical="center" wrapText="1"/>
    </xf>
    <xf numFmtId="9" fontId="3" fillId="7" borderId="5" xfId="0" applyNumberFormat="1" applyFont="1" applyFill="1" applyBorder="1" applyAlignment="1">
      <alignment horizontal="center" vertical="center" wrapText="1"/>
    </xf>
    <xf numFmtId="0" fontId="24" fillId="3" borderId="0" xfId="0" applyFont="1" applyFill="1" applyBorder="1" applyAlignment="1"/>
    <xf numFmtId="0" fontId="25" fillId="0" borderId="0" xfId="0" applyFont="1" applyFill="1" applyBorder="1" applyAlignment="1">
      <alignment horizontal="center"/>
    </xf>
    <xf numFmtId="0" fontId="17" fillId="2" borderId="0" xfId="0" applyFont="1" applyFill="1" applyAlignment="1">
      <alignment horizontal="center"/>
    </xf>
    <xf numFmtId="2" fontId="8" fillId="0" borderId="0" xfId="0" applyNumberFormat="1" applyFont="1" applyFill="1" applyBorder="1" applyAlignment="1">
      <alignment horizontal="center"/>
    </xf>
    <xf numFmtId="164" fontId="8" fillId="0" borderId="0" xfId="0" applyNumberFormat="1" applyFont="1" applyFill="1" applyBorder="1" applyAlignment="1">
      <alignment horizontal="center"/>
    </xf>
    <xf numFmtId="167" fontId="2" fillId="9" borderId="0" xfId="0" applyNumberFormat="1" applyFont="1" applyFill="1" applyBorder="1" applyAlignment="1">
      <alignment horizontal="center"/>
    </xf>
    <xf numFmtId="167" fontId="2" fillId="8" borderId="0" xfId="0" applyNumberFormat="1" applyFont="1" applyFill="1" applyBorder="1" applyAlignment="1">
      <alignment horizontal="center"/>
    </xf>
    <xf numFmtId="0" fontId="8" fillId="10" borderId="13" xfId="0" applyFont="1" applyFill="1" applyBorder="1" applyAlignment="1">
      <alignment horizontal="center"/>
    </xf>
    <xf numFmtId="0" fontId="2" fillId="9" borderId="0" xfId="0" applyFont="1" applyFill="1" applyBorder="1" applyAlignment="1">
      <alignment horizontal="center"/>
    </xf>
    <xf numFmtId="0" fontId="2" fillId="0" borderId="0" xfId="0" applyFont="1" applyFill="1"/>
    <xf numFmtId="0" fontId="3" fillId="2" borderId="0" xfId="0" applyFont="1" applyFill="1" applyAlignment="1">
      <alignment horizontal="left"/>
    </xf>
    <xf numFmtId="0" fontId="9" fillId="12" borderId="0" xfId="0" applyFont="1" applyFill="1" applyBorder="1" applyAlignment="1">
      <alignment horizontal="left"/>
    </xf>
    <xf numFmtId="15" fontId="2" fillId="2" borderId="0" xfId="0" applyNumberFormat="1" applyFont="1" applyFill="1" applyBorder="1" applyAlignment="1">
      <alignment horizontal="center"/>
    </xf>
    <xf numFmtId="0" fontId="15" fillId="12" borderId="0" xfId="0" applyFont="1" applyFill="1" applyBorder="1" applyAlignment="1">
      <alignment horizontal="center"/>
    </xf>
    <xf numFmtId="0" fontId="15" fillId="2" borderId="0" xfId="0" applyFont="1" applyFill="1" applyAlignment="1">
      <alignment horizontal="center"/>
    </xf>
    <xf numFmtId="0" fontId="19" fillId="2" borderId="0" xfId="0" applyFont="1" applyFill="1"/>
    <xf numFmtId="0" fontId="2" fillId="2" borderId="0" xfId="0" applyFont="1" applyFill="1" applyAlignment="1"/>
    <xf numFmtId="0" fontId="2" fillId="2" borderId="0" xfId="0" applyFont="1" applyFill="1" applyAlignment="1">
      <alignment horizontal="center" vertical="center"/>
    </xf>
    <xf numFmtId="0" fontId="2" fillId="29" borderId="0" xfId="0" applyFont="1" applyFill="1" applyAlignment="1">
      <alignment horizontal="center"/>
    </xf>
    <xf numFmtId="167" fontId="2" fillId="2" borderId="0" xfId="0" applyNumberFormat="1" applyFont="1" applyFill="1" applyAlignment="1">
      <alignment horizontal="center"/>
    </xf>
    <xf numFmtId="0" fontId="13" fillId="12" borderId="0" xfId="0" applyFont="1" applyFill="1" applyBorder="1" applyAlignment="1">
      <alignment horizontal="center" vertical="center"/>
    </xf>
    <xf numFmtId="0" fontId="13" fillId="12" borderId="0" xfId="0" applyFont="1" applyFill="1" applyAlignment="1">
      <alignment horizontal="center" vertical="center"/>
    </xf>
    <xf numFmtId="0" fontId="3" fillId="2" borderId="9" xfId="0" applyFont="1" applyFill="1" applyBorder="1"/>
    <xf numFmtId="0" fontId="3" fillId="2" borderId="9" xfId="0" applyFont="1" applyFill="1" applyBorder="1" applyAlignment="1">
      <alignment horizontal="center"/>
    </xf>
    <xf numFmtId="0" fontId="3" fillId="2" borderId="9" xfId="0" applyFont="1" applyFill="1" applyBorder="1" applyAlignment="1">
      <alignment horizontal="center" wrapText="1"/>
    </xf>
    <xf numFmtId="14" fontId="2" fillId="2" borderId="0" xfId="0" applyNumberFormat="1" applyFont="1" applyFill="1" applyAlignment="1">
      <alignment horizontal="center"/>
    </xf>
    <xf numFmtId="0" fontId="3" fillId="2" borderId="9" xfId="0" applyFont="1" applyFill="1" applyBorder="1" applyAlignment="1">
      <alignment wrapText="1"/>
    </xf>
    <xf numFmtId="17" fontId="2" fillId="2" borderId="0" xfId="0" applyNumberFormat="1" applyFont="1" applyFill="1" applyAlignment="1">
      <alignment horizontal="center"/>
    </xf>
    <xf numFmtId="0" fontId="13" fillId="12" borderId="0" xfId="0" applyFont="1" applyFill="1"/>
    <xf numFmtId="0" fontId="19" fillId="2" borderId="0" xfId="0" applyFont="1" applyFill="1" applyAlignment="1">
      <alignment horizontal="center"/>
    </xf>
    <xf numFmtId="0" fontId="2" fillId="2" borderId="35" xfId="0" applyFont="1" applyFill="1" applyBorder="1"/>
    <xf numFmtId="0" fontId="2" fillId="2" borderId="36" xfId="0" applyFont="1" applyFill="1" applyBorder="1"/>
    <xf numFmtId="0" fontId="2" fillId="2" borderId="37" xfId="0" applyFont="1" applyFill="1" applyBorder="1"/>
    <xf numFmtId="0" fontId="2" fillId="2" borderId="38" xfId="0" applyFont="1" applyFill="1" applyBorder="1"/>
    <xf numFmtId="0" fontId="2" fillId="2" borderId="39" xfId="0" applyFont="1" applyFill="1" applyBorder="1"/>
    <xf numFmtId="0" fontId="2" fillId="2" borderId="40" xfId="0" applyFont="1" applyFill="1" applyBorder="1"/>
    <xf numFmtId="0" fontId="2" fillId="2" borderId="41" xfId="0" applyFont="1" applyFill="1" applyBorder="1"/>
    <xf numFmtId="0" fontId="2" fillId="2" borderId="42" xfId="0" applyFont="1" applyFill="1" applyBorder="1"/>
    <xf numFmtId="0" fontId="2" fillId="2" borderId="43" xfId="0" applyFont="1" applyFill="1" applyBorder="1"/>
    <xf numFmtId="0" fontId="26" fillId="2" borderId="0" xfId="0" applyFont="1" applyFill="1" applyAlignment="1">
      <alignment horizontal="center"/>
    </xf>
    <xf numFmtId="0" fontId="2" fillId="2" borderId="44" xfId="0" applyFont="1" applyFill="1" applyBorder="1"/>
    <xf numFmtId="0" fontId="12" fillId="18" borderId="0" xfId="0" applyFont="1" applyFill="1" applyAlignment="1">
      <alignment horizontal="center"/>
    </xf>
    <xf numFmtId="0" fontId="12" fillId="18" borderId="44" xfId="0" applyFont="1" applyFill="1" applyBorder="1" applyAlignment="1">
      <alignment horizontal="center"/>
    </xf>
    <xf numFmtId="15" fontId="2" fillId="2" borderId="47" xfId="0" applyNumberFormat="1" applyFont="1" applyFill="1" applyBorder="1" applyAlignment="1">
      <alignment horizontal="center"/>
    </xf>
    <xf numFmtId="0" fontId="13" fillId="12" borderId="44" xfId="0" applyFont="1" applyFill="1" applyBorder="1" applyAlignment="1">
      <alignment horizontal="center"/>
    </xf>
    <xf numFmtId="0" fontId="15" fillId="2" borderId="44" xfId="0" applyFont="1" applyFill="1" applyBorder="1"/>
    <xf numFmtId="0" fontId="12" fillId="14" borderId="46" xfId="0" applyFont="1" applyFill="1" applyBorder="1" applyAlignment="1">
      <alignment horizontal="left"/>
    </xf>
    <xf numFmtId="0" fontId="12" fillId="14" borderId="44" xfId="0" applyFont="1" applyFill="1" applyBorder="1" applyAlignment="1">
      <alignment horizontal="right"/>
    </xf>
    <xf numFmtId="0" fontId="12" fillId="14" borderId="44" xfId="0" applyFont="1" applyFill="1" applyBorder="1" applyAlignment="1">
      <alignment horizontal="center"/>
    </xf>
    <xf numFmtId="0" fontId="13" fillId="12" borderId="47" xfId="0" applyFont="1" applyFill="1" applyBorder="1" applyAlignment="1">
      <alignment horizontal="center"/>
    </xf>
    <xf numFmtId="0" fontId="2" fillId="20" borderId="46" xfId="0" applyFont="1" applyFill="1" applyBorder="1" applyAlignment="1">
      <alignment horizontal="left"/>
    </xf>
    <xf numFmtId="0" fontId="2" fillId="20" borderId="44" xfId="0" applyFont="1" applyFill="1" applyBorder="1" applyAlignment="1">
      <alignment horizontal="right"/>
    </xf>
    <xf numFmtId="0" fontId="2" fillId="20" borderId="44" xfId="0" applyFont="1" applyFill="1" applyBorder="1" applyAlignment="1">
      <alignment horizontal="center"/>
    </xf>
    <xf numFmtId="0" fontId="2" fillId="2" borderId="44" xfId="0" applyFont="1" applyFill="1" applyBorder="1" applyAlignment="1">
      <alignment horizontal="center"/>
    </xf>
    <xf numFmtId="0" fontId="2" fillId="2" borderId="47" xfId="0" applyFont="1" applyFill="1" applyBorder="1" applyAlignment="1">
      <alignment horizontal="center"/>
    </xf>
    <xf numFmtId="0" fontId="12" fillId="17" borderId="46" xfId="0" applyFont="1" applyFill="1" applyBorder="1" applyAlignment="1">
      <alignment horizontal="left"/>
    </xf>
    <xf numFmtId="0" fontId="12" fillId="17" borderId="44" xfId="0" applyFont="1" applyFill="1" applyBorder="1" applyAlignment="1">
      <alignment horizontal="right"/>
    </xf>
    <xf numFmtId="0" fontId="12" fillId="17" borderId="44" xfId="0" applyFont="1" applyFill="1" applyBorder="1" applyAlignment="1">
      <alignment horizontal="center"/>
    </xf>
    <xf numFmtId="15" fontId="12" fillId="18" borderId="47" xfId="0" applyNumberFormat="1" applyFont="1" applyFill="1" applyBorder="1" applyAlignment="1">
      <alignment horizontal="center"/>
    </xf>
    <xf numFmtId="0" fontId="13" fillId="25" borderId="46" xfId="0" applyFont="1" applyFill="1" applyBorder="1" applyAlignment="1">
      <alignment horizontal="left"/>
    </xf>
    <xf numFmtId="0" fontId="12" fillId="25" borderId="44" xfId="0" applyFont="1" applyFill="1" applyBorder="1" applyAlignment="1">
      <alignment horizontal="right"/>
    </xf>
    <xf numFmtId="0" fontId="13" fillId="25" borderId="44" xfId="0" applyFont="1" applyFill="1" applyBorder="1" applyAlignment="1">
      <alignment horizontal="center"/>
    </xf>
    <xf numFmtId="0" fontId="13" fillId="18" borderId="44" xfId="0" applyFont="1" applyFill="1" applyBorder="1" applyAlignment="1">
      <alignment horizontal="center"/>
    </xf>
    <xf numFmtId="15" fontId="13" fillId="18" borderId="47" xfId="0" applyNumberFormat="1" applyFont="1" applyFill="1" applyBorder="1" applyAlignment="1">
      <alignment horizontal="center"/>
    </xf>
    <xf numFmtId="0" fontId="13" fillId="22" borderId="46" xfId="0" applyFont="1" applyFill="1" applyBorder="1" applyAlignment="1">
      <alignment horizontal="left"/>
    </xf>
    <xf numFmtId="0" fontId="13" fillId="22" borderId="44" xfId="0" applyFont="1" applyFill="1" applyBorder="1" applyAlignment="1">
      <alignment horizontal="right"/>
    </xf>
    <xf numFmtId="0" fontId="13" fillId="22" borderId="44" xfId="0" applyFont="1" applyFill="1" applyBorder="1" applyAlignment="1">
      <alignment horizontal="center"/>
    </xf>
    <xf numFmtId="0" fontId="13" fillId="23" borderId="46" xfId="0" applyFont="1" applyFill="1" applyBorder="1" applyAlignment="1">
      <alignment horizontal="left"/>
    </xf>
    <xf numFmtId="0" fontId="13" fillId="23" borderId="44" xfId="0" applyFont="1" applyFill="1" applyBorder="1" applyAlignment="1">
      <alignment horizontal="right"/>
    </xf>
    <xf numFmtId="0" fontId="13" fillId="23" borderId="44" xfId="0" applyFont="1" applyFill="1" applyBorder="1" applyAlignment="1">
      <alignment horizontal="center"/>
    </xf>
    <xf numFmtId="0" fontId="2" fillId="2" borderId="46" xfId="0" applyFont="1" applyFill="1" applyBorder="1" applyAlignment="1">
      <alignment horizontal="left"/>
    </xf>
    <xf numFmtId="0" fontId="2" fillId="2" borderId="44" xfId="0" applyFont="1" applyFill="1" applyBorder="1" applyAlignment="1">
      <alignment horizontal="right"/>
    </xf>
    <xf numFmtId="15" fontId="2" fillId="2" borderId="44" xfId="0" applyNumberFormat="1" applyFont="1" applyFill="1" applyBorder="1" applyAlignment="1">
      <alignment horizontal="center"/>
    </xf>
    <xf numFmtId="0" fontId="12" fillId="18" borderId="46" xfId="0" applyFont="1" applyFill="1" applyBorder="1" applyAlignment="1">
      <alignment horizontal="center"/>
    </xf>
    <xf numFmtId="0" fontId="2" fillId="2" borderId="46" xfId="0" applyFont="1" applyFill="1" applyBorder="1" applyAlignment="1">
      <alignment horizontal="center"/>
    </xf>
    <xf numFmtId="0" fontId="13" fillId="18" borderId="46" xfId="0" applyFont="1" applyFill="1" applyBorder="1" applyAlignment="1">
      <alignment horizontal="center"/>
    </xf>
    <xf numFmtId="0" fontId="9" fillId="12" borderId="6" xfId="0" applyFont="1" applyFill="1" applyBorder="1" applyAlignment="1">
      <alignment horizontal="center"/>
    </xf>
    <xf numFmtId="0" fontId="9" fillId="12" borderId="17" xfId="0" applyFont="1" applyFill="1" applyBorder="1" applyAlignment="1">
      <alignment horizontal="center"/>
    </xf>
    <xf numFmtId="0" fontId="9" fillId="12" borderId="49" xfId="0" applyFont="1" applyFill="1" applyBorder="1" applyAlignment="1">
      <alignment horizontal="center"/>
    </xf>
    <xf numFmtId="0" fontId="9" fillId="12" borderId="6" xfId="0" applyFont="1" applyFill="1" applyBorder="1" applyAlignment="1">
      <alignment horizontal="center" vertical="center"/>
    </xf>
    <xf numFmtId="0" fontId="9" fillId="12" borderId="50" xfId="0" applyFont="1" applyFill="1" applyBorder="1" applyAlignment="1">
      <alignment horizontal="center"/>
    </xf>
    <xf numFmtId="0" fontId="9" fillId="12" borderId="48" xfId="0" applyFont="1" applyFill="1" applyBorder="1" applyAlignment="1">
      <alignment horizontal="left"/>
    </xf>
    <xf numFmtId="0" fontId="9" fillId="12" borderId="48" xfId="0" applyFont="1" applyFill="1" applyBorder="1" applyAlignment="1">
      <alignment horizontal="center"/>
    </xf>
    <xf numFmtId="0" fontId="9" fillId="18" borderId="51" xfId="0" applyFont="1" applyFill="1" applyBorder="1" applyAlignment="1">
      <alignment horizontal="center"/>
    </xf>
    <xf numFmtId="0" fontId="9" fillId="12" borderId="20" xfId="0" applyFont="1" applyFill="1" applyBorder="1" applyAlignment="1">
      <alignment horizontal="center"/>
    </xf>
    <xf numFmtId="0" fontId="21" fillId="12" borderId="0" xfId="0" applyFont="1" applyFill="1" applyAlignment="1">
      <alignment horizontal="left"/>
    </xf>
    <xf numFmtId="15" fontId="12" fillId="18" borderId="0" xfId="0" applyNumberFormat="1" applyFont="1" applyFill="1" applyBorder="1" applyAlignment="1">
      <alignment horizontal="center"/>
    </xf>
    <xf numFmtId="0" fontId="13" fillId="23" borderId="0" xfId="0" applyFont="1" applyFill="1" applyBorder="1" applyAlignment="1">
      <alignment horizontal="center"/>
    </xf>
    <xf numFmtId="0" fontId="2" fillId="2" borderId="15" xfId="0" applyFont="1" applyFill="1" applyBorder="1" applyAlignment="1">
      <alignment horizontal="center" vertical="center"/>
    </xf>
    <xf numFmtId="0" fontId="2" fillId="2" borderId="45" xfId="0" applyFont="1" applyFill="1" applyBorder="1" applyAlignment="1">
      <alignment horizontal="center"/>
    </xf>
    <xf numFmtId="0" fontId="2" fillId="2" borderId="45" xfId="0" applyFont="1" applyFill="1" applyBorder="1"/>
    <xf numFmtId="0" fontId="2" fillId="2" borderId="48" xfId="0" applyFont="1" applyFill="1" applyBorder="1"/>
    <xf numFmtId="0" fontId="15" fillId="2" borderId="0" xfId="0" applyFont="1" applyFill="1" applyBorder="1"/>
    <xf numFmtId="0" fontId="12" fillId="14" borderId="0" xfId="0" applyFont="1" applyFill="1" applyBorder="1" applyAlignment="1">
      <alignment horizontal="left"/>
    </xf>
    <xf numFmtId="0" fontId="12" fillId="14" borderId="0" xfId="0" applyFont="1" applyFill="1" applyBorder="1" applyAlignment="1">
      <alignment horizontal="right"/>
    </xf>
    <xf numFmtId="0" fontId="8" fillId="10" borderId="13" xfId="0" applyFont="1" applyFill="1" applyBorder="1" applyAlignment="1">
      <alignment horizontal="center"/>
    </xf>
    <xf numFmtId="0" fontId="3" fillId="4" borderId="5" xfId="0" applyFont="1" applyFill="1" applyBorder="1" applyAlignment="1">
      <alignment horizontal="center" vertical="center"/>
    </xf>
    <xf numFmtId="0" fontId="2" fillId="9" borderId="0" xfId="0" applyFont="1" applyFill="1" applyBorder="1" applyAlignment="1">
      <alignment horizontal="center"/>
    </xf>
    <xf numFmtId="0" fontId="8" fillId="10" borderId="13" xfId="0" applyFont="1" applyFill="1" applyBorder="1" applyAlignment="1">
      <alignment horizontal="center"/>
    </xf>
    <xf numFmtId="0" fontId="3" fillId="4" borderId="5" xfId="0" applyFont="1" applyFill="1" applyBorder="1" applyAlignment="1">
      <alignment horizontal="center" vertical="center"/>
    </xf>
    <xf numFmtId="0" fontId="24" fillId="0" borderId="0" xfId="0" applyFont="1" applyFill="1" applyBorder="1" applyAlignment="1"/>
    <xf numFmtId="0" fontId="3" fillId="4" borderId="0" xfId="0" applyFont="1" applyFill="1" applyBorder="1" applyAlignment="1">
      <alignment vertical="center"/>
    </xf>
    <xf numFmtId="0" fontId="3" fillId="0" borderId="0" xfId="0" applyFont="1" applyFill="1" applyBorder="1" applyAlignment="1">
      <alignment vertical="center"/>
    </xf>
    <xf numFmtId="0" fontId="2" fillId="9" borderId="0" xfId="0" applyFont="1" applyFill="1" applyBorder="1" applyAlignment="1">
      <alignment horizontal="left"/>
    </xf>
    <xf numFmtId="0" fontId="3" fillId="4" borderId="5" xfId="0" applyFont="1" applyFill="1" applyBorder="1" applyAlignment="1">
      <alignment vertical="center"/>
    </xf>
    <xf numFmtId="0" fontId="3" fillId="4" borderId="8" xfId="0" applyFont="1" applyFill="1" applyBorder="1" applyAlignment="1">
      <alignment vertical="center"/>
    </xf>
    <xf numFmtId="9" fontId="0" fillId="0" borderId="0" xfId="2456" applyFont="1"/>
    <xf numFmtId="9" fontId="0" fillId="0" borderId="0" xfId="0" applyNumberFormat="1"/>
    <xf numFmtId="0" fontId="2" fillId="30" borderId="0" xfId="0" applyFont="1" applyFill="1" applyAlignment="1">
      <alignment horizontal="center"/>
    </xf>
    <xf numFmtId="0" fontId="0" fillId="0" borderId="52" xfId="0" applyBorder="1"/>
    <xf numFmtId="0" fontId="0" fillId="0" borderId="0" xfId="0" applyBorder="1"/>
    <xf numFmtId="0" fontId="28" fillId="0" borderId="0" xfId="0" applyFont="1"/>
    <xf numFmtId="0" fontId="28" fillId="0" borderId="35" xfId="0" applyFont="1" applyBorder="1"/>
    <xf numFmtId="0" fontId="28" fillId="0" borderId="36" xfId="0" applyFont="1" applyBorder="1"/>
    <xf numFmtId="0" fontId="28" fillId="0" borderId="37" xfId="0" applyFont="1"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35" xfId="0" applyBorder="1"/>
    <xf numFmtId="0" fontId="0" fillId="0" borderId="36" xfId="0" applyBorder="1"/>
    <xf numFmtId="9" fontId="0" fillId="30" borderId="37" xfId="2456" applyFont="1" applyFill="1" applyBorder="1"/>
    <xf numFmtId="9" fontId="0" fillId="30" borderId="43" xfId="2456" applyFont="1" applyFill="1" applyBorder="1"/>
    <xf numFmtId="2" fontId="2" fillId="9" borderId="0" xfId="0" applyNumberFormat="1" applyFont="1" applyFill="1" applyBorder="1" applyAlignment="1">
      <alignment horizontal="center"/>
    </xf>
    <xf numFmtId="2" fontId="2" fillId="9" borderId="28" xfId="0" applyNumberFormat="1" applyFont="1" applyFill="1" applyBorder="1" applyAlignment="1">
      <alignment horizontal="center"/>
    </xf>
    <xf numFmtId="0" fontId="3" fillId="30" borderId="13" xfId="0" applyFont="1" applyFill="1" applyBorder="1" applyAlignment="1">
      <alignment horizontal="center" vertical="center"/>
    </xf>
    <xf numFmtId="0" fontId="3" fillId="30" borderId="6" xfId="0" applyFont="1" applyFill="1" applyBorder="1" applyAlignment="1">
      <alignment horizontal="center" vertical="center"/>
    </xf>
    <xf numFmtId="0" fontId="19" fillId="4" borderId="1" xfId="0" applyFont="1" applyFill="1" applyBorder="1" applyAlignment="1">
      <alignment horizontal="center"/>
    </xf>
    <xf numFmtId="9" fontId="3" fillId="4" borderId="0" xfId="0" applyNumberFormat="1" applyFont="1" applyFill="1" applyBorder="1" applyAlignment="1">
      <alignment horizontal="center" vertical="center" wrapText="1"/>
    </xf>
    <xf numFmtId="9" fontId="3" fillId="4" borderId="6" xfId="0" applyNumberFormat="1" applyFont="1" applyFill="1" applyBorder="1" applyAlignment="1">
      <alignment horizontal="center" vertical="center" wrapText="1"/>
    </xf>
    <xf numFmtId="9" fontId="3" fillId="4" borderId="8" xfId="0" applyNumberFormat="1" applyFont="1" applyFill="1" applyBorder="1" applyAlignment="1">
      <alignment horizontal="center" vertical="center" wrapText="1"/>
    </xf>
    <xf numFmtId="2" fontId="2" fillId="9" borderId="20" xfId="0" applyNumberFormat="1" applyFont="1" applyFill="1" applyBorder="1" applyAlignment="1">
      <alignment horizontal="center"/>
    </xf>
    <xf numFmtId="0" fontId="8" fillId="10" borderId="13" xfId="0" applyFont="1" applyFill="1" applyBorder="1" applyAlignment="1">
      <alignment horizontal="center"/>
    </xf>
    <xf numFmtId="0" fontId="8" fillId="10" borderId="14" xfId="0" applyFont="1" applyFill="1" applyBorder="1" applyAlignment="1">
      <alignment horizontal="center"/>
    </xf>
    <xf numFmtId="2" fontId="2" fillId="9" borderId="25" xfId="0" applyNumberFormat="1" applyFont="1" applyFill="1" applyBorder="1" applyAlignment="1">
      <alignment horizontal="center"/>
    </xf>
    <xf numFmtId="2" fontId="2" fillId="9" borderId="13" xfId="0" applyNumberFormat="1" applyFont="1" applyFill="1" applyBorder="1" applyAlignment="1">
      <alignment horizontal="center"/>
    </xf>
    <xf numFmtId="1" fontId="2" fillId="9" borderId="20" xfId="0" applyNumberFormat="1" applyFont="1" applyFill="1" applyBorder="1" applyAlignment="1">
      <alignment horizontal="center"/>
    </xf>
    <xf numFmtId="1" fontId="2" fillId="9" borderId="0" xfId="0" applyNumberFormat="1" applyFont="1" applyFill="1" applyBorder="1" applyAlignment="1">
      <alignment horizontal="center"/>
    </xf>
    <xf numFmtId="2" fontId="2" fillId="9" borderId="26" xfId="0" applyNumberFormat="1" applyFont="1" applyFill="1" applyBorder="1" applyAlignment="1">
      <alignment horizontal="center"/>
    </xf>
    <xf numFmtId="1" fontId="2" fillId="9" borderId="25" xfId="0" applyNumberFormat="1" applyFont="1" applyFill="1" applyBorder="1" applyAlignment="1">
      <alignment horizontal="center"/>
    </xf>
    <xf numFmtId="1" fontId="2" fillId="9" borderId="5" xfId="0" applyNumberFormat="1" applyFont="1" applyFill="1" applyBorder="1" applyAlignment="1">
      <alignment horizontal="center"/>
    </xf>
    <xf numFmtId="1" fontId="2" fillId="9" borderId="28" xfId="0" applyNumberFormat="1" applyFont="1" applyFill="1" applyBorder="1" applyAlignment="1">
      <alignment horizontal="center"/>
    </xf>
    <xf numFmtId="0" fontId="8" fillId="10" borderId="12" xfId="0" applyFont="1" applyFill="1" applyBorder="1" applyAlignment="1">
      <alignment horizontal="center"/>
    </xf>
    <xf numFmtId="1" fontId="2" fillId="9" borderId="27" xfId="0" applyNumberFormat="1" applyFont="1" applyFill="1" applyBorder="1" applyAlignment="1">
      <alignment horizontal="center"/>
    </xf>
    <xf numFmtId="0" fontId="8" fillId="10" borderId="26" xfId="0" applyFont="1" applyFill="1" applyBorder="1" applyAlignment="1">
      <alignment horizontal="center"/>
    </xf>
    <xf numFmtId="0" fontId="8" fillId="10" borderId="27" xfId="0" applyFont="1" applyFill="1" applyBorder="1" applyAlignment="1">
      <alignment horizontal="center"/>
    </xf>
    <xf numFmtId="164" fontId="2" fillId="9" borderId="4" xfId="0" applyNumberFormat="1" applyFont="1" applyFill="1" applyBorder="1" applyAlignment="1">
      <alignment horizontal="center"/>
    </xf>
    <xf numFmtId="164" fontId="2" fillId="9" borderId="0" xfId="0" applyNumberFormat="1" applyFont="1" applyFill="1" applyBorder="1" applyAlignment="1">
      <alignment horizontal="center"/>
    </xf>
    <xf numFmtId="0" fontId="3" fillId="4" borderId="0" xfId="0" applyFont="1" applyFill="1" applyBorder="1" applyAlignment="1">
      <alignment horizontal="center" vertical="center" wrapText="1"/>
    </xf>
    <xf numFmtId="0" fontId="2" fillId="9" borderId="0" xfId="0" applyFont="1" applyFill="1" applyBorder="1" applyAlignment="1">
      <alignment horizontal="center"/>
    </xf>
    <xf numFmtId="2" fontId="2" fillId="9" borderId="15" xfId="0" applyNumberFormat="1" applyFont="1" applyFill="1" applyBorder="1" applyAlignment="1">
      <alignment horizontal="center"/>
    </xf>
    <xf numFmtId="2" fontId="2" fillId="9" borderId="4" xfId="0" applyNumberFormat="1" applyFont="1" applyFill="1" applyBorder="1" applyAlignment="1">
      <alignment horizontal="center"/>
    </xf>
    <xf numFmtId="0" fontId="8" fillId="10" borderId="18" xfId="0" applyFont="1" applyFill="1" applyBorder="1" applyAlignment="1">
      <alignment horizontal="center"/>
    </xf>
    <xf numFmtId="9" fontId="3" fillId="4" borderId="17" xfId="0" applyNumberFormat="1" applyFont="1" applyFill="1" applyBorder="1" applyAlignment="1">
      <alignment horizontal="center" vertical="center" wrapText="1"/>
    </xf>
    <xf numFmtId="0" fontId="30" fillId="31" borderId="0" xfId="0" applyFont="1" applyFill="1" applyAlignment="1">
      <alignment horizontal="center" vertical="center"/>
    </xf>
    <xf numFmtId="0" fontId="30" fillId="31" borderId="0" xfId="0" applyFont="1" applyFill="1" applyAlignment="1">
      <alignment horizontal="center" vertical="center" wrapText="1"/>
    </xf>
    <xf numFmtId="0" fontId="30" fillId="0" borderId="0" xfId="0" applyFont="1" applyAlignment="1">
      <alignment horizontal="center" vertical="center"/>
    </xf>
    <xf numFmtId="0" fontId="30" fillId="0" borderId="0" xfId="0" applyFont="1" applyAlignment="1">
      <alignment horizontal="center" vertical="center" wrapText="1"/>
    </xf>
    <xf numFmtId="0" fontId="31" fillId="32" borderId="0" xfId="0" applyFont="1" applyFill="1" applyAlignment="1">
      <alignment horizontal="center" vertical="center" wrapText="1"/>
    </xf>
    <xf numFmtId="0" fontId="31" fillId="32" borderId="9" xfId="0" applyFont="1" applyFill="1" applyBorder="1" applyAlignment="1">
      <alignment horizontal="center" vertical="center" wrapText="1"/>
    </xf>
    <xf numFmtId="0" fontId="0" fillId="0" borderId="0" xfId="0" applyFill="1" applyBorder="1"/>
    <xf numFmtId="0" fontId="30" fillId="0" borderId="0" xfId="0" applyFont="1" applyFill="1" applyBorder="1" applyAlignment="1">
      <alignment horizontal="center" vertical="center"/>
    </xf>
    <xf numFmtId="0" fontId="28" fillId="0" borderId="0" xfId="0" applyFont="1" applyFill="1" applyBorder="1" applyAlignment="1">
      <alignment horizontal="center"/>
    </xf>
    <xf numFmtId="0" fontId="31" fillId="32" borderId="53" xfId="0" applyFont="1" applyFill="1" applyBorder="1" applyAlignment="1">
      <alignment vertical="center"/>
    </xf>
    <xf numFmtId="0" fontId="31" fillId="32" borderId="53" xfId="0" applyFont="1" applyFill="1" applyBorder="1" applyAlignment="1">
      <alignment horizontal="center" vertical="center"/>
    </xf>
    <xf numFmtId="0" fontId="31" fillId="32" borderId="53" xfId="0" applyFont="1" applyFill="1" applyBorder="1" applyAlignment="1">
      <alignment horizontal="center" vertical="center" wrapText="1"/>
    </xf>
    <xf numFmtId="0" fontId="30" fillId="0" borderId="0" xfId="0" applyFont="1" applyAlignment="1">
      <alignment vertical="center"/>
    </xf>
    <xf numFmtId="0" fontId="30" fillId="0" borderId="9" xfId="0" applyFont="1" applyBorder="1" applyAlignment="1">
      <alignment vertical="center"/>
    </xf>
    <xf numFmtId="0" fontId="30" fillId="0" borderId="9" xfId="0" applyFont="1" applyBorder="1" applyAlignment="1">
      <alignment horizontal="center" vertical="center"/>
    </xf>
    <xf numFmtId="0" fontId="30" fillId="32" borderId="0" xfId="0" applyFont="1" applyFill="1" applyAlignment="1">
      <alignment vertical="center"/>
    </xf>
    <xf numFmtId="0" fontId="30" fillId="0" borderId="9" xfId="0" applyFont="1" applyBorder="1" applyAlignment="1">
      <alignment horizontal="center" vertical="center" wrapText="1"/>
    </xf>
    <xf numFmtId="0" fontId="30" fillId="32" borderId="9" xfId="0" applyFont="1" applyFill="1" applyBorder="1" applyAlignment="1">
      <alignment vertical="center"/>
    </xf>
    <xf numFmtId="0" fontId="32" fillId="32" borderId="1" xfId="0" applyFont="1" applyFill="1" applyBorder="1" applyAlignment="1">
      <alignment horizontal="center" vertical="center"/>
    </xf>
    <xf numFmtId="0" fontId="32" fillId="32" borderId="9" xfId="0" applyFont="1" applyFill="1" applyBorder="1" applyAlignment="1">
      <alignment horizontal="center" vertical="center"/>
    </xf>
    <xf numFmtId="0" fontId="32" fillId="0" borderId="0" xfId="0" applyFont="1" applyAlignment="1">
      <alignment horizontal="center" vertical="center"/>
    </xf>
    <xf numFmtId="0" fontId="33" fillId="0" borderId="0" xfId="0" applyFont="1" applyAlignment="1">
      <alignment horizontal="center" vertical="center"/>
    </xf>
    <xf numFmtId="0" fontId="29" fillId="0" borderId="0" xfId="0" applyFont="1" applyAlignment="1">
      <alignment horizontal="center" vertical="center"/>
    </xf>
    <xf numFmtId="0" fontId="32" fillId="0" borderId="9" xfId="0" applyFont="1" applyBorder="1" applyAlignment="1">
      <alignment horizontal="center" vertical="center"/>
    </xf>
    <xf numFmtId="0" fontId="33" fillId="0" borderId="9" xfId="0" applyFont="1" applyBorder="1" applyAlignment="1">
      <alignment horizontal="center" vertical="center"/>
    </xf>
    <xf numFmtId="0" fontId="29" fillId="0" borderId="9" xfId="0" applyFont="1" applyBorder="1" applyAlignment="1">
      <alignment horizontal="center" vertical="center"/>
    </xf>
    <xf numFmtId="0" fontId="32" fillId="0" borderId="9" xfId="0" applyFont="1" applyBorder="1" applyAlignment="1">
      <alignment horizontal="center" vertical="center" wrapText="1"/>
    </xf>
    <xf numFmtId="0" fontId="29" fillId="0" borderId="0" xfId="0" applyFont="1"/>
    <xf numFmtId="0" fontId="29" fillId="32" borderId="54" xfId="0" applyFont="1" applyFill="1" applyBorder="1" applyAlignment="1">
      <alignment vertical="center" wrapText="1"/>
    </xf>
    <xf numFmtId="0" fontId="31" fillId="32" borderId="55" xfId="0" applyFont="1" applyFill="1" applyBorder="1" applyAlignment="1">
      <alignment horizontal="center" vertical="center"/>
    </xf>
    <xf numFmtId="0" fontId="32" fillId="32" borderId="57" xfId="0" applyFont="1" applyFill="1" applyBorder="1" applyAlignment="1">
      <alignment horizontal="center" vertical="center"/>
    </xf>
    <xf numFmtId="0" fontId="31" fillId="32" borderId="56" xfId="0" applyFont="1" applyFill="1" applyBorder="1" applyAlignment="1">
      <alignment horizontal="center" vertical="center"/>
    </xf>
    <xf numFmtId="0" fontId="31" fillId="32" borderId="9" xfId="0" applyFont="1" applyFill="1" applyBorder="1" applyAlignment="1">
      <alignment horizontal="center" vertical="center"/>
    </xf>
    <xf numFmtId="0" fontId="34" fillId="0" borderId="58" xfId="0" applyFont="1" applyBorder="1" applyAlignment="1">
      <alignment horizontal="center" vertical="center"/>
    </xf>
    <xf numFmtId="0" fontId="29" fillId="0" borderId="59" xfId="0" applyFont="1" applyBorder="1" applyAlignment="1">
      <alignment horizontal="center" vertical="center"/>
    </xf>
    <xf numFmtId="0" fontId="34" fillId="0" borderId="59" xfId="0" applyFont="1" applyBorder="1" applyAlignment="1">
      <alignment horizontal="center" vertical="center" wrapText="1"/>
    </xf>
    <xf numFmtId="0" fontId="29" fillId="0" borderId="56" xfId="0" applyFont="1" applyBorder="1" applyAlignment="1">
      <alignment horizontal="center" vertical="center"/>
    </xf>
    <xf numFmtId="0" fontId="32" fillId="0" borderId="54" xfId="0" applyFont="1" applyBorder="1" applyAlignment="1">
      <alignment vertical="center"/>
    </xf>
    <xf numFmtId="0" fontId="29" fillId="0" borderId="56" xfId="0" applyFont="1" applyBorder="1" applyAlignment="1">
      <alignment horizontal="right" vertical="center"/>
    </xf>
    <xf numFmtId="0" fontId="29" fillId="0" borderId="53" xfId="0" applyFont="1" applyBorder="1" applyAlignment="1">
      <alignment horizontal="right" vertical="center"/>
    </xf>
    <xf numFmtId="0" fontId="29" fillId="0" borderId="55" xfId="0" applyFont="1" applyBorder="1" applyAlignment="1">
      <alignment horizontal="right" vertical="center"/>
    </xf>
    <xf numFmtId="0" fontId="29" fillId="0" borderId="55" xfId="0" applyFont="1" applyBorder="1" applyAlignment="1">
      <alignment horizontal="right" vertical="center" wrapText="1"/>
    </xf>
    <xf numFmtId="0" fontId="32" fillId="0" borderId="57" xfId="0" applyFont="1" applyBorder="1" applyAlignment="1">
      <alignment vertical="center"/>
    </xf>
    <xf numFmtId="0" fontId="34" fillId="0" borderId="56" xfId="0" applyFont="1" applyBorder="1" applyAlignment="1">
      <alignment horizontal="right" vertical="center"/>
    </xf>
    <xf numFmtId="0" fontId="29" fillId="0" borderId="56" xfId="0" applyFont="1" applyBorder="1" applyAlignment="1">
      <alignment horizontal="right" vertical="center" wrapText="1"/>
    </xf>
    <xf numFmtId="0" fontId="28" fillId="0" borderId="36" xfId="0" applyFont="1" applyBorder="1" applyAlignment="1">
      <alignment wrapText="1"/>
    </xf>
    <xf numFmtId="0" fontId="30" fillId="30" borderId="0" xfId="0" applyFont="1" applyFill="1" applyAlignment="1">
      <alignment horizontal="center" vertical="center"/>
    </xf>
    <xf numFmtId="0" fontId="30" fillId="30" borderId="9" xfId="0" applyFont="1" applyFill="1" applyBorder="1" applyAlignment="1">
      <alignment horizontal="center" vertical="center"/>
    </xf>
    <xf numFmtId="0" fontId="30" fillId="30" borderId="0" xfId="0" applyFont="1" applyFill="1" applyAlignment="1">
      <alignment horizontal="center" vertical="center" wrapText="1"/>
    </xf>
    <xf numFmtId="0" fontId="28" fillId="0" borderId="0" xfId="0" applyFont="1" applyAlignment="1">
      <alignment wrapText="1"/>
    </xf>
    <xf numFmtId="0" fontId="28" fillId="0" borderId="38" xfId="0" applyFont="1" applyBorder="1"/>
    <xf numFmtId="0" fontId="28" fillId="0" borderId="41" xfId="0" applyFont="1" applyBorder="1"/>
    <xf numFmtId="0" fontId="0" fillId="0" borderId="6" xfId="0" applyBorder="1"/>
    <xf numFmtId="0" fontId="28" fillId="0" borderId="35" xfId="0" applyFont="1" applyBorder="1" applyAlignment="1">
      <alignment wrapText="1"/>
    </xf>
    <xf numFmtId="0" fontId="28" fillId="0" borderId="37" xfId="0" applyFont="1" applyBorder="1" applyAlignment="1">
      <alignment wrapText="1"/>
    </xf>
    <xf numFmtId="0" fontId="36" fillId="0" borderId="0" xfId="0" applyFont="1" applyFill="1" applyBorder="1" applyAlignment="1">
      <alignment horizontal="center" vertical="center"/>
    </xf>
    <xf numFmtId="0" fontId="0" fillId="33" borderId="37" xfId="0" applyFill="1" applyBorder="1"/>
    <xf numFmtId="0" fontId="0" fillId="33" borderId="40" xfId="0" applyFill="1" applyBorder="1"/>
    <xf numFmtId="0" fontId="0" fillId="33" borderId="43" xfId="0" applyFill="1" applyBorder="1"/>
    <xf numFmtId="0" fontId="29" fillId="0" borderId="0" xfId="0" applyFont="1" applyFill="1" applyBorder="1" applyAlignment="1">
      <alignment horizontal="center" vertical="center"/>
    </xf>
    <xf numFmtId="0" fontId="37" fillId="0" borderId="0" xfId="0" applyFont="1" applyAlignment="1">
      <alignment horizontal="center"/>
    </xf>
    <xf numFmtId="0" fontId="29" fillId="0" borderId="0" xfId="0" applyFont="1" applyAlignment="1">
      <alignment horizontal="center"/>
    </xf>
    <xf numFmtId="0" fontId="0" fillId="0" borderId="0" xfId="0" applyAlignment="1">
      <alignment horizontal="center"/>
    </xf>
    <xf numFmtId="9" fontId="0" fillId="33" borderId="42" xfId="2456" applyFont="1" applyFill="1" applyBorder="1"/>
    <xf numFmtId="9" fontId="0" fillId="33" borderId="43" xfId="2456" applyFont="1" applyFill="1" applyBorder="1"/>
    <xf numFmtId="0" fontId="28" fillId="0" borderId="6" xfId="0" applyFont="1" applyBorder="1"/>
    <xf numFmtId="0" fontId="28" fillId="0" borderId="62" xfId="0" applyFont="1" applyBorder="1"/>
    <xf numFmtId="9" fontId="0" fillId="33" borderId="39" xfId="2456" applyFont="1" applyFill="1" applyBorder="1"/>
    <xf numFmtId="9" fontId="0" fillId="33" borderId="40" xfId="2456" applyFont="1" applyFill="1" applyBorder="1"/>
    <xf numFmtId="0" fontId="0" fillId="0" borderId="0" xfId="0" applyFill="1"/>
    <xf numFmtId="0" fontId="30" fillId="0" borderId="0" xfId="0" applyFont="1" applyFill="1" applyBorder="1" applyAlignment="1">
      <alignment vertical="center"/>
    </xf>
    <xf numFmtId="0" fontId="38" fillId="0" borderId="0" xfId="0" applyFont="1" applyFill="1" applyBorder="1" applyAlignment="1">
      <alignment horizontal="center" vertical="center"/>
    </xf>
    <xf numFmtId="0" fontId="39" fillId="0" borderId="0" xfId="0" applyFont="1" applyFill="1" applyBorder="1" applyAlignment="1">
      <alignment horizontal="center" vertical="center"/>
    </xf>
    <xf numFmtId="0" fontId="28" fillId="0" borderId="0" xfId="0" applyFont="1" applyBorder="1"/>
    <xf numFmtId="0" fontId="31" fillId="32" borderId="60" xfId="0" applyFont="1" applyFill="1" applyBorder="1" applyAlignment="1">
      <alignment horizontal="center" vertical="center"/>
    </xf>
    <xf numFmtId="0" fontId="31" fillId="32" borderId="61" xfId="0" applyFont="1" applyFill="1" applyBorder="1" applyAlignment="1">
      <alignment horizontal="center" vertical="center" wrapText="1"/>
    </xf>
    <xf numFmtId="0" fontId="31" fillId="32" borderId="57" xfId="0" applyFont="1" applyFill="1" applyBorder="1" applyAlignment="1">
      <alignment horizontal="center" vertical="center" wrapText="1"/>
    </xf>
    <xf numFmtId="0" fontId="29" fillId="0" borderId="60" xfId="0" applyFont="1" applyBorder="1" applyAlignment="1">
      <alignment horizontal="center" vertical="center"/>
    </xf>
    <xf numFmtId="0" fontId="29" fillId="0" borderId="55" xfId="0" applyFont="1" applyBorder="1" applyAlignment="1">
      <alignment horizontal="center" vertical="center"/>
    </xf>
    <xf numFmtId="0" fontId="28" fillId="0" borderId="38" xfId="0" applyFont="1" applyBorder="1" applyAlignment="1">
      <alignment horizontal="right"/>
    </xf>
    <xf numFmtId="0" fontId="28" fillId="0" borderId="0" xfId="0" applyFont="1" applyAlignment="1">
      <alignment horizontal="right"/>
    </xf>
    <xf numFmtId="0" fontId="2" fillId="5" borderId="0" xfId="0" applyFont="1" applyFill="1" applyBorder="1" applyAlignment="1">
      <alignment horizontal="center"/>
    </xf>
    <xf numFmtId="0" fontId="2" fillId="6" borderId="0" xfId="0" applyFont="1" applyFill="1" applyBorder="1" applyAlignment="1"/>
    <xf numFmtId="166" fontId="0" fillId="33" borderId="39" xfId="2456" applyNumberFormat="1" applyFont="1" applyFill="1" applyBorder="1"/>
    <xf numFmtId="166" fontId="0" fillId="33" borderId="40" xfId="2456" applyNumberFormat="1" applyFont="1" applyFill="1" applyBorder="1"/>
    <xf numFmtId="166" fontId="0" fillId="33" borderId="42" xfId="2456" applyNumberFormat="1" applyFont="1" applyFill="1" applyBorder="1"/>
    <xf numFmtId="166" fontId="0" fillId="33" borderId="43" xfId="2456" applyNumberFormat="1" applyFont="1" applyFill="1" applyBorder="1"/>
    <xf numFmtId="166" fontId="0" fillId="0" borderId="0" xfId="0" applyNumberFormat="1"/>
    <xf numFmtId="2" fontId="2" fillId="9" borderId="0" xfId="0" applyNumberFormat="1" applyFont="1" applyFill="1" applyBorder="1" applyAlignment="1">
      <alignment horizontal="center"/>
    </xf>
    <xf numFmtId="2" fontId="2" fillId="9" borderId="20" xfId="0" applyNumberFormat="1" applyFont="1" applyFill="1" applyBorder="1" applyAlignment="1">
      <alignment horizontal="center"/>
    </xf>
    <xf numFmtId="9" fontId="3" fillId="4" borderId="6" xfId="0" applyNumberFormat="1" applyFont="1" applyFill="1" applyBorder="1" applyAlignment="1">
      <alignment horizontal="center" vertical="center" wrapText="1"/>
    </xf>
    <xf numFmtId="2" fontId="2" fillId="9" borderId="4" xfId="0" applyNumberFormat="1" applyFont="1" applyFill="1" applyBorder="1" applyAlignment="1">
      <alignment horizontal="center"/>
    </xf>
    <xf numFmtId="2" fontId="2" fillId="9" borderId="13" xfId="0" applyNumberFormat="1" applyFont="1" applyFill="1" applyBorder="1" applyAlignment="1">
      <alignment horizontal="center"/>
    </xf>
    <xf numFmtId="2" fontId="2" fillId="9" borderId="18" xfId="0" applyNumberFormat="1" applyFont="1" applyFill="1" applyBorder="1" applyAlignment="1">
      <alignment horizontal="center"/>
    </xf>
    <xf numFmtId="2" fontId="2" fillId="9" borderId="15" xfId="0" applyNumberFormat="1" applyFont="1" applyFill="1" applyBorder="1" applyAlignment="1">
      <alignment horizontal="center"/>
    </xf>
    <xf numFmtId="2" fontId="2" fillId="9" borderId="25" xfId="0" applyNumberFormat="1" applyFont="1" applyFill="1" applyBorder="1" applyAlignment="1">
      <alignment horizontal="center"/>
    </xf>
    <xf numFmtId="2" fontId="2" fillId="9" borderId="23" xfId="0" applyNumberFormat="1" applyFont="1" applyFill="1" applyBorder="1" applyAlignment="1">
      <alignment horizontal="center"/>
    </xf>
    <xf numFmtId="2" fontId="2" fillId="9" borderId="26" xfId="0" applyNumberFormat="1" applyFont="1" applyFill="1" applyBorder="1" applyAlignment="1">
      <alignment horizontal="center"/>
    </xf>
    <xf numFmtId="9" fontId="3" fillId="4" borderId="8" xfId="0" applyNumberFormat="1" applyFont="1" applyFill="1" applyBorder="1" applyAlignment="1">
      <alignment horizontal="center" vertical="center" wrapText="1"/>
    </xf>
    <xf numFmtId="2" fontId="2" fillId="9" borderId="28" xfId="0" applyNumberFormat="1" applyFont="1" applyFill="1" applyBorder="1" applyAlignment="1">
      <alignment horizontal="center"/>
    </xf>
    <xf numFmtId="9" fontId="3" fillId="4" borderId="7" xfId="0" applyNumberFormat="1" applyFont="1" applyFill="1" applyBorder="1" applyAlignment="1">
      <alignment horizontal="center" vertical="center" wrapText="1"/>
    </xf>
    <xf numFmtId="165" fontId="2" fillId="8" borderId="28" xfId="0" applyNumberFormat="1" applyFont="1" applyFill="1" applyBorder="1" applyAlignment="1">
      <alignment horizontal="center"/>
    </xf>
    <xf numFmtId="165" fontId="2" fillId="6" borderId="28" xfId="0" applyNumberFormat="1" applyFont="1" applyFill="1" applyBorder="1" applyAlignment="1">
      <alignment horizontal="center"/>
    </xf>
    <xf numFmtId="0" fontId="19" fillId="0" borderId="0" xfId="0" applyFont="1" applyFill="1" applyBorder="1" applyAlignment="1"/>
    <xf numFmtId="0" fontId="3" fillId="0" borderId="0" xfId="0" applyFont="1" applyFill="1" applyBorder="1" applyAlignment="1">
      <alignment horizontal="center" wrapText="1"/>
    </xf>
    <xf numFmtId="0" fontId="3" fillId="0" borderId="0" xfId="0" applyFont="1" applyFill="1" applyAlignment="1"/>
    <xf numFmtId="9" fontId="3" fillId="4" borderId="0" xfId="0" applyNumberFormat="1" applyFont="1" applyFill="1" applyBorder="1" applyAlignment="1">
      <alignment vertical="center" wrapText="1"/>
    </xf>
    <xf numFmtId="9" fontId="2" fillId="9" borderId="0" xfId="2456" applyFont="1" applyFill="1" applyBorder="1" applyAlignment="1">
      <alignment horizontal="center"/>
    </xf>
    <xf numFmtId="0" fontId="2" fillId="9" borderId="0" xfId="0" applyNumberFormat="1" applyFont="1" applyFill="1" applyBorder="1" applyAlignment="1">
      <alignment horizontal="center"/>
    </xf>
    <xf numFmtId="0" fontId="2" fillId="9" borderId="28" xfId="0" applyNumberFormat="1" applyFont="1" applyFill="1" applyBorder="1" applyAlignment="1">
      <alignment horizontal="center"/>
    </xf>
    <xf numFmtId="9" fontId="2" fillId="8" borderId="0" xfId="2456" applyFont="1" applyFill="1" applyBorder="1" applyAlignment="1">
      <alignment horizontal="center"/>
    </xf>
    <xf numFmtId="165" fontId="2" fillId="8" borderId="0" xfId="2456" applyNumberFormat="1" applyFont="1" applyFill="1" applyBorder="1" applyAlignment="1">
      <alignment horizontal="center"/>
    </xf>
    <xf numFmtId="9" fontId="2" fillId="6" borderId="0" xfId="2456" applyFont="1" applyFill="1" applyBorder="1" applyAlignment="1">
      <alignment horizontal="center"/>
    </xf>
    <xf numFmtId="0" fontId="3" fillId="0" borderId="0" xfId="0" applyFont="1" applyFill="1" applyAlignment="1">
      <alignment horizontal="center"/>
    </xf>
    <xf numFmtId="9" fontId="2" fillId="9" borderId="27" xfId="0" applyNumberFormat="1" applyFont="1" applyFill="1" applyBorder="1" applyAlignment="1">
      <alignment horizontal="center"/>
    </xf>
    <xf numFmtId="9" fontId="2" fillId="9" borderId="28" xfId="0" applyNumberFormat="1" applyFont="1" applyFill="1" applyBorder="1" applyAlignment="1">
      <alignment horizontal="center"/>
    </xf>
    <xf numFmtId="9" fontId="2" fillId="8" borderId="28" xfId="0" applyNumberFormat="1" applyFont="1" applyFill="1" applyBorder="1" applyAlignment="1">
      <alignment horizontal="center"/>
    </xf>
    <xf numFmtId="9" fontId="2" fillId="6" borderId="28" xfId="0" applyNumberFormat="1" applyFont="1" applyFill="1" applyBorder="1" applyAlignment="1">
      <alignment horizontal="center"/>
    </xf>
    <xf numFmtId="9" fontId="3" fillId="4" borderId="5" xfId="0" applyNumberFormat="1" applyFont="1" applyFill="1" applyBorder="1" applyAlignment="1">
      <alignment vertical="center" wrapText="1"/>
    </xf>
    <xf numFmtId="0" fontId="2" fillId="34" borderId="0" xfId="0" applyFont="1" applyFill="1" applyAlignment="1">
      <alignment horizontal="center"/>
    </xf>
    <xf numFmtId="0" fontId="2" fillId="0" borderId="0" xfId="0" applyFont="1" applyFill="1" applyAlignment="1"/>
    <xf numFmtId="165" fontId="2" fillId="9" borderId="0" xfId="2456" applyNumberFormat="1" applyFont="1" applyFill="1" applyBorder="1" applyAlignment="1">
      <alignment horizontal="center"/>
    </xf>
    <xf numFmtId="2" fontId="2" fillId="9" borderId="0" xfId="0" applyNumberFormat="1" applyFont="1" applyFill="1" applyBorder="1" applyAlignment="1"/>
    <xf numFmtId="9" fontId="3" fillId="4" borderId="21" xfId="0" applyNumberFormat="1" applyFont="1" applyFill="1" applyBorder="1" applyAlignment="1">
      <alignment vertical="center" wrapText="1"/>
    </xf>
    <xf numFmtId="9" fontId="3" fillId="4" borderId="6" xfId="0" applyNumberFormat="1" applyFont="1" applyFill="1" applyBorder="1" applyAlignment="1">
      <alignment vertical="center" wrapText="1"/>
    </xf>
    <xf numFmtId="9" fontId="2" fillId="6" borderId="31" xfId="0" applyNumberFormat="1" applyFont="1" applyFill="1" applyBorder="1" applyAlignment="1">
      <alignment horizontal="center"/>
    </xf>
    <xf numFmtId="164" fontId="2" fillId="6" borderId="31" xfId="0" applyNumberFormat="1" applyFont="1" applyFill="1" applyBorder="1" applyAlignment="1">
      <alignment horizontal="center"/>
    </xf>
    <xf numFmtId="1" fontId="2" fillId="9" borderId="23" xfId="0" applyNumberFormat="1" applyFont="1" applyFill="1" applyBorder="1" applyAlignment="1">
      <alignment horizontal="center"/>
    </xf>
    <xf numFmtId="164" fontId="2" fillId="9" borderId="18" xfId="0" applyNumberFormat="1" applyFont="1" applyFill="1" applyBorder="1" applyAlignment="1">
      <alignment horizontal="center"/>
    </xf>
    <xf numFmtId="164" fontId="2" fillId="9" borderId="15" xfId="0" applyNumberFormat="1" applyFont="1" applyFill="1" applyBorder="1" applyAlignment="1">
      <alignment horizontal="center"/>
    </xf>
    <xf numFmtId="10" fontId="3" fillId="28" borderId="17" xfId="0" applyNumberFormat="1" applyFont="1" applyFill="1" applyBorder="1" applyAlignment="1">
      <alignment horizontal="center"/>
    </xf>
    <xf numFmtId="2" fontId="2" fillId="6" borderId="31" xfId="0" applyNumberFormat="1" applyFont="1" applyFill="1" applyBorder="1" applyAlignment="1">
      <alignment horizontal="center"/>
    </xf>
    <xf numFmtId="2" fontId="2" fillId="8" borderId="64" xfId="0" applyNumberFormat="1" applyFont="1" applyFill="1" applyBorder="1" applyAlignment="1">
      <alignment horizontal="center"/>
    </xf>
    <xf numFmtId="0" fontId="3" fillId="4" borderId="65" xfId="0" applyFont="1" applyFill="1" applyBorder="1" applyAlignment="1">
      <alignment horizontal="center" wrapText="1"/>
    </xf>
    <xf numFmtId="2" fontId="2" fillId="9" borderId="13" xfId="0" applyNumberFormat="1" applyFont="1" applyFill="1" applyBorder="1" applyAlignment="1"/>
    <xf numFmtId="2" fontId="2" fillId="9" borderId="23" xfId="0" applyNumberFormat="1" applyFont="1" applyFill="1" applyBorder="1" applyAlignment="1"/>
    <xf numFmtId="164" fontId="2" fillId="35" borderId="5" xfId="0" applyNumberFormat="1" applyFont="1" applyFill="1" applyBorder="1" applyAlignment="1">
      <alignment horizontal="center"/>
    </xf>
    <xf numFmtId="2" fontId="2" fillId="9" borderId="12" xfId="0" applyNumberFormat="1" applyFont="1" applyFill="1" applyBorder="1" applyAlignment="1">
      <alignment horizontal="center"/>
    </xf>
    <xf numFmtId="2" fontId="2" fillId="9" borderId="66" xfId="0" applyNumberFormat="1" applyFont="1" applyFill="1" applyBorder="1" applyAlignment="1">
      <alignment horizontal="center"/>
    </xf>
    <xf numFmtId="0" fontId="3" fillId="4" borderId="71" xfId="0" applyFont="1" applyFill="1" applyBorder="1" applyAlignment="1">
      <alignment horizontal="center" wrapText="1"/>
    </xf>
    <xf numFmtId="2" fontId="2" fillId="9" borderId="64" xfId="0" applyNumberFormat="1" applyFont="1" applyFill="1" applyBorder="1" applyAlignment="1">
      <alignment horizontal="center"/>
    </xf>
    <xf numFmtId="0" fontId="0" fillId="2" borderId="72" xfId="0" applyFill="1" applyBorder="1"/>
    <xf numFmtId="0" fontId="3" fillId="4" borderId="74" xfId="0" applyFont="1" applyFill="1" applyBorder="1" applyAlignment="1">
      <alignment horizontal="center" wrapText="1"/>
    </xf>
    <xf numFmtId="2" fontId="2" fillId="9" borderId="0" xfId="0" applyNumberFormat="1" applyFont="1" applyFill="1" applyAlignment="1">
      <alignment horizontal="center"/>
    </xf>
    <xf numFmtId="2" fontId="2" fillId="8" borderId="0" xfId="0" applyNumberFormat="1" applyFont="1" applyFill="1" applyAlignment="1">
      <alignment horizontal="center"/>
    </xf>
    <xf numFmtId="2" fontId="2" fillId="8" borderId="66" xfId="0" applyNumberFormat="1" applyFont="1" applyFill="1" applyBorder="1" applyAlignment="1">
      <alignment horizontal="center"/>
    </xf>
    <xf numFmtId="2" fontId="2" fillId="35" borderId="0" xfId="0" applyNumberFormat="1" applyFont="1" applyFill="1" applyAlignment="1">
      <alignment horizontal="center"/>
    </xf>
    <xf numFmtId="2" fontId="2" fillId="35" borderId="66" xfId="0" applyNumberFormat="1" applyFont="1" applyFill="1" applyBorder="1" applyAlignment="1">
      <alignment horizontal="center"/>
    </xf>
    <xf numFmtId="2" fontId="2" fillId="35" borderId="64" xfId="0" applyNumberFormat="1" applyFont="1" applyFill="1" applyBorder="1" applyAlignment="1">
      <alignment horizontal="center"/>
    </xf>
    <xf numFmtId="2" fontId="2" fillId="6" borderId="64" xfId="0" applyNumberFormat="1" applyFont="1" applyFill="1" applyBorder="1" applyAlignment="1">
      <alignment horizontal="center"/>
    </xf>
    <xf numFmtId="0" fontId="0" fillId="0" borderId="75" xfId="0" applyBorder="1"/>
    <xf numFmtId="0" fontId="0" fillId="0" borderId="75" xfId="0" applyFill="1" applyBorder="1"/>
    <xf numFmtId="0" fontId="3" fillId="7" borderId="12" xfId="0" applyFont="1" applyFill="1" applyBorder="1" applyAlignment="1">
      <alignment vertical="center"/>
    </xf>
    <xf numFmtId="0" fontId="3" fillId="7" borderId="7" xfId="0" applyFont="1" applyFill="1" applyBorder="1" applyAlignment="1">
      <alignment vertical="center"/>
    </xf>
    <xf numFmtId="0" fontId="3" fillId="4" borderId="4" xfId="0" applyFont="1" applyFill="1" applyBorder="1" applyAlignment="1">
      <alignment wrapText="1"/>
    </xf>
    <xf numFmtId="0" fontId="3" fillId="4" borderId="0" xfId="0" applyFont="1" applyFill="1" applyBorder="1" applyAlignment="1">
      <alignment wrapText="1"/>
    </xf>
    <xf numFmtId="0" fontId="42" fillId="36" borderId="0" xfId="0" applyFont="1" applyFill="1" applyBorder="1" applyAlignment="1">
      <alignment horizontal="right" vertical="center"/>
    </xf>
    <xf numFmtId="0" fontId="42" fillId="36" borderId="0" xfId="0" applyFont="1" applyFill="1" applyBorder="1" applyAlignment="1">
      <alignment horizontal="center" vertical="center"/>
    </xf>
    <xf numFmtId="0" fontId="42" fillId="36" borderId="0" xfId="0" applyFont="1" applyFill="1" applyBorder="1" applyAlignment="1">
      <alignment vertical="center"/>
    </xf>
    <xf numFmtId="2" fontId="2" fillId="35" borderId="0" xfId="0" applyNumberFormat="1" applyFont="1" applyFill="1" applyBorder="1" applyAlignment="1">
      <alignment horizontal="center"/>
    </xf>
    <xf numFmtId="2" fontId="2" fillId="35" borderId="6" xfId="0" applyNumberFormat="1" applyFont="1" applyFill="1" applyBorder="1" applyAlignment="1">
      <alignment horizontal="center"/>
    </xf>
    <xf numFmtId="2" fontId="2" fillId="9" borderId="63" xfId="0" applyNumberFormat="1" applyFont="1" applyFill="1" applyBorder="1" applyAlignment="1">
      <alignment horizontal="center"/>
    </xf>
    <xf numFmtId="2" fontId="2" fillId="9" borderId="0" xfId="0" applyNumberFormat="1" applyFont="1" applyFill="1" applyBorder="1" applyAlignment="1">
      <alignment horizontal="center"/>
    </xf>
    <xf numFmtId="2" fontId="2" fillId="9" borderId="28" xfId="0" applyNumberFormat="1" applyFont="1" applyFill="1" applyBorder="1" applyAlignment="1">
      <alignment horizontal="center"/>
    </xf>
    <xf numFmtId="0" fontId="3" fillId="4" borderId="0" xfId="0" applyFont="1" applyFill="1" applyBorder="1" applyAlignment="1">
      <alignment horizontal="center" wrapText="1"/>
    </xf>
    <xf numFmtId="2" fontId="2" fillId="9" borderId="4" xfId="0" applyNumberFormat="1" applyFont="1" applyFill="1" applyBorder="1" applyAlignment="1">
      <alignment horizontal="center"/>
    </xf>
    <xf numFmtId="2" fontId="2" fillId="9" borderId="14" xfId="0" applyNumberFormat="1" applyFont="1" applyFill="1" applyBorder="1" applyAlignment="1">
      <alignment horizontal="center"/>
    </xf>
    <xf numFmtId="2" fontId="2" fillId="35" borderId="15" xfId="0" applyNumberFormat="1" applyFont="1" applyFill="1" applyBorder="1" applyAlignment="1">
      <alignment horizontal="center"/>
    </xf>
    <xf numFmtId="2" fontId="2" fillId="35" borderId="5" xfId="0" applyNumberFormat="1" applyFont="1" applyFill="1" applyBorder="1" applyAlignment="1">
      <alignment horizontal="center"/>
    </xf>
    <xf numFmtId="2" fontId="2" fillId="35" borderId="8" xfId="0" applyNumberFormat="1" applyFont="1" applyFill="1" applyBorder="1" applyAlignment="1">
      <alignment horizontal="center"/>
    </xf>
    <xf numFmtId="0" fontId="19" fillId="4" borderId="0" xfId="0" applyFont="1" applyFill="1" applyBorder="1" applyAlignment="1">
      <alignment horizontal="center"/>
    </xf>
    <xf numFmtId="0" fontId="19" fillId="4" borderId="5" xfId="0" applyFont="1" applyFill="1" applyBorder="1" applyAlignment="1">
      <alignment horizontal="center"/>
    </xf>
    <xf numFmtId="2" fontId="2" fillId="35" borderId="28" xfId="0" applyNumberFormat="1" applyFont="1" applyFill="1" applyBorder="1" applyAlignment="1">
      <alignment horizontal="center"/>
    </xf>
    <xf numFmtId="0" fontId="0" fillId="2" borderId="4" xfId="0" applyFill="1" applyBorder="1"/>
    <xf numFmtId="0" fontId="0" fillId="2" borderId="5" xfId="0" applyFill="1" applyBorder="1"/>
    <xf numFmtId="0" fontId="6" fillId="10" borderId="13" xfId="0" applyFont="1" applyFill="1" applyBorder="1" applyAlignment="1">
      <alignment horizontal="center"/>
    </xf>
    <xf numFmtId="0" fontId="6" fillId="10" borderId="0" xfId="0" applyFont="1" applyFill="1" applyBorder="1" applyAlignment="1">
      <alignment horizontal="center"/>
    </xf>
    <xf numFmtId="0" fontId="6" fillId="10" borderId="9" xfId="0" applyFont="1" applyFill="1" applyBorder="1" applyAlignment="1">
      <alignment horizontal="center"/>
    </xf>
    <xf numFmtId="0" fontId="0" fillId="0" borderId="76" xfId="0" applyBorder="1"/>
    <xf numFmtId="0" fontId="0" fillId="37" borderId="35" xfId="0" applyFill="1" applyBorder="1"/>
    <xf numFmtId="165" fontId="0" fillId="37" borderId="37" xfId="2456" applyNumberFormat="1" applyFont="1" applyFill="1" applyBorder="1"/>
    <xf numFmtId="0" fontId="0" fillId="37" borderId="38" xfId="0" applyFill="1" applyBorder="1"/>
    <xf numFmtId="165" fontId="0" fillId="37" borderId="40" xfId="2456" applyNumberFormat="1" applyFont="1" applyFill="1" applyBorder="1"/>
    <xf numFmtId="0" fontId="0" fillId="37" borderId="41" xfId="0" applyFill="1" applyBorder="1"/>
    <xf numFmtId="165" fontId="0" fillId="37" borderId="43" xfId="2456" applyNumberFormat="1" applyFont="1" applyFill="1" applyBorder="1"/>
    <xf numFmtId="2" fontId="2" fillId="9" borderId="27" xfId="0" applyNumberFormat="1" applyFont="1" applyFill="1" applyBorder="1" applyAlignment="1"/>
    <xf numFmtId="2" fontId="2" fillId="9" borderId="28" xfId="0" applyNumberFormat="1" applyFont="1" applyFill="1" applyBorder="1" applyAlignment="1"/>
    <xf numFmtId="168" fontId="0" fillId="0" borderId="0" xfId="0" applyNumberFormat="1"/>
    <xf numFmtId="0" fontId="43" fillId="0" borderId="0" xfId="0" applyFont="1"/>
    <xf numFmtId="167" fontId="2" fillId="35" borderId="0" xfId="0" applyNumberFormat="1" applyFont="1" applyFill="1" applyBorder="1" applyAlignment="1">
      <alignment horizontal="center"/>
    </xf>
    <xf numFmtId="2" fontId="2" fillId="35" borderId="4" xfId="0" applyNumberFormat="1" applyFont="1" applyFill="1" applyBorder="1" applyAlignment="1">
      <alignment horizontal="center"/>
    </xf>
    <xf numFmtId="167" fontId="2" fillId="9" borderId="5" xfId="0" applyNumberFormat="1" applyFont="1" applyFill="1" applyBorder="1" applyAlignment="1">
      <alignment horizontal="center"/>
    </xf>
    <xf numFmtId="167" fontId="2" fillId="8" borderId="5" xfId="0" applyNumberFormat="1" applyFont="1" applyFill="1" applyBorder="1" applyAlignment="1">
      <alignment horizontal="center"/>
    </xf>
    <xf numFmtId="167" fontId="2" fillId="35" borderId="5" xfId="0" applyNumberFormat="1" applyFont="1" applyFill="1" applyBorder="1" applyAlignment="1">
      <alignment horizontal="center"/>
    </xf>
    <xf numFmtId="167" fontId="2" fillId="9" borderId="28" xfId="0" applyNumberFormat="1" applyFont="1" applyFill="1" applyBorder="1" applyAlignment="1">
      <alignment horizontal="center"/>
    </xf>
    <xf numFmtId="167" fontId="2" fillId="8" borderId="28" xfId="0" applyNumberFormat="1" applyFont="1" applyFill="1" applyBorder="1" applyAlignment="1">
      <alignment horizontal="center"/>
    </xf>
    <xf numFmtId="167" fontId="2" fillId="35" borderId="28" xfId="0" applyNumberFormat="1" applyFont="1" applyFill="1" applyBorder="1" applyAlignment="1">
      <alignment horizontal="center"/>
    </xf>
    <xf numFmtId="0" fontId="17" fillId="0" borderId="0" xfId="0" applyFont="1" applyFill="1" applyBorder="1" applyAlignment="1">
      <alignment horizontal="center"/>
    </xf>
    <xf numFmtId="0" fontId="16" fillId="0" borderId="0" xfId="0" applyFont="1" applyFill="1"/>
    <xf numFmtId="0" fontId="17" fillId="0" borderId="0" xfId="0" applyFont="1" applyAlignment="1">
      <alignment horizontal="center"/>
    </xf>
    <xf numFmtId="0" fontId="0" fillId="28" borderId="0" xfId="0" applyFill="1"/>
    <xf numFmtId="1" fontId="0" fillId="0" borderId="0" xfId="0" applyNumberFormat="1" applyAlignment="1">
      <alignment horizontal="center"/>
    </xf>
    <xf numFmtId="1" fontId="17" fillId="0" borderId="0" xfId="0" applyNumberFormat="1" applyFont="1" applyAlignment="1">
      <alignment horizontal="center"/>
    </xf>
    <xf numFmtId="0" fontId="28" fillId="0" borderId="0" xfId="0" applyFont="1" applyAlignment="1">
      <alignment horizontal="center"/>
    </xf>
    <xf numFmtId="0" fontId="16" fillId="0" borderId="0" xfId="0" applyFont="1" applyAlignment="1">
      <alignment wrapText="1"/>
    </xf>
    <xf numFmtId="1" fontId="17" fillId="0" borderId="0" xfId="0" applyNumberFormat="1" applyFont="1" applyFill="1" applyBorder="1" applyAlignment="1">
      <alignment horizontal="center"/>
    </xf>
    <xf numFmtId="1" fontId="0" fillId="0" borderId="0" xfId="0" applyNumberFormat="1"/>
    <xf numFmtId="0" fontId="19" fillId="0" borderId="0" xfId="0" applyFont="1" applyFill="1" applyBorder="1" applyAlignment="1">
      <alignment horizontal="center"/>
    </xf>
    <xf numFmtId="0" fontId="3" fillId="0" borderId="0" xfId="0" applyFont="1" applyFill="1" applyBorder="1" applyAlignment="1">
      <alignment horizontal="center" vertical="center"/>
    </xf>
    <xf numFmtId="167" fontId="2" fillId="0" borderId="0" xfId="0" applyNumberFormat="1" applyFont="1" applyFill="1" applyBorder="1" applyAlignment="1">
      <alignment horizontal="center"/>
    </xf>
    <xf numFmtId="0" fontId="44" fillId="0" borderId="0" xfId="0" applyFont="1"/>
    <xf numFmtId="0" fontId="0" fillId="0" borderId="39" xfId="0" applyFill="1" applyBorder="1"/>
    <xf numFmtId="0" fontId="43" fillId="0" borderId="0" xfId="0" applyFont="1" applyFill="1" applyAlignment="1">
      <alignment horizontal="right" vertical="center" textRotation="90" wrapText="1"/>
    </xf>
    <xf numFmtId="2" fontId="0" fillId="0" borderId="0" xfId="0" applyNumberFormat="1" applyFill="1" applyBorder="1"/>
    <xf numFmtId="11" fontId="0" fillId="0" borderId="0" xfId="0" applyNumberFormat="1" applyFont="1"/>
    <xf numFmtId="0" fontId="12" fillId="17" borderId="0" xfId="0" applyFont="1" applyFill="1" applyBorder="1" applyAlignment="1">
      <alignment horizontal="center"/>
    </xf>
    <xf numFmtId="0" fontId="0" fillId="30" borderId="0" xfId="0" applyFill="1"/>
    <xf numFmtId="0" fontId="0" fillId="37" borderId="39" xfId="0" applyFill="1" applyBorder="1"/>
    <xf numFmtId="2" fontId="0" fillId="37" borderId="39" xfId="0" applyNumberFormat="1" applyFill="1" applyBorder="1"/>
    <xf numFmtId="0" fontId="45" fillId="0" borderId="0" xfId="0" applyFont="1"/>
    <xf numFmtId="0" fontId="18" fillId="0" borderId="39" xfId="0" applyFont="1" applyBorder="1"/>
    <xf numFmtId="9" fontId="18" fillId="30" borderId="39" xfId="2456" applyFont="1" applyFill="1" applyBorder="1"/>
    <xf numFmtId="0" fontId="0" fillId="0" borderId="5" xfId="0" applyBorder="1"/>
    <xf numFmtId="1" fontId="17" fillId="0" borderId="5" xfId="0" applyNumberFormat="1" applyFont="1" applyBorder="1" applyAlignment="1">
      <alignment horizontal="center"/>
    </xf>
    <xf numFmtId="1" fontId="17" fillId="0" borderId="5" xfId="0" applyNumberFormat="1" applyFont="1" applyFill="1" applyBorder="1" applyAlignment="1">
      <alignment horizontal="center"/>
    </xf>
    <xf numFmtId="0" fontId="17" fillId="0" borderId="5" xfId="0" applyFont="1" applyBorder="1" applyAlignment="1">
      <alignment horizontal="center"/>
    </xf>
    <xf numFmtId="0" fontId="3" fillId="7" borderId="14" xfId="0" applyFont="1" applyFill="1" applyBorder="1" applyAlignment="1">
      <alignment vertical="center"/>
    </xf>
    <xf numFmtId="0" fontId="3" fillId="7" borderId="8" xfId="0" applyFont="1" applyFill="1" applyBorder="1" applyAlignment="1">
      <alignment vertical="center"/>
    </xf>
    <xf numFmtId="0" fontId="3" fillId="7" borderId="13" xfId="0" applyFont="1" applyFill="1" applyBorder="1" applyAlignment="1">
      <alignment horizontal="center" vertical="center"/>
    </xf>
    <xf numFmtId="2" fontId="2" fillId="9" borderId="0" xfId="0" applyNumberFormat="1" applyFont="1" applyFill="1" applyBorder="1" applyAlignment="1">
      <alignment horizontal="center"/>
    </xf>
    <xf numFmtId="0" fontId="3" fillId="7" borderId="0" xfId="0" applyFont="1" applyFill="1" applyBorder="1" applyAlignment="1">
      <alignment horizontal="center" vertical="center"/>
    </xf>
    <xf numFmtId="0" fontId="0" fillId="0" borderId="52" xfId="0" applyFill="1" applyBorder="1"/>
    <xf numFmtId="0" fontId="13" fillId="26" borderId="46" xfId="0" applyFont="1" applyFill="1" applyBorder="1" applyAlignment="1">
      <alignment horizontal="left"/>
    </xf>
    <xf numFmtId="0" fontId="13" fillId="26" borderId="44" xfId="0" applyFont="1" applyFill="1" applyBorder="1" applyAlignment="1">
      <alignment horizontal="center"/>
    </xf>
    <xf numFmtId="15" fontId="13" fillId="18" borderId="44" xfId="0" applyNumberFormat="1" applyFont="1" applyFill="1" applyBorder="1" applyAlignment="1">
      <alignment horizontal="center"/>
    </xf>
    <xf numFmtId="0" fontId="2" fillId="18" borderId="44" xfId="0" applyFont="1" applyFill="1" applyBorder="1" applyAlignment="1">
      <alignment horizontal="center"/>
    </xf>
    <xf numFmtId="0" fontId="2" fillId="2" borderId="0" xfId="0" applyFont="1" applyFill="1" applyBorder="1" applyAlignment="1">
      <alignment horizontal="left"/>
    </xf>
    <xf numFmtId="0" fontId="2" fillId="2" borderId="44" xfId="0" applyFont="1" applyFill="1" applyBorder="1" applyAlignment="1">
      <alignment horizontal="center" vertical="center" wrapText="1"/>
    </xf>
    <xf numFmtId="0" fontId="2" fillId="29" borderId="0" xfId="0" applyFont="1" applyFill="1" applyBorder="1" applyAlignment="1">
      <alignment horizontal="center"/>
    </xf>
    <xf numFmtId="15" fontId="2" fillId="29" borderId="0" xfId="0" applyNumberFormat="1" applyFont="1" applyFill="1" applyBorder="1" applyAlignment="1">
      <alignment horizontal="center"/>
    </xf>
    <xf numFmtId="0" fontId="2" fillId="2" borderId="0" xfId="0" applyFont="1" applyFill="1" applyBorder="1" applyAlignment="1">
      <alignment horizontal="right"/>
    </xf>
    <xf numFmtId="0" fontId="12" fillId="17" borderId="13" xfId="0" applyFont="1" applyFill="1" applyBorder="1" applyAlignment="1">
      <alignment horizontal="left"/>
    </xf>
    <xf numFmtId="0" fontId="12" fillId="16" borderId="46" xfId="0" applyFont="1" applyFill="1" applyBorder="1" applyAlignment="1">
      <alignment horizontal="left"/>
    </xf>
    <xf numFmtId="0" fontId="12" fillId="13" borderId="0" xfId="0" applyFont="1" applyFill="1" applyBorder="1" applyAlignment="1">
      <alignment horizontal="left"/>
    </xf>
    <xf numFmtId="0" fontId="12" fillId="17" borderId="45" xfId="0" applyFont="1" applyFill="1" applyBorder="1" applyAlignment="1">
      <alignment horizontal="right"/>
    </xf>
    <xf numFmtId="0" fontId="12" fillId="13" borderId="0" xfId="0" applyFont="1" applyFill="1" applyBorder="1" applyAlignment="1">
      <alignment horizontal="right"/>
    </xf>
    <xf numFmtId="0" fontId="12" fillId="17" borderId="45" xfId="0" applyFont="1" applyFill="1" applyBorder="1" applyAlignment="1">
      <alignment horizontal="center"/>
    </xf>
    <xf numFmtId="0" fontId="12" fillId="16" borderId="44" xfId="0" applyFont="1" applyFill="1" applyBorder="1" applyAlignment="1">
      <alignment horizontal="center"/>
    </xf>
    <xf numFmtId="0" fontId="12" fillId="18" borderId="13" xfId="0" applyFont="1" applyFill="1" applyBorder="1" applyAlignment="1">
      <alignment horizontal="center"/>
    </xf>
    <xf numFmtId="0" fontId="13" fillId="18" borderId="47" xfId="0" applyFont="1" applyFill="1" applyBorder="1" applyAlignment="1">
      <alignment horizontal="center"/>
    </xf>
    <xf numFmtId="15" fontId="12" fillId="18" borderId="23" xfId="0" applyNumberFormat="1" applyFont="1" applyFill="1" applyBorder="1" applyAlignment="1">
      <alignment horizontal="center"/>
    </xf>
    <xf numFmtId="0" fontId="13" fillId="2" borderId="0" xfId="0" applyFont="1" applyFill="1" applyBorder="1" applyAlignment="1">
      <alignment horizontal="center"/>
    </xf>
    <xf numFmtId="0" fontId="12" fillId="19" borderId="0" xfId="0" applyFont="1" applyFill="1" applyBorder="1" applyAlignment="1">
      <alignment horizontal="center"/>
    </xf>
    <xf numFmtId="0" fontId="2" fillId="2" borderId="0" xfId="0" applyNumberFormat="1" applyFont="1" applyFill="1" applyBorder="1" applyAlignment="1">
      <alignment horizontal="center"/>
    </xf>
    <xf numFmtId="0" fontId="2" fillId="6" borderId="6" xfId="0" applyFont="1" applyFill="1" applyBorder="1" applyAlignment="1">
      <alignment horizontal="center"/>
    </xf>
    <xf numFmtId="0" fontId="3" fillId="30" borderId="13" xfId="0" applyFont="1" applyFill="1" applyBorder="1" applyAlignment="1">
      <alignment horizontal="center" vertical="center"/>
    </xf>
    <xf numFmtId="0" fontId="3" fillId="30" borderId="6" xfId="0" applyFont="1" applyFill="1" applyBorder="1" applyAlignment="1">
      <alignment horizontal="center" vertical="center"/>
    </xf>
    <xf numFmtId="0" fontId="2" fillId="9" borderId="0" xfId="0" applyFont="1" applyFill="1" applyBorder="1" applyAlignment="1">
      <alignment horizontal="center"/>
    </xf>
    <xf numFmtId="0" fontId="3" fillId="4" borderId="0" xfId="0" applyFont="1" applyFill="1" applyBorder="1" applyAlignment="1">
      <alignment horizontal="center"/>
    </xf>
    <xf numFmtId="0" fontId="2" fillId="5" borderId="0" xfId="0" applyFont="1" applyFill="1" applyBorder="1" applyAlignment="1">
      <alignment horizontal="center"/>
    </xf>
    <xf numFmtId="0" fontId="43" fillId="0" borderId="0" xfId="0" applyFont="1" applyAlignment="1">
      <alignment horizontal="center" vertical="center" textRotation="90" wrapText="1"/>
    </xf>
    <xf numFmtId="9" fontId="3" fillId="4" borderId="6" xfId="0" applyNumberFormat="1" applyFont="1" applyFill="1" applyBorder="1" applyAlignment="1">
      <alignment horizontal="center" vertical="center" wrapText="1"/>
    </xf>
    <xf numFmtId="0" fontId="8" fillId="10" borderId="13" xfId="0" applyFont="1" applyFill="1" applyBorder="1" applyAlignment="1">
      <alignment horizontal="center"/>
    </xf>
    <xf numFmtId="0" fontId="8" fillId="10" borderId="14" xfId="0" applyFont="1" applyFill="1" applyBorder="1" applyAlignment="1">
      <alignment horizontal="center"/>
    </xf>
    <xf numFmtId="0" fontId="8" fillId="10" borderId="26" xfId="0" applyFont="1" applyFill="1" applyBorder="1" applyAlignment="1">
      <alignment horizontal="center"/>
    </xf>
    <xf numFmtId="0" fontId="8" fillId="10" borderId="0" xfId="0" applyFont="1" applyFill="1" applyBorder="1" applyAlignment="1">
      <alignment horizontal="center"/>
    </xf>
    <xf numFmtId="0" fontId="2" fillId="2" borderId="0" xfId="0" applyFont="1" applyFill="1" applyAlignment="1">
      <alignment horizontal="center"/>
    </xf>
    <xf numFmtId="0" fontId="28" fillId="0" borderId="0" xfId="0" applyFont="1" applyFill="1" applyBorder="1"/>
    <xf numFmtId="11" fontId="0" fillId="0" borderId="39" xfId="0" applyNumberFormat="1" applyFill="1" applyBorder="1"/>
    <xf numFmtId="0" fontId="0" fillId="0" borderId="39" xfId="0" applyFill="1" applyBorder="1" applyAlignment="1">
      <alignment horizontal="center" vertical="center"/>
    </xf>
    <xf numFmtId="0" fontId="2" fillId="9" borderId="28" xfId="0" applyFont="1" applyFill="1" applyBorder="1" applyAlignment="1">
      <alignment horizontal="center"/>
    </xf>
    <xf numFmtId="0" fontId="2" fillId="5" borderId="28" xfId="0" applyFont="1" applyFill="1" applyBorder="1" applyAlignment="1">
      <alignment horizontal="center"/>
    </xf>
    <xf numFmtId="0" fontId="2" fillId="6" borderId="28" xfId="0" applyFont="1" applyFill="1" applyBorder="1" applyAlignment="1">
      <alignment horizontal="center"/>
    </xf>
    <xf numFmtId="0" fontId="3" fillId="30" borderId="31" xfId="0" applyFont="1" applyFill="1" applyBorder="1" applyAlignment="1">
      <alignment horizontal="center" vertical="center"/>
    </xf>
    <xf numFmtId="0" fontId="3" fillId="30" borderId="13" xfId="0" applyFont="1" applyFill="1" applyBorder="1" applyAlignment="1">
      <alignment vertical="center"/>
    </xf>
    <xf numFmtId="0" fontId="3" fillId="30" borderId="6" xfId="0" applyFont="1" applyFill="1" applyBorder="1" applyAlignment="1">
      <alignment vertical="center"/>
    </xf>
    <xf numFmtId="0" fontId="3" fillId="7" borderId="24" xfId="0" applyFont="1" applyFill="1" applyBorder="1" applyAlignment="1">
      <alignment vertical="center"/>
    </xf>
    <xf numFmtId="0" fontId="2" fillId="0" borderId="62" xfId="0" applyFont="1" applyFill="1" applyBorder="1"/>
    <xf numFmtId="0" fontId="3" fillId="0" borderId="40" xfId="0" applyFont="1" applyFill="1" applyBorder="1" applyAlignment="1">
      <alignment vertical="center"/>
    </xf>
    <xf numFmtId="165" fontId="3" fillId="35" borderId="38" xfId="2456" applyNumberFormat="1" applyFont="1" applyFill="1" applyBorder="1" applyAlignment="1">
      <alignment horizontal="center" vertical="center"/>
    </xf>
    <xf numFmtId="164" fontId="2" fillId="5" borderId="0" xfId="0" applyNumberFormat="1" applyFont="1" applyFill="1" applyBorder="1" applyAlignment="1">
      <alignment horizontal="center"/>
    </xf>
    <xf numFmtId="164" fontId="2" fillId="5" borderId="5" xfId="0" applyNumberFormat="1" applyFont="1" applyFill="1" applyBorder="1" applyAlignment="1">
      <alignment horizontal="center"/>
    </xf>
    <xf numFmtId="0" fontId="0" fillId="0" borderId="13" xfId="0" applyFill="1" applyBorder="1"/>
    <xf numFmtId="0" fontId="0" fillId="33" borderId="39" xfId="0" applyFill="1" applyBorder="1"/>
    <xf numFmtId="2" fontId="0" fillId="33" borderId="39" xfId="0" applyNumberFormat="1" applyFill="1" applyBorder="1"/>
    <xf numFmtId="11" fontId="0" fillId="33" borderId="39" xfId="0" applyNumberFormat="1" applyFill="1" applyBorder="1"/>
    <xf numFmtId="11" fontId="0" fillId="37" borderId="39" xfId="0" applyNumberFormat="1" applyFill="1" applyBorder="1"/>
    <xf numFmtId="0" fontId="3" fillId="30" borderId="12" xfId="0" applyFont="1" applyFill="1" applyBorder="1" applyAlignment="1">
      <alignment vertical="center"/>
    </xf>
    <xf numFmtId="0" fontId="3" fillId="30" borderId="7" xfId="0" applyFont="1" applyFill="1" applyBorder="1" applyAlignment="1">
      <alignment vertical="center"/>
    </xf>
    <xf numFmtId="9" fontId="3" fillId="29" borderId="39" xfId="2456" applyFont="1" applyFill="1" applyBorder="1" applyAlignment="1">
      <alignment horizontal="center" vertical="center"/>
    </xf>
    <xf numFmtId="1" fontId="2" fillId="5" borderId="4" xfId="0" applyNumberFormat="1" applyFont="1" applyFill="1" applyBorder="1" applyAlignment="1">
      <alignment horizontal="center"/>
    </xf>
    <xf numFmtId="1" fontId="2" fillId="5" borderId="0" xfId="0" applyNumberFormat="1" applyFont="1" applyFill="1" applyBorder="1" applyAlignment="1">
      <alignment horizontal="center"/>
    </xf>
    <xf numFmtId="1" fontId="2" fillId="5" borderId="5" xfId="0" applyNumberFormat="1" applyFont="1" applyFill="1" applyBorder="1" applyAlignment="1">
      <alignment horizontal="center"/>
    </xf>
    <xf numFmtId="9" fontId="3" fillId="29" borderId="40" xfId="2456" applyFont="1" applyFill="1" applyBorder="1" applyAlignment="1">
      <alignment horizontal="center" vertical="center"/>
    </xf>
    <xf numFmtId="9" fontId="2" fillId="9" borderId="25" xfId="0" applyNumberFormat="1" applyFont="1" applyFill="1" applyBorder="1" applyAlignment="1">
      <alignment horizontal="center"/>
    </xf>
    <xf numFmtId="9" fontId="2" fillId="8" borderId="25" xfId="0" applyNumberFormat="1" applyFont="1" applyFill="1" applyBorder="1" applyAlignment="1">
      <alignment horizontal="center"/>
    </xf>
    <xf numFmtId="9" fontId="2" fillId="6" borderId="25" xfId="0" applyNumberFormat="1" applyFont="1" applyFill="1" applyBorder="1" applyAlignment="1">
      <alignment horizontal="center"/>
    </xf>
    <xf numFmtId="9" fontId="3" fillId="29" borderId="82" xfId="2456" applyFont="1" applyFill="1" applyBorder="1" applyAlignment="1">
      <alignment horizontal="center" vertical="center"/>
    </xf>
    <xf numFmtId="0" fontId="2" fillId="2" borderId="0" xfId="0" applyFont="1" applyFill="1" applyAlignment="1">
      <alignment horizontal="center"/>
    </xf>
    <xf numFmtId="0" fontId="28" fillId="0" borderId="39" xfId="0" applyFont="1" applyBorder="1" applyAlignment="1">
      <alignment horizontal="center" vertical="center" wrapText="1"/>
    </xf>
    <xf numFmtId="0" fontId="28" fillId="0" borderId="39" xfId="0" applyFont="1" applyBorder="1"/>
    <xf numFmtId="0" fontId="28" fillId="0" borderId="0" xfId="0" applyFont="1" applyBorder="1" applyAlignment="1">
      <alignment horizontal="center" vertical="center" wrapText="1"/>
    </xf>
    <xf numFmtId="11" fontId="0" fillId="0" borderId="0" xfId="0" applyNumberFormat="1" applyBorder="1"/>
    <xf numFmtId="0" fontId="28" fillId="0" borderId="0" xfId="0" applyFont="1" applyBorder="1" applyAlignment="1"/>
    <xf numFmtId="0" fontId="2" fillId="2" borderId="83" xfId="0" applyFont="1" applyFill="1" applyBorder="1" applyAlignment="1">
      <alignment horizontal="center"/>
    </xf>
    <xf numFmtId="0" fontId="12" fillId="2" borderId="83" xfId="0" applyFont="1" applyFill="1" applyBorder="1" applyAlignment="1">
      <alignment horizontal="center"/>
    </xf>
    <xf numFmtId="0" fontId="2" fillId="2" borderId="84" xfId="0" applyFont="1" applyFill="1" applyBorder="1" applyAlignment="1">
      <alignment horizontal="center"/>
    </xf>
    <xf numFmtId="0" fontId="12" fillId="2" borderId="84" xfId="0" applyFont="1" applyFill="1" applyBorder="1" applyAlignment="1">
      <alignment horizontal="center"/>
    </xf>
    <xf numFmtId="0" fontId="2" fillId="2" borderId="85" xfId="0" applyFont="1" applyFill="1" applyBorder="1" applyAlignment="1">
      <alignment horizontal="center"/>
    </xf>
    <xf numFmtId="0" fontId="12" fillId="2" borderId="85" xfId="0" applyFont="1" applyFill="1" applyBorder="1" applyAlignment="1">
      <alignment horizontal="center"/>
    </xf>
    <xf numFmtId="0" fontId="2" fillId="2" borderId="0" xfId="0" applyFont="1" applyFill="1" applyAlignment="1">
      <alignment horizontal="center"/>
    </xf>
    <xf numFmtId="0" fontId="12" fillId="40" borderId="0" xfId="0" applyFont="1" applyFill="1" applyBorder="1" applyAlignment="1">
      <alignment horizontal="center"/>
    </xf>
    <xf numFmtId="0" fontId="2" fillId="2" borderId="46" xfId="0" applyFont="1" applyFill="1" applyBorder="1"/>
    <xf numFmtId="0" fontId="2" fillId="2" borderId="48" xfId="0" applyFont="1" applyFill="1" applyBorder="1" applyAlignment="1">
      <alignment horizontal="center"/>
    </xf>
    <xf numFmtId="0" fontId="2" fillId="30" borderId="0" xfId="0" applyFont="1" applyFill="1" applyBorder="1" applyAlignment="1">
      <alignment horizontal="center"/>
    </xf>
    <xf numFmtId="164" fontId="9" fillId="12" borderId="6" xfId="0" applyNumberFormat="1" applyFont="1" applyFill="1" applyBorder="1" applyAlignment="1">
      <alignment horizontal="center"/>
    </xf>
    <xf numFmtId="164" fontId="12" fillId="18" borderId="0" xfId="0" applyNumberFormat="1" applyFont="1" applyFill="1" applyBorder="1" applyAlignment="1">
      <alignment horizontal="center"/>
    </xf>
    <xf numFmtId="164" fontId="2" fillId="29" borderId="0" xfId="0" applyNumberFormat="1" applyFont="1" applyFill="1" applyBorder="1" applyAlignment="1">
      <alignment horizontal="center"/>
    </xf>
    <xf numFmtId="0" fontId="13" fillId="12" borderId="86" xfId="0" applyFont="1" applyFill="1" applyBorder="1" applyAlignment="1">
      <alignment horizontal="center" vertical="center"/>
    </xf>
    <xf numFmtId="2" fontId="2" fillId="9" borderId="0" xfId="0" applyNumberFormat="1" applyFont="1" applyFill="1" applyBorder="1" applyAlignment="1">
      <alignment horizontal="center"/>
    </xf>
    <xf numFmtId="2" fontId="2" fillId="9" borderId="13" xfId="0" applyNumberFormat="1" applyFont="1" applyFill="1" applyBorder="1" applyAlignment="1">
      <alignment horizontal="center"/>
    </xf>
    <xf numFmtId="0" fontId="3" fillId="4" borderId="0" xfId="0" applyFont="1" applyFill="1" applyBorder="1" applyAlignment="1">
      <alignment horizontal="center" wrapText="1"/>
    </xf>
    <xf numFmtId="2" fontId="2" fillId="9" borderId="28" xfId="0" applyNumberFormat="1" applyFont="1" applyFill="1" applyBorder="1" applyAlignment="1">
      <alignment horizontal="center"/>
    </xf>
    <xf numFmtId="0" fontId="13" fillId="2" borderId="46" xfId="0" applyFont="1" applyFill="1" applyBorder="1" applyAlignment="1">
      <alignment horizontal="center"/>
    </xf>
    <xf numFmtId="0" fontId="13" fillId="2" borderId="44" xfId="0" applyFont="1" applyFill="1" applyBorder="1" applyAlignment="1">
      <alignment horizontal="center"/>
    </xf>
    <xf numFmtId="0" fontId="46" fillId="18" borderId="0" xfId="0" applyFont="1" applyFill="1" applyBorder="1" applyAlignment="1">
      <alignment horizontal="center"/>
    </xf>
    <xf numFmtId="2" fontId="2" fillId="35" borderId="31" xfId="0" applyNumberFormat="1" applyFont="1" applyFill="1" applyBorder="1" applyAlignment="1">
      <alignment horizontal="center"/>
    </xf>
    <xf numFmtId="0" fontId="2" fillId="2" borderId="0" xfId="0" applyFont="1" applyFill="1" applyAlignment="1">
      <alignment horizontal="center"/>
    </xf>
    <xf numFmtId="1" fontId="8" fillId="10" borderId="13" xfId="0" applyNumberFormat="1" applyFont="1" applyFill="1" applyBorder="1" applyAlignment="1">
      <alignment horizontal="center"/>
    </xf>
    <xf numFmtId="0" fontId="2" fillId="2" borderId="0" xfId="0" applyFont="1" applyFill="1" applyAlignment="1">
      <alignment horizontal="center"/>
    </xf>
    <xf numFmtId="0" fontId="12" fillId="26" borderId="44" xfId="0" applyFont="1" applyFill="1" applyBorder="1" applyAlignment="1">
      <alignment horizontal="right"/>
    </xf>
    <xf numFmtId="0" fontId="12" fillId="2" borderId="0" xfId="0" applyFont="1" applyFill="1" applyBorder="1" applyAlignment="1">
      <alignment horizontal="center"/>
    </xf>
    <xf numFmtId="9" fontId="0" fillId="0" borderId="39" xfId="2456" applyFont="1" applyBorder="1"/>
    <xf numFmtId="0" fontId="0" fillId="0" borderId="39" xfId="0" applyFont="1" applyBorder="1" applyAlignment="1">
      <alignment horizontal="center" vertical="center" wrapText="1"/>
    </xf>
    <xf numFmtId="0" fontId="0" fillId="0" borderId="39" xfId="0" applyBorder="1" applyAlignment="1">
      <alignment horizontal="center" vertical="center" wrapText="1"/>
    </xf>
    <xf numFmtId="0" fontId="0" fillId="0" borderId="39" xfId="0" applyFill="1" applyBorder="1" applyAlignment="1">
      <alignment horizontal="center" vertical="center" wrapText="1"/>
    </xf>
    <xf numFmtId="0" fontId="12" fillId="2" borderId="0" xfId="0" applyFont="1" applyFill="1" applyAlignment="1">
      <alignment horizontal="center" vertical="center"/>
    </xf>
    <xf numFmtId="0" fontId="8" fillId="10" borderId="13" xfId="0" applyFont="1" applyFill="1" applyBorder="1" applyAlignment="1">
      <alignment horizontal="center"/>
    </xf>
    <xf numFmtId="0" fontId="43" fillId="0" borderId="0" xfId="0" applyFont="1" applyAlignment="1">
      <alignment horizontal="center" vertical="center" textRotation="90" wrapText="1"/>
    </xf>
    <xf numFmtId="0" fontId="0" fillId="0" borderId="0" xfId="0" applyAlignment="1">
      <alignment horizontal="center"/>
    </xf>
    <xf numFmtId="0" fontId="28" fillId="0" borderId="39" xfId="0" applyFont="1" applyBorder="1" applyAlignment="1">
      <alignment horizontal="center"/>
    </xf>
    <xf numFmtId="0" fontId="47" fillId="2" borderId="0" xfId="0" applyFont="1" applyFill="1"/>
    <xf numFmtId="0" fontId="47" fillId="2" borderId="0" xfId="0" applyFont="1" applyFill="1" applyAlignment="1">
      <alignment horizontal="center"/>
    </xf>
    <xf numFmtId="0" fontId="48" fillId="2" borderId="1" xfId="0" applyFont="1" applyFill="1" applyBorder="1"/>
    <xf numFmtId="0" fontId="48" fillId="2" borderId="1" xfId="0" applyFont="1" applyFill="1" applyBorder="1" applyAlignment="1">
      <alignment horizontal="center"/>
    </xf>
    <xf numFmtId="0" fontId="48" fillId="2" borderId="6" xfId="0" applyFont="1" applyFill="1" applyBorder="1"/>
    <xf numFmtId="0" fontId="48" fillId="2" borderId="6" xfId="0" applyFont="1" applyFill="1" applyBorder="1" applyAlignment="1">
      <alignment horizontal="center"/>
    </xf>
    <xf numFmtId="0" fontId="49" fillId="2" borderId="0" xfId="0" applyFont="1" applyFill="1"/>
    <xf numFmtId="0" fontId="47" fillId="2" borderId="9" xfId="0" applyFont="1" applyFill="1" applyBorder="1"/>
    <xf numFmtId="0" fontId="47" fillId="2" borderId="9" xfId="0" applyFont="1" applyFill="1" applyBorder="1" applyAlignment="1">
      <alignment horizontal="center"/>
    </xf>
    <xf numFmtId="0" fontId="51" fillId="0" borderId="0" xfId="0" applyFont="1"/>
    <xf numFmtId="0" fontId="28" fillId="0" borderId="6" xfId="0" applyFont="1" applyBorder="1" applyAlignment="1">
      <alignment horizontal="center"/>
    </xf>
    <xf numFmtId="1" fontId="0" fillId="0" borderId="0" xfId="0" applyNumberFormat="1" applyBorder="1" applyAlignment="1">
      <alignment horizontal="center"/>
    </xf>
    <xf numFmtId="0" fontId="47" fillId="33" borderId="9" xfId="0" applyFont="1" applyFill="1" applyBorder="1" applyAlignment="1">
      <alignment horizontal="center"/>
    </xf>
    <xf numFmtId="0" fontId="47" fillId="33" borderId="0" xfId="0" applyFont="1" applyFill="1" applyAlignment="1">
      <alignment horizontal="center"/>
    </xf>
    <xf numFmtId="0" fontId="47" fillId="30" borderId="0" xfId="0" applyFont="1" applyFill="1" applyAlignment="1">
      <alignment horizontal="center"/>
    </xf>
    <xf numFmtId="0" fontId="47" fillId="6" borderId="0" xfId="0" applyFont="1" applyFill="1" applyAlignment="1">
      <alignment horizontal="center"/>
    </xf>
    <xf numFmtId="0" fontId="2" fillId="2" borderId="39" xfId="0" applyFont="1" applyFill="1" applyBorder="1" applyAlignment="1">
      <alignment horizontal="center"/>
    </xf>
    <xf numFmtId="0" fontId="2" fillId="30" borderId="39" xfId="0" applyFont="1" applyFill="1" applyBorder="1" applyAlignment="1">
      <alignment horizontal="center"/>
    </xf>
    <xf numFmtId="0" fontId="2" fillId="0" borderId="0" xfId="0" applyFont="1" applyFill="1" applyBorder="1" applyAlignment="1">
      <alignment horizontal="center"/>
    </xf>
    <xf numFmtId="0" fontId="0" fillId="0" borderId="39" xfId="0" applyBorder="1" applyAlignment="1">
      <alignment wrapText="1"/>
    </xf>
    <xf numFmtId="11" fontId="0" fillId="41" borderId="39" xfId="0" applyNumberFormat="1" applyFill="1" applyBorder="1"/>
    <xf numFmtId="11" fontId="0" fillId="41" borderId="39" xfId="0" applyNumberFormat="1" applyFont="1" applyFill="1" applyBorder="1"/>
    <xf numFmtId="0" fontId="0" fillId="41" borderId="39" xfId="0" applyFill="1" applyBorder="1"/>
    <xf numFmtId="2" fontId="0" fillId="41" borderId="39" xfId="0" applyNumberFormat="1" applyFill="1" applyBorder="1"/>
    <xf numFmtId="11" fontId="0" fillId="0" borderId="0" xfId="0" applyNumberFormat="1" applyFill="1" applyBorder="1"/>
    <xf numFmtId="0" fontId="0" fillId="0" borderId="9" xfId="0" applyBorder="1"/>
    <xf numFmtId="0" fontId="0" fillId="0" borderId="9" xfId="0" applyFill="1" applyBorder="1"/>
    <xf numFmtId="0" fontId="43" fillId="0" borderId="9" xfId="0" applyFont="1" applyBorder="1"/>
    <xf numFmtId="0" fontId="43" fillId="0" borderId="9" xfId="0" applyFont="1" applyFill="1" applyBorder="1"/>
    <xf numFmtId="0" fontId="0" fillId="33" borderId="39" xfId="0" applyNumberFormat="1" applyFill="1" applyBorder="1"/>
    <xf numFmtId="0" fontId="0" fillId="41" borderId="39" xfId="0" applyNumberFormat="1" applyFont="1" applyFill="1" applyBorder="1"/>
    <xf numFmtId="0" fontId="0" fillId="37" borderId="39" xfId="0" applyNumberFormat="1" applyFill="1" applyBorder="1"/>
    <xf numFmtId="0" fontId="0" fillId="33" borderId="0" xfId="0" applyFill="1" applyAlignment="1">
      <alignment wrapText="1"/>
    </xf>
    <xf numFmtId="0" fontId="0" fillId="41" borderId="0" xfId="0" applyFill="1" applyAlignment="1">
      <alignment wrapText="1"/>
    </xf>
    <xf numFmtId="0" fontId="0" fillId="38" borderId="0" xfId="0" applyFill="1" applyAlignment="1">
      <alignment wrapText="1"/>
    </xf>
    <xf numFmtId="0" fontId="48" fillId="2" borderId="1" xfId="0" applyFont="1" applyFill="1" applyBorder="1" applyAlignment="1">
      <alignment horizontal="center" wrapText="1"/>
    </xf>
    <xf numFmtId="0" fontId="3" fillId="0" borderId="0" xfId="0" applyFont="1" applyAlignment="1">
      <alignment horizontal="center" wrapText="1"/>
    </xf>
    <xf numFmtId="0" fontId="2" fillId="0" borderId="0" xfId="0" applyFont="1"/>
    <xf numFmtId="0" fontId="2" fillId="0" borderId="0" xfId="0" applyFont="1" applyAlignment="1">
      <alignment horizontal="center"/>
    </xf>
    <xf numFmtId="0" fontId="2" fillId="0" borderId="9" xfId="0" applyFont="1" applyBorder="1" applyAlignment="1">
      <alignment horizontal="center"/>
    </xf>
    <xf numFmtId="1" fontId="28" fillId="2" borderId="6" xfId="0" applyNumberFormat="1" applyFont="1" applyFill="1" applyBorder="1" applyAlignment="1">
      <alignment horizontal="center"/>
    </xf>
    <xf numFmtId="0" fontId="47" fillId="33" borderId="0" xfId="0" applyFont="1" applyFill="1"/>
    <xf numFmtId="0" fontId="47" fillId="33" borderId="0" xfId="0" applyFont="1" applyFill="1" applyAlignment="1">
      <alignment horizontal="left"/>
    </xf>
    <xf numFmtId="0" fontId="28" fillId="0" borderId="40" xfId="0" applyFont="1" applyBorder="1" applyAlignment="1">
      <alignment horizontal="center"/>
    </xf>
    <xf numFmtId="0" fontId="28" fillId="0" borderId="39" xfId="0" applyFont="1" applyFill="1" applyBorder="1" applyAlignment="1">
      <alignment horizontal="center" vertical="center" wrapText="1"/>
    </xf>
    <xf numFmtId="0" fontId="0" fillId="0" borderId="39" xfId="0" applyBorder="1" applyAlignment="1">
      <alignment horizontal="center"/>
    </xf>
    <xf numFmtId="11" fontId="0" fillId="30" borderId="0" xfId="0" applyNumberFormat="1" applyFill="1"/>
    <xf numFmtId="1" fontId="0" fillId="0" borderId="39" xfId="0" applyNumberFormat="1" applyBorder="1"/>
    <xf numFmtId="20" fontId="0" fillId="0" borderId="0" xfId="0" applyNumberFormat="1"/>
    <xf numFmtId="0" fontId="0" fillId="30" borderId="39" xfId="0" applyFill="1" applyBorder="1" applyAlignment="1">
      <alignment wrapText="1"/>
    </xf>
    <xf numFmtId="0" fontId="3" fillId="30" borderId="8" xfId="0" applyFont="1" applyFill="1" applyBorder="1" applyAlignment="1">
      <alignment vertical="center"/>
    </xf>
    <xf numFmtId="165" fontId="3" fillId="29" borderId="88" xfId="2456" applyNumberFormat="1" applyFont="1" applyFill="1" applyBorder="1" applyAlignment="1">
      <alignment horizontal="center" vertical="center"/>
    </xf>
    <xf numFmtId="0" fontId="47" fillId="30" borderId="0" xfId="0" applyFont="1" applyFill="1"/>
    <xf numFmtId="0" fontId="28" fillId="30" borderId="0" xfId="0" applyFont="1" applyFill="1"/>
    <xf numFmtId="0" fontId="0" fillId="6" borderId="39" xfId="0" applyFill="1" applyBorder="1"/>
    <xf numFmtId="0" fontId="0" fillId="6" borderId="39" xfId="0" applyNumberFormat="1" applyFill="1" applyBorder="1"/>
    <xf numFmtId="11" fontId="0" fillId="6" borderId="39" xfId="0" applyNumberFormat="1" applyFill="1" applyBorder="1"/>
    <xf numFmtId="0" fontId="0" fillId="6" borderId="0" xfId="0" applyFill="1" applyAlignment="1">
      <alignment wrapText="1"/>
    </xf>
    <xf numFmtId="0" fontId="27" fillId="0" borderId="39" xfId="0" applyFont="1" applyBorder="1"/>
    <xf numFmtId="2" fontId="27" fillId="0" borderId="39" xfId="0" applyNumberFormat="1" applyFont="1" applyBorder="1"/>
    <xf numFmtId="0" fontId="27" fillId="0" borderId="89" xfId="0" applyFont="1" applyBorder="1"/>
    <xf numFmtId="2" fontId="27" fillId="0" borderId="89" xfId="0" applyNumberFormat="1" applyFont="1" applyBorder="1"/>
    <xf numFmtId="0" fontId="27" fillId="0" borderId="39" xfId="0" applyFont="1" applyFill="1" applyBorder="1"/>
    <xf numFmtId="1" fontId="0" fillId="0" borderId="36" xfId="0" applyNumberFormat="1" applyBorder="1" applyAlignment="1">
      <alignment horizontal="center"/>
    </xf>
    <xf numFmtId="1" fontId="0" fillId="0" borderId="39" xfId="0" applyNumberFormat="1" applyBorder="1" applyAlignment="1">
      <alignment horizontal="center"/>
    </xf>
    <xf numFmtId="1" fontId="0" fillId="0" borderId="42" xfId="0" applyNumberFormat="1" applyBorder="1" applyAlignment="1">
      <alignment horizontal="center"/>
    </xf>
    <xf numFmtId="1" fontId="0" fillId="33" borderId="36" xfId="0" applyNumberFormat="1" applyFill="1" applyBorder="1" applyAlignment="1">
      <alignment horizontal="center"/>
    </xf>
    <xf numFmtId="1" fontId="0" fillId="33" borderId="39" xfId="0" applyNumberFormat="1" applyFill="1" applyBorder="1" applyAlignment="1">
      <alignment horizontal="center"/>
    </xf>
    <xf numFmtId="1" fontId="0" fillId="6" borderId="39" xfId="0" applyNumberFormat="1" applyFill="1" applyBorder="1" applyAlignment="1">
      <alignment horizontal="center"/>
    </xf>
    <xf numFmtId="1" fontId="27" fillId="0" borderId="42" xfId="0" applyNumberFormat="1" applyFont="1" applyBorder="1" applyAlignment="1">
      <alignment horizontal="center"/>
    </xf>
    <xf numFmtId="1" fontId="27" fillId="0" borderId="39" xfId="0" applyNumberFormat="1" applyFont="1" applyBorder="1" applyAlignment="1">
      <alignment horizontal="center"/>
    </xf>
    <xf numFmtId="1" fontId="27" fillId="33" borderId="39" xfId="0" applyNumberFormat="1" applyFont="1" applyFill="1" applyBorder="1" applyAlignment="1">
      <alignment horizontal="center"/>
    </xf>
    <xf numFmtId="0" fontId="0" fillId="0" borderId="0" xfId="0" applyBorder="1" applyAlignment="1">
      <alignment horizontal="center"/>
    </xf>
    <xf numFmtId="0" fontId="0" fillId="0" borderId="62" xfId="0" applyBorder="1"/>
    <xf numFmtId="0" fontId="27" fillId="0" borderId="13" xfId="0" applyFont="1" applyBorder="1"/>
    <xf numFmtId="0" fontId="0" fillId="0" borderId="62" xfId="0" applyFont="1" applyBorder="1"/>
    <xf numFmtId="0" fontId="27" fillId="0" borderId="6" xfId="0" applyFont="1" applyBorder="1"/>
    <xf numFmtId="0" fontId="0" fillId="0" borderId="87" xfId="0" applyBorder="1"/>
    <xf numFmtId="1" fontId="27" fillId="0" borderId="36" xfId="0" applyNumberFormat="1" applyFont="1" applyBorder="1" applyAlignment="1">
      <alignment horizontal="center"/>
    </xf>
    <xf numFmtId="0" fontId="27" fillId="0" borderId="0" xfId="0" applyFont="1" applyFill="1" applyBorder="1"/>
    <xf numFmtId="0" fontId="0" fillId="0" borderId="0" xfId="0" applyAlignment="1">
      <alignment horizontal="center"/>
    </xf>
    <xf numFmtId="0" fontId="2" fillId="6" borderId="44" xfId="0" applyFont="1" applyFill="1" applyBorder="1" applyAlignment="1">
      <alignment horizontal="center"/>
    </xf>
    <xf numFmtId="0" fontId="2" fillId="6" borderId="15" xfId="0" applyFont="1" applyFill="1" applyBorder="1" applyAlignment="1">
      <alignment horizontal="center"/>
    </xf>
    <xf numFmtId="0" fontId="13" fillId="42" borderId="44" xfId="0" applyFont="1" applyFill="1" applyBorder="1" applyAlignment="1">
      <alignment horizontal="center"/>
    </xf>
    <xf numFmtId="0" fontId="13" fillId="42" borderId="46" xfId="0" applyFont="1" applyFill="1" applyBorder="1" applyAlignment="1">
      <alignment horizontal="center"/>
    </xf>
    <xf numFmtId="9" fontId="3" fillId="37" borderId="39" xfId="2456" applyFont="1" applyFill="1" applyBorder="1" applyAlignment="1">
      <alignment horizontal="center" vertical="center"/>
    </xf>
    <xf numFmtId="0" fontId="3" fillId="30" borderId="6" xfId="0" applyFont="1" applyFill="1" applyBorder="1" applyAlignment="1">
      <alignment horizontal="left" vertical="center"/>
    </xf>
    <xf numFmtId="0" fontId="0" fillId="0" borderId="42" xfId="0" applyBorder="1" applyAlignment="1">
      <alignment horizontal="center"/>
    </xf>
    <xf numFmtId="0" fontId="28" fillId="0" borderId="39" xfId="0" applyFont="1" applyFill="1" applyBorder="1" applyAlignment="1">
      <alignment horizontal="center" wrapText="1"/>
    </xf>
    <xf numFmtId="11" fontId="0" fillId="0" borderId="39" xfId="0" applyNumberFormat="1" applyFont="1" applyBorder="1"/>
    <xf numFmtId="0" fontId="0" fillId="0" borderId="40" xfId="0" applyBorder="1" applyAlignment="1">
      <alignment horizontal="center"/>
    </xf>
    <xf numFmtId="0" fontId="0" fillId="0" borderId="0" xfId="0" applyFill="1" applyBorder="1" applyAlignment="1">
      <alignment horizontal="center"/>
    </xf>
    <xf numFmtId="0" fontId="0" fillId="0" borderId="13" xfId="0" applyBorder="1"/>
    <xf numFmtId="1" fontId="0" fillId="0" borderId="37" xfId="0" applyNumberFormat="1" applyBorder="1" applyAlignment="1">
      <alignment horizontal="center"/>
    </xf>
    <xf numFmtId="1" fontId="0" fillId="0" borderId="40" xfId="0" applyNumberFormat="1" applyBorder="1" applyAlignment="1">
      <alignment horizontal="center"/>
    </xf>
    <xf numFmtId="1" fontId="0" fillId="0" borderId="43" xfId="0" applyNumberFormat="1" applyBorder="1" applyAlignment="1">
      <alignment horizontal="center"/>
    </xf>
    <xf numFmtId="1" fontId="0" fillId="33" borderId="37" xfId="0" applyNumberFormat="1" applyFill="1" applyBorder="1" applyAlignment="1">
      <alignment horizontal="center"/>
    </xf>
    <xf numFmtId="1" fontId="0" fillId="33" borderId="40" xfId="0" applyNumberFormat="1" applyFill="1" applyBorder="1" applyAlignment="1">
      <alignment horizontal="center"/>
    </xf>
    <xf numFmtId="1" fontId="0" fillId="6" borderId="40" xfId="0" applyNumberFormat="1" applyFill="1" applyBorder="1" applyAlignment="1">
      <alignment horizontal="center"/>
    </xf>
    <xf numFmtId="1" fontId="27" fillId="0" borderId="43" xfId="0" applyNumberFormat="1" applyFont="1" applyBorder="1" applyAlignment="1">
      <alignment horizontal="center"/>
    </xf>
    <xf numFmtId="1" fontId="27" fillId="33" borderId="40" xfId="0" applyNumberFormat="1" applyFont="1" applyFill="1" applyBorder="1" applyAlignment="1">
      <alignment horizontal="center"/>
    </xf>
    <xf numFmtId="1" fontId="27" fillId="0" borderId="37" xfId="0" applyNumberFormat="1" applyFont="1" applyBorder="1" applyAlignment="1">
      <alignment horizontal="center"/>
    </xf>
    <xf numFmtId="1" fontId="27" fillId="0" borderId="40" xfId="0" applyNumberFormat="1" applyFont="1" applyBorder="1" applyAlignment="1">
      <alignment horizontal="center"/>
    </xf>
    <xf numFmtId="1" fontId="28" fillId="2" borderId="91" xfId="0" applyNumberFormat="1" applyFont="1" applyFill="1" applyBorder="1" applyAlignment="1">
      <alignment horizontal="center"/>
    </xf>
    <xf numFmtId="0" fontId="0" fillId="0" borderId="90" xfId="0" applyBorder="1"/>
    <xf numFmtId="1" fontId="0" fillId="0" borderId="92" xfId="0" applyNumberFormat="1" applyBorder="1" applyAlignment="1">
      <alignment horizontal="center"/>
    </xf>
    <xf numFmtId="1" fontId="0" fillId="0" borderId="93" xfId="0" applyNumberFormat="1" applyBorder="1" applyAlignment="1">
      <alignment horizontal="center"/>
    </xf>
    <xf numFmtId="1" fontId="0" fillId="0" borderId="94" xfId="0" applyNumberFormat="1" applyBorder="1" applyAlignment="1">
      <alignment horizontal="center"/>
    </xf>
    <xf numFmtId="1" fontId="0" fillId="0" borderId="90" xfId="0" applyNumberFormat="1" applyBorder="1" applyAlignment="1">
      <alignment horizontal="center"/>
    </xf>
    <xf numFmtId="1" fontId="0" fillId="33" borderId="92" xfId="0" applyNumberFormat="1" applyFill="1" applyBorder="1" applyAlignment="1">
      <alignment horizontal="center"/>
    </xf>
    <xf numFmtId="1" fontId="0" fillId="33" borderId="93" xfId="0" applyNumberFormat="1" applyFill="1" applyBorder="1" applyAlignment="1">
      <alignment horizontal="center"/>
    </xf>
    <xf numFmtId="1" fontId="0" fillId="6" borderId="93" xfId="0" applyNumberFormat="1" applyFill="1" applyBorder="1" applyAlignment="1">
      <alignment horizontal="center"/>
    </xf>
    <xf numFmtId="1" fontId="27" fillId="0" borderId="94" xfId="0" applyNumberFormat="1" applyFont="1" applyBorder="1" applyAlignment="1">
      <alignment horizontal="center"/>
    </xf>
    <xf numFmtId="1" fontId="27" fillId="33" borderId="93" xfId="0" applyNumberFormat="1" applyFont="1" applyFill="1" applyBorder="1" applyAlignment="1">
      <alignment horizontal="center"/>
    </xf>
    <xf numFmtId="1" fontId="27" fillId="0" borderId="92" xfId="0" applyNumberFormat="1" applyFont="1" applyBorder="1" applyAlignment="1">
      <alignment horizontal="center"/>
    </xf>
    <xf numFmtId="1" fontId="27" fillId="0" borderId="93" xfId="0" applyNumberFormat="1" applyFont="1" applyBorder="1" applyAlignment="1">
      <alignment horizontal="center"/>
    </xf>
    <xf numFmtId="0" fontId="28" fillId="0" borderId="6" xfId="0" applyFont="1" applyBorder="1" applyAlignment="1">
      <alignment horizontal="center"/>
    </xf>
    <xf numFmtId="0" fontId="0" fillId="0" borderId="0" xfId="0" applyBorder="1" applyAlignment="1">
      <alignment wrapText="1"/>
    </xf>
    <xf numFmtId="0" fontId="0" fillId="0" borderId="0" xfId="0" applyFill="1" applyBorder="1" applyAlignment="1">
      <alignment wrapText="1"/>
    </xf>
    <xf numFmtId="0" fontId="0" fillId="30" borderId="0" xfId="0" applyFill="1" applyBorder="1" applyAlignment="1">
      <alignment wrapText="1"/>
    </xf>
    <xf numFmtId="0" fontId="43" fillId="0" borderId="0" xfId="0" applyFont="1" applyAlignment="1">
      <alignment horizontal="center" vertical="center" textRotation="90" wrapText="1"/>
    </xf>
    <xf numFmtId="0" fontId="43" fillId="0" borderId="6" xfId="0" applyFont="1" applyBorder="1"/>
    <xf numFmtId="0" fontId="0" fillId="0" borderId="37" xfId="0" applyBorder="1"/>
    <xf numFmtId="0" fontId="0" fillId="0" borderId="0" xfId="0" applyAlignment="1">
      <alignment horizontal="right"/>
    </xf>
    <xf numFmtId="0" fontId="28" fillId="0" borderId="0" xfId="0" applyFont="1" applyFill="1"/>
    <xf numFmtId="0" fontId="28" fillId="0" borderId="39" xfId="0" applyFont="1" applyBorder="1" applyAlignment="1">
      <alignment horizontal="center"/>
    </xf>
    <xf numFmtId="0" fontId="0" fillId="0" borderId="0" xfId="0" applyFont="1" applyFill="1" applyBorder="1"/>
    <xf numFmtId="0" fontId="0" fillId="0" borderId="39" xfId="0" applyFont="1" applyBorder="1"/>
    <xf numFmtId="0" fontId="0" fillId="0" borderId="39" xfId="0" applyFont="1" applyBorder="1" applyAlignment="1">
      <alignment wrapText="1"/>
    </xf>
    <xf numFmtId="0" fontId="44" fillId="0" borderId="6" xfId="0" applyFont="1" applyBorder="1"/>
    <xf numFmtId="0" fontId="28" fillId="9" borderId="0" xfId="0" applyFont="1" applyFill="1"/>
    <xf numFmtId="165" fontId="0" fillId="9" borderId="0" xfId="2456" applyNumberFormat="1" applyFont="1" applyFill="1"/>
    <xf numFmtId="0" fontId="0" fillId="9" borderId="0" xfId="0" applyFill="1"/>
    <xf numFmtId="0" fontId="53" fillId="2" borderId="0" xfId="0" applyFont="1" applyFill="1"/>
    <xf numFmtId="0" fontId="28" fillId="0" borderId="39" xfId="0" applyFont="1" applyBorder="1" applyAlignment="1">
      <alignment wrapText="1"/>
    </xf>
    <xf numFmtId="0" fontId="0" fillId="30" borderId="0" xfId="0" applyFont="1" applyFill="1"/>
    <xf numFmtId="0" fontId="28" fillId="0" borderId="39" xfId="0" applyFont="1" applyFill="1" applyBorder="1"/>
    <xf numFmtId="0" fontId="28" fillId="0" borderId="39" xfId="0" applyFont="1" applyFill="1" applyBorder="1" applyAlignment="1">
      <alignment wrapText="1"/>
    </xf>
    <xf numFmtId="0" fontId="28" fillId="30" borderId="39" xfId="0" applyFont="1" applyFill="1" applyBorder="1" applyAlignment="1">
      <alignment wrapText="1"/>
    </xf>
    <xf numFmtId="164" fontId="0" fillId="0" borderId="39" xfId="0" applyNumberFormat="1" applyBorder="1"/>
    <xf numFmtId="164" fontId="0" fillId="30" borderId="39" xfId="0" applyNumberFormat="1" applyFill="1" applyBorder="1"/>
    <xf numFmtId="0" fontId="54" fillId="2" borderId="0" xfId="0" applyFont="1" applyFill="1" applyBorder="1"/>
    <xf numFmtId="0" fontId="54" fillId="0" borderId="0" xfId="0" applyFont="1" applyBorder="1"/>
    <xf numFmtId="0" fontId="28" fillId="0" borderId="0" xfId="0" applyFont="1" applyAlignment="1">
      <alignment horizontal="center" wrapText="1"/>
    </xf>
    <xf numFmtId="0" fontId="43" fillId="0" borderId="13" xfId="0" applyFont="1" applyBorder="1"/>
    <xf numFmtId="0" fontId="54" fillId="0" borderId="52" xfId="0" applyFont="1" applyBorder="1"/>
    <xf numFmtId="0" fontId="55" fillId="0" borderId="52" xfId="0" applyFont="1" applyBorder="1"/>
    <xf numFmtId="0" fontId="28" fillId="0" borderId="0" xfId="0" applyFont="1" applyBorder="1" applyAlignment="1">
      <alignment wrapText="1"/>
    </xf>
    <xf numFmtId="164" fontId="0" fillId="0" borderId="0" xfId="0" applyNumberFormat="1" applyBorder="1"/>
    <xf numFmtId="0" fontId="0" fillId="0" borderId="6" xfId="0" applyBorder="1" applyAlignment="1">
      <alignment wrapText="1"/>
    </xf>
    <xf numFmtId="0" fontId="28" fillId="0" borderId="0" xfId="0" applyFont="1" applyAlignment="1">
      <alignment vertical="center"/>
    </xf>
    <xf numFmtId="0" fontId="28" fillId="0" borderId="0" xfId="0" applyFont="1" applyBorder="1" applyAlignment="1">
      <alignment vertical="center"/>
    </xf>
    <xf numFmtId="0" fontId="28" fillId="2" borderId="0" xfId="0" applyFont="1" applyFill="1" applyBorder="1" applyAlignment="1">
      <alignment wrapText="1"/>
    </xf>
    <xf numFmtId="164" fontId="0" fillId="2" borderId="0" xfId="0" applyNumberFormat="1" applyFill="1" applyBorder="1"/>
    <xf numFmtId="0" fontId="19" fillId="4" borderId="1" xfId="0" applyFont="1" applyFill="1" applyBorder="1" applyAlignment="1">
      <alignment horizontal="center"/>
    </xf>
    <xf numFmtId="0" fontId="3" fillId="4" borderId="0" xfId="0" applyFont="1" applyFill="1" applyBorder="1" applyAlignment="1">
      <alignment horizontal="center" wrapText="1"/>
    </xf>
    <xf numFmtId="0" fontId="3" fillId="7" borderId="13" xfId="0" applyFont="1" applyFill="1" applyBorder="1" applyAlignment="1">
      <alignment horizontal="center" vertical="center"/>
    </xf>
    <xf numFmtId="2" fontId="2" fillId="9" borderId="0" xfId="0" applyNumberFormat="1" applyFont="1" applyFill="1" applyBorder="1" applyAlignment="1">
      <alignment horizontal="center"/>
    </xf>
    <xf numFmtId="2" fontId="2" fillId="9" borderId="13" xfId="0" applyNumberFormat="1" applyFont="1" applyFill="1" applyBorder="1" applyAlignment="1">
      <alignment horizontal="center"/>
    </xf>
    <xf numFmtId="0" fontId="3" fillId="7" borderId="0" xfId="0" applyFont="1" applyFill="1" applyBorder="1" applyAlignment="1">
      <alignment horizontal="center" vertical="center"/>
    </xf>
    <xf numFmtId="1" fontId="8" fillId="10" borderId="13" xfId="0" applyNumberFormat="1" applyFont="1" applyFill="1" applyBorder="1" applyAlignment="1">
      <alignment horizontal="center"/>
    </xf>
    <xf numFmtId="0" fontId="0" fillId="0" borderId="80" xfId="0" applyBorder="1"/>
    <xf numFmtId="2" fontId="0" fillId="0" borderId="39" xfId="0" applyNumberFormat="1" applyBorder="1"/>
    <xf numFmtId="0" fontId="28" fillId="28" borderId="39" xfId="0" applyFont="1" applyFill="1" applyBorder="1" applyAlignment="1">
      <alignment wrapText="1"/>
    </xf>
    <xf numFmtId="0" fontId="0" fillId="28" borderId="39" xfId="0" applyFill="1" applyBorder="1"/>
    <xf numFmtId="0" fontId="28" fillId="0" borderId="9" xfId="0" applyFont="1" applyBorder="1"/>
    <xf numFmtId="0" fontId="28" fillId="0" borderId="42" xfId="0" applyFont="1" applyBorder="1" applyAlignment="1">
      <alignment wrapText="1"/>
    </xf>
    <xf numFmtId="0" fontId="28" fillId="28" borderId="42" xfId="0" applyFont="1" applyFill="1" applyBorder="1" applyAlignment="1">
      <alignment wrapText="1"/>
    </xf>
    <xf numFmtId="164" fontId="0" fillId="0" borderId="0" xfId="0" applyNumberFormat="1"/>
    <xf numFmtId="167" fontId="0" fillId="0" borderId="39" xfId="0" applyNumberFormat="1" applyBorder="1"/>
    <xf numFmtId="167" fontId="0" fillId="0" borderId="0" xfId="0" applyNumberFormat="1" applyBorder="1"/>
    <xf numFmtId="2" fontId="0" fillId="0" borderId="0" xfId="0" applyNumberFormat="1" applyBorder="1"/>
    <xf numFmtId="0" fontId="28" fillId="0" borderId="6" xfId="0" applyFont="1" applyBorder="1" applyAlignment="1">
      <alignment vertical="center"/>
    </xf>
    <xf numFmtId="164" fontId="0" fillId="0" borderId="6" xfId="0" applyNumberFormat="1" applyBorder="1"/>
    <xf numFmtId="164" fontId="0" fillId="28" borderId="39" xfId="0" applyNumberFormat="1" applyFill="1" applyBorder="1"/>
    <xf numFmtId="2" fontId="0" fillId="28" borderId="39" xfId="0" applyNumberFormat="1" applyFill="1" applyBorder="1"/>
    <xf numFmtId="164" fontId="0" fillId="0" borderId="39" xfId="0" applyNumberFormat="1" applyFill="1" applyBorder="1"/>
    <xf numFmtId="167" fontId="0" fillId="28" borderId="39" xfId="0" applyNumberFormat="1" applyFill="1" applyBorder="1"/>
    <xf numFmtId="0" fontId="56" fillId="0" borderId="0" xfId="0" applyFont="1" applyFill="1" applyBorder="1"/>
    <xf numFmtId="0" fontId="2" fillId="5" borderId="0" xfId="0" applyFont="1" applyFill="1" applyBorder="1" applyAlignment="1">
      <alignment horizontal="center"/>
    </xf>
    <xf numFmtId="0" fontId="2" fillId="2" borderId="0" xfId="0" applyNumberFormat="1" applyFont="1" applyFill="1" applyAlignment="1">
      <alignment horizontal="center"/>
    </xf>
    <xf numFmtId="0" fontId="2" fillId="2" borderId="0" xfId="0" applyNumberFormat="1" applyFont="1" applyFill="1" applyAlignment="1">
      <alignment horizontal="center" vertical="center"/>
    </xf>
    <xf numFmtId="167" fontId="2" fillId="2" borderId="0" xfId="0" applyNumberFormat="1" applyFont="1" applyFill="1" applyBorder="1" applyAlignment="1">
      <alignment horizontal="center"/>
    </xf>
    <xf numFmtId="0" fontId="2" fillId="2" borderId="0" xfId="0" applyFont="1" applyFill="1" applyBorder="1" applyAlignment="1">
      <alignment horizontal="center" vertical="center"/>
    </xf>
    <xf numFmtId="0" fontId="2" fillId="2" borderId="0" xfId="0" applyNumberFormat="1" applyFont="1" applyFill="1" applyBorder="1" applyAlignment="1">
      <alignment horizontal="center" vertical="center"/>
    </xf>
    <xf numFmtId="14" fontId="2" fillId="2" borderId="0" xfId="0" applyNumberFormat="1" applyFont="1" applyFill="1" applyBorder="1" applyAlignment="1">
      <alignment horizontal="center"/>
    </xf>
    <xf numFmtId="14" fontId="2" fillId="2" borderId="0" xfId="0" applyNumberFormat="1" applyFont="1" applyFill="1" applyAlignment="1">
      <alignment horizontal="center"/>
    </xf>
    <xf numFmtId="0" fontId="30" fillId="0" borderId="9" xfId="0" applyFont="1" applyFill="1" applyBorder="1" applyAlignment="1">
      <alignment horizontal="center" vertical="center"/>
    </xf>
    <xf numFmtId="0" fontId="30" fillId="0" borderId="0" xfId="0" applyFont="1" applyFill="1" applyAlignment="1">
      <alignment horizontal="center" vertical="center"/>
    </xf>
    <xf numFmtId="0" fontId="30" fillId="9" borderId="0" xfId="0" applyFont="1" applyFill="1" applyAlignment="1">
      <alignment horizontal="center" vertical="center"/>
    </xf>
    <xf numFmtId="0" fontId="2" fillId="35" borderId="0" xfId="0" applyFont="1" applyFill="1" applyBorder="1" applyAlignment="1">
      <alignment horizontal="center"/>
    </xf>
    <xf numFmtId="0" fontId="43" fillId="0" borderId="0" xfId="0" applyFont="1" applyAlignment="1">
      <alignment horizontal="center"/>
    </xf>
    <xf numFmtId="0" fontId="2" fillId="9" borderId="39" xfId="0" applyFont="1" applyFill="1" applyBorder="1" applyAlignment="1">
      <alignment horizontal="center"/>
    </xf>
    <xf numFmtId="9" fontId="0" fillId="0" borderId="39" xfId="2456" applyFont="1" applyBorder="1" applyAlignment="1">
      <alignment horizontal="center"/>
    </xf>
    <xf numFmtId="0" fontId="2" fillId="5" borderId="39" xfId="0" applyFont="1" applyFill="1" applyBorder="1" applyAlignment="1">
      <alignment horizontal="center"/>
    </xf>
    <xf numFmtId="0" fontId="2" fillId="6" borderId="39" xfId="0" applyFont="1" applyFill="1" applyBorder="1" applyAlignment="1">
      <alignment horizontal="center"/>
    </xf>
    <xf numFmtId="0" fontId="2" fillId="2" borderId="0" xfId="0" applyFont="1" applyFill="1" applyAlignment="1">
      <alignment horizontal="center"/>
    </xf>
    <xf numFmtId="15" fontId="2" fillId="2" borderId="0" xfId="0" applyNumberFormat="1" applyFont="1" applyFill="1" applyAlignment="1">
      <alignment horizontal="center"/>
    </xf>
    <xf numFmtId="0" fontId="0" fillId="43" borderId="39" xfId="0" applyFill="1" applyBorder="1"/>
    <xf numFmtId="0" fontId="0" fillId="43" borderId="39" xfId="0" applyFill="1" applyBorder="1" applyAlignment="1">
      <alignment wrapText="1"/>
    </xf>
    <xf numFmtId="0" fontId="0" fillId="37" borderId="39" xfId="0" applyFill="1" applyBorder="1" applyAlignment="1">
      <alignment wrapText="1"/>
    </xf>
    <xf numFmtId="0" fontId="0" fillId="37" borderId="39" xfId="0" applyFill="1" applyBorder="1" applyAlignment="1">
      <alignment horizontal="left" wrapText="1"/>
    </xf>
    <xf numFmtId="165" fontId="0" fillId="37" borderId="39" xfId="0" applyNumberFormat="1" applyFill="1" applyBorder="1" applyAlignment="1">
      <alignment wrapText="1"/>
    </xf>
    <xf numFmtId="9" fontId="0" fillId="37" borderId="39" xfId="0" applyNumberFormat="1" applyFill="1" applyBorder="1" applyAlignment="1">
      <alignment wrapText="1"/>
    </xf>
    <xf numFmtId="0" fontId="0" fillId="44" borderId="39" xfId="0" applyFill="1" applyBorder="1" applyAlignment="1">
      <alignment wrapText="1"/>
    </xf>
    <xf numFmtId="0" fontId="0" fillId="45" borderId="39" xfId="0" applyFill="1" applyBorder="1" applyAlignment="1">
      <alignment wrapText="1"/>
    </xf>
    <xf numFmtId="0" fontId="28" fillId="0" borderId="6" xfId="0" applyFont="1" applyBorder="1" applyAlignment="1">
      <alignment horizontal="center"/>
    </xf>
    <xf numFmtId="1" fontId="8" fillId="10" borderId="13" xfId="0" applyNumberFormat="1" applyFont="1" applyFill="1" applyBorder="1" applyAlignment="1">
      <alignment horizontal="center"/>
    </xf>
    <xf numFmtId="0" fontId="28" fillId="0" borderId="9" xfId="0" applyFont="1" applyFill="1" applyBorder="1"/>
    <xf numFmtId="0" fontId="28" fillId="0" borderId="39" xfId="0" applyFont="1" applyBorder="1" applyAlignment="1">
      <alignment horizontal="center"/>
    </xf>
    <xf numFmtId="0" fontId="0" fillId="0" borderId="0" xfId="0" applyBorder="1" applyAlignment="1">
      <alignment vertical="top"/>
    </xf>
    <xf numFmtId="0" fontId="0" fillId="0" borderId="41" xfId="0" applyFill="1" applyBorder="1"/>
    <xf numFmtId="0" fontId="43" fillId="0" borderId="0" xfId="0" applyFont="1" applyBorder="1"/>
    <xf numFmtId="0" fontId="28" fillId="0" borderId="87" xfId="0" applyFont="1" applyBorder="1" applyAlignment="1">
      <alignment horizontal="center"/>
    </xf>
    <xf numFmtId="1" fontId="0" fillId="0" borderId="80" xfId="0" applyNumberFormat="1" applyBorder="1" applyAlignment="1">
      <alignment horizontal="center"/>
    </xf>
    <xf numFmtId="1" fontId="0" fillId="0" borderId="80" xfId="0" applyNumberFormat="1" applyFill="1" applyBorder="1" applyAlignment="1">
      <alignment horizontal="center"/>
    </xf>
    <xf numFmtId="1" fontId="0" fillId="0" borderId="6" xfId="0" applyNumberFormat="1" applyFill="1" applyBorder="1" applyAlignment="1">
      <alignment horizontal="center"/>
    </xf>
    <xf numFmtId="1" fontId="0" fillId="0" borderId="6" xfId="0" applyNumberFormat="1" applyBorder="1" applyAlignment="1">
      <alignment horizontal="center"/>
    </xf>
    <xf numFmtId="1" fontId="0" fillId="0" borderId="0" xfId="0" applyNumberFormat="1" applyFill="1" applyBorder="1" applyAlignment="1">
      <alignment horizontal="center"/>
    </xf>
    <xf numFmtId="1" fontId="0" fillId="0" borderId="37" xfId="0" applyNumberFormat="1" applyFill="1" applyBorder="1" applyAlignment="1">
      <alignment horizontal="center"/>
    </xf>
    <xf numFmtId="1" fontId="0" fillId="0" borderId="52" xfId="0" applyNumberFormat="1" applyFill="1" applyBorder="1" applyAlignment="1">
      <alignment horizontal="center"/>
    </xf>
    <xf numFmtId="0" fontId="57" fillId="0" borderId="0" xfId="0" applyFont="1" applyBorder="1"/>
    <xf numFmtId="0" fontId="57" fillId="0" borderId="6" xfId="0" applyFont="1" applyBorder="1"/>
    <xf numFmtId="0" fontId="58" fillId="0" borderId="0" xfId="0" applyFont="1" applyBorder="1"/>
    <xf numFmtId="0" fontId="59" fillId="0" borderId="0" xfId="0" applyFont="1" applyBorder="1"/>
    <xf numFmtId="0" fontId="59" fillId="0" borderId="0" xfId="0" applyFont="1" applyBorder="1" applyAlignment="1">
      <alignment horizontal="center"/>
    </xf>
    <xf numFmtId="0" fontId="59" fillId="0" borderId="6" xfId="0" applyFont="1" applyBorder="1"/>
    <xf numFmtId="1" fontId="59" fillId="0" borderId="0" xfId="0" applyNumberFormat="1" applyFont="1" applyBorder="1"/>
    <xf numFmtId="1" fontId="59" fillId="0" borderId="6" xfId="0" applyNumberFormat="1" applyFont="1" applyBorder="1"/>
    <xf numFmtId="0" fontId="59" fillId="0" borderId="0" xfId="0" applyFont="1" applyFill="1" applyBorder="1"/>
    <xf numFmtId="0" fontId="59" fillId="0" borderId="13" xfId="0" applyFont="1" applyBorder="1"/>
    <xf numFmtId="0" fontId="58" fillId="0" borderId="0" xfId="0" applyFont="1" applyBorder="1" applyAlignment="1">
      <alignment horizontal="left" vertical="center"/>
    </xf>
    <xf numFmtId="0" fontId="59" fillId="0" borderId="13" xfId="0" applyFont="1" applyBorder="1" applyAlignment="1">
      <alignment horizontal="right"/>
    </xf>
    <xf numFmtId="0" fontId="59" fillId="0" borderId="13" xfId="0" applyFont="1" applyFill="1" applyBorder="1" applyAlignment="1">
      <alignment horizontal="right"/>
    </xf>
    <xf numFmtId="0" fontId="59" fillId="0" borderId="0" xfId="0" applyFont="1" applyBorder="1" applyAlignment="1">
      <alignment horizontal="right"/>
    </xf>
    <xf numFmtId="0" fontId="59" fillId="0" borderId="0" xfId="0" applyFont="1" applyBorder="1" applyAlignment="1">
      <alignment horizontal="center" vertical="center"/>
    </xf>
    <xf numFmtId="0" fontId="59" fillId="0" borderId="13" xfId="0" applyFont="1" applyBorder="1" applyAlignment="1">
      <alignment horizontal="left"/>
    </xf>
    <xf numFmtId="0" fontId="57" fillId="2" borderId="0" xfId="0" applyFont="1" applyFill="1" applyBorder="1" applyAlignment="1">
      <alignment vertical="center"/>
    </xf>
    <xf numFmtId="0" fontId="59" fillId="2" borderId="62" xfId="0" applyFont="1" applyFill="1" applyBorder="1" applyAlignment="1">
      <alignment vertical="center"/>
    </xf>
    <xf numFmtId="0" fontId="59" fillId="37" borderId="62" xfId="0" applyFont="1" applyFill="1" applyBorder="1" applyAlignment="1">
      <alignment horizontal="center" vertical="center"/>
    </xf>
    <xf numFmtId="0" fontId="59" fillId="2" borderId="62" xfId="0" applyFont="1" applyFill="1" applyBorder="1" applyAlignment="1">
      <alignment horizontal="center" vertical="center"/>
    </xf>
    <xf numFmtId="0" fontId="59" fillId="2" borderId="0" xfId="0" applyFont="1" applyFill="1" applyAlignment="1">
      <alignment vertical="center"/>
    </xf>
    <xf numFmtId="0" fontId="59" fillId="37" borderId="0" xfId="0" applyFont="1" applyFill="1" applyAlignment="1">
      <alignment horizontal="left" vertical="center" indent="1"/>
    </xf>
    <xf numFmtId="0" fontId="59" fillId="2" borderId="0" xfId="0" applyFont="1" applyFill="1" applyAlignment="1">
      <alignment horizontal="left" vertical="center" indent="1"/>
    </xf>
    <xf numFmtId="0" fontId="59" fillId="37" borderId="0" xfId="0" applyFont="1" applyFill="1" applyAlignment="1">
      <alignment horizontal="left" vertical="center" wrapText="1" indent="1"/>
    </xf>
    <xf numFmtId="0" fontId="59" fillId="2" borderId="0" xfId="0" applyFont="1" applyFill="1" applyAlignment="1">
      <alignment horizontal="left" vertical="center" wrapText="1" indent="1"/>
    </xf>
    <xf numFmtId="0" fontId="59" fillId="2" borderId="0" xfId="0" applyFont="1" applyFill="1" applyBorder="1" applyAlignment="1">
      <alignment vertical="center"/>
    </xf>
    <xf numFmtId="0" fontId="59" fillId="37" borderId="0" xfId="0" applyFont="1" applyFill="1" applyBorder="1" applyAlignment="1">
      <alignment horizontal="left" vertical="center" wrapText="1" indent="1"/>
    </xf>
    <xf numFmtId="0" fontId="59" fillId="2" borderId="0" xfId="0" applyFont="1" applyFill="1" applyAlignment="1">
      <alignment vertical="center" wrapText="1"/>
    </xf>
    <xf numFmtId="0" fontId="28" fillId="0" borderId="0" xfId="0" applyFont="1" applyBorder="1" applyAlignment="1">
      <alignment horizontal="center"/>
    </xf>
    <xf numFmtId="1" fontId="0" fillId="0" borderId="35" xfId="0" applyNumberFormat="1" applyBorder="1" applyAlignment="1">
      <alignment horizontal="center"/>
    </xf>
    <xf numFmtId="1" fontId="0" fillId="0" borderId="38" xfId="0" applyNumberFormat="1" applyBorder="1" applyAlignment="1">
      <alignment horizontal="center"/>
    </xf>
    <xf numFmtId="0" fontId="0" fillId="0" borderId="38" xfId="0" applyBorder="1" applyAlignment="1">
      <alignment horizontal="center"/>
    </xf>
    <xf numFmtId="0" fontId="0" fillId="0" borderId="41" xfId="0" applyBorder="1" applyAlignment="1">
      <alignment horizontal="center"/>
    </xf>
    <xf numFmtId="1" fontId="0" fillId="0" borderId="41" xfId="0" applyNumberFormat="1" applyBorder="1" applyAlignment="1">
      <alignment horizontal="center"/>
    </xf>
    <xf numFmtId="1" fontId="0" fillId="0" borderId="87" xfId="0" applyNumberFormat="1" applyBorder="1" applyAlignment="1">
      <alignment horizontal="center"/>
    </xf>
    <xf numFmtId="0" fontId="28" fillId="46" borderId="6" xfId="0" applyFont="1" applyFill="1" applyBorder="1" applyAlignment="1">
      <alignment horizontal="center"/>
    </xf>
    <xf numFmtId="0" fontId="0" fillId="46" borderId="0" xfId="0" applyFill="1" applyBorder="1"/>
    <xf numFmtId="1" fontId="0" fillId="46" borderId="6" xfId="0" applyNumberFormat="1" applyFill="1" applyBorder="1" applyAlignment="1">
      <alignment horizontal="center"/>
    </xf>
    <xf numFmtId="1" fontId="0" fillId="46" borderId="37" xfId="0" applyNumberFormat="1" applyFill="1" applyBorder="1" applyAlignment="1">
      <alignment horizontal="center"/>
    </xf>
    <xf numFmtId="0" fontId="0" fillId="46" borderId="0" xfId="0" applyFill="1" applyBorder="1" applyAlignment="1">
      <alignment horizontal="center"/>
    </xf>
    <xf numFmtId="1" fontId="0" fillId="46" borderId="40" xfId="0" applyNumberFormat="1" applyFill="1" applyBorder="1" applyAlignment="1">
      <alignment horizontal="center"/>
    </xf>
    <xf numFmtId="0" fontId="0" fillId="46" borderId="40" xfId="0" applyFill="1" applyBorder="1" applyAlignment="1">
      <alignment horizontal="center"/>
    </xf>
    <xf numFmtId="0" fontId="0" fillId="46" borderId="42" xfId="0" applyFill="1" applyBorder="1" applyAlignment="1">
      <alignment horizontal="center"/>
    </xf>
    <xf numFmtId="1" fontId="0" fillId="46" borderId="43" xfId="0" applyNumberFormat="1" applyFill="1" applyBorder="1" applyAlignment="1">
      <alignment horizontal="center"/>
    </xf>
    <xf numFmtId="1" fontId="0" fillId="46" borderId="0" xfId="0" applyNumberFormat="1" applyFill="1" applyBorder="1" applyAlignment="1">
      <alignment horizontal="center"/>
    </xf>
    <xf numFmtId="1" fontId="0" fillId="46" borderId="52" xfId="0" applyNumberFormat="1" applyFill="1" applyBorder="1" applyAlignment="1">
      <alignment horizontal="center"/>
    </xf>
    <xf numFmtId="0" fontId="28" fillId="46" borderId="0" xfId="0" applyFont="1" applyFill="1" applyBorder="1"/>
    <xf numFmtId="0" fontId="0" fillId="46" borderId="35" xfId="0" applyFill="1" applyBorder="1" applyAlignment="1">
      <alignment horizontal="center"/>
    </xf>
    <xf numFmtId="0" fontId="0" fillId="46" borderId="6" xfId="0" applyFill="1" applyBorder="1" applyAlignment="1">
      <alignment horizontal="center"/>
    </xf>
    <xf numFmtId="0" fontId="0" fillId="46" borderId="62" xfId="0" applyFill="1" applyBorder="1" applyAlignment="1">
      <alignment horizontal="center"/>
    </xf>
    <xf numFmtId="0" fontId="0" fillId="46" borderId="38" xfId="0" applyFill="1" applyBorder="1" applyAlignment="1">
      <alignment horizontal="center"/>
    </xf>
    <xf numFmtId="0" fontId="0" fillId="46" borderId="41" xfId="0" applyFill="1" applyBorder="1" applyAlignment="1">
      <alignment horizontal="center"/>
    </xf>
    <xf numFmtId="0" fontId="0" fillId="46" borderId="13" xfId="0" applyFill="1" applyBorder="1" applyAlignment="1">
      <alignment horizontal="center"/>
    </xf>
    <xf numFmtId="0" fontId="28" fillId="46" borderId="0" xfId="0" applyFont="1" applyFill="1" applyBorder="1" applyAlignment="1">
      <alignment horizontal="center"/>
    </xf>
    <xf numFmtId="0" fontId="0" fillId="46" borderId="87" xfId="0" applyFill="1" applyBorder="1" applyAlignment="1">
      <alignment horizontal="center"/>
    </xf>
    <xf numFmtId="0" fontId="0" fillId="28" borderId="40" xfId="0" applyFill="1" applyBorder="1" applyAlignment="1">
      <alignment horizontal="center"/>
    </xf>
    <xf numFmtId="0" fontId="61" fillId="0" borderId="0" xfId="0" applyFont="1" applyAlignment="1">
      <alignment horizontal="right"/>
    </xf>
    <xf numFmtId="1" fontId="0" fillId="46" borderId="41" xfId="0" applyNumberFormat="1" applyFill="1" applyBorder="1" applyAlignment="1">
      <alignment horizontal="center"/>
    </xf>
    <xf numFmtId="0" fontId="28" fillId="0" borderId="42" xfId="0" applyFont="1" applyBorder="1"/>
    <xf numFmtId="0" fontId="0" fillId="0" borderId="0" xfId="0" applyBorder="1" applyAlignment="1">
      <alignment vertical="center"/>
    </xf>
    <xf numFmtId="0" fontId="0" fillId="0" borderId="39" xfId="0" applyBorder="1" applyAlignment="1">
      <alignment horizontal="left"/>
    </xf>
    <xf numFmtId="0" fontId="2" fillId="2" borderId="0" xfId="0" applyFont="1" applyFill="1" applyAlignment="1">
      <alignment horizontal="center"/>
    </xf>
    <xf numFmtId="0" fontId="3" fillId="30" borderId="18" xfId="0" applyFont="1" applyFill="1" applyBorder="1" applyAlignment="1">
      <alignment vertical="center"/>
    </xf>
    <xf numFmtId="9" fontId="3" fillId="47" borderId="39" xfId="2456" applyFont="1" applyFill="1" applyBorder="1" applyAlignment="1">
      <alignment horizontal="center" vertical="center"/>
    </xf>
    <xf numFmtId="11" fontId="0" fillId="6" borderId="39" xfId="0" applyNumberFormat="1" applyFont="1" applyFill="1" applyBorder="1"/>
    <xf numFmtId="0" fontId="2" fillId="2" borderId="0" xfId="0" applyFont="1" applyFill="1" applyAlignment="1">
      <alignment horizontal="right"/>
    </xf>
    <xf numFmtId="0" fontId="13" fillId="18" borderId="0" xfId="0" applyFont="1" applyFill="1" applyAlignment="1">
      <alignment horizontal="center"/>
    </xf>
    <xf numFmtId="0" fontId="9" fillId="12" borderId="84" xfId="0" applyFont="1" applyFill="1" applyBorder="1" applyAlignment="1">
      <alignment horizontal="center"/>
    </xf>
    <xf numFmtId="169" fontId="0" fillId="0" borderId="0" xfId="0" applyNumberFormat="1" applyBorder="1"/>
    <xf numFmtId="0" fontId="62" fillId="0" borderId="39" xfId="0" applyFont="1" applyBorder="1"/>
    <xf numFmtId="0" fontId="63" fillId="0" borderId="39" xfId="0" applyFont="1" applyBorder="1" applyAlignment="1">
      <alignment vertical="center" wrapText="1"/>
    </xf>
    <xf numFmtId="0" fontId="62" fillId="0" borderId="39" xfId="0" applyFont="1" applyBorder="1" applyAlignment="1">
      <alignment vertical="center"/>
    </xf>
    <xf numFmtId="0" fontId="57" fillId="0" borderId="39" xfId="0" applyFont="1" applyBorder="1" applyAlignment="1">
      <alignment horizontal="center"/>
    </xf>
    <xf numFmtId="0" fontId="57" fillId="0" borderId="38" xfId="0" applyFont="1" applyBorder="1" applyAlignment="1">
      <alignment horizontal="center"/>
    </xf>
    <xf numFmtId="9" fontId="57" fillId="0" borderId="40" xfId="2456" applyFont="1" applyBorder="1" applyAlignment="1">
      <alignment horizontal="center"/>
    </xf>
    <xf numFmtId="9" fontId="57" fillId="0" borderId="39" xfId="2456" applyFont="1" applyBorder="1" applyAlignment="1">
      <alignment horizontal="center"/>
    </xf>
    <xf numFmtId="0" fontId="57" fillId="0" borderId="39" xfId="0" applyFont="1" applyBorder="1" applyAlignment="1">
      <alignment horizontal="center" vertical="center" wrapText="1"/>
    </xf>
    <xf numFmtId="0" fontId="57" fillId="0" borderId="40" xfId="0" applyFont="1" applyBorder="1" applyAlignment="1">
      <alignment horizontal="center" vertical="center" wrapText="1"/>
    </xf>
    <xf numFmtId="0" fontId="65" fillId="0" borderId="0" xfId="0" applyFont="1"/>
    <xf numFmtId="0" fontId="57" fillId="0" borderId="0" xfId="0" applyFont="1"/>
    <xf numFmtId="0" fontId="64" fillId="0" borderId="39" xfId="0" applyFont="1" applyBorder="1" applyAlignment="1">
      <alignment wrapText="1"/>
    </xf>
    <xf numFmtId="0" fontId="57" fillId="0" borderId="39" xfId="0" applyFont="1" applyBorder="1"/>
    <xf numFmtId="0" fontId="19" fillId="4" borderId="1" xfId="0" applyFont="1" applyFill="1" applyBorder="1" applyAlignment="1">
      <alignment horizontal="center"/>
    </xf>
    <xf numFmtId="0" fontId="3" fillId="4" borderId="0" xfId="0" applyFont="1" applyFill="1" applyBorder="1" applyAlignment="1">
      <alignment horizontal="center" wrapText="1"/>
    </xf>
    <xf numFmtId="0" fontId="3" fillId="7" borderId="13" xfId="0" applyFont="1" applyFill="1" applyBorder="1" applyAlignment="1">
      <alignment horizontal="center" vertical="center"/>
    </xf>
    <xf numFmtId="2" fontId="2" fillId="9" borderId="0" xfId="0" applyNumberFormat="1" applyFont="1" applyFill="1" applyBorder="1" applyAlignment="1">
      <alignment horizontal="center"/>
    </xf>
    <xf numFmtId="2" fontId="2" fillId="9" borderId="13" xfId="0" applyNumberFormat="1" applyFont="1" applyFill="1" applyBorder="1" applyAlignment="1">
      <alignment horizontal="center"/>
    </xf>
    <xf numFmtId="0" fontId="3" fillId="7" borderId="0" xfId="0" applyFont="1" applyFill="1" applyBorder="1" applyAlignment="1">
      <alignment horizontal="center" vertical="center"/>
    </xf>
    <xf numFmtId="0" fontId="67" fillId="0" borderId="9" xfId="0" applyFont="1" applyBorder="1"/>
    <xf numFmtId="9" fontId="0" fillId="0" borderId="39" xfId="0" applyNumberFormat="1" applyFont="1" applyBorder="1" applyAlignment="1">
      <alignment horizontal="center" vertical="center"/>
    </xf>
    <xf numFmtId="0" fontId="28" fillId="0" borderId="35" xfId="0" applyFont="1" applyBorder="1" applyAlignment="1">
      <alignment horizontal="center"/>
    </xf>
    <xf numFmtId="0" fontId="28" fillId="0" borderId="36" xfId="0" applyFont="1" applyBorder="1" applyAlignment="1">
      <alignment horizontal="center"/>
    </xf>
    <xf numFmtId="0" fontId="28" fillId="0" borderId="37" xfId="0" applyFont="1" applyBorder="1" applyAlignment="1">
      <alignment horizontal="center" wrapText="1"/>
    </xf>
    <xf numFmtId="1" fontId="0" fillId="0" borderId="40" xfId="0" applyNumberFormat="1" applyBorder="1"/>
    <xf numFmtId="1" fontId="0" fillId="0" borderId="42" xfId="0" applyNumberFormat="1" applyBorder="1"/>
    <xf numFmtId="1" fontId="0" fillId="0" borderId="43" xfId="0" applyNumberFormat="1" applyBorder="1"/>
    <xf numFmtId="0" fontId="28" fillId="0" borderId="35" xfId="0" applyFont="1" applyBorder="1" applyAlignment="1">
      <alignment horizontal="center" wrapText="1"/>
    </xf>
    <xf numFmtId="0" fontId="28" fillId="0" borderId="80" xfId="0" applyFont="1" applyBorder="1" applyAlignment="1">
      <alignment horizontal="center" wrapText="1"/>
    </xf>
    <xf numFmtId="2" fontId="0" fillId="0" borderId="38" xfId="0" applyNumberFormat="1" applyBorder="1"/>
    <xf numFmtId="2" fontId="0" fillId="0" borderId="96" xfId="0" applyNumberFormat="1" applyBorder="1"/>
    <xf numFmtId="2" fontId="0" fillId="0" borderId="80" xfId="0" applyNumberFormat="1" applyBorder="1"/>
    <xf numFmtId="2" fontId="0" fillId="0" borderId="62" xfId="0" applyNumberFormat="1" applyBorder="1"/>
    <xf numFmtId="2" fontId="0" fillId="0" borderId="40" xfId="0" applyNumberFormat="1" applyBorder="1"/>
    <xf numFmtId="2" fontId="0" fillId="0" borderId="41" xfId="0" applyNumberFormat="1" applyBorder="1"/>
    <xf numFmtId="2" fontId="0" fillId="0" borderId="95" xfId="0" applyNumberFormat="1" applyBorder="1"/>
    <xf numFmtId="2" fontId="0" fillId="0" borderId="42" xfId="0" applyNumberFormat="1" applyBorder="1"/>
    <xf numFmtId="2" fontId="0" fillId="0" borderId="43" xfId="0" applyNumberFormat="1" applyBorder="1"/>
    <xf numFmtId="0" fontId="28" fillId="0" borderId="35" xfId="0" applyFont="1" applyBorder="1" applyAlignment="1">
      <alignment horizontal="center" vertical="center" wrapText="1"/>
    </xf>
    <xf numFmtId="0" fontId="28" fillId="0" borderId="41" xfId="0" applyFont="1" applyBorder="1" applyAlignment="1">
      <alignment horizontal="center" vertical="center" wrapText="1"/>
    </xf>
    <xf numFmtId="9" fontId="0" fillId="0" borderId="39" xfId="0" applyNumberFormat="1" applyBorder="1" applyAlignment="1">
      <alignment horizontal="center" vertical="center"/>
    </xf>
    <xf numFmtId="0" fontId="28" fillId="0" borderId="35" xfId="0" applyFont="1" applyBorder="1" applyAlignment="1">
      <alignment vertical="center" wrapText="1"/>
    </xf>
    <xf numFmtId="0" fontId="28" fillId="0" borderId="41" xfId="0" applyFont="1" applyBorder="1" applyAlignment="1">
      <alignment vertical="center" wrapText="1"/>
    </xf>
    <xf numFmtId="0" fontId="28" fillId="0" borderId="37" xfId="0" applyFont="1" applyBorder="1" applyAlignment="1">
      <alignment horizontal="center"/>
    </xf>
    <xf numFmtId="0" fontId="28" fillId="0" borderId="97" xfId="0" applyFont="1" applyBorder="1" applyAlignment="1">
      <alignment horizontal="center" wrapText="1"/>
    </xf>
    <xf numFmtId="0" fontId="0" fillId="0" borderId="0" xfId="0" applyBorder="1" applyAlignment="1">
      <alignment horizontal="center" vertical="center"/>
    </xf>
    <xf numFmtId="0" fontId="0" fillId="30" borderId="0" xfId="0" applyFill="1" applyAlignment="1">
      <alignment vertical="center" wrapText="1"/>
    </xf>
    <xf numFmtId="0" fontId="0" fillId="6" borderId="0" xfId="0" applyFill="1" applyAlignment="1">
      <alignment vertical="center" wrapText="1"/>
    </xf>
    <xf numFmtId="0" fontId="28" fillId="0" borderId="35" xfId="0" applyFont="1" applyBorder="1" applyAlignment="1">
      <alignment horizontal="center" vertical="center"/>
    </xf>
    <xf numFmtId="0" fontId="28" fillId="0" borderId="35" xfId="0" applyFont="1" applyFill="1" applyBorder="1" applyAlignment="1">
      <alignment horizontal="center" wrapText="1"/>
    </xf>
    <xf numFmtId="2" fontId="0" fillId="0" borderId="38" xfId="0" applyNumberFormat="1" applyFill="1" applyBorder="1"/>
    <xf numFmtId="2" fontId="0" fillId="0" borderId="39" xfId="0" applyNumberFormat="1" applyFill="1" applyBorder="1"/>
    <xf numFmtId="2" fontId="0" fillId="0" borderId="40" xfId="0" applyNumberFormat="1" applyFill="1" applyBorder="1"/>
    <xf numFmtId="2" fontId="0" fillId="0" borderId="41" xfId="0" applyNumberFormat="1" applyFill="1" applyBorder="1"/>
    <xf numFmtId="2" fontId="0" fillId="0" borderId="42" xfId="0" applyNumberFormat="1" applyFill="1" applyBorder="1"/>
    <xf numFmtId="2" fontId="0" fillId="0" borderId="43" xfId="0" applyNumberFormat="1" applyFill="1" applyBorder="1"/>
    <xf numFmtId="0" fontId="28" fillId="6" borderId="35" xfId="0" applyFont="1" applyFill="1" applyBorder="1" applyAlignment="1">
      <alignment horizontal="center" wrapText="1"/>
    </xf>
    <xf numFmtId="0" fontId="0" fillId="0" borderId="0" xfId="0" applyFill="1" applyAlignment="1">
      <alignment wrapText="1"/>
    </xf>
    <xf numFmtId="0" fontId="28" fillId="0" borderId="40" xfId="0" applyFont="1" applyBorder="1" applyAlignment="1">
      <alignment horizontal="center" vertical="center" wrapText="1"/>
    </xf>
    <xf numFmtId="0" fontId="0" fillId="33" borderId="0" xfId="0" applyFill="1" applyAlignment="1">
      <alignment horizontal="center" vertical="center"/>
    </xf>
    <xf numFmtId="9" fontId="0" fillId="33" borderId="39" xfId="0" applyNumberFormat="1" applyFill="1" applyBorder="1" applyAlignment="1">
      <alignment horizontal="center" vertical="center"/>
    </xf>
    <xf numFmtId="0" fontId="28" fillId="6" borderId="38" xfId="0" applyFont="1" applyFill="1" applyBorder="1" applyAlignment="1">
      <alignment horizontal="center" vertical="center" wrapText="1"/>
    </xf>
    <xf numFmtId="0" fontId="28" fillId="6" borderId="39" xfId="0" applyFont="1" applyFill="1" applyBorder="1" applyAlignment="1">
      <alignment horizontal="center" vertical="center" wrapText="1"/>
    </xf>
    <xf numFmtId="0" fontId="28" fillId="0" borderId="97" xfId="0" applyFont="1" applyFill="1" applyBorder="1" applyAlignment="1">
      <alignment horizontal="center" wrapText="1"/>
    </xf>
    <xf numFmtId="0" fontId="28" fillId="0" borderId="36" xfId="0" applyFont="1" applyFill="1" applyBorder="1" applyAlignment="1">
      <alignment horizontal="center" wrapText="1"/>
    </xf>
    <xf numFmtId="0" fontId="2" fillId="9" borderId="0" xfId="0" applyFont="1" applyFill="1" applyBorder="1" applyAlignment="1">
      <alignment horizontal="center"/>
    </xf>
    <xf numFmtId="0" fontId="2" fillId="9" borderId="13" xfId="0" applyFont="1" applyFill="1" applyBorder="1" applyAlignment="1">
      <alignment horizontal="center"/>
    </xf>
    <xf numFmtId="1" fontId="2" fillId="9" borderId="0" xfId="0" applyNumberFormat="1" applyFont="1" applyFill="1" applyBorder="1" applyAlignment="1">
      <alignment horizontal="center"/>
    </xf>
    <xf numFmtId="0" fontId="2" fillId="8" borderId="0" xfId="0" applyFont="1" applyFill="1" applyBorder="1" applyAlignment="1">
      <alignment horizontal="center"/>
    </xf>
    <xf numFmtId="0" fontId="2" fillId="5" borderId="0" xfId="0" applyFont="1" applyFill="1" applyBorder="1" applyAlignment="1">
      <alignment horizontal="center"/>
    </xf>
    <xf numFmtId="0" fontId="28" fillId="49" borderId="38" xfId="0" applyFont="1" applyFill="1" applyBorder="1" applyAlignment="1">
      <alignment horizontal="center" vertical="center" wrapText="1"/>
    </xf>
    <xf numFmtId="0" fontId="28" fillId="49" borderId="39" xfId="0" applyFont="1" applyFill="1" applyBorder="1" applyAlignment="1">
      <alignment horizontal="center" vertical="center" wrapText="1"/>
    </xf>
    <xf numFmtId="0" fontId="0" fillId="49" borderId="0" xfId="0" applyFill="1" applyAlignment="1">
      <alignment horizontal="center" vertical="center" wrapText="1"/>
    </xf>
    <xf numFmtId="2" fontId="0" fillId="0" borderId="101" xfId="0" applyNumberFormat="1" applyFill="1" applyBorder="1"/>
    <xf numFmtId="2" fontId="0" fillId="0" borderId="89" xfId="0" applyNumberFormat="1" applyFill="1" applyBorder="1"/>
    <xf numFmtId="2" fontId="0" fillId="0" borderId="102" xfId="0" applyNumberFormat="1" applyFill="1" applyBorder="1"/>
    <xf numFmtId="2" fontId="0" fillId="0" borderId="103" xfId="0" applyNumberFormat="1" applyBorder="1"/>
    <xf numFmtId="2" fontId="0" fillId="0" borderId="104" xfId="0" applyNumberFormat="1" applyBorder="1"/>
    <xf numFmtId="2" fontId="0" fillId="0" borderId="105" xfId="0" applyNumberFormat="1" applyBorder="1"/>
    <xf numFmtId="2" fontId="0" fillId="0" borderId="0" xfId="0" applyNumberFormat="1" applyAlignment="1">
      <alignment horizontal="center"/>
    </xf>
    <xf numFmtId="2" fontId="0" fillId="0" borderId="38" xfId="0" applyNumberFormat="1" applyBorder="1" applyAlignment="1">
      <alignment horizontal="center"/>
    </xf>
    <xf numFmtId="2" fontId="0" fillId="0" borderId="96" xfId="0" applyNumberFormat="1" applyBorder="1" applyAlignment="1">
      <alignment horizontal="center"/>
    </xf>
    <xf numFmtId="0" fontId="0" fillId="9" borderId="0" xfId="0" applyFill="1" applyAlignment="1">
      <alignment wrapText="1"/>
    </xf>
    <xf numFmtId="9" fontId="0" fillId="9" borderId="0" xfId="0" applyNumberFormat="1" applyFill="1" applyAlignment="1">
      <alignment horizontal="left"/>
    </xf>
    <xf numFmtId="0" fontId="0" fillId="0" borderId="0" xfId="0" applyAlignment="1">
      <alignment vertical="top"/>
    </xf>
    <xf numFmtId="0" fontId="28" fillId="0" borderId="35" xfId="0" applyFont="1" applyFill="1" applyBorder="1" applyAlignment="1">
      <alignment horizontal="center" vertical="center" wrapText="1"/>
    </xf>
    <xf numFmtId="0" fontId="28" fillId="0" borderId="0" xfId="0" applyFont="1" applyAlignment="1">
      <alignment horizontal="center" vertical="center"/>
    </xf>
    <xf numFmtId="1" fontId="2" fillId="9" borderId="13" xfId="0" applyNumberFormat="1" applyFont="1" applyFill="1" applyBorder="1" applyAlignment="1">
      <alignment horizontal="center" vertical="center"/>
    </xf>
    <xf numFmtId="1" fontId="2" fillId="9" borderId="0" xfId="0" applyNumberFormat="1" applyFont="1" applyFill="1" applyBorder="1" applyAlignment="1">
      <alignment horizontal="center" vertical="center"/>
    </xf>
    <xf numFmtId="1" fontId="0" fillId="0" borderId="38" xfId="0" applyNumberFormat="1" applyBorder="1"/>
    <xf numFmtId="1" fontId="0" fillId="0" borderId="41" xfId="0" applyNumberFormat="1" applyBorder="1"/>
    <xf numFmtId="0" fontId="28" fillId="0" borderId="87" xfId="0" applyFont="1" applyBorder="1" applyAlignment="1">
      <alignment wrapText="1"/>
    </xf>
    <xf numFmtId="0" fontId="28" fillId="0" borderId="80" xfId="0" applyFont="1" applyBorder="1" applyAlignment="1">
      <alignment wrapText="1"/>
    </xf>
    <xf numFmtId="0" fontId="28" fillId="6" borderId="96" xfId="0" applyFont="1" applyFill="1" applyBorder="1" applyAlignment="1">
      <alignment horizontal="center" vertical="center" wrapText="1"/>
    </xf>
    <xf numFmtId="0" fontId="28" fillId="6" borderId="40" xfId="0" applyFont="1" applyFill="1" applyBorder="1" applyAlignment="1">
      <alignment horizontal="center" vertical="center" wrapText="1"/>
    </xf>
    <xf numFmtId="0" fontId="28" fillId="0" borderId="0" xfId="0" applyFont="1" applyFill="1" applyAlignment="1">
      <alignment horizontal="center"/>
    </xf>
    <xf numFmtId="0" fontId="28" fillId="0" borderId="36" xfId="0" applyFont="1" applyBorder="1" applyAlignment="1">
      <alignment horizontal="center" vertical="center"/>
    </xf>
    <xf numFmtId="0" fontId="28" fillId="0" borderId="36" xfId="0" applyFont="1" applyBorder="1" applyAlignment="1">
      <alignment horizontal="center" vertical="center" wrapText="1"/>
    </xf>
    <xf numFmtId="0" fontId="28" fillId="0" borderId="0" xfId="0" applyFont="1" applyBorder="1" applyAlignment="1">
      <alignment horizontal="center" wrapText="1"/>
    </xf>
    <xf numFmtId="9" fontId="0" fillId="0" borderId="0" xfId="0" applyNumberFormat="1" applyBorder="1" applyAlignment="1">
      <alignment horizontal="center" vertical="center"/>
    </xf>
    <xf numFmtId="9" fontId="0" fillId="0" borderId="0" xfId="0" applyNumberFormat="1" applyFill="1" applyBorder="1" applyAlignment="1">
      <alignment horizontal="center" vertical="center"/>
    </xf>
    <xf numFmtId="9" fontId="3" fillId="2" borderId="0" xfId="0" applyNumberFormat="1" applyFont="1" applyFill="1"/>
    <xf numFmtId="0" fontId="0" fillId="0" borderId="0" xfId="0" applyAlignment="1">
      <alignment horizontal="left"/>
    </xf>
    <xf numFmtId="0" fontId="18" fillId="0" borderId="6" xfId="0" applyFont="1" applyBorder="1"/>
    <xf numFmtId="9" fontId="57" fillId="0" borderId="40" xfId="2456" applyFont="1" applyFill="1" applyBorder="1" applyAlignment="1">
      <alignment horizontal="center"/>
    </xf>
    <xf numFmtId="0" fontId="0" fillId="0" borderId="0" xfId="0" applyAlignment="1">
      <alignment wrapText="1"/>
    </xf>
    <xf numFmtId="0" fontId="0" fillId="0" borderId="39" xfId="0" applyBorder="1" applyAlignment="1">
      <alignment horizontal="center" vertical="center" wrapText="1"/>
    </xf>
    <xf numFmtId="0" fontId="0" fillId="0" borderId="42" xfId="0" applyFill="1" applyBorder="1" applyAlignment="1">
      <alignment horizontal="center" vertical="center" wrapText="1"/>
    </xf>
    <xf numFmtId="0" fontId="0" fillId="0" borderId="42" xfId="0" applyFont="1" applyBorder="1" applyAlignment="1">
      <alignment horizontal="center" vertical="center" wrapText="1"/>
    </xf>
    <xf numFmtId="0" fontId="0" fillId="0" borderId="39" xfId="0" applyFont="1" applyFill="1" applyBorder="1" applyAlignment="1">
      <alignment horizontal="center" vertical="center" wrapText="1"/>
    </xf>
    <xf numFmtId="0" fontId="64" fillId="0" borderId="39" xfId="0" applyFont="1" applyBorder="1" applyAlignment="1">
      <alignment horizontal="center"/>
    </xf>
    <xf numFmtId="0" fontId="64" fillId="0" borderId="38" xfId="0" applyFont="1" applyBorder="1" applyAlignment="1">
      <alignment horizontal="center"/>
    </xf>
    <xf numFmtId="1" fontId="28" fillId="2" borderId="90" xfId="0" applyNumberFormat="1" applyFont="1" applyFill="1" applyBorder="1" applyAlignment="1">
      <alignment horizontal="center"/>
    </xf>
    <xf numFmtId="1" fontId="28" fillId="2" borderId="0" xfId="0" applyNumberFormat="1" applyFont="1" applyFill="1" applyBorder="1" applyAlignment="1">
      <alignment horizontal="center"/>
    </xf>
    <xf numFmtId="0" fontId="28" fillId="0" borderId="39" xfId="0" applyFont="1" applyBorder="1" applyAlignment="1">
      <alignment horizontal="center"/>
    </xf>
    <xf numFmtId="0" fontId="58" fillId="0" borderId="6" xfId="0" applyFont="1" applyBorder="1" applyAlignment="1">
      <alignment horizontal="left" vertical="center"/>
    </xf>
    <xf numFmtId="0" fontId="28" fillId="46" borderId="43" xfId="0" applyFont="1" applyFill="1" applyBorder="1" applyAlignment="1">
      <alignment horizontal="center"/>
    </xf>
    <xf numFmtId="0" fontId="28" fillId="46" borderId="41" xfId="0" applyFont="1" applyFill="1" applyBorder="1" applyAlignment="1">
      <alignment horizontal="center"/>
    </xf>
    <xf numFmtId="0" fontId="28" fillId="46" borderId="13" xfId="0" applyFont="1" applyFill="1" applyBorder="1" applyAlignment="1">
      <alignment horizontal="center"/>
    </xf>
    <xf numFmtId="0" fontId="28" fillId="46" borderId="6" xfId="0" applyFont="1" applyFill="1" applyBorder="1" applyAlignment="1">
      <alignment horizontal="center"/>
    </xf>
    <xf numFmtId="0" fontId="28" fillId="0" borderId="6" xfId="0" applyFont="1" applyBorder="1" applyAlignment="1">
      <alignment horizontal="center"/>
    </xf>
    <xf numFmtId="0" fontId="28" fillId="0" borderId="13" xfId="0" applyFont="1" applyBorder="1" applyAlignment="1">
      <alignment horizontal="center"/>
    </xf>
    <xf numFmtId="0" fontId="28" fillId="0" borderId="41" xfId="0" applyFont="1" applyBorder="1" applyAlignment="1">
      <alignment horizontal="center"/>
    </xf>
    <xf numFmtId="0" fontId="28" fillId="0" borderId="43" xfId="0" applyFont="1" applyBorder="1" applyAlignment="1">
      <alignment horizontal="center"/>
    </xf>
    <xf numFmtId="0" fontId="64" fillId="0" borderId="40" xfId="0" applyFont="1" applyBorder="1" applyAlignment="1">
      <alignment horizontal="center"/>
    </xf>
    <xf numFmtId="0" fontId="28" fillId="0" borderId="42" xfId="0" applyFont="1" applyBorder="1" applyAlignment="1">
      <alignment horizontal="center"/>
    </xf>
    <xf numFmtId="0" fontId="28" fillId="0" borderId="40" xfId="0" applyFont="1" applyBorder="1" applyAlignment="1">
      <alignment horizontal="center"/>
    </xf>
    <xf numFmtId="0" fontId="28" fillId="0" borderId="38" xfId="0" applyFont="1" applyBorder="1" applyAlignment="1">
      <alignment horizontal="center"/>
    </xf>
    <xf numFmtId="0" fontId="28" fillId="0" borderId="39" xfId="0" applyFont="1" applyBorder="1" applyAlignment="1">
      <alignment horizontal="center" wrapText="1"/>
    </xf>
    <xf numFmtId="0" fontId="28" fillId="0" borderId="40" xfId="0" applyFont="1" applyBorder="1" applyAlignment="1">
      <alignment horizontal="center" wrapText="1"/>
    </xf>
    <xf numFmtId="0" fontId="28" fillId="0" borderId="38" xfId="0" applyFont="1" applyBorder="1" applyAlignment="1">
      <alignment horizontal="center" wrapText="1"/>
    </xf>
    <xf numFmtId="0" fontId="3" fillId="0" borderId="0" xfId="0" applyFont="1" applyFill="1" applyAlignment="1">
      <alignment horizontal="center"/>
    </xf>
    <xf numFmtId="0" fontId="3" fillId="4" borderId="0" xfId="0" applyFont="1" applyFill="1" applyBorder="1" applyAlignment="1">
      <alignment horizontal="center" vertical="center"/>
    </xf>
    <xf numFmtId="0" fontId="3" fillId="4" borderId="5" xfId="0" applyFont="1" applyFill="1" applyBorder="1" applyAlignment="1">
      <alignment horizontal="center" vertical="center"/>
    </xf>
    <xf numFmtId="0" fontId="2" fillId="34" borderId="0" xfId="0" applyFont="1" applyFill="1" applyAlignment="1">
      <alignment horizontal="center"/>
    </xf>
    <xf numFmtId="0" fontId="19" fillId="4" borderId="2" xfId="0" applyFont="1" applyFill="1" applyBorder="1" applyAlignment="1">
      <alignment horizontal="center" wrapText="1"/>
    </xf>
    <xf numFmtId="0" fontId="19" fillId="4" borderId="1" xfId="0" applyFont="1" applyFill="1" applyBorder="1" applyAlignment="1">
      <alignment horizontal="center" wrapText="1"/>
    </xf>
    <xf numFmtId="0" fontId="19" fillId="4" borderId="3" xfId="0" applyFont="1" applyFill="1" applyBorder="1" applyAlignment="1">
      <alignment horizontal="center" wrapText="1"/>
    </xf>
    <xf numFmtId="0" fontId="19" fillId="4" borderId="2" xfId="0" applyFont="1" applyFill="1" applyBorder="1" applyAlignment="1">
      <alignment horizontal="center"/>
    </xf>
    <xf numFmtId="0" fontId="19" fillId="4" borderId="1" xfId="0" applyFont="1" applyFill="1" applyBorder="1" applyAlignment="1">
      <alignment horizontal="center"/>
    </xf>
    <xf numFmtId="0" fontId="19" fillId="4" borderId="3" xfId="0" applyFont="1" applyFill="1" applyBorder="1" applyAlignment="1">
      <alignment horizontal="center"/>
    </xf>
    <xf numFmtId="0" fontId="3" fillId="30" borderId="62" xfId="0" applyFont="1" applyFill="1" applyBorder="1" applyAlignment="1">
      <alignment horizontal="center"/>
    </xf>
    <xf numFmtId="9" fontId="3" fillId="4" borderId="0" xfId="0" applyNumberFormat="1" applyFont="1" applyFill="1" applyBorder="1" applyAlignment="1">
      <alignment horizontal="center" vertical="center" wrapText="1"/>
    </xf>
    <xf numFmtId="0" fontId="19" fillId="4" borderId="2" xfId="0" applyFont="1" applyFill="1" applyBorder="1" applyAlignment="1">
      <alignment horizontal="center" vertical="center"/>
    </xf>
    <xf numFmtId="0" fontId="19" fillId="4" borderId="1" xfId="0" applyFont="1" applyFill="1" applyBorder="1" applyAlignment="1">
      <alignment horizontal="center" vertical="center"/>
    </xf>
    <xf numFmtId="0" fontId="19" fillId="4" borderId="3" xfId="0" applyFont="1" applyFill="1" applyBorder="1" applyAlignment="1">
      <alignment horizontal="center" vertical="center"/>
    </xf>
    <xf numFmtId="0" fontId="3" fillId="30" borderId="81" xfId="0" applyFont="1" applyFill="1" applyBorder="1" applyAlignment="1">
      <alignment horizontal="center"/>
    </xf>
    <xf numFmtId="0" fontId="3" fillId="4" borderId="0" xfId="0" applyFont="1" applyFill="1" applyBorder="1" applyAlignment="1">
      <alignment horizontal="center" vertical="center" wrapText="1"/>
    </xf>
    <xf numFmtId="9" fontId="3" fillId="4" borderId="20" xfId="0" applyNumberFormat="1" applyFont="1" applyFill="1" applyBorder="1" applyAlignment="1">
      <alignment horizontal="center" vertical="center" wrapText="1"/>
    </xf>
    <xf numFmtId="9" fontId="3" fillId="4" borderId="7" xfId="0" applyNumberFormat="1" applyFont="1" applyFill="1" applyBorder="1" applyAlignment="1">
      <alignment horizontal="center" vertical="center" wrapText="1"/>
    </xf>
    <xf numFmtId="9" fontId="3" fillId="4" borderId="6" xfId="0" applyNumberFormat="1" applyFont="1" applyFill="1" applyBorder="1" applyAlignment="1">
      <alignment horizontal="center" vertical="center" wrapText="1"/>
    </xf>
    <xf numFmtId="0" fontId="3" fillId="4" borderId="0" xfId="0" applyFont="1" applyFill="1" applyBorder="1" applyAlignment="1">
      <alignment horizontal="center" wrapText="1"/>
    </xf>
    <xf numFmtId="0" fontId="3" fillId="4" borderId="66" xfId="0" applyFont="1" applyFill="1" applyBorder="1" applyAlignment="1">
      <alignment horizontal="center" wrapText="1"/>
    </xf>
    <xf numFmtId="0" fontId="42" fillId="36" borderId="0" xfId="0" applyFont="1" applyFill="1" applyBorder="1" applyAlignment="1">
      <alignment horizontal="center" vertical="center"/>
    </xf>
    <xf numFmtId="2" fontId="2" fillId="9" borderId="4" xfId="0" applyNumberFormat="1" applyFont="1" applyFill="1" applyBorder="1" applyAlignment="1">
      <alignment horizontal="center"/>
    </xf>
    <xf numFmtId="2" fontId="2" fillId="9" borderId="0" xfId="0" applyNumberFormat="1" applyFont="1" applyFill="1" applyBorder="1" applyAlignment="1">
      <alignment horizontal="center"/>
    </xf>
    <xf numFmtId="2" fontId="2" fillId="9" borderId="15" xfId="0" applyNumberFormat="1" applyFont="1" applyFill="1" applyBorder="1" applyAlignment="1">
      <alignment horizontal="center"/>
    </xf>
    <xf numFmtId="2" fontId="2" fillId="9" borderId="13" xfId="0" applyNumberFormat="1" applyFont="1" applyFill="1" applyBorder="1" applyAlignment="1">
      <alignment horizontal="center"/>
    </xf>
    <xf numFmtId="2" fontId="2" fillId="9" borderId="18" xfId="0" applyNumberFormat="1" applyFont="1" applyFill="1" applyBorder="1" applyAlignment="1">
      <alignment horizontal="center"/>
    </xf>
    <xf numFmtId="0" fontId="42" fillId="36" borderId="0" xfId="0" applyFont="1" applyFill="1" applyBorder="1" applyAlignment="1">
      <alignment horizontal="right" vertical="center"/>
    </xf>
    <xf numFmtId="0" fontId="19" fillId="4" borderId="68" xfId="0" applyFont="1" applyFill="1" applyBorder="1" applyAlignment="1">
      <alignment horizontal="center"/>
    </xf>
    <xf numFmtId="0" fontId="19" fillId="4" borderId="69" xfId="0" applyFont="1" applyFill="1" applyBorder="1" applyAlignment="1">
      <alignment horizontal="center"/>
    </xf>
    <xf numFmtId="0" fontId="3" fillId="4" borderId="70" xfId="0" applyFont="1" applyFill="1" applyBorder="1" applyAlignment="1">
      <alignment horizontal="center" wrapText="1"/>
    </xf>
    <xf numFmtId="0" fontId="3" fillId="4" borderId="4" xfId="0" applyFont="1" applyFill="1" applyBorder="1" applyAlignment="1">
      <alignment horizontal="center" wrapText="1"/>
    </xf>
    <xf numFmtId="0" fontId="3" fillId="4" borderId="5" xfId="0" applyFont="1" applyFill="1" applyBorder="1" applyAlignment="1">
      <alignment horizontal="center" wrapText="1"/>
    </xf>
    <xf numFmtId="0" fontId="2" fillId="0" borderId="0" xfId="0" applyFont="1" applyFill="1" applyAlignment="1">
      <alignment horizontal="center"/>
    </xf>
    <xf numFmtId="0" fontId="19" fillId="4" borderId="0" xfId="0" applyFont="1" applyFill="1" applyBorder="1" applyAlignment="1">
      <alignment horizontal="center"/>
    </xf>
    <xf numFmtId="0" fontId="3" fillId="4" borderId="20" xfId="0" applyFont="1" applyFill="1" applyBorder="1" applyAlignment="1">
      <alignment horizontal="center" vertical="center" wrapText="1"/>
    </xf>
    <xf numFmtId="0" fontId="3" fillId="4" borderId="28" xfId="0" applyFont="1" applyFill="1" applyBorder="1" applyAlignment="1">
      <alignment horizontal="center" vertical="center" wrapText="1"/>
    </xf>
    <xf numFmtId="9" fontId="3" fillId="4" borderId="4" xfId="0" applyNumberFormat="1" applyFont="1" applyFill="1" applyBorder="1" applyAlignment="1">
      <alignment horizontal="center" vertical="center" wrapText="1"/>
    </xf>
    <xf numFmtId="9" fontId="9" fillId="11" borderId="0" xfId="0" applyNumberFormat="1" applyFont="1" applyFill="1" applyBorder="1" applyAlignment="1">
      <alignment horizontal="center" vertical="center" wrapText="1"/>
    </xf>
    <xf numFmtId="9" fontId="19" fillId="4" borderId="4" xfId="0" applyNumberFormat="1" applyFont="1" applyFill="1" applyBorder="1" applyAlignment="1">
      <alignment horizontal="center" vertical="center" wrapText="1"/>
    </xf>
    <xf numFmtId="9" fontId="19" fillId="4" borderId="5" xfId="0" applyNumberFormat="1" applyFont="1" applyFill="1" applyBorder="1" applyAlignment="1">
      <alignment horizontal="center" vertical="center" wrapText="1"/>
    </xf>
    <xf numFmtId="9" fontId="3" fillId="4" borderId="5" xfId="0" applyNumberFormat="1" applyFont="1" applyFill="1" applyBorder="1" applyAlignment="1">
      <alignment horizontal="center" vertical="center" wrapText="1"/>
    </xf>
    <xf numFmtId="0" fontId="3" fillId="4" borderId="25" xfId="0" applyFont="1" applyFill="1" applyBorder="1" applyAlignment="1">
      <alignment horizontal="center" wrapText="1"/>
    </xf>
    <xf numFmtId="0" fontId="3" fillId="4" borderId="64" xfId="0" applyFont="1" applyFill="1" applyBorder="1" applyAlignment="1">
      <alignment horizontal="center" wrapText="1"/>
    </xf>
    <xf numFmtId="0" fontId="3" fillId="4" borderId="4" xfId="0" applyFont="1" applyFill="1" applyBorder="1" applyAlignment="1">
      <alignment horizontal="center" vertical="center"/>
    </xf>
    <xf numFmtId="9" fontId="9" fillId="11" borderId="28" xfId="0" applyNumberFormat="1" applyFont="1" applyFill="1" applyBorder="1" applyAlignment="1">
      <alignment horizontal="center" vertical="center" wrapText="1"/>
    </xf>
    <xf numFmtId="0" fontId="19" fillId="4" borderId="22" xfId="0" applyFont="1" applyFill="1" applyBorder="1" applyAlignment="1">
      <alignment horizontal="center"/>
    </xf>
    <xf numFmtId="0" fontId="16" fillId="2" borderId="0" xfId="0" applyFont="1" applyFill="1" applyBorder="1" applyAlignment="1">
      <alignment horizontal="center"/>
    </xf>
    <xf numFmtId="0" fontId="3" fillId="4" borderId="15" xfId="0" applyFont="1" applyFill="1" applyBorder="1" applyAlignment="1">
      <alignment horizontal="center" wrapText="1"/>
    </xf>
    <xf numFmtId="0" fontId="3" fillId="4" borderId="20" xfId="0" applyFont="1" applyFill="1" applyBorder="1" applyAlignment="1">
      <alignment horizontal="center" vertical="center"/>
    </xf>
    <xf numFmtId="0" fontId="3" fillId="4" borderId="15" xfId="0" applyFont="1" applyFill="1" applyBorder="1" applyAlignment="1">
      <alignment horizontal="center" vertical="center"/>
    </xf>
    <xf numFmtId="0" fontId="19" fillId="4" borderId="73" xfId="0" applyFont="1" applyFill="1" applyBorder="1" applyAlignment="1">
      <alignment horizontal="center"/>
    </xf>
    <xf numFmtId="9" fontId="19" fillId="4" borderId="2" xfId="0" applyNumberFormat="1" applyFont="1" applyFill="1" applyBorder="1" applyAlignment="1">
      <alignment horizontal="center"/>
    </xf>
    <xf numFmtId="9" fontId="19" fillId="4" borderId="1" xfId="0" applyNumberFormat="1" applyFont="1" applyFill="1" applyBorder="1" applyAlignment="1">
      <alignment horizontal="center"/>
    </xf>
    <xf numFmtId="9" fontId="19" fillId="4" borderId="16" xfId="0" applyNumberFormat="1" applyFont="1" applyFill="1" applyBorder="1" applyAlignment="1">
      <alignment horizontal="center"/>
    </xf>
    <xf numFmtId="9" fontId="9" fillId="11" borderId="25" xfId="0" applyNumberFormat="1" applyFont="1" applyFill="1" applyBorder="1" applyAlignment="1">
      <alignment horizontal="center" vertical="center" wrapText="1"/>
    </xf>
    <xf numFmtId="0" fontId="3" fillId="4" borderId="15" xfId="0" applyFont="1" applyFill="1" applyBorder="1" applyAlignment="1">
      <alignment horizontal="center" vertical="center" wrapText="1"/>
    </xf>
    <xf numFmtId="0" fontId="3" fillId="4" borderId="28" xfId="0" applyFont="1" applyFill="1" applyBorder="1" applyAlignment="1">
      <alignment horizontal="center" wrapText="1"/>
    </xf>
    <xf numFmtId="0" fontId="19" fillId="4" borderId="16" xfId="0" applyFont="1" applyFill="1" applyBorder="1" applyAlignment="1">
      <alignment horizontal="center"/>
    </xf>
    <xf numFmtId="0" fontId="3" fillId="4" borderId="20" xfId="0" applyFont="1" applyFill="1" applyBorder="1" applyAlignment="1">
      <alignment horizontal="center" wrapText="1"/>
    </xf>
    <xf numFmtId="0" fontId="9" fillId="11" borderId="0" xfId="0" applyFont="1" applyFill="1" applyBorder="1" applyAlignment="1">
      <alignment horizontal="center" wrapText="1"/>
    </xf>
    <xf numFmtId="0" fontId="9" fillId="11" borderId="28" xfId="0" applyFont="1" applyFill="1" applyBorder="1" applyAlignment="1">
      <alignment horizontal="center" wrapText="1"/>
    </xf>
    <xf numFmtId="0" fontId="9" fillId="11" borderId="15" xfId="0" applyFont="1" applyFill="1" applyBorder="1" applyAlignment="1">
      <alignment horizontal="center" wrapText="1"/>
    </xf>
    <xf numFmtId="0" fontId="3" fillId="0" borderId="0" xfId="0" applyFont="1" applyFill="1" applyBorder="1" applyAlignment="1">
      <alignment horizontal="center" vertical="center" wrapText="1"/>
    </xf>
    <xf numFmtId="0" fontId="9" fillId="11" borderId="25" xfId="0" applyFont="1" applyFill="1" applyBorder="1" applyAlignment="1">
      <alignment horizontal="center" wrapText="1"/>
    </xf>
    <xf numFmtId="0" fontId="9" fillId="11" borderId="20" xfId="0" applyFont="1" applyFill="1" applyBorder="1" applyAlignment="1">
      <alignment horizontal="center" wrapText="1"/>
    </xf>
    <xf numFmtId="0" fontId="3" fillId="4" borderId="4" xfId="0" applyFont="1" applyFill="1" applyBorder="1" applyAlignment="1">
      <alignment horizontal="center" vertical="center" wrapText="1"/>
    </xf>
    <xf numFmtId="0" fontId="3" fillId="7" borderId="23" xfId="0" applyFont="1" applyFill="1" applyBorder="1" applyAlignment="1">
      <alignment horizontal="center" vertical="center"/>
    </xf>
    <xf numFmtId="0" fontId="3" fillId="7" borderId="13" xfId="0" applyFont="1" applyFill="1" applyBorder="1" applyAlignment="1">
      <alignment horizontal="center" vertical="center"/>
    </xf>
    <xf numFmtId="0" fontId="3" fillId="7" borderId="18" xfId="0" applyFont="1" applyFill="1" applyBorder="1" applyAlignment="1">
      <alignment horizontal="center" vertical="center"/>
    </xf>
    <xf numFmtId="0" fontId="3" fillId="7" borderId="6" xfId="0" applyFont="1" applyFill="1" applyBorder="1" applyAlignment="1">
      <alignment horizontal="center" vertical="center"/>
    </xf>
    <xf numFmtId="0" fontId="3" fillId="7" borderId="17" xfId="0" applyFont="1" applyFill="1" applyBorder="1" applyAlignment="1">
      <alignment horizontal="center" vertical="center"/>
    </xf>
    <xf numFmtId="0" fontId="3" fillId="30" borderId="13" xfId="0" applyFont="1" applyFill="1" applyBorder="1" applyAlignment="1">
      <alignment horizontal="center" vertical="center"/>
    </xf>
    <xf numFmtId="0" fontId="3" fillId="30" borderId="6" xfId="0" applyFont="1" applyFill="1" applyBorder="1" applyAlignment="1">
      <alignment horizontal="center" vertical="center"/>
    </xf>
    <xf numFmtId="0" fontId="3" fillId="7" borderId="21" xfId="0" applyFont="1" applyFill="1" applyBorder="1" applyAlignment="1">
      <alignment horizontal="center" vertical="center"/>
    </xf>
    <xf numFmtId="0" fontId="2" fillId="9" borderId="0" xfId="0" applyFont="1" applyFill="1" applyBorder="1" applyAlignment="1">
      <alignment horizontal="center"/>
    </xf>
    <xf numFmtId="0" fontId="2" fillId="9" borderId="13" xfId="0" applyFont="1" applyFill="1" applyBorder="1" applyAlignment="1">
      <alignment horizontal="center"/>
    </xf>
    <xf numFmtId="164" fontId="2" fillId="9" borderId="0" xfId="0" applyNumberFormat="1" applyFont="1" applyFill="1" applyBorder="1" applyAlignment="1">
      <alignment horizontal="center"/>
    </xf>
    <xf numFmtId="164" fontId="2" fillId="9" borderId="5" xfId="0" applyNumberFormat="1" applyFont="1" applyFill="1" applyBorder="1" applyAlignment="1">
      <alignment horizontal="center"/>
    </xf>
    <xf numFmtId="0" fontId="2" fillId="9" borderId="5" xfId="0" applyFont="1" applyFill="1" applyBorder="1" applyAlignment="1">
      <alignment horizontal="center"/>
    </xf>
    <xf numFmtId="0" fontId="24" fillId="3" borderId="0" xfId="0" applyFont="1" applyFill="1" applyAlignment="1">
      <alignment horizontal="center"/>
    </xf>
    <xf numFmtId="1" fontId="2" fillId="9" borderId="25" xfId="0" applyNumberFormat="1" applyFont="1" applyFill="1" applyBorder="1" applyAlignment="1">
      <alignment horizontal="center"/>
    </xf>
    <xf numFmtId="1" fontId="2" fillId="9" borderId="28" xfId="0" applyNumberFormat="1" applyFont="1" applyFill="1" applyBorder="1" applyAlignment="1">
      <alignment horizontal="center"/>
    </xf>
    <xf numFmtId="1" fontId="2" fillId="9" borderId="5" xfId="0" applyNumberFormat="1" applyFont="1" applyFill="1" applyBorder="1" applyAlignment="1">
      <alignment horizontal="center"/>
    </xf>
    <xf numFmtId="1" fontId="2" fillId="9" borderId="20" xfId="0" applyNumberFormat="1" applyFont="1" applyFill="1" applyBorder="1" applyAlignment="1">
      <alignment horizontal="center"/>
    </xf>
    <xf numFmtId="1" fontId="2" fillId="9" borderId="0" xfId="0" applyNumberFormat="1" applyFont="1" applyFill="1" applyBorder="1" applyAlignment="1">
      <alignment horizontal="center"/>
    </xf>
    <xf numFmtId="1" fontId="2" fillId="9" borderId="4" xfId="0" applyNumberFormat="1" applyFont="1" applyFill="1" applyBorder="1" applyAlignment="1">
      <alignment horizontal="center"/>
    </xf>
    <xf numFmtId="0" fontId="3" fillId="7" borderId="14" xfId="0" applyFont="1" applyFill="1" applyBorder="1" applyAlignment="1">
      <alignment horizontal="center" vertical="center"/>
    </xf>
    <xf numFmtId="0" fontId="3" fillId="7" borderId="0" xfId="0" applyFont="1" applyFill="1" applyBorder="1" applyAlignment="1">
      <alignment horizontal="center" vertical="center"/>
    </xf>
    <xf numFmtId="0" fontId="3" fillId="7" borderId="5" xfId="0" applyFont="1" applyFill="1" applyBorder="1" applyAlignment="1">
      <alignment horizontal="center" vertical="center"/>
    </xf>
    <xf numFmtId="0" fontId="3" fillId="7" borderId="12" xfId="0" applyFont="1" applyFill="1" applyBorder="1" applyAlignment="1">
      <alignment horizontal="center" vertical="center"/>
    </xf>
    <xf numFmtId="0" fontId="3" fillId="7" borderId="67" xfId="0" applyFont="1" applyFill="1" applyBorder="1" applyAlignment="1">
      <alignment horizontal="center" vertical="center"/>
    </xf>
    <xf numFmtId="0" fontId="3" fillId="7" borderId="4" xfId="0" applyFont="1" applyFill="1" applyBorder="1" applyAlignment="1">
      <alignment horizontal="center" vertical="center"/>
    </xf>
    <xf numFmtId="0" fontId="3" fillId="7" borderId="66" xfId="0" applyFont="1" applyFill="1" applyBorder="1" applyAlignment="1">
      <alignment horizontal="center" vertical="center"/>
    </xf>
    <xf numFmtId="0" fontId="3" fillId="7" borderId="12" xfId="0" applyFont="1" applyFill="1" applyBorder="1" applyAlignment="1">
      <alignment horizontal="center" vertical="center" wrapText="1"/>
    </xf>
    <xf numFmtId="0" fontId="3" fillId="7" borderId="13"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7" xfId="0" applyFont="1" applyFill="1" applyBorder="1" applyAlignment="1">
      <alignment horizontal="center" vertical="center" wrapText="1"/>
    </xf>
    <xf numFmtId="0" fontId="3" fillId="7" borderId="6" xfId="0" applyFont="1" applyFill="1" applyBorder="1" applyAlignment="1">
      <alignment horizontal="center" vertical="center" wrapText="1"/>
    </xf>
    <xf numFmtId="0" fontId="3" fillId="7" borderId="8" xfId="0" applyFont="1" applyFill="1" applyBorder="1" applyAlignment="1">
      <alignment horizontal="center" vertical="center" wrapText="1"/>
    </xf>
    <xf numFmtId="0" fontId="3" fillId="7" borderId="7" xfId="0" applyFont="1" applyFill="1" applyBorder="1" applyAlignment="1">
      <alignment horizontal="center" vertical="center"/>
    </xf>
    <xf numFmtId="0" fontId="3" fillId="7" borderId="23" xfId="0" applyFont="1" applyFill="1" applyBorder="1" applyAlignment="1">
      <alignment horizontal="center" vertical="center" wrapText="1"/>
    </xf>
    <xf numFmtId="0" fontId="3" fillId="7" borderId="18" xfId="0" applyFont="1" applyFill="1" applyBorder="1" applyAlignment="1">
      <alignment horizontal="center" vertical="center" wrapText="1"/>
    </xf>
    <xf numFmtId="0" fontId="3" fillId="7" borderId="21" xfId="0" applyFont="1" applyFill="1" applyBorder="1" applyAlignment="1">
      <alignment horizontal="center" vertical="center" wrapText="1"/>
    </xf>
    <xf numFmtId="0" fontId="3" fillId="7" borderId="17" xfId="0" applyFont="1" applyFill="1" applyBorder="1" applyAlignment="1">
      <alignment horizontal="center" vertical="center" wrapText="1"/>
    </xf>
    <xf numFmtId="1" fontId="2" fillId="9" borderId="13" xfId="0" applyNumberFormat="1" applyFont="1" applyFill="1" applyBorder="1" applyAlignment="1">
      <alignment horizontal="center"/>
    </xf>
    <xf numFmtId="1" fontId="2" fillId="9" borderId="27" xfId="0" applyNumberFormat="1" applyFont="1" applyFill="1" applyBorder="1" applyAlignment="1">
      <alignment horizontal="center"/>
    </xf>
    <xf numFmtId="1" fontId="2" fillId="9" borderId="12" xfId="0" applyNumberFormat="1" applyFont="1" applyFill="1" applyBorder="1" applyAlignment="1">
      <alignment horizontal="center"/>
    </xf>
    <xf numFmtId="1" fontId="2" fillId="9" borderId="26" xfId="0" applyNumberFormat="1" applyFont="1" applyFill="1" applyBorder="1" applyAlignment="1">
      <alignment horizontal="center"/>
    </xf>
    <xf numFmtId="1" fontId="2" fillId="9" borderId="14" xfId="0" applyNumberFormat="1" applyFont="1" applyFill="1" applyBorder="1" applyAlignment="1">
      <alignment horizontal="center"/>
    </xf>
    <xf numFmtId="2" fontId="2" fillId="9" borderId="23" xfId="0" applyNumberFormat="1" applyFont="1" applyFill="1" applyBorder="1" applyAlignment="1">
      <alignment horizontal="center"/>
    </xf>
    <xf numFmtId="0" fontId="3" fillId="4" borderId="5" xfId="0" applyFont="1" applyFill="1" applyBorder="1" applyAlignment="1">
      <alignment horizontal="center" vertical="center" wrapText="1"/>
    </xf>
    <xf numFmtId="0" fontId="3" fillId="4" borderId="25" xfId="0" applyFont="1" applyFill="1" applyBorder="1" applyAlignment="1">
      <alignment horizontal="center" vertical="center"/>
    </xf>
    <xf numFmtId="0" fontId="3" fillId="4" borderId="28" xfId="0" applyFont="1" applyFill="1" applyBorder="1" applyAlignment="1">
      <alignment horizontal="center" vertical="center"/>
    </xf>
    <xf numFmtId="0" fontId="3" fillId="4" borderId="25" xfId="0" applyFont="1" applyFill="1" applyBorder="1" applyAlignment="1">
      <alignment horizontal="center" vertical="center" wrapText="1"/>
    </xf>
    <xf numFmtId="9" fontId="9" fillId="11" borderId="20" xfId="0" applyNumberFormat="1" applyFont="1" applyFill="1" applyBorder="1" applyAlignment="1">
      <alignment horizontal="center" vertical="center" wrapText="1"/>
    </xf>
    <xf numFmtId="9" fontId="3" fillId="4" borderId="15" xfId="0" applyNumberFormat="1" applyFont="1" applyFill="1" applyBorder="1" applyAlignment="1">
      <alignment horizontal="center" vertical="center" wrapText="1"/>
    </xf>
    <xf numFmtId="9" fontId="3" fillId="30" borderId="12" xfId="0" applyNumberFormat="1" applyFont="1" applyFill="1" applyBorder="1" applyAlignment="1">
      <alignment horizontal="center" vertical="center" wrapText="1"/>
    </xf>
    <xf numFmtId="9" fontId="3" fillId="30" borderId="7" xfId="0" applyNumberFormat="1" applyFont="1" applyFill="1" applyBorder="1" applyAlignment="1">
      <alignment horizontal="center" vertical="center" wrapText="1"/>
    </xf>
    <xf numFmtId="9" fontId="3" fillId="30" borderId="0" xfId="0" applyNumberFormat="1" applyFont="1" applyFill="1" applyBorder="1" applyAlignment="1">
      <alignment horizontal="center" vertical="center" wrapText="1"/>
    </xf>
    <xf numFmtId="9" fontId="3" fillId="30" borderId="6" xfId="0" applyNumberFormat="1" applyFont="1" applyFill="1" applyBorder="1" applyAlignment="1">
      <alignment horizontal="center" vertical="center" wrapText="1"/>
    </xf>
    <xf numFmtId="9" fontId="9" fillId="11" borderId="5" xfId="0" applyNumberFormat="1" applyFont="1" applyFill="1" applyBorder="1" applyAlignment="1">
      <alignment horizontal="center" vertical="center" wrapText="1"/>
    </xf>
    <xf numFmtId="0" fontId="2" fillId="9" borderId="4" xfId="0" applyFont="1" applyFill="1" applyBorder="1" applyAlignment="1">
      <alignment horizontal="center"/>
    </xf>
    <xf numFmtId="0" fontId="2" fillId="9" borderId="28" xfId="0" applyFont="1" applyFill="1" applyBorder="1" applyAlignment="1">
      <alignment horizontal="center"/>
    </xf>
    <xf numFmtId="0" fontId="2" fillId="9" borderId="12" xfId="0" applyFont="1" applyFill="1" applyBorder="1" applyAlignment="1">
      <alignment horizontal="center"/>
    </xf>
    <xf numFmtId="0" fontId="3" fillId="4" borderId="3" xfId="0" applyFont="1" applyFill="1" applyBorder="1" applyAlignment="1">
      <alignment horizontal="center" vertical="center"/>
    </xf>
    <xf numFmtId="0" fontId="3" fillId="4" borderId="8" xfId="0" applyFont="1" applyFill="1" applyBorder="1" applyAlignment="1">
      <alignment horizontal="center" vertical="center"/>
    </xf>
    <xf numFmtId="0" fontId="21" fillId="11" borderId="22" xfId="0" applyFont="1" applyFill="1" applyBorder="1" applyAlignment="1">
      <alignment horizontal="center"/>
    </xf>
    <xf numFmtId="0" fontId="21" fillId="11" borderId="1" xfId="0" applyFont="1" applyFill="1" applyBorder="1" applyAlignment="1">
      <alignment horizontal="center"/>
    </xf>
    <xf numFmtId="0" fontId="21" fillId="11" borderId="16" xfId="0" applyFont="1" applyFill="1" applyBorder="1" applyAlignment="1">
      <alignment horizontal="center"/>
    </xf>
    <xf numFmtId="0" fontId="3" fillId="7" borderId="8" xfId="0" applyFont="1" applyFill="1" applyBorder="1" applyAlignment="1">
      <alignment horizontal="center" vertical="center"/>
    </xf>
    <xf numFmtId="0" fontId="2" fillId="9" borderId="27" xfId="0" applyFont="1" applyFill="1" applyBorder="1" applyAlignment="1">
      <alignment horizontal="center"/>
    </xf>
    <xf numFmtId="9" fontId="3" fillId="30" borderId="12" xfId="0" applyNumberFormat="1" applyFont="1" applyFill="1" applyBorder="1" applyAlignment="1">
      <alignment horizontal="center" vertical="center"/>
    </xf>
    <xf numFmtId="9" fontId="3" fillId="30" borderId="13" xfId="0" applyNumberFormat="1" applyFont="1" applyFill="1" applyBorder="1" applyAlignment="1">
      <alignment horizontal="center" vertical="center"/>
    </xf>
    <xf numFmtId="9" fontId="3" fillId="30" borderId="18" xfId="0" applyNumberFormat="1" applyFont="1" applyFill="1" applyBorder="1" applyAlignment="1">
      <alignment horizontal="center" vertical="center"/>
    </xf>
    <xf numFmtId="9" fontId="3" fillId="30" borderId="7" xfId="0" applyNumberFormat="1" applyFont="1" applyFill="1" applyBorder="1" applyAlignment="1">
      <alignment horizontal="center" vertical="center"/>
    </xf>
    <xf numFmtId="9" fontId="3" fillId="30" borderId="6" xfId="0" applyNumberFormat="1" applyFont="1" applyFill="1" applyBorder="1" applyAlignment="1">
      <alignment horizontal="center" vertical="center"/>
    </xf>
    <xf numFmtId="9" fontId="3" fillId="30" borderId="17" xfId="0" applyNumberFormat="1" applyFont="1" applyFill="1" applyBorder="1" applyAlignment="1">
      <alignment horizontal="center" vertical="center"/>
    </xf>
    <xf numFmtId="0" fontId="28" fillId="48" borderId="0" xfId="0" applyFont="1" applyFill="1" applyAlignment="1">
      <alignment horizontal="center"/>
    </xf>
    <xf numFmtId="0" fontId="0" fillId="0" borderId="6" xfId="0" applyBorder="1" applyAlignment="1">
      <alignment horizontal="center" vertical="center"/>
    </xf>
    <xf numFmtId="0" fontId="0" fillId="0" borderId="100" xfId="0" applyBorder="1" applyAlignment="1">
      <alignment horizontal="center" vertical="center"/>
    </xf>
    <xf numFmtId="0" fontId="0" fillId="0" borderId="91"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97" xfId="0" applyBorder="1" applyAlignment="1">
      <alignment horizontal="center" vertical="center"/>
    </xf>
    <xf numFmtId="0" fontId="0" fillId="0" borderId="37" xfId="0" applyBorder="1" applyAlignment="1">
      <alignment horizontal="center" vertical="center"/>
    </xf>
    <xf numFmtId="0" fontId="0" fillId="0" borderId="62" xfId="0" applyBorder="1" applyAlignment="1">
      <alignment horizontal="center" vertical="center"/>
    </xf>
    <xf numFmtId="0" fontId="0" fillId="0" borderId="98" xfId="0" applyBorder="1" applyAlignment="1">
      <alignment horizontal="center" vertical="center"/>
    </xf>
    <xf numFmtId="0" fontId="0" fillId="0" borderId="99" xfId="0" applyBorder="1" applyAlignment="1">
      <alignment horizontal="center" vertical="center"/>
    </xf>
    <xf numFmtId="0" fontId="0" fillId="0" borderId="38" xfId="0" applyBorder="1" applyAlignment="1">
      <alignment horizontal="center" vertical="center"/>
    </xf>
    <xf numFmtId="0" fontId="28" fillId="48" borderId="0" xfId="0" applyFont="1" applyFill="1" applyBorder="1" applyAlignment="1">
      <alignment horizontal="center" vertical="center"/>
    </xf>
    <xf numFmtId="0" fontId="28" fillId="48" borderId="0" xfId="0" applyFont="1" applyFill="1" applyAlignment="1">
      <alignment horizontal="center" vertical="center"/>
    </xf>
    <xf numFmtId="0" fontId="28" fillId="0" borderId="0" xfId="0" applyFont="1" applyAlignment="1">
      <alignment horizontal="center" vertical="center"/>
    </xf>
    <xf numFmtId="0" fontId="28" fillId="48" borderId="0" xfId="0" applyFont="1" applyFill="1" applyAlignment="1">
      <alignment horizontal="center" vertical="center" wrapText="1"/>
    </xf>
    <xf numFmtId="0" fontId="0" fillId="0" borderId="52" xfId="0" applyBorder="1" applyAlignment="1">
      <alignment horizontal="center" vertical="center"/>
    </xf>
    <xf numFmtId="0" fontId="0" fillId="0" borderId="0" xfId="0" applyBorder="1" applyAlignment="1">
      <alignment horizontal="center" vertical="center"/>
    </xf>
    <xf numFmtId="0" fontId="0" fillId="0" borderId="59" xfId="0" applyBorder="1" applyAlignment="1">
      <alignment horizontal="center" vertical="center"/>
    </xf>
    <xf numFmtId="0" fontId="0" fillId="0" borderId="0" xfId="0" applyAlignment="1">
      <alignment horizontal="center" vertical="center"/>
    </xf>
    <xf numFmtId="0" fontId="0" fillId="0" borderId="91" xfId="0" applyBorder="1" applyAlignment="1">
      <alignment horizontal="center" vertical="center" wrapText="1"/>
    </xf>
    <xf numFmtId="0" fontId="0" fillId="0" borderId="100" xfId="0" applyBorder="1" applyAlignment="1">
      <alignment horizontal="center" vertical="center" wrapText="1"/>
    </xf>
    <xf numFmtId="0" fontId="0" fillId="0" borderId="90" xfId="0" applyBorder="1" applyAlignment="1">
      <alignment horizontal="center" vertical="center"/>
    </xf>
    <xf numFmtId="0" fontId="0" fillId="0" borderId="62" xfId="0" applyBorder="1" applyAlignment="1">
      <alignment horizontal="center" vertical="center" wrapText="1"/>
    </xf>
    <xf numFmtId="0" fontId="0" fillId="0" borderId="98" xfId="0" applyBorder="1" applyAlignment="1">
      <alignment horizontal="center" vertical="center" wrapText="1"/>
    </xf>
    <xf numFmtId="0" fontId="24" fillId="3" borderId="0" xfId="0" applyFont="1" applyFill="1" applyBorder="1" applyAlignment="1">
      <alignment horizontal="center" wrapText="1"/>
    </xf>
    <xf numFmtId="0" fontId="24" fillId="3" borderId="0" xfId="0" applyFont="1" applyFill="1" applyBorder="1" applyAlignment="1">
      <alignment horizontal="center"/>
    </xf>
    <xf numFmtId="0" fontId="8" fillId="10" borderId="13" xfId="0" applyFont="1" applyFill="1" applyBorder="1" applyAlignment="1">
      <alignment horizontal="center"/>
    </xf>
    <xf numFmtId="0" fontId="31" fillId="32" borderId="0" xfId="0" applyFont="1" applyFill="1" applyAlignment="1">
      <alignment horizontal="center" vertical="center" wrapText="1"/>
    </xf>
    <xf numFmtId="0" fontId="31" fillId="32" borderId="9" xfId="0" applyFont="1" applyFill="1" applyBorder="1" applyAlignment="1">
      <alignment horizontal="center" vertical="center" wrapText="1"/>
    </xf>
    <xf numFmtId="0" fontId="32" fillId="32" borderId="1" xfId="0" applyFont="1" applyFill="1" applyBorder="1" applyAlignment="1">
      <alignment horizontal="center" vertical="center"/>
    </xf>
    <xf numFmtId="0" fontId="32" fillId="32" borderId="9" xfId="0" applyFont="1" applyFill="1" applyBorder="1" applyAlignment="1">
      <alignment horizontal="center" vertical="center"/>
    </xf>
    <xf numFmtId="0" fontId="31" fillId="0" borderId="0" xfId="0" applyFont="1" applyFill="1" applyBorder="1" applyAlignment="1">
      <alignment horizontal="center"/>
    </xf>
    <xf numFmtId="0" fontId="32" fillId="32" borderId="1" xfId="0" applyFont="1" applyFill="1" applyBorder="1" applyAlignment="1">
      <alignment horizontal="center" vertical="center" wrapText="1"/>
    </xf>
    <xf numFmtId="0" fontId="32" fillId="32" borderId="9" xfId="0" applyFont="1" applyFill="1" applyBorder="1" applyAlignment="1">
      <alignment horizontal="center" vertical="center" wrapText="1"/>
    </xf>
    <xf numFmtId="0" fontId="2" fillId="5" borderId="0" xfId="0" applyFont="1" applyFill="1" applyBorder="1" applyAlignment="1">
      <alignment horizontal="center"/>
    </xf>
    <xf numFmtId="0" fontId="19" fillId="4" borderId="4" xfId="0" applyFont="1" applyFill="1" applyBorder="1" applyAlignment="1">
      <alignment horizontal="center"/>
    </xf>
    <xf numFmtId="0" fontId="3" fillId="7" borderId="27" xfId="0" applyFont="1" applyFill="1" applyBorder="1" applyAlignment="1">
      <alignment horizontal="center" vertical="center"/>
    </xf>
    <xf numFmtId="0" fontId="3" fillId="7" borderId="28" xfId="0" applyFont="1" applyFill="1" applyBorder="1" applyAlignment="1">
      <alignment horizontal="center" vertical="center"/>
    </xf>
    <xf numFmtId="0" fontId="19" fillId="4" borderId="77" xfId="0" applyFont="1" applyFill="1" applyBorder="1" applyAlignment="1">
      <alignment horizontal="center"/>
    </xf>
    <xf numFmtId="0" fontId="19" fillId="4" borderId="78" xfId="0" applyFont="1" applyFill="1" applyBorder="1" applyAlignment="1">
      <alignment horizontal="center"/>
    </xf>
    <xf numFmtId="0" fontId="19" fillId="4" borderId="79" xfId="0" applyFont="1" applyFill="1" applyBorder="1" applyAlignment="1">
      <alignment horizontal="center"/>
    </xf>
    <xf numFmtId="0" fontId="43" fillId="0" borderId="0" xfId="0" applyFont="1" applyAlignment="1">
      <alignment horizontal="center" vertical="center" textRotation="90" wrapText="1"/>
    </xf>
    <xf numFmtId="0" fontId="28" fillId="0" borderId="0" xfId="0" applyFont="1" applyAlignment="1">
      <alignment horizontal="center" wrapText="1"/>
    </xf>
    <xf numFmtId="0" fontId="0" fillId="0" borderId="37" xfId="0" applyBorder="1" applyAlignment="1">
      <alignment horizontal="center" wrapText="1"/>
    </xf>
    <xf numFmtId="0" fontId="0" fillId="0" borderId="6" xfId="0" applyBorder="1" applyAlignment="1">
      <alignment horizontal="center" wrapText="1"/>
    </xf>
    <xf numFmtId="0" fontId="0" fillId="0" borderId="37" xfId="0" applyBorder="1" applyAlignment="1">
      <alignment horizontal="center" vertical="center" wrapText="1"/>
    </xf>
    <xf numFmtId="0" fontId="0" fillId="0" borderId="6" xfId="0" applyBorder="1" applyAlignment="1">
      <alignment horizontal="center" vertical="center" wrapText="1"/>
    </xf>
    <xf numFmtId="0" fontId="0" fillId="0" borderId="35" xfId="0" applyBorder="1" applyAlignment="1">
      <alignment horizontal="center" vertical="center" wrapText="1"/>
    </xf>
    <xf numFmtId="0" fontId="0" fillId="0" borderId="39" xfId="0" applyBorder="1" applyAlignment="1">
      <alignment horizontal="center" vertical="center"/>
    </xf>
    <xf numFmtId="0" fontId="0" fillId="0" borderId="35" xfId="0" applyBorder="1" applyAlignment="1">
      <alignment horizontal="center" wrapText="1"/>
    </xf>
    <xf numFmtId="0" fontId="0" fillId="0" borderId="39" xfId="0" applyBorder="1" applyAlignment="1">
      <alignment horizontal="center" vertical="center" wrapText="1"/>
    </xf>
    <xf numFmtId="0" fontId="0" fillId="0" borderId="42" xfId="0" applyBorder="1" applyAlignment="1">
      <alignment horizontal="center" vertical="center" wrapText="1"/>
    </xf>
    <xf numFmtId="0" fontId="0" fillId="0" borderId="36" xfId="0" applyBorder="1" applyAlignment="1">
      <alignment horizontal="center" vertical="center" wrapText="1"/>
    </xf>
    <xf numFmtId="0" fontId="0" fillId="0" borderId="0" xfId="0" applyBorder="1" applyAlignment="1">
      <alignment horizontal="center" wrapText="1"/>
    </xf>
    <xf numFmtId="0" fontId="2" fillId="2" borderId="0" xfId="0" applyFont="1" applyFill="1" applyAlignment="1">
      <alignment horizontal="center"/>
    </xf>
    <xf numFmtId="0" fontId="3" fillId="2" borderId="0" xfId="0" applyFont="1" applyFill="1" applyAlignment="1">
      <alignment horizontal="center"/>
    </xf>
    <xf numFmtId="1" fontId="8" fillId="10" borderId="13" xfId="0" applyNumberFormat="1" applyFont="1" applyFill="1" applyBorder="1" applyAlignment="1">
      <alignment horizontal="center"/>
    </xf>
    <xf numFmtId="0" fontId="8" fillId="10" borderId="14" xfId="0" applyFont="1" applyFill="1" applyBorder="1" applyAlignment="1">
      <alignment horizontal="center"/>
    </xf>
    <xf numFmtId="1" fontId="2" fillId="9" borderId="0" xfId="0" applyNumberFormat="1" applyFont="1" applyFill="1" applyAlignment="1">
      <alignment horizontal="center"/>
    </xf>
    <xf numFmtId="0" fontId="2" fillId="39" borderId="4" xfId="0" applyFont="1" applyFill="1" applyBorder="1" applyAlignment="1">
      <alignment horizontal="center"/>
    </xf>
    <xf numFmtId="0" fontId="2" fillId="39" borderId="0" xfId="0" applyFont="1" applyFill="1" applyBorder="1" applyAlignment="1">
      <alignment horizontal="center"/>
    </xf>
    <xf numFmtId="0" fontId="3" fillId="4" borderId="2" xfId="0" applyFont="1" applyFill="1" applyBorder="1" applyAlignment="1">
      <alignment horizontal="center"/>
    </xf>
    <xf numFmtId="0" fontId="3" fillId="4" borderId="1" xfId="0" applyFont="1" applyFill="1" applyBorder="1" applyAlignment="1">
      <alignment horizontal="center"/>
    </xf>
    <xf numFmtId="0" fontId="3" fillId="4" borderId="3" xfId="0" applyFont="1" applyFill="1" applyBorder="1" applyAlignment="1">
      <alignment horizontal="center"/>
    </xf>
    <xf numFmtId="0" fontId="2" fillId="27" borderId="0" xfId="0" applyFont="1" applyFill="1" applyBorder="1" applyAlignment="1">
      <alignment horizontal="center"/>
    </xf>
    <xf numFmtId="0" fontId="2" fillId="27" borderId="5" xfId="0" applyFont="1" applyFill="1" applyBorder="1" applyAlignment="1">
      <alignment horizontal="center"/>
    </xf>
    <xf numFmtId="1" fontId="2" fillId="2" borderId="12" xfId="0" applyNumberFormat="1" applyFont="1" applyFill="1" applyBorder="1" applyAlignment="1">
      <alignment horizontal="center"/>
    </xf>
    <xf numFmtId="1" fontId="2" fillId="2" borderId="13" xfId="0" applyNumberFormat="1" applyFont="1" applyFill="1" applyBorder="1" applyAlignment="1">
      <alignment horizontal="center"/>
    </xf>
    <xf numFmtId="1" fontId="2" fillId="2" borderId="4" xfId="0" applyNumberFormat="1" applyFont="1" applyFill="1" applyBorder="1" applyAlignment="1">
      <alignment horizontal="center"/>
    </xf>
    <xf numFmtId="1" fontId="2" fillId="2" borderId="0" xfId="0" applyNumberFormat="1" applyFont="1" applyFill="1" applyAlignment="1">
      <alignment horizontal="center"/>
    </xf>
    <xf numFmtId="0" fontId="2" fillId="27" borderId="4" xfId="0" applyFont="1" applyFill="1" applyBorder="1" applyAlignment="1">
      <alignment horizontal="center"/>
    </xf>
    <xf numFmtId="0" fontId="2" fillId="27" borderId="0" xfId="0" applyFont="1" applyFill="1" applyAlignment="1">
      <alignment horizontal="center"/>
    </xf>
    <xf numFmtId="9" fontId="0" fillId="0" borderId="38" xfId="2456" applyFont="1" applyBorder="1"/>
  </cellXfs>
  <cellStyles count="287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Normal" xfId="0" builtinId="0"/>
    <cellStyle name="Percent" xfId="2456" builtinId="5"/>
  </cellStyles>
  <dxfs count="76">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numFmt numFmtId="0" formatCode="General"/>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numFmt numFmtId="167" formatCode="0.00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onstantia"/>
        <scheme val="none"/>
      </font>
      <numFmt numFmtId="167" formatCode="0.00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numFmt numFmtId="164" formatCode="0.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numFmt numFmtId="20" formatCode="dd\-mmm\-yy"/>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numFmt numFmtId="20" formatCode="dd\-mmm\-yy"/>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numFmt numFmtId="20" formatCode="dd\-mmm\-yy"/>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numFmt numFmtId="0" formatCode="General"/>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numFmt numFmtId="0" formatCode="General"/>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border outline="0">
        <top style="medium">
          <color auto="1"/>
        </top>
      </border>
    </dxf>
    <dxf>
      <font>
        <b val="0"/>
        <i val="0"/>
        <strike val="0"/>
        <condense val="0"/>
        <extend val="0"/>
        <outline val="0"/>
        <shadow val="0"/>
        <u val="none"/>
        <vertAlign val="baseline"/>
        <sz val="12"/>
        <color theme="1"/>
        <name val="Constantia"/>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rgb="FF000000"/>
        <name val="Constantia"/>
        <scheme val="none"/>
      </font>
      <fill>
        <patternFill patternType="solid">
          <fgColor rgb="FF000000"/>
          <bgColor rgb="FFFFFFFF"/>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numFmt numFmtId="20" formatCode="dd\-mmm\-yy"/>
      <fill>
        <patternFill patternType="solid">
          <fgColor indexed="64"/>
          <bgColor theme="0"/>
        </patternFill>
      </fill>
      <alignment horizontal="center" vertical="bottom" textRotation="0" wrapText="0" indent="0" justifyLastLine="0" shrinkToFit="0" readingOrder="0"/>
      <border diagonalUp="0" diagonalDown="0">
        <left style="dashed">
          <color auto="1"/>
        </left>
        <right style="dashed">
          <color auto="1"/>
        </right>
        <top/>
        <bottom/>
        <vertical/>
        <horizontal/>
      </border>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border diagonalUp="0" diagonalDown="0">
        <left/>
        <right style="dashed">
          <color auto="1"/>
        </right>
        <top/>
        <bottom/>
        <vertical/>
        <horizontal/>
      </border>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rgb="FF000000"/>
        <name val="Constantia"/>
        <scheme val="none"/>
      </font>
      <fill>
        <patternFill patternType="solid">
          <fgColor rgb="FF000000"/>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border diagonalUp="0" diagonalDown="0">
        <left style="dashed">
          <color auto="1"/>
        </left>
        <right/>
        <top/>
        <bottom/>
        <vertical/>
        <horizontal/>
      </border>
    </dxf>
    <dxf>
      <font>
        <b val="0"/>
        <i val="0"/>
        <strike val="0"/>
        <condense val="0"/>
        <extend val="0"/>
        <outline val="0"/>
        <shadow val="0"/>
        <u val="none"/>
        <vertAlign val="baseline"/>
        <sz val="12"/>
        <color auto="1"/>
        <name val="Constantia"/>
        <scheme val="none"/>
      </font>
      <fill>
        <patternFill patternType="solid">
          <fgColor rgb="FF000000"/>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onstantia"/>
        <scheme val="none"/>
      </font>
      <fill>
        <patternFill patternType="solid">
          <fgColor indexed="64"/>
          <bgColor theme="0"/>
        </patternFill>
      </fill>
      <alignment horizontal="left" vertical="bottom" textRotation="0" wrapText="0" indent="0" justifyLastLine="0" shrinkToFit="0" readingOrder="0"/>
    </dxf>
    <dxf>
      <border outline="0">
        <top style="medium">
          <color auto="1"/>
        </top>
      </border>
    </dxf>
    <dxf>
      <font>
        <b val="0"/>
        <i val="0"/>
        <strike val="0"/>
        <condense val="0"/>
        <extend val="0"/>
        <outline val="0"/>
        <shadow val="0"/>
        <u val="none"/>
        <vertAlign val="baseline"/>
        <sz val="12"/>
        <color theme="1"/>
        <name val="Constantia"/>
        <scheme val="none"/>
      </font>
      <fill>
        <patternFill patternType="solid">
          <fgColor indexed="64"/>
          <bgColor theme="0"/>
        </patternFill>
      </fill>
    </dxf>
    <dxf>
      <font>
        <b/>
        <i val="0"/>
        <strike val="0"/>
        <condense val="0"/>
        <extend val="0"/>
        <outline val="0"/>
        <shadow val="0"/>
        <u val="none"/>
        <vertAlign val="baseline"/>
        <sz val="12"/>
        <color rgb="FF000000"/>
        <name val="Constantia"/>
        <scheme val="none"/>
      </font>
      <fill>
        <patternFill patternType="solid">
          <fgColor rgb="FF000000"/>
          <bgColor rgb="FFFFFFFF"/>
        </patternFill>
      </fill>
      <alignment horizontal="center" vertical="bottom" textRotation="0" wrapText="0" indent="0" justifyLastLine="0" shrinkToFit="0" readingOrder="0"/>
      <border diagonalUp="0" diagonalDown="0" outline="0">
        <left style="thin">
          <color theme="0"/>
        </left>
        <right style="thin">
          <color theme="0"/>
        </right>
        <top/>
        <bottom/>
      </border>
    </dxf>
  </dxfs>
  <tableStyles count="0" defaultTableStyle="TableStyleMedium9" defaultPivotStyle="PivotStyleMedium4"/>
  <colors>
    <mruColors>
      <color rgb="FFFFFD78"/>
      <color rgb="FF5D61DA"/>
      <color rgb="FFF15854"/>
      <color rgb="FF5DA5DA"/>
      <color rgb="FFFDE9D9"/>
      <color rgb="FFFFFF9A"/>
      <color rgb="FFCCFF9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1957/8</a:t>
            </a:r>
            <a:r>
              <a:rPr lang="en-US" sz="1800" b="1" baseline="0"/>
              <a:t> - 2010 Inventory Comparison: Our Study vs Armitage et al.</a:t>
            </a:r>
            <a:endParaRPr lang="en-US" sz="1800" b="1"/>
          </a:p>
        </c:rich>
      </c:tx>
      <c:layout>
        <c:manualLayout>
          <c:xMode val="edge"/>
          <c:yMode val="edge"/>
          <c:x val="0.2622174758544"/>
          <c:y val="0.0133351735795094"/>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780379810238"/>
          <c:y val="0.0981331733034701"/>
          <c:w val="0.825061906553517"/>
          <c:h val="0.779663681821739"/>
        </c:manualLayout>
      </c:layout>
      <c:barChart>
        <c:barDir val="col"/>
        <c:grouping val="stacked"/>
        <c:varyColors val="0"/>
        <c:ser>
          <c:idx val="0"/>
          <c:order val="0"/>
          <c:spPr>
            <a:noFill/>
            <a:ln>
              <a:noFill/>
            </a:ln>
            <a:effectLst/>
          </c:spPr>
          <c:invertIfNegative val="0"/>
          <c:cat>
            <c:strRef>
              <c:f>'Results Summary'!$R$36:$R$41</c:f>
              <c:strCache>
                <c:ptCount val="6"/>
                <c:pt idx="0">
                  <c:v>Production (Ours)</c:v>
                </c:pt>
                <c:pt idx="1">
                  <c:v>Production (Armitage)</c:v>
                </c:pt>
                <c:pt idx="2">
                  <c:v>Use and Disposal (Ours)</c:v>
                </c:pt>
                <c:pt idx="3">
                  <c:v>Use and Disposal (Armitage)</c:v>
                </c:pt>
                <c:pt idx="4">
                  <c:v>Degradation of Precursors (Ours)</c:v>
                </c:pt>
                <c:pt idx="5">
                  <c:v>Degradation of Precursors (Armitage)</c:v>
                </c:pt>
              </c:strCache>
            </c:strRef>
          </c:cat>
          <c:val>
            <c:numRef>
              <c:f>'Results Summary'!$T$36:$T$41</c:f>
              <c:numCache>
                <c:formatCode>General</c:formatCode>
                <c:ptCount val="6"/>
                <c:pt idx="0" formatCode="0">
                  <c:v>734.0</c:v>
                </c:pt>
                <c:pt idx="1">
                  <c:v>75.0</c:v>
                </c:pt>
                <c:pt idx="2" formatCode="0">
                  <c:v>304.0</c:v>
                </c:pt>
                <c:pt idx="3">
                  <c:v>275.0</c:v>
                </c:pt>
                <c:pt idx="4">
                  <c:v>2.0</c:v>
                </c:pt>
                <c:pt idx="5">
                  <c:v>3.0</c:v>
                </c:pt>
              </c:numCache>
            </c:numRef>
          </c:val>
        </c:ser>
        <c:ser>
          <c:idx val="1"/>
          <c:order val="1"/>
          <c:spPr>
            <a:solidFill>
              <a:schemeClr val="accent2"/>
            </a:solidFill>
            <a:ln>
              <a:noFill/>
            </a:ln>
            <a:effectLst/>
          </c:spPr>
          <c:invertIfNegative val="0"/>
          <c:dPt>
            <c:idx val="0"/>
            <c:invertIfNegative val="0"/>
            <c:bubble3D val="0"/>
            <c:spPr>
              <a:solidFill>
                <a:schemeClr val="tx2"/>
              </a:solidFill>
              <a:ln>
                <a:noFill/>
              </a:ln>
              <a:effectLst/>
            </c:spPr>
          </c:dPt>
          <c:dPt>
            <c:idx val="2"/>
            <c:invertIfNegative val="0"/>
            <c:bubble3D val="0"/>
            <c:spPr>
              <a:solidFill>
                <a:schemeClr val="tx2"/>
              </a:solidFill>
              <a:ln>
                <a:noFill/>
              </a:ln>
              <a:effectLst/>
            </c:spPr>
          </c:dPt>
          <c:dPt>
            <c:idx val="4"/>
            <c:invertIfNegative val="0"/>
            <c:bubble3D val="0"/>
            <c:spPr>
              <a:solidFill>
                <a:schemeClr val="tx2"/>
              </a:solidFill>
              <a:ln>
                <a:noFill/>
              </a:ln>
              <a:effectLst/>
            </c:spPr>
          </c:dPt>
          <c:cat>
            <c:strRef>
              <c:f>'Results Summary'!$R$36:$R$41</c:f>
              <c:strCache>
                <c:ptCount val="6"/>
                <c:pt idx="0">
                  <c:v>Production (Ours)</c:v>
                </c:pt>
                <c:pt idx="1">
                  <c:v>Production (Armitage)</c:v>
                </c:pt>
                <c:pt idx="2">
                  <c:v>Use and Disposal (Ours)</c:v>
                </c:pt>
                <c:pt idx="3">
                  <c:v>Use and Disposal (Armitage)</c:v>
                </c:pt>
                <c:pt idx="4">
                  <c:v>Degradation of Precursors (Ours)</c:v>
                </c:pt>
                <c:pt idx="5">
                  <c:v>Degradation of Precursors (Armitage)</c:v>
                </c:pt>
              </c:strCache>
            </c:strRef>
          </c:cat>
          <c:val>
            <c:numRef>
              <c:f>'Results Summary'!$U$36:$U$41</c:f>
              <c:numCache>
                <c:formatCode>General</c:formatCode>
                <c:ptCount val="6"/>
                <c:pt idx="0" formatCode="0">
                  <c:v>3.0</c:v>
                </c:pt>
                <c:pt idx="1">
                  <c:v>224.0</c:v>
                </c:pt>
                <c:pt idx="2" formatCode="0">
                  <c:v>2888.0</c:v>
                </c:pt>
                <c:pt idx="3">
                  <c:v>2510.0</c:v>
                </c:pt>
                <c:pt idx="4" formatCode="0">
                  <c:v>355.0</c:v>
                </c:pt>
                <c:pt idx="5">
                  <c:v>165.0</c:v>
                </c:pt>
              </c:numCache>
            </c:numRef>
          </c:val>
        </c:ser>
        <c:dLbls>
          <c:showLegendKey val="0"/>
          <c:showVal val="0"/>
          <c:showCatName val="0"/>
          <c:showSerName val="0"/>
          <c:showPercent val="0"/>
          <c:showBubbleSize val="0"/>
        </c:dLbls>
        <c:gapWidth val="100"/>
        <c:overlap val="100"/>
        <c:axId val="-1963709408"/>
        <c:axId val="-1963704656"/>
      </c:barChart>
      <c:catAx>
        <c:axId val="-196370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j-lt"/>
                <a:ea typeface="+mn-ea"/>
                <a:cs typeface="+mn-cs"/>
              </a:defRPr>
            </a:pPr>
            <a:endParaRPr lang="en-US"/>
          </a:p>
        </c:txPr>
        <c:crossAx val="-1963704656"/>
        <c:crosses val="autoZero"/>
        <c:auto val="1"/>
        <c:lblAlgn val="ctr"/>
        <c:lblOffset val="100"/>
        <c:noMultiLvlLbl val="0"/>
      </c:catAx>
      <c:valAx>
        <c:axId val="-1963704656"/>
        <c:scaling>
          <c:logBase val="10.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800" b="0" i="0" u="none" strike="noStrike" kern="1200" baseline="0">
                    <a:solidFill>
                      <a:schemeClr val="tx1"/>
                    </a:solidFill>
                    <a:latin typeface="+mj-lt"/>
                    <a:ea typeface="+mn-ea"/>
                    <a:cs typeface="+mn-cs"/>
                  </a:defRPr>
                </a:pPr>
                <a:r>
                  <a:rPr lang="en-US" sz="2800">
                    <a:solidFill>
                      <a:schemeClr val="tx1"/>
                    </a:solidFill>
                    <a:latin typeface="+mj-lt"/>
                  </a:rPr>
                  <a:t>PFOS Emitted (1957-2010) (tons)</a:t>
                </a:r>
              </a:p>
            </c:rich>
          </c:tx>
          <c:layout>
            <c:manualLayout>
              <c:xMode val="edge"/>
              <c:yMode val="edge"/>
              <c:x val="0.00177196497786222"/>
              <c:y val="0.183709049730565"/>
            </c:manualLayout>
          </c:layout>
          <c:overlay val="0"/>
          <c:spPr>
            <a:noFill/>
            <a:ln>
              <a:noFill/>
            </a:ln>
            <a:effectLst/>
          </c:spPr>
          <c:txPr>
            <a:bodyPr rot="-5400000" spcFirstLastPara="1" vertOverflow="ellipsis" vert="horz" wrap="square" anchor="ctr" anchorCtr="1"/>
            <a:lstStyle/>
            <a:p>
              <a:pPr>
                <a:defRPr sz="2800" b="0" i="0" u="none" strike="noStrike" kern="1200" baseline="0">
                  <a:solidFill>
                    <a:schemeClr val="tx1"/>
                  </a:solidFill>
                  <a:latin typeface="+mj-lt"/>
                  <a:ea typeface="+mn-ea"/>
                  <a:cs typeface="+mn-cs"/>
                </a:defRPr>
              </a:pPr>
              <a:endParaRPr lang="en-US"/>
            </a:p>
          </c:txPr>
        </c:title>
        <c:numFmt formatCode="0" sourceLinked="0"/>
        <c:majorTickMark val="out"/>
        <c:minorTickMark val="out"/>
        <c:tickLblPos val="nextTo"/>
        <c:spPr>
          <a:noFill/>
          <a:ln>
            <a:solidFill>
              <a:schemeClr val="tx1"/>
            </a:solidFill>
          </a:ln>
          <a:effectLst/>
        </c:spPr>
        <c:txPr>
          <a:bodyPr rot="-60000000" spcFirstLastPara="1" vertOverflow="ellipsis" vert="horz" wrap="square" anchor="ctr" anchorCtr="1"/>
          <a:lstStyle/>
          <a:p>
            <a:pPr>
              <a:defRPr sz="2400" b="0" i="0" u="none" strike="noStrike" kern="1200" baseline="0">
                <a:solidFill>
                  <a:schemeClr val="tx1"/>
                </a:solidFill>
                <a:latin typeface="+mj-lt"/>
                <a:ea typeface="+mn-ea"/>
                <a:cs typeface="+mn-cs"/>
              </a:defRPr>
            </a:pPr>
            <a:endParaRPr lang="en-US"/>
          </a:p>
        </c:txPr>
        <c:crossAx val="-196370940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solidFill>
                <a:latin typeface="+mj-lt"/>
                <a:ea typeface="+mn-ea"/>
                <a:cs typeface="+mn-cs"/>
              </a:defRPr>
            </a:pPr>
            <a:r>
              <a:rPr lang="en-US"/>
              <a:t>Lower Inventory Scenario</a:t>
            </a:r>
          </a:p>
        </c:rich>
      </c:tx>
      <c:layout>
        <c:manualLayout>
          <c:xMode val="edge"/>
          <c:yMode val="edge"/>
          <c:x val="0.356431596885384"/>
          <c:y val="0.0421784285259611"/>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solidFill>
              <a:latin typeface="+mj-lt"/>
              <a:ea typeface="+mn-ea"/>
              <a:cs typeface="+mn-cs"/>
            </a:defRPr>
          </a:pPr>
          <a:endParaRPr lang="en-US"/>
        </a:p>
      </c:txPr>
    </c:title>
    <c:autoTitleDeleted val="0"/>
    <c:plotArea>
      <c:layout>
        <c:manualLayout>
          <c:layoutTarget val="inner"/>
          <c:xMode val="edge"/>
          <c:yMode val="edge"/>
          <c:x val="0.146377533884441"/>
          <c:y val="0.101045530372932"/>
          <c:w val="0.676811233057779"/>
          <c:h val="0.628568193734488"/>
        </c:manualLayout>
      </c:layout>
      <c:scatterChart>
        <c:scatterStyle val="lineMarker"/>
        <c:varyColors val="0"/>
        <c:ser>
          <c:idx val="2"/>
          <c:order val="0"/>
          <c:tx>
            <c:v>POSF (lower)</c:v>
          </c:tx>
          <c:spPr>
            <a:ln w="25400" cap="flat" cmpd="sng" algn="ctr">
              <a:solidFill>
                <a:schemeClr val="accent2"/>
              </a:solidFill>
              <a:prstDash val="solid"/>
              <a:round/>
            </a:ln>
            <a:effectLst/>
          </c:spPr>
          <c:marker>
            <c:symbol val="none"/>
          </c:marker>
          <c:xVal>
            <c:numRef>
              <c:f>'Inventory Figures'!$B$121:$B$193</c:f>
              <c:numCache>
                <c:formatCode>General</c:formatCode>
                <c:ptCount val="73"/>
                <c:pt idx="0">
                  <c:v>1958.0</c:v>
                </c:pt>
                <c:pt idx="1">
                  <c:v>1959.0</c:v>
                </c:pt>
                <c:pt idx="2">
                  <c:v>1960.0</c:v>
                </c:pt>
                <c:pt idx="3">
                  <c:v>1961.0</c:v>
                </c:pt>
                <c:pt idx="4">
                  <c:v>1962.0</c:v>
                </c:pt>
                <c:pt idx="5">
                  <c:v>1963.0</c:v>
                </c:pt>
                <c:pt idx="6">
                  <c:v>1964.0</c:v>
                </c:pt>
                <c:pt idx="7">
                  <c:v>1965.0</c:v>
                </c:pt>
                <c:pt idx="8">
                  <c:v>1966.0</c:v>
                </c:pt>
                <c:pt idx="9">
                  <c:v>1967.0</c:v>
                </c:pt>
                <c:pt idx="10">
                  <c:v>1968.0</c:v>
                </c:pt>
                <c:pt idx="11">
                  <c:v>1969.0</c:v>
                </c:pt>
                <c:pt idx="12">
                  <c:v>1970.0</c:v>
                </c:pt>
                <c:pt idx="13">
                  <c:v>1971.0</c:v>
                </c:pt>
                <c:pt idx="14">
                  <c:v>1972.0</c:v>
                </c:pt>
                <c:pt idx="15">
                  <c:v>1973.0</c:v>
                </c:pt>
                <c:pt idx="16">
                  <c:v>1974.0</c:v>
                </c:pt>
                <c:pt idx="17">
                  <c:v>1975.0</c:v>
                </c:pt>
                <c:pt idx="18">
                  <c:v>1976.0</c:v>
                </c:pt>
                <c:pt idx="19">
                  <c:v>1977.0</c:v>
                </c:pt>
                <c:pt idx="20">
                  <c:v>1978.0</c:v>
                </c:pt>
                <c:pt idx="21">
                  <c:v>1979.0</c:v>
                </c:pt>
                <c:pt idx="22">
                  <c:v>1980.0</c:v>
                </c:pt>
                <c:pt idx="23">
                  <c:v>1981.0</c:v>
                </c:pt>
                <c:pt idx="24">
                  <c:v>1982.0</c:v>
                </c:pt>
                <c:pt idx="25">
                  <c:v>1983.0</c:v>
                </c:pt>
                <c:pt idx="26">
                  <c:v>1984.0</c:v>
                </c:pt>
                <c:pt idx="27">
                  <c:v>1985.0</c:v>
                </c:pt>
                <c:pt idx="28">
                  <c:v>1986.0</c:v>
                </c:pt>
                <c:pt idx="29">
                  <c:v>1987.0</c:v>
                </c:pt>
                <c:pt idx="30">
                  <c:v>1988.0</c:v>
                </c:pt>
                <c:pt idx="31">
                  <c:v>1989.0</c:v>
                </c:pt>
                <c:pt idx="32">
                  <c:v>1990.0</c:v>
                </c:pt>
                <c:pt idx="33">
                  <c:v>1991.0</c:v>
                </c:pt>
                <c:pt idx="34">
                  <c:v>1992.0</c:v>
                </c:pt>
                <c:pt idx="35">
                  <c:v>1993.0</c:v>
                </c:pt>
                <c:pt idx="36">
                  <c:v>1994.0</c:v>
                </c:pt>
                <c:pt idx="37">
                  <c:v>1995.0</c:v>
                </c:pt>
                <c:pt idx="38">
                  <c:v>1996.0</c:v>
                </c:pt>
                <c:pt idx="39">
                  <c:v>1997.0</c:v>
                </c:pt>
                <c:pt idx="40">
                  <c:v>1998.0</c:v>
                </c:pt>
                <c:pt idx="41">
                  <c:v>1999.0</c:v>
                </c:pt>
                <c:pt idx="42">
                  <c:v>2000.0</c:v>
                </c:pt>
                <c:pt idx="43">
                  <c:v>2001.0</c:v>
                </c:pt>
                <c:pt idx="44">
                  <c:v>2002.0</c:v>
                </c:pt>
                <c:pt idx="45">
                  <c:v>2003.0</c:v>
                </c:pt>
                <c:pt idx="46">
                  <c:v>2004.0</c:v>
                </c:pt>
                <c:pt idx="47">
                  <c:v>2005.0</c:v>
                </c:pt>
                <c:pt idx="48">
                  <c:v>2006.0</c:v>
                </c:pt>
                <c:pt idx="49">
                  <c:v>2007.0</c:v>
                </c:pt>
                <c:pt idx="50">
                  <c:v>2008.0</c:v>
                </c:pt>
                <c:pt idx="51">
                  <c:v>2009.0</c:v>
                </c:pt>
                <c:pt idx="52">
                  <c:v>2010.0</c:v>
                </c:pt>
                <c:pt idx="53">
                  <c:v>2011.0</c:v>
                </c:pt>
                <c:pt idx="54">
                  <c:v>2012.0</c:v>
                </c:pt>
                <c:pt idx="55">
                  <c:v>2013.0</c:v>
                </c:pt>
                <c:pt idx="56">
                  <c:v>2014.0</c:v>
                </c:pt>
                <c:pt idx="57">
                  <c:v>2015.0</c:v>
                </c:pt>
                <c:pt idx="58">
                  <c:v>2016.0</c:v>
                </c:pt>
                <c:pt idx="59">
                  <c:v>2017.0</c:v>
                </c:pt>
                <c:pt idx="60">
                  <c:v>2018.0</c:v>
                </c:pt>
                <c:pt idx="61">
                  <c:v>2019.0</c:v>
                </c:pt>
                <c:pt idx="62">
                  <c:v>2020.0</c:v>
                </c:pt>
                <c:pt idx="63">
                  <c:v>2021.0</c:v>
                </c:pt>
                <c:pt idx="64">
                  <c:v>2022.0</c:v>
                </c:pt>
                <c:pt idx="65">
                  <c:v>2023.0</c:v>
                </c:pt>
                <c:pt idx="66">
                  <c:v>2024.0</c:v>
                </c:pt>
                <c:pt idx="67">
                  <c:v>2025.0</c:v>
                </c:pt>
                <c:pt idx="68">
                  <c:v>2026.0</c:v>
                </c:pt>
                <c:pt idx="69">
                  <c:v>2027.0</c:v>
                </c:pt>
                <c:pt idx="70">
                  <c:v>2028.0</c:v>
                </c:pt>
                <c:pt idx="71">
                  <c:v>2029.0</c:v>
                </c:pt>
                <c:pt idx="72">
                  <c:v>2030.0</c:v>
                </c:pt>
              </c:numCache>
            </c:numRef>
          </c:xVal>
          <c:yVal>
            <c:numRef>
              <c:f>'Inventory Figures'!$C$121:$C$193</c:f>
              <c:numCache>
                <c:formatCode>General</c:formatCode>
                <c:ptCount val="73"/>
                <c:pt idx="0">
                  <c:v>0.305130345</c:v>
                </c:pt>
                <c:pt idx="1">
                  <c:v>0.6219964725</c:v>
                </c:pt>
                <c:pt idx="2">
                  <c:v>0.9271268175</c:v>
                </c:pt>
                <c:pt idx="3">
                  <c:v>1.243992945</c:v>
                </c:pt>
                <c:pt idx="4">
                  <c:v>1.54912329</c:v>
                </c:pt>
                <c:pt idx="5">
                  <c:v>1.8659894175</c:v>
                </c:pt>
                <c:pt idx="6">
                  <c:v>2.1711197625</c:v>
                </c:pt>
                <c:pt idx="7">
                  <c:v>2.48798589</c:v>
                </c:pt>
                <c:pt idx="8">
                  <c:v>2.793116235</c:v>
                </c:pt>
                <c:pt idx="9">
                  <c:v>3.1099823625</c:v>
                </c:pt>
                <c:pt idx="10">
                  <c:v>3.4151127075</c:v>
                </c:pt>
                <c:pt idx="11">
                  <c:v>3.731978835</c:v>
                </c:pt>
                <c:pt idx="12">
                  <c:v>4.03710918</c:v>
                </c:pt>
                <c:pt idx="13">
                  <c:v>4.342239524999999</c:v>
                </c:pt>
                <c:pt idx="14">
                  <c:v>4.6591056525</c:v>
                </c:pt>
                <c:pt idx="15">
                  <c:v>4.964235997499999</c:v>
                </c:pt>
                <c:pt idx="16">
                  <c:v>5.281102125</c:v>
                </c:pt>
                <c:pt idx="17">
                  <c:v>5.58623247</c:v>
                </c:pt>
                <c:pt idx="18">
                  <c:v>7.8277669275</c:v>
                </c:pt>
                <c:pt idx="19">
                  <c:v>10.0575656025</c:v>
                </c:pt>
                <c:pt idx="20">
                  <c:v>12.29910006</c:v>
                </c:pt>
                <c:pt idx="21">
                  <c:v>14.528898735</c:v>
                </c:pt>
                <c:pt idx="22">
                  <c:v>16.7704331925</c:v>
                </c:pt>
                <c:pt idx="23">
                  <c:v>19.0002318675</c:v>
                </c:pt>
                <c:pt idx="24">
                  <c:v>21.241766325</c:v>
                </c:pt>
                <c:pt idx="25">
                  <c:v>23.471565</c:v>
                </c:pt>
                <c:pt idx="26">
                  <c:v>25.71309945749999</c:v>
                </c:pt>
                <c:pt idx="27">
                  <c:v>27.9428981325</c:v>
                </c:pt>
                <c:pt idx="28">
                  <c:v>27.9428981325</c:v>
                </c:pt>
                <c:pt idx="29">
                  <c:v>27.9428981325</c:v>
                </c:pt>
                <c:pt idx="30">
                  <c:v>27.9428981325</c:v>
                </c:pt>
                <c:pt idx="31">
                  <c:v>27.9428981325</c:v>
                </c:pt>
                <c:pt idx="32">
                  <c:v>31.944799965</c:v>
                </c:pt>
                <c:pt idx="33">
                  <c:v>31.944799965</c:v>
                </c:pt>
                <c:pt idx="34">
                  <c:v>31.944799965</c:v>
                </c:pt>
                <c:pt idx="35">
                  <c:v>31.944799965</c:v>
                </c:pt>
                <c:pt idx="36">
                  <c:v>31.944799965</c:v>
                </c:pt>
                <c:pt idx="37">
                  <c:v>42.5891546925</c:v>
                </c:pt>
                <c:pt idx="38">
                  <c:v>42.5891546925</c:v>
                </c:pt>
                <c:pt idx="39">
                  <c:v>42.5891546925</c:v>
                </c:pt>
                <c:pt idx="40">
                  <c:v>6.04101485</c:v>
                </c:pt>
                <c:pt idx="41">
                  <c:v>6.04101485</c:v>
                </c:pt>
                <c:pt idx="42">
                  <c:v>7.2711912</c:v>
                </c:pt>
                <c:pt idx="43">
                  <c:v>0.3628937</c:v>
                </c:pt>
                <c:pt idx="44">
                  <c:v>0.603435625</c:v>
                </c:pt>
                <c:pt idx="45">
                  <c:v>0.670021625</c:v>
                </c:pt>
                <c:pt idx="46">
                  <c:v>1.25681075</c:v>
                </c:pt>
                <c:pt idx="47">
                  <c:v>2.116602475</c:v>
                </c:pt>
                <c:pt idx="48">
                  <c:v>3.017178124999999</c:v>
                </c:pt>
                <c:pt idx="49">
                  <c:v>2.975561874999999</c:v>
                </c:pt>
                <c:pt idx="50">
                  <c:v>2.933945625</c:v>
                </c:pt>
                <c:pt idx="51">
                  <c:v>1.525651725</c:v>
                </c:pt>
                <c:pt idx="52">
                  <c:v>1.17357825</c:v>
                </c:pt>
                <c:pt idx="53">
                  <c:v>1.525651725</c:v>
                </c:pt>
                <c:pt idx="54">
                  <c:v>1.525651725</c:v>
                </c:pt>
                <c:pt idx="55">
                  <c:v>1.760367375</c:v>
                </c:pt>
                <c:pt idx="56">
                  <c:v>1.995083025</c:v>
                </c:pt>
                <c:pt idx="57">
                  <c:v>1.995083025</c:v>
                </c:pt>
                <c:pt idx="58">
                  <c:v>1.33005535</c:v>
                </c:pt>
                <c:pt idx="59">
                  <c:v>0.665027675</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numCache>
            </c:numRef>
          </c:yVal>
          <c:smooth val="0"/>
        </c:ser>
        <c:ser>
          <c:idx val="3"/>
          <c:order val="1"/>
          <c:tx>
            <c:v>PFOS (Lower)</c:v>
          </c:tx>
          <c:spPr>
            <a:ln w="25400" cap="flat" cmpd="sng" algn="ctr">
              <a:solidFill>
                <a:schemeClr val="accent1"/>
              </a:solidFill>
              <a:prstDash val="solid"/>
              <a:round/>
            </a:ln>
            <a:effectLst/>
          </c:spPr>
          <c:marker>
            <c:symbol val="none"/>
          </c:marker>
          <c:xVal>
            <c:numRef>
              <c:f>'Inventory Figures'!$B$121:$B$193</c:f>
              <c:numCache>
                <c:formatCode>General</c:formatCode>
                <c:ptCount val="73"/>
                <c:pt idx="0">
                  <c:v>1958.0</c:v>
                </c:pt>
                <c:pt idx="1">
                  <c:v>1959.0</c:v>
                </c:pt>
                <c:pt idx="2">
                  <c:v>1960.0</c:v>
                </c:pt>
                <c:pt idx="3">
                  <c:v>1961.0</c:v>
                </c:pt>
                <c:pt idx="4">
                  <c:v>1962.0</c:v>
                </c:pt>
                <c:pt idx="5">
                  <c:v>1963.0</c:v>
                </c:pt>
                <c:pt idx="6">
                  <c:v>1964.0</c:v>
                </c:pt>
                <c:pt idx="7">
                  <c:v>1965.0</c:v>
                </c:pt>
                <c:pt idx="8">
                  <c:v>1966.0</c:v>
                </c:pt>
                <c:pt idx="9">
                  <c:v>1967.0</c:v>
                </c:pt>
                <c:pt idx="10">
                  <c:v>1968.0</c:v>
                </c:pt>
                <c:pt idx="11">
                  <c:v>1969.0</c:v>
                </c:pt>
                <c:pt idx="12">
                  <c:v>1970.0</c:v>
                </c:pt>
                <c:pt idx="13">
                  <c:v>1971.0</c:v>
                </c:pt>
                <c:pt idx="14">
                  <c:v>1972.0</c:v>
                </c:pt>
                <c:pt idx="15">
                  <c:v>1973.0</c:v>
                </c:pt>
                <c:pt idx="16">
                  <c:v>1974.0</c:v>
                </c:pt>
                <c:pt idx="17">
                  <c:v>1975.0</c:v>
                </c:pt>
                <c:pt idx="18">
                  <c:v>1976.0</c:v>
                </c:pt>
                <c:pt idx="19">
                  <c:v>1977.0</c:v>
                </c:pt>
                <c:pt idx="20">
                  <c:v>1978.0</c:v>
                </c:pt>
                <c:pt idx="21">
                  <c:v>1979.0</c:v>
                </c:pt>
                <c:pt idx="22">
                  <c:v>1980.0</c:v>
                </c:pt>
                <c:pt idx="23">
                  <c:v>1981.0</c:v>
                </c:pt>
                <c:pt idx="24">
                  <c:v>1982.0</c:v>
                </c:pt>
                <c:pt idx="25">
                  <c:v>1983.0</c:v>
                </c:pt>
                <c:pt idx="26">
                  <c:v>1984.0</c:v>
                </c:pt>
                <c:pt idx="27">
                  <c:v>1985.0</c:v>
                </c:pt>
                <c:pt idx="28">
                  <c:v>1986.0</c:v>
                </c:pt>
                <c:pt idx="29">
                  <c:v>1987.0</c:v>
                </c:pt>
                <c:pt idx="30">
                  <c:v>1988.0</c:v>
                </c:pt>
                <c:pt idx="31">
                  <c:v>1989.0</c:v>
                </c:pt>
                <c:pt idx="32">
                  <c:v>1990.0</c:v>
                </c:pt>
                <c:pt idx="33">
                  <c:v>1991.0</c:v>
                </c:pt>
                <c:pt idx="34">
                  <c:v>1992.0</c:v>
                </c:pt>
                <c:pt idx="35">
                  <c:v>1993.0</c:v>
                </c:pt>
                <c:pt idx="36">
                  <c:v>1994.0</c:v>
                </c:pt>
                <c:pt idx="37">
                  <c:v>1995.0</c:v>
                </c:pt>
                <c:pt idx="38">
                  <c:v>1996.0</c:v>
                </c:pt>
                <c:pt idx="39">
                  <c:v>1997.0</c:v>
                </c:pt>
                <c:pt idx="40">
                  <c:v>1998.0</c:v>
                </c:pt>
                <c:pt idx="41">
                  <c:v>1999.0</c:v>
                </c:pt>
                <c:pt idx="42">
                  <c:v>2000.0</c:v>
                </c:pt>
                <c:pt idx="43">
                  <c:v>2001.0</c:v>
                </c:pt>
                <c:pt idx="44">
                  <c:v>2002.0</c:v>
                </c:pt>
                <c:pt idx="45">
                  <c:v>2003.0</c:v>
                </c:pt>
                <c:pt idx="46">
                  <c:v>2004.0</c:v>
                </c:pt>
                <c:pt idx="47">
                  <c:v>2005.0</c:v>
                </c:pt>
                <c:pt idx="48">
                  <c:v>2006.0</c:v>
                </c:pt>
                <c:pt idx="49">
                  <c:v>2007.0</c:v>
                </c:pt>
                <c:pt idx="50">
                  <c:v>2008.0</c:v>
                </c:pt>
                <c:pt idx="51">
                  <c:v>2009.0</c:v>
                </c:pt>
                <c:pt idx="52">
                  <c:v>2010.0</c:v>
                </c:pt>
                <c:pt idx="53">
                  <c:v>2011.0</c:v>
                </c:pt>
                <c:pt idx="54">
                  <c:v>2012.0</c:v>
                </c:pt>
                <c:pt idx="55">
                  <c:v>2013.0</c:v>
                </c:pt>
                <c:pt idx="56">
                  <c:v>2014.0</c:v>
                </c:pt>
                <c:pt idx="57">
                  <c:v>2015.0</c:v>
                </c:pt>
                <c:pt idx="58">
                  <c:v>2016.0</c:v>
                </c:pt>
                <c:pt idx="59">
                  <c:v>2017.0</c:v>
                </c:pt>
                <c:pt idx="60">
                  <c:v>2018.0</c:v>
                </c:pt>
                <c:pt idx="61">
                  <c:v>2019.0</c:v>
                </c:pt>
                <c:pt idx="62">
                  <c:v>2020.0</c:v>
                </c:pt>
                <c:pt idx="63">
                  <c:v>2021.0</c:v>
                </c:pt>
                <c:pt idx="64">
                  <c:v>2022.0</c:v>
                </c:pt>
                <c:pt idx="65">
                  <c:v>2023.0</c:v>
                </c:pt>
                <c:pt idx="66">
                  <c:v>2024.0</c:v>
                </c:pt>
                <c:pt idx="67">
                  <c:v>2025.0</c:v>
                </c:pt>
                <c:pt idx="68">
                  <c:v>2026.0</c:v>
                </c:pt>
                <c:pt idx="69">
                  <c:v>2027.0</c:v>
                </c:pt>
                <c:pt idx="70">
                  <c:v>2028.0</c:v>
                </c:pt>
                <c:pt idx="71">
                  <c:v>2029.0</c:v>
                </c:pt>
                <c:pt idx="72">
                  <c:v>2030.0</c:v>
                </c:pt>
              </c:numCache>
            </c:numRef>
          </c:xVal>
          <c:yVal>
            <c:numRef>
              <c:f>'Inventory Figures'!$E$121:$E$193</c:f>
              <c:numCache>
                <c:formatCode>General</c:formatCode>
                <c:ptCount val="73"/>
                <c:pt idx="0">
                  <c:v>0.382425980204183</c:v>
                </c:pt>
                <c:pt idx="1">
                  <c:v>0.830051442915837</c:v>
                </c:pt>
                <c:pt idx="2">
                  <c:v>1.264910167579681</c:v>
                </c:pt>
                <c:pt idx="3">
                  <c:v>1.712535630291335</c:v>
                </c:pt>
                <c:pt idx="4">
                  <c:v>2.14739435495518</c:v>
                </c:pt>
                <c:pt idx="5">
                  <c:v>2.595019817666833</c:v>
                </c:pt>
                <c:pt idx="6">
                  <c:v>3.029878542330677</c:v>
                </c:pt>
                <c:pt idx="7">
                  <c:v>3.47750400504233</c:v>
                </c:pt>
                <c:pt idx="8">
                  <c:v>3.912362729706175</c:v>
                </c:pt>
                <c:pt idx="9">
                  <c:v>4.359988192417828</c:v>
                </c:pt>
                <c:pt idx="10">
                  <c:v>4.794846917081673</c:v>
                </c:pt>
                <c:pt idx="11">
                  <c:v>5.242472379793326</c:v>
                </c:pt>
                <c:pt idx="12">
                  <c:v>5.67733110445717</c:v>
                </c:pt>
                <c:pt idx="13">
                  <c:v>6.110247875622509</c:v>
                </c:pt>
                <c:pt idx="14">
                  <c:v>6.557873338334163</c:v>
                </c:pt>
                <c:pt idx="15">
                  <c:v>6.992732062998008</c:v>
                </c:pt>
                <c:pt idx="16">
                  <c:v>7.440357525709662</c:v>
                </c:pt>
                <c:pt idx="17">
                  <c:v>7.875216250373507</c:v>
                </c:pt>
                <c:pt idx="18">
                  <c:v>10.73506712668078</c:v>
                </c:pt>
                <c:pt idx="19">
                  <c:v>13.90063163869522</c:v>
                </c:pt>
                <c:pt idx="20">
                  <c:v>17.07896288875747</c:v>
                </c:pt>
                <c:pt idx="21">
                  <c:v>20.24452740077191</c:v>
                </c:pt>
                <c:pt idx="22">
                  <c:v>23.42285865083416</c:v>
                </c:pt>
                <c:pt idx="23">
                  <c:v>26.5884231628486</c:v>
                </c:pt>
                <c:pt idx="24">
                  <c:v>29.76675441291085</c:v>
                </c:pt>
                <c:pt idx="25">
                  <c:v>32.9323189249253</c:v>
                </c:pt>
                <c:pt idx="26">
                  <c:v>36.11065017498755</c:v>
                </c:pt>
                <c:pt idx="27">
                  <c:v>39.27621468700199</c:v>
                </c:pt>
                <c:pt idx="28">
                  <c:v>39.64518585171812</c:v>
                </c:pt>
                <c:pt idx="29">
                  <c:v>39.64518585171812</c:v>
                </c:pt>
                <c:pt idx="30">
                  <c:v>39.64518585171812</c:v>
                </c:pt>
                <c:pt idx="31">
                  <c:v>39.64518585171812</c:v>
                </c:pt>
                <c:pt idx="32">
                  <c:v>44.66084966901146</c:v>
                </c:pt>
                <c:pt idx="33">
                  <c:v>45.323055812002</c:v>
                </c:pt>
                <c:pt idx="34">
                  <c:v>45.323055812002</c:v>
                </c:pt>
                <c:pt idx="35">
                  <c:v>45.31779560283865</c:v>
                </c:pt>
                <c:pt idx="36">
                  <c:v>45.30727518451196</c:v>
                </c:pt>
                <c:pt idx="37">
                  <c:v>58.63753799869274</c:v>
                </c:pt>
                <c:pt idx="38">
                  <c:v>60.38836940351096</c:v>
                </c:pt>
                <c:pt idx="39">
                  <c:v>60.37784898518426</c:v>
                </c:pt>
                <c:pt idx="40">
                  <c:v>22.23492656299801</c:v>
                </c:pt>
                <c:pt idx="41">
                  <c:v>22.29961798294323</c:v>
                </c:pt>
                <c:pt idx="42">
                  <c:v>25.39363872678038</c:v>
                </c:pt>
                <c:pt idx="43">
                  <c:v>13.22702099402391</c:v>
                </c:pt>
                <c:pt idx="44">
                  <c:v>9.153019432582171</c:v>
                </c:pt>
                <c:pt idx="45">
                  <c:v>7.037473929282868</c:v>
                </c:pt>
                <c:pt idx="46">
                  <c:v>5.747489954245517</c:v>
                </c:pt>
                <c:pt idx="47">
                  <c:v>8.170952689554281</c:v>
                </c:pt>
                <c:pt idx="48">
                  <c:v>9.871791297933267</c:v>
                </c:pt>
                <c:pt idx="49">
                  <c:v>8.31918859250498</c:v>
                </c:pt>
                <c:pt idx="50">
                  <c:v>6.305575264566732</c:v>
                </c:pt>
                <c:pt idx="51">
                  <c:v>3.965339190425797</c:v>
                </c:pt>
                <c:pt idx="52">
                  <c:v>3.300567685507968</c:v>
                </c:pt>
                <c:pt idx="53">
                  <c:v>3.523621174053785</c:v>
                </c:pt>
                <c:pt idx="54">
                  <c:v>3.86634673555777</c:v>
                </c:pt>
                <c:pt idx="55">
                  <c:v>4.299160532868525</c:v>
                </c:pt>
                <c:pt idx="56">
                  <c:v>4.919944327689242</c:v>
                </c:pt>
                <c:pt idx="57">
                  <c:v>5.166316533864541</c:v>
                </c:pt>
                <c:pt idx="58">
                  <c:v>4.282216417247675</c:v>
                </c:pt>
                <c:pt idx="59">
                  <c:v>2.725380786437582</c:v>
                </c:pt>
                <c:pt idx="60">
                  <c:v>0.667310765687251</c:v>
                </c:pt>
                <c:pt idx="61">
                  <c:v>0.0</c:v>
                </c:pt>
                <c:pt idx="62">
                  <c:v>0.0</c:v>
                </c:pt>
                <c:pt idx="63">
                  <c:v>0.0</c:v>
                </c:pt>
                <c:pt idx="64">
                  <c:v>0.0</c:v>
                </c:pt>
                <c:pt idx="65">
                  <c:v>0.0</c:v>
                </c:pt>
                <c:pt idx="66">
                  <c:v>0.0</c:v>
                </c:pt>
                <c:pt idx="67">
                  <c:v>0.0</c:v>
                </c:pt>
                <c:pt idx="68">
                  <c:v>0.0</c:v>
                </c:pt>
                <c:pt idx="69">
                  <c:v>0.0</c:v>
                </c:pt>
                <c:pt idx="70">
                  <c:v>0.0</c:v>
                </c:pt>
                <c:pt idx="71">
                  <c:v>0.0</c:v>
                </c:pt>
                <c:pt idx="72">
                  <c:v>0.0</c:v>
                </c:pt>
              </c:numCache>
            </c:numRef>
          </c:yVal>
          <c:smooth val="0"/>
        </c:ser>
        <c:ser>
          <c:idx val="0"/>
          <c:order val="2"/>
          <c:tx>
            <c:v>xFOSAs (Lower)</c:v>
          </c:tx>
          <c:spPr>
            <a:ln w="25400" cap="flat" cmpd="sng" algn="ctr">
              <a:solidFill>
                <a:schemeClr val="accent3"/>
              </a:solidFill>
              <a:prstDash val="solid"/>
              <a:round/>
            </a:ln>
            <a:effectLst/>
          </c:spPr>
          <c:marker>
            <c:symbol val="none"/>
          </c:marker>
          <c:xVal>
            <c:numRef>
              <c:f>'Inventory Figures'!$B$121:$B$193</c:f>
              <c:numCache>
                <c:formatCode>General</c:formatCode>
                <c:ptCount val="73"/>
                <c:pt idx="0">
                  <c:v>1958.0</c:v>
                </c:pt>
                <c:pt idx="1">
                  <c:v>1959.0</c:v>
                </c:pt>
                <c:pt idx="2">
                  <c:v>1960.0</c:v>
                </c:pt>
                <c:pt idx="3">
                  <c:v>1961.0</c:v>
                </c:pt>
                <c:pt idx="4">
                  <c:v>1962.0</c:v>
                </c:pt>
                <c:pt idx="5">
                  <c:v>1963.0</c:v>
                </c:pt>
                <c:pt idx="6">
                  <c:v>1964.0</c:v>
                </c:pt>
                <c:pt idx="7">
                  <c:v>1965.0</c:v>
                </c:pt>
                <c:pt idx="8">
                  <c:v>1966.0</c:v>
                </c:pt>
                <c:pt idx="9">
                  <c:v>1967.0</c:v>
                </c:pt>
                <c:pt idx="10">
                  <c:v>1968.0</c:v>
                </c:pt>
                <c:pt idx="11">
                  <c:v>1969.0</c:v>
                </c:pt>
                <c:pt idx="12">
                  <c:v>1970.0</c:v>
                </c:pt>
                <c:pt idx="13">
                  <c:v>1971.0</c:v>
                </c:pt>
                <c:pt idx="14">
                  <c:v>1972.0</c:v>
                </c:pt>
                <c:pt idx="15">
                  <c:v>1973.0</c:v>
                </c:pt>
                <c:pt idx="16">
                  <c:v>1974.0</c:v>
                </c:pt>
                <c:pt idx="17">
                  <c:v>1975.0</c:v>
                </c:pt>
                <c:pt idx="18">
                  <c:v>1976.0</c:v>
                </c:pt>
                <c:pt idx="19">
                  <c:v>1977.0</c:v>
                </c:pt>
                <c:pt idx="20">
                  <c:v>1978.0</c:v>
                </c:pt>
                <c:pt idx="21">
                  <c:v>1979.0</c:v>
                </c:pt>
                <c:pt idx="22">
                  <c:v>1980.0</c:v>
                </c:pt>
                <c:pt idx="23">
                  <c:v>1981.0</c:v>
                </c:pt>
                <c:pt idx="24">
                  <c:v>1982.0</c:v>
                </c:pt>
                <c:pt idx="25">
                  <c:v>1983.0</c:v>
                </c:pt>
                <c:pt idx="26">
                  <c:v>1984.0</c:v>
                </c:pt>
                <c:pt idx="27">
                  <c:v>1985.0</c:v>
                </c:pt>
                <c:pt idx="28">
                  <c:v>1986.0</c:v>
                </c:pt>
                <c:pt idx="29">
                  <c:v>1987.0</c:v>
                </c:pt>
                <c:pt idx="30">
                  <c:v>1988.0</c:v>
                </c:pt>
                <c:pt idx="31">
                  <c:v>1989.0</c:v>
                </c:pt>
                <c:pt idx="32">
                  <c:v>1990.0</c:v>
                </c:pt>
                <c:pt idx="33">
                  <c:v>1991.0</c:v>
                </c:pt>
                <c:pt idx="34">
                  <c:v>1992.0</c:v>
                </c:pt>
                <c:pt idx="35">
                  <c:v>1993.0</c:v>
                </c:pt>
                <c:pt idx="36">
                  <c:v>1994.0</c:v>
                </c:pt>
                <c:pt idx="37">
                  <c:v>1995.0</c:v>
                </c:pt>
                <c:pt idx="38">
                  <c:v>1996.0</c:v>
                </c:pt>
                <c:pt idx="39">
                  <c:v>1997.0</c:v>
                </c:pt>
                <c:pt idx="40">
                  <c:v>1998.0</c:v>
                </c:pt>
                <c:pt idx="41">
                  <c:v>1999.0</c:v>
                </c:pt>
                <c:pt idx="42">
                  <c:v>2000.0</c:v>
                </c:pt>
                <c:pt idx="43">
                  <c:v>2001.0</c:v>
                </c:pt>
                <c:pt idx="44">
                  <c:v>2002.0</c:v>
                </c:pt>
                <c:pt idx="45">
                  <c:v>2003.0</c:v>
                </c:pt>
                <c:pt idx="46">
                  <c:v>2004.0</c:v>
                </c:pt>
                <c:pt idx="47">
                  <c:v>2005.0</c:v>
                </c:pt>
                <c:pt idx="48">
                  <c:v>2006.0</c:v>
                </c:pt>
                <c:pt idx="49">
                  <c:v>2007.0</c:v>
                </c:pt>
                <c:pt idx="50">
                  <c:v>2008.0</c:v>
                </c:pt>
                <c:pt idx="51">
                  <c:v>2009.0</c:v>
                </c:pt>
                <c:pt idx="52">
                  <c:v>2010.0</c:v>
                </c:pt>
                <c:pt idx="53">
                  <c:v>2011.0</c:v>
                </c:pt>
                <c:pt idx="54">
                  <c:v>2012.0</c:v>
                </c:pt>
                <c:pt idx="55">
                  <c:v>2013.0</c:v>
                </c:pt>
                <c:pt idx="56">
                  <c:v>2014.0</c:v>
                </c:pt>
                <c:pt idx="57">
                  <c:v>2015.0</c:v>
                </c:pt>
                <c:pt idx="58">
                  <c:v>2016.0</c:v>
                </c:pt>
                <c:pt idx="59">
                  <c:v>2017.0</c:v>
                </c:pt>
                <c:pt idx="60">
                  <c:v>2018.0</c:v>
                </c:pt>
                <c:pt idx="61">
                  <c:v>2019.0</c:v>
                </c:pt>
                <c:pt idx="62">
                  <c:v>2020.0</c:v>
                </c:pt>
                <c:pt idx="63">
                  <c:v>2021.0</c:v>
                </c:pt>
                <c:pt idx="64">
                  <c:v>2022.0</c:v>
                </c:pt>
                <c:pt idx="65">
                  <c:v>2023.0</c:v>
                </c:pt>
                <c:pt idx="66">
                  <c:v>2024.0</c:v>
                </c:pt>
                <c:pt idx="67">
                  <c:v>2025.0</c:v>
                </c:pt>
                <c:pt idx="68">
                  <c:v>2026.0</c:v>
                </c:pt>
                <c:pt idx="69">
                  <c:v>2027.0</c:v>
                </c:pt>
                <c:pt idx="70">
                  <c:v>2028.0</c:v>
                </c:pt>
                <c:pt idx="71">
                  <c:v>2029.0</c:v>
                </c:pt>
                <c:pt idx="72">
                  <c:v>2030.0</c:v>
                </c:pt>
              </c:numCache>
            </c:numRef>
          </c:xVal>
          <c:yVal>
            <c:numRef>
              <c:f>'Inventory Figures'!$G$121:$G$193</c:f>
              <c:numCache>
                <c:formatCode>General</c:formatCode>
                <c:ptCount val="73"/>
                <c:pt idx="0">
                  <c:v>0.00183851722369366</c:v>
                </c:pt>
                <c:pt idx="1">
                  <c:v>0.00438081851741062</c:v>
                </c:pt>
                <c:pt idx="2">
                  <c:v>0.00687883457385872</c:v>
                </c:pt>
                <c:pt idx="3">
                  <c:v>0.00942537188360579</c:v>
                </c:pt>
                <c:pt idx="4">
                  <c:v>0.011927623956084</c:v>
                </c:pt>
                <c:pt idx="5">
                  <c:v>0.0144783972818612</c:v>
                </c:pt>
                <c:pt idx="6">
                  <c:v>0.0169848853703696</c:v>
                </c:pt>
                <c:pt idx="7">
                  <c:v>0.0195398947121769</c:v>
                </c:pt>
                <c:pt idx="8">
                  <c:v>0.0220506188167153</c:v>
                </c:pt>
                <c:pt idx="9">
                  <c:v>0.0246098641745528</c:v>
                </c:pt>
                <c:pt idx="10">
                  <c:v>0.0271227462495217</c:v>
                </c:pt>
                <c:pt idx="11">
                  <c:v>0.0296819916073591</c:v>
                </c:pt>
                <c:pt idx="12">
                  <c:v>0.032194873682328</c:v>
                </c:pt>
                <c:pt idx="13">
                  <c:v>0.0346834068392541</c:v>
                </c:pt>
                <c:pt idx="14">
                  <c:v>0.0372426521970916</c:v>
                </c:pt>
                <c:pt idx="15">
                  <c:v>0.0397554543472297</c:v>
                </c:pt>
                <c:pt idx="16">
                  <c:v>0.0423146997050672</c:v>
                </c:pt>
                <c:pt idx="17">
                  <c:v>0.0448275018552053</c:v>
                </c:pt>
                <c:pt idx="18">
                  <c:v>0.0589835481624951</c:v>
                </c:pt>
                <c:pt idx="19">
                  <c:v>0.0770863738210997</c:v>
                </c:pt>
                <c:pt idx="20">
                  <c:v>0.0952487503596477</c:v>
                </c:pt>
                <c:pt idx="21">
                  <c:v>0.113377791362741</c:v>
                </c:pt>
                <c:pt idx="22">
                  <c:v>0.131566383245777</c:v>
                </c:pt>
                <c:pt idx="23">
                  <c:v>0.149721719518189</c:v>
                </c:pt>
                <c:pt idx="24">
                  <c:v>0.167936526745713</c:v>
                </c:pt>
                <c:pt idx="25">
                  <c:v>0.186118078362614</c:v>
                </c:pt>
                <c:pt idx="26">
                  <c:v>0.204359100934627</c:v>
                </c:pt>
                <c:pt idx="27">
                  <c:v>0.222566867896015</c:v>
                </c:pt>
                <c:pt idx="28">
                  <c:v>0.227314967766215</c:v>
                </c:pt>
                <c:pt idx="29">
                  <c:v>0.227436773208288</c:v>
                </c:pt>
                <c:pt idx="30">
                  <c:v>0.227543313007687</c:v>
                </c:pt>
                <c:pt idx="31">
                  <c:v>0.227634667089243</c:v>
                </c:pt>
                <c:pt idx="32">
                  <c:v>0.251823616038875</c:v>
                </c:pt>
                <c:pt idx="33">
                  <c:v>0.260187499812496</c:v>
                </c:pt>
                <c:pt idx="34">
                  <c:v>0.260260391258146</c:v>
                </c:pt>
                <c:pt idx="35">
                  <c:v>2.331965289983961</c:v>
                </c:pt>
                <c:pt idx="36">
                  <c:v>4.40358896865475</c:v>
                </c:pt>
                <c:pt idx="37">
                  <c:v>6.539333211340216</c:v>
                </c:pt>
                <c:pt idx="38">
                  <c:v>8.633025739969905</c:v>
                </c:pt>
                <c:pt idx="39">
                  <c:v>10.70470607526227</c:v>
                </c:pt>
                <c:pt idx="40">
                  <c:v>12.62744244766747</c:v>
                </c:pt>
                <c:pt idx="41">
                  <c:v>14.70006538330773</c:v>
                </c:pt>
                <c:pt idx="42">
                  <c:v>16.79364671456419</c:v>
                </c:pt>
                <c:pt idx="43">
                  <c:v>18.76404796832348</c:v>
                </c:pt>
                <c:pt idx="44">
                  <c:v>20.73665233666173</c:v>
                </c:pt>
                <c:pt idx="45">
                  <c:v>22.80054626303102</c:v>
                </c:pt>
                <c:pt idx="46">
                  <c:v>24.86896844718353</c:v>
                </c:pt>
                <c:pt idx="47">
                  <c:v>24.90148450947039</c:v>
                </c:pt>
                <c:pt idx="48">
                  <c:v>25.67050233215878</c:v>
                </c:pt>
                <c:pt idx="49">
                  <c:v>25.695458455834</c:v>
                </c:pt>
                <c:pt idx="50">
                  <c:v>24.90704559396426</c:v>
                </c:pt>
                <c:pt idx="51">
                  <c:v>19.33745563773277</c:v>
                </c:pt>
                <c:pt idx="52">
                  <c:v>25.65487768130792</c:v>
                </c:pt>
                <c:pt idx="53">
                  <c:v>29.83288214089996</c:v>
                </c:pt>
                <c:pt idx="54">
                  <c:v>26.3565122195614</c:v>
                </c:pt>
                <c:pt idx="55">
                  <c:v>33.6475508068874</c:v>
                </c:pt>
                <c:pt idx="56">
                  <c:v>33.29744188585126</c:v>
                </c:pt>
                <c:pt idx="57">
                  <c:v>32.94146217249962</c:v>
                </c:pt>
                <c:pt idx="58">
                  <c:v>0.0337398397136149</c:v>
                </c:pt>
                <c:pt idx="59">
                  <c:v>0.0168699555897158</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numCache>
            </c:numRef>
          </c:yVal>
          <c:smooth val="0"/>
        </c:ser>
        <c:ser>
          <c:idx val="1"/>
          <c:order val="3"/>
          <c:tx>
            <c:v>xFOSEs (Lower)</c:v>
          </c:tx>
          <c:spPr>
            <a:ln w="25400" cap="flat" cmpd="sng" algn="ctr">
              <a:solidFill>
                <a:schemeClr val="dk1"/>
              </a:solidFill>
              <a:prstDash val="solid"/>
              <a:round/>
            </a:ln>
            <a:effectLst/>
          </c:spPr>
          <c:marker>
            <c:symbol val="none"/>
          </c:marker>
          <c:xVal>
            <c:numRef>
              <c:f>'Inventory Figures'!$B$121:$B$193</c:f>
              <c:numCache>
                <c:formatCode>General</c:formatCode>
                <c:ptCount val="73"/>
                <c:pt idx="0">
                  <c:v>1958.0</c:v>
                </c:pt>
                <c:pt idx="1">
                  <c:v>1959.0</c:v>
                </c:pt>
                <c:pt idx="2">
                  <c:v>1960.0</c:v>
                </c:pt>
                <c:pt idx="3">
                  <c:v>1961.0</c:v>
                </c:pt>
                <c:pt idx="4">
                  <c:v>1962.0</c:v>
                </c:pt>
                <c:pt idx="5">
                  <c:v>1963.0</c:v>
                </c:pt>
                <c:pt idx="6">
                  <c:v>1964.0</c:v>
                </c:pt>
                <c:pt idx="7">
                  <c:v>1965.0</c:v>
                </c:pt>
                <c:pt idx="8">
                  <c:v>1966.0</c:v>
                </c:pt>
                <c:pt idx="9">
                  <c:v>1967.0</c:v>
                </c:pt>
                <c:pt idx="10">
                  <c:v>1968.0</c:v>
                </c:pt>
                <c:pt idx="11">
                  <c:v>1969.0</c:v>
                </c:pt>
                <c:pt idx="12">
                  <c:v>1970.0</c:v>
                </c:pt>
                <c:pt idx="13">
                  <c:v>1971.0</c:v>
                </c:pt>
                <c:pt idx="14">
                  <c:v>1972.0</c:v>
                </c:pt>
                <c:pt idx="15">
                  <c:v>1973.0</c:v>
                </c:pt>
                <c:pt idx="16">
                  <c:v>1974.0</c:v>
                </c:pt>
                <c:pt idx="17">
                  <c:v>1975.0</c:v>
                </c:pt>
                <c:pt idx="18">
                  <c:v>1976.0</c:v>
                </c:pt>
                <c:pt idx="19">
                  <c:v>1977.0</c:v>
                </c:pt>
                <c:pt idx="20">
                  <c:v>1978.0</c:v>
                </c:pt>
                <c:pt idx="21">
                  <c:v>1979.0</c:v>
                </c:pt>
                <c:pt idx="22">
                  <c:v>1980.0</c:v>
                </c:pt>
                <c:pt idx="23">
                  <c:v>1981.0</c:v>
                </c:pt>
                <c:pt idx="24">
                  <c:v>1982.0</c:v>
                </c:pt>
                <c:pt idx="25">
                  <c:v>1983.0</c:v>
                </c:pt>
                <c:pt idx="26">
                  <c:v>1984.0</c:v>
                </c:pt>
                <c:pt idx="27">
                  <c:v>1985.0</c:v>
                </c:pt>
                <c:pt idx="28">
                  <c:v>1986.0</c:v>
                </c:pt>
                <c:pt idx="29">
                  <c:v>1987.0</c:v>
                </c:pt>
                <c:pt idx="30">
                  <c:v>1988.0</c:v>
                </c:pt>
                <c:pt idx="31">
                  <c:v>1989.0</c:v>
                </c:pt>
                <c:pt idx="32">
                  <c:v>1990.0</c:v>
                </c:pt>
                <c:pt idx="33">
                  <c:v>1991.0</c:v>
                </c:pt>
                <c:pt idx="34">
                  <c:v>1992.0</c:v>
                </c:pt>
                <c:pt idx="35">
                  <c:v>1993.0</c:v>
                </c:pt>
                <c:pt idx="36">
                  <c:v>1994.0</c:v>
                </c:pt>
                <c:pt idx="37">
                  <c:v>1995.0</c:v>
                </c:pt>
                <c:pt idx="38">
                  <c:v>1996.0</c:v>
                </c:pt>
                <c:pt idx="39">
                  <c:v>1997.0</c:v>
                </c:pt>
                <c:pt idx="40">
                  <c:v>1998.0</c:v>
                </c:pt>
                <c:pt idx="41">
                  <c:v>1999.0</c:v>
                </c:pt>
                <c:pt idx="42">
                  <c:v>2000.0</c:v>
                </c:pt>
                <c:pt idx="43">
                  <c:v>2001.0</c:v>
                </c:pt>
                <c:pt idx="44">
                  <c:v>2002.0</c:v>
                </c:pt>
                <c:pt idx="45">
                  <c:v>2003.0</c:v>
                </c:pt>
                <c:pt idx="46">
                  <c:v>2004.0</c:v>
                </c:pt>
                <c:pt idx="47">
                  <c:v>2005.0</c:v>
                </c:pt>
                <c:pt idx="48">
                  <c:v>2006.0</c:v>
                </c:pt>
                <c:pt idx="49">
                  <c:v>2007.0</c:v>
                </c:pt>
                <c:pt idx="50">
                  <c:v>2008.0</c:v>
                </c:pt>
                <c:pt idx="51">
                  <c:v>2009.0</c:v>
                </c:pt>
                <c:pt idx="52">
                  <c:v>2010.0</c:v>
                </c:pt>
                <c:pt idx="53">
                  <c:v>2011.0</c:v>
                </c:pt>
                <c:pt idx="54">
                  <c:v>2012.0</c:v>
                </c:pt>
                <c:pt idx="55">
                  <c:v>2013.0</c:v>
                </c:pt>
                <c:pt idx="56">
                  <c:v>2014.0</c:v>
                </c:pt>
                <c:pt idx="57">
                  <c:v>2015.0</c:v>
                </c:pt>
                <c:pt idx="58">
                  <c:v>2016.0</c:v>
                </c:pt>
                <c:pt idx="59">
                  <c:v>2017.0</c:v>
                </c:pt>
                <c:pt idx="60">
                  <c:v>2018.0</c:v>
                </c:pt>
                <c:pt idx="61">
                  <c:v>2019.0</c:v>
                </c:pt>
                <c:pt idx="62">
                  <c:v>2020.0</c:v>
                </c:pt>
                <c:pt idx="63">
                  <c:v>2021.0</c:v>
                </c:pt>
                <c:pt idx="64">
                  <c:v>2022.0</c:v>
                </c:pt>
                <c:pt idx="65">
                  <c:v>2023.0</c:v>
                </c:pt>
                <c:pt idx="66">
                  <c:v>2024.0</c:v>
                </c:pt>
                <c:pt idx="67">
                  <c:v>2025.0</c:v>
                </c:pt>
                <c:pt idx="68">
                  <c:v>2026.0</c:v>
                </c:pt>
                <c:pt idx="69">
                  <c:v>2027.0</c:v>
                </c:pt>
                <c:pt idx="70">
                  <c:v>2028.0</c:v>
                </c:pt>
                <c:pt idx="71">
                  <c:v>2029.0</c:v>
                </c:pt>
                <c:pt idx="72">
                  <c:v>2030.0</c:v>
                </c:pt>
              </c:numCache>
            </c:numRef>
          </c:xVal>
          <c:yVal>
            <c:numRef>
              <c:f>'Inventory Figures'!$I$121:$I$193</c:f>
              <c:numCache>
                <c:formatCode>General</c:formatCode>
                <c:ptCount val="73"/>
                <c:pt idx="0">
                  <c:v>0.0977101192192271</c:v>
                </c:pt>
                <c:pt idx="1">
                  <c:v>0.232823654898384</c:v>
                </c:pt>
                <c:pt idx="2">
                  <c:v>0.365583600544538</c:v>
                </c:pt>
                <c:pt idx="3">
                  <c:v>0.500922264183326</c:v>
                </c:pt>
                <c:pt idx="4">
                  <c:v>0.633907337789111</c:v>
                </c:pt>
                <c:pt idx="5">
                  <c:v>0.769471129387532</c:v>
                </c:pt>
                <c:pt idx="6">
                  <c:v>0.902681330952948</c:v>
                </c:pt>
                <c:pt idx="7">
                  <c:v>1.038470250511</c:v>
                </c:pt>
                <c:pt idx="8">
                  <c:v>1.171905580036048</c:v>
                </c:pt>
                <c:pt idx="9">
                  <c:v>1.307919627553731</c:v>
                </c:pt>
                <c:pt idx="10">
                  <c:v>1.441469644907271</c:v>
                </c:pt>
                <c:pt idx="11">
                  <c:v>1.577483692424954</c:v>
                </c:pt>
                <c:pt idx="12">
                  <c:v>1.711033709778494</c:v>
                </c:pt>
                <c:pt idx="13">
                  <c:v>1.843289675787745</c:v>
                </c:pt>
                <c:pt idx="14">
                  <c:v>1.979303723305428</c:v>
                </c:pt>
                <c:pt idx="15">
                  <c:v>2.112849492961616</c:v>
                </c:pt>
                <c:pt idx="16">
                  <c:v>2.2488635404793</c:v>
                </c:pt>
                <c:pt idx="17">
                  <c:v>2.382409310135487</c:v>
                </c:pt>
                <c:pt idx="18">
                  <c:v>3.134748725035988</c:v>
                </c:pt>
                <c:pt idx="19">
                  <c:v>4.09684428253829</c:v>
                </c:pt>
                <c:pt idx="20">
                  <c:v>5.062104740267738</c:v>
                </c:pt>
                <c:pt idx="21">
                  <c:v>6.025593542501343</c:v>
                </c:pt>
                <c:pt idx="22">
                  <c:v>6.992247244962097</c:v>
                </c:pt>
                <c:pt idx="23">
                  <c:v>7.95713353962436</c:v>
                </c:pt>
                <c:pt idx="24">
                  <c:v>8.925180486816415</c:v>
                </c:pt>
                <c:pt idx="25">
                  <c:v>9.891460026209983</c:v>
                </c:pt>
                <c:pt idx="26">
                  <c:v>10.86090021813334</c:v>
                </c:pt>
                <c:pt idx="27">
                  <c:v>11.82857300225822</c:v>
                </c:pt>
                <c:pt idx="28">
                  <c:v>12.08091624843675</c:v>
                </c:pt>
                <c:pt idx="29">
                  <c:v>12.0873897392005</c:v>
                </c:pt>
                <c:pt idx="30">
                  <c:v>12.0930519197701</c:v>
                </c:pt>
                <c:pt idx="31">
                  <c:v>12.0979070378429</c:v>
                </c:pt>
                <c:pt idx="32">
                  <c:v>13.38345664009682</c:v>
                </c:pt>
                <c:pt idx="33">
                  <c:v>13.82796489388103</c:v>
                </c:pt>
                <c:pt idx="34">
                  <c:v>13.83183879386563</c:v>
                </c:pt>
                <c:pt idx="35">
                  <c:v>13.83140040800783</c:v>
                </c:pt>
                <c:pt idx="36">
                  <c:v>13.82664548861025</c:v>
                </c:pt>
                <c:pt idx="37">
                  <c:v>17.22965192903885</c:v>
                </c:pt>
                <c:pt idx="38">
                  <c:v>18.39777150476466</c:v>
                </c:pt>
                <c:pt idx="39">
                  <c:v>18.39602766689404</c:v>
                </c:pt>
                <c:pt idx="40">
                  <c:v>10.47848506296597</c:v>
                </c:pt>
                <c:pt idx="41">
                  <c:v>10.52683680819966</c:v>
                </c:pt>
                <c:pt idx="42">
                  <c:v>11.68904667122016</c:v>
                </c:pt>
                <c:pt idx="43">
                  <c:v>6.304709184795822</c:v>
                </c:pt>
                <c:pt idx="44">
                  <c:v>1.03745876472517</c:v>
                </c:pt>
                <c:pt idx="45">
                  <c:v>0.621897240319031</c:v>
                </c:pt>
                <c:pt idx="46">
                  <c:v>0.446995200715126</c:v>
                </c:pt>
                <c:pt idx="47">
                  <c:v>0.704114945101622</c:v>
                </c:pt>
                <c:pt idx="48">
                  <c:v>0.985868643399783</c:v>
                </c:pt>
                <c:pt idx="49">
                  <c:v>0.964522743200389</c:v>
                </c:pt>
                <c:pt idx="50">
                  <c:v>2.470649101546766</c:v>
                </c:pt>
                <c:pt idx="51">
                  <c:v>1.744160443610618</c:v>
                </c:pt>
                <c:pt idx="52">
                  <c:v>1.142006672977242</c:v>
                </c:pt>
                <c:pt idx="53">
                  <c:v>1.543952380659877</c:v>
                </c:pt>
                <c:pt idx="54">
                  <c:v>1.603736456095066</c:v>
                </c:pt>
                <c:pt idx="55">
                  <c:v>1.794022008000332</c:v>
                </c:pt>
                <c:pt idx="56">
                  <c:v>2.116087873917664</c:v>
                </c:pt>
                <c:pt idx="57">
                  <c:v>2.121739564810426</c:v>
                </c:pt>
                <c:pt idx="58">
                  <c:v>1.793142712164347</c:v>
                </c:pt>
                <c:pt idx="59">
                  <c:v>0.896573255148819</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numCache>
            </c:numRef>
          </c:yVal>
          <c:smooth val="0"/>
        </c:ser>
        <c:dLbls>
          <c:showLegendKey val="0"/>
          <c:showVal val="0"/>
          <c:showCatName val="0"/>
          <c:showSerName val="0"/>
          <c:showPercent val="0"/>
          <c:showBubbleSize val="0"/>
        </c:dLbls>
        <c:axId val="-1965111344"/>
        <c:axId val="-1965102464"/>
      </c:scatterChart>
      <c:valAx>
        <c:axId val="-1965111344"/>
        <c:scaling>
          <c:orientation val="minMax"/>
          <c:max val="2030.0"/>
          <c:min val="1955.0"/>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2000" b="0" i="0" u="none" strike="noStrike" kern="1200" baseline="0">
                    <a:solidFill>
                      <a:schemeClr val="tx1"/>
                    </a:solidFill>
                    <a:latin typeface="+mj-lt"/>
                    <a:ea typeface="+mn-ea"/>
                    <a:cs typeface="+mn-cs"/>
                  </a:defRPr>
                </a:pPr>
                <a:r>
                  <a:rPr lang="en-US"/>
                  <a:t>Year</a:t>
                </a:r>
              </a:p>
            </c:rich>
          </c:tx>
          <c:layout>
            <c:manualLayout>
              <c:xMode val="edge"/>
              <c:yMode val="edge"/>
              <c:x val="0.471186700012891"/>
              <c:y val="0.877319299928578"/>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mj-lt"/>
                  <a:ea typeface="+mn-ea"/>
                  <a:cs typeface="+mn-cs"/>
                </a:defRPr>
              </a:pPr>
              <a:endParaRPr lang="en-US"/>
            </a:p>
          </c:txPr>
        </c:title>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mj-lt"/>
                <a:ea typeface="+mn-ea"/>
                <a:cs typeface="+mn-cs"/>
              </a:defRPr>
            </a:pPr>
            <a:endParaRPr lang="en-US"/>
          </a:p>
        </c:txPr>
        <c:crossAx val="-1965102464"/>
        <c:crosses val="autoZero"/>
        <c:crossBetween val="midCat"/>
        <c:majorUnit val="15.0"/>
      </c:valAx>
      <c:valAx>
        <c:axId val="-1965102464"/>
        <c:scaling>
          <c:orientation val="minMax"/>
          <c:max val="100.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2000" b="0" i="0" u="none" strike="noStrike" kern="1200" baseline="0">
                    <a:solidFill>
                      <a:schemeClr val="tx1"/>
                    </a:solidFill>
                    <a:latin typeface="+mj-lt"/>
                    <a:ea typeface="+mn-ea"/>
                    <a:cs typeface="+mn-cs"/>
                  </a:defRPr>
                </a:pPr>
                <a:r>
                  <a:rPr lang="en-US"/>
                  <a:t>Environmental Emissions (tonnes/yr)</a:t>
                </a:r>
              </a:p>
            </c:rich>
          </c:tx>
          <c:layout>
            <c:manualLayout>
              <c:xMode val="edge"/>
              <c:yMode val="edge"/>
              <c:x val="0.00651432091487935"/>
              <c:y val="0.0494034071813343"/>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solidFill>
                  <a:latin typeface="+mj-lt"/>
                  <a:ea typeface="+mn-ea"/>
                  <a:cs typeface="+mn-cs"/>
                </a:defRPr>
              </a:pPr>
              <a:endParaRPr lang="en-US"/>
            </a:p>
          </c:txPr>
        </c:title>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mj-lt"/>
                <a:ea typeface="+mn-ea"/>
                <a:cs typeface="+mn-cs"/>
              </a:defRPr>
            </a:pPr>
            <a:endParaRPr lang="en-US"/>
          </a:p>
        </c:txPr>
        <c:crossAx val="-1965111344"/>
        <c:crosses val="autoZero"/>
        <c:crossBetween val="midCat"/>
        <c:majorUnit val="25.0"/>
      </c:valAx>
      <c:spPr>
        <a:noFill/>
        <a:ln>
          <a:noFill/>
        </a:ln>
        <a:effectLst/>
      </c:spPr>
    </c:plotArea>
    <c:plotVisOnly val="1"/>
    <c:dispBlanksAs val="span"/>
    <c:showDLblsOverMax val="0"/>
  </c:chart>
  <c:spPr>
    <a:solidFill>
      <a:schemeClr val="bg1"/>
    </a:solidFill>
    <a:ln w="9525" cap="flat" cmpd="sng" algn="ctr">
      <a:noFill/>
      <a:round/>
    </a:ln>
    <a:effectLst/>
  </c:spPr>
  <c:txPr>
    <a:bodyPr/>
    <a:lstStyle/>
    <a:p>
      <a:pPr>
        <a:defRPr sz="2000">
          <a:solidFill>
            <a:schemeClr val="tx1"/>
          </a:solidFill>
          <a:latin typeface="+mj-lt"/>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r>
              <a:rPr lang="en-US" b="1">
                <a:latin typeface="+mj-lt"/>
              </a:rPr>
              <a:t>POSF</a:t>
            </a:r>
            <a:r>
              <a:rPr lang="en-US" b="1" baseline="0">
                <a:latin typeface="+mj-lt"/>
              </a:rPr>
              <a:t> Production Over Time (tonnes/year) </a:t>
            </a:r>
            <a:endParaRPr lang="en-US" b="1">
              <a:latin typeface="+mj-lt"/>
            </a:endParaRPr>
          </a:p>
        </c:rich>
      </c:tx>
      <c:layout>
        <c:manualLayout>
          <c:xMode val="edge"/>
          <c:yMode val="edge"/>
          <c:x val="0.348962569822298"/>
          <c:y val="0.00217215261309631"/>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endParaRPr lang="en-US"/>
        </a:p>
      </c:txPr>
    </c:title>
    <c:autoTitleDeleted val="0"/>
    <c:plotArea>
      <c:layout>
        <c:manualLayout>
          <c:layoutTarget val="inner"/>
          <c:xMode val="edge"/>
          <c:yMode val="edge"/>
          <c:x val="0.102465124312103"/>
          <c:y val="0.0912555444761544"/>
          <c:w val="0.556297268397006"/>
          <c:h val="0.699887047416016"/>
        </c:manualLayout>
      </c:layout>
      <c:scatterChart>
        <c:scatterStyle val="lineMarker"/>
        <c:varyColors val="0"/>
        <c:ser>
          <c:idx val="1"/>
          <c:order val="0"/>
          <c:tx>
            <c:v>Developed</c:v>
          </c:tx>
          <c:spPr>
            <a:ln w="19050" cap="rnd">
              <a:solidFill>
                <a:schemeClr val="tx1"/>
              </a:solidFill>
              <a:round/>
            </a:ln>
            <a:effectLst/>
          </c:spPr>
          <c:marker>
            <c:symbol val="none"/>
          </c:marker>
          <c:xVal>
            <c:numRef>
              <c:f>'Inventory Figures'!$B$35:$B$78</c:f>
              <c:numCache>
                <c:formatCode>General</c:formatCode>
                <c:ptCount val="44"/>
                <c:pt idx="0">
                  <c:v>1958.0</c:v>
                </c:pt>
                <c:pt idx="1">
                  <c:v>1959.0</c:v>
                </c:pt>
                <c:pt idx="2">
                  <c:v>1960.0</c:v>
                </c:pt>
                <c:pt idx="3">
                  <c:v>1961.0</c:v>
                </c:pt>
                <c:pt idx="4">
                  <c:v>1962.0</c:v>
                </c:pt>
                <c:pt idx="5">
                  <c:v>1963.0</c:v>
                </c:pt>
                <c:pt idx="6">
                  <c:v>1964.0</c:v>
                </c:pt>
                <c:pt idx="7">
                  <c:v>1965.0</c:v>
                </c:pt>
                <c:pt idx="8">
                  <c:v>1966.0</c:v>
                </c:pt>
                <c:pt idx="9">
                  <c:v>1967.0</c:v>
                </c:pt>
                <c:pt idx="10">
                  <c:v>1968.0</c:v>
                </c:pt>
                <c:pt idx="11">
                  <c:v>1969.0</c:v>
                </c:pt>
                <c:pt idx="12">
                  <c:v>1970.0</c:v>
                </c:pt>
                <c:pt idx="13">
                  <c:v>1971.0</c:v>
                </c:pt>
                <c:pt idx="14">
                  <c:v>1972.0</c:v>
                </c:pt>
                <c:pt idx="15">
                  <c:v>1973.0</c:v>
                </c:pt>
                <c:pt idx="16">
                  <c:v>1974.0</c:v>
                </c:pt>
                <c:pt idx="17">
                  <c:v>1975.0</c:v>
                </c:pt>
                <c:pt idx="18">
                  <c:v>1976.0</c:v>
                </c:pt>
                <c:pt idx="19">
                  <c:v>1977.0</c:v>
                </c:pt>
                <c:pt idx="20">
                  <c:v>1978.0</c:v>
                </c:pt>
                <c:pt idx="21">
                  <c:v>1979.0</c:v>
                </c:pt>
                <c:pt idx="22">
                  <c:v>1980.0</c:v>
                </c:pt>
                <c:pt idx="23">
                  <c:v>1981.0</c:v>
                </c:pt>
                <c:pt idx="24">
                  <c:v>1982.0</c:v>
                </c:pt>
                <c:pt idx="25">
                  <c:v>1983.0</c:v>
                </c:pt>
                <c:pt idx="26">
                  <c:v>1984.0</c:v>
                </c:pt>
                <c:pt idx="27">
                  <c:v>1985.0</c:v>
                </c:pt>
                <c:pt idx="28">
                  <c:v>1986.0</c:v>
                </c:pt>
                <c:pt idx="29">
                  <c:v>1987.0</c:v>
                </c:pt>
                <c:pt idx="30">
                  <c:v>1988.0</c:v>
                </c:pt>
                <c:pt idx="31">
                  <c:v>1989.0</c:v>
                </c:pt>
                <c:pt idx="32">
                  <c:v>1990.0</c:v>
                </c:pt>
                <c:pt idx="33">
                  <c:v>1991.0</c:v>
                </c:pt>
                <c:pt idx="34">
                  <c:v>1992.0</c:v>
                </c:pt>
                <c:pt idx="35">
                  <c:v>1993.0</c:v>
                </c:pt>
                <c:pt idx="36">
                  <c:v>1994.0</c:v>
                </c:pt>
                <c:pt idx="37">
                  <c:v>1995.0</c:v>
                </c:pt>
                <c:pt idx="38">
                  <c:v>1996.0</c:v>
                </c:pt>
                <c:pt idx="39">
                  <c:v>1997.0</c:v>
                </c:pt>
                <c:pt idx="40">
                  <c:v>1998.0</c:v>
                </c:pt>
                <c:pt idx="41">
                  <c:v>1999.0</c:v>
                </c:pt>
                <c:pt idx="42">
                  <c:v>2000.0</c:v>
                </c:pt>
                <c:pt idx="43">
                  <c:v>2001.0</c:v>
                </c:pt>
              </c:numCache>
            </c:numRef>
          </c:xVal>
          <c:yVal>
            <c:numRef>
              <c:f>'Inventory Figures'!$D$35:$D$78</c:f>
              <c:numCache>
                <c:formatCode>General</c:formatCode>
                <c:ptCount val="44"/>
                <c:pt idx="0">
                  <c:v>26.0</c:v>
                </c:pt>
                <c:pt idx="1">
                  <c:v>53.0</c:v>
                </c:pt>
                <c:pt idx="2">
                  <c:v>79.0</c:v>
                </c:pt>
                <c:pt idx="3">
                  <c:v>106.0</c:v>
                </c:pt>
                <c:pt idx="4">
                  <c:v>132.0</c:v>
                </c:pt>
                <c:pt idx="5">
                  <c:v>159.0</c:v>
                </c:pt>
                <c:pt idx="6">
                  <c:v>185.0</c:v>
                </c:pt>
                <c:pt idx="7">
                  <c:v>212.0</c:v>
                </c:pt>
                <c:pt idx="8">
                  <c:v>238.0</c:v>
                </c:pt>
                <c:pt idx="9">
                  <c:v>265.0</c:v>
                </c:pt>
                <c:pt idx="10">
                  <c:v>291.0</c:v>
                </c:pt>
                <c:pt idx="11">
                  <c:v>318.0</c:v>
                </c:pt>
                <c:pt idx="12">
                  <c:v>344.0</c:v>
                </c:pt>
                <c:pt idx="13">
                  <c:v>370.0</c:v>
                </c:pt>
                <c:pt idx="14">
                  <c:v>397.0</c:v>
                </c:pt>
                <c:pt idx="15">
                  <c:v>423.0</c:v>
                </c:pt>
                <c:pt idx="16">
                  <c:v>450.0</c:v>
                </c:pt>
                <c:pt idx="17">
                  <c:v>476.0</c:v>
                </c:pt>
                <c:pt idx="18">
                  <c:v>667.0</c:v>
                </c:pt>
                <c:pt idx="19">
                  <c:v>857.0</c:v>
                </c:pt>
                <c:pt idx="20">
                  <c:v>1048.0</c:v>
                </c:pt>
                <c:pt idx="21">
                  <c:v>1238.0</c:v>
                </c:pt>
                <c:pt idx="22">
                  <c:v>1429.0</c:v>
                </c:pt>
                <c:pt idx="23">
                  <c:v>1619.0</c:v>
                </c:pt>
                <c:pt idx="24">
                  <c:v>1810.0</c:v>
                </c:pt>
                <c:pt idx="25">
                  <c:v>2000.0</c:v>
                </c:pt>
                <c:pt idx="26">
                  <c:v>2191.0</c:v>
                </c:pt>
                <c:pt idx="27">
                  <c:v>2381.0</c:v>
                </c:pt>
                <c:pt idx="28">
                  <c:v>2381.0</c:v>
                </c:pt>
                <c:pt idx="29">
                  <c:v>2381.0</c:v>
                </c:pt>
                <c:pt idx="30">
                  <c:v>2381.0</c:v>
                </c:pt>
                <c:pt idx="31">
                  <c:v>2381.0</c:v>
                </c:pt>
                <c:pt idx="32">
                  <c:v>2722.0</c:v>
                </c:pt>
                <c:pt idx="33">
                  <c:v>2722.0</c:v>
                </c:pt>
                <c:pt idx="34">
                  <c:v>2722.0</c:v>
                </c:pt>
                <c:pt idx="35">
                  <c:v>2722.0</c:v>
                </c:pt>
                <c:pt idx="36">
                  <c:v>2722.0</c:v>
                </c:pt>
                <c:pt idx="37">
                  <c:v>3629.0</c:v>
                </c:pt>
                <c:pt idx="38">
                  <c:v>3629.0</c:v>
                </c:pt>
                <c:pt idx="39">
                  <c:v>3629.0</c:v>
                </c:pt>
                <c:pt idx="40">
                  <c:v>3629.0</c:v>
                </c:pt>
                <c:pt idx="41">
                  <c:v>3629.0</c:v>
                </c:pt>
                <c:pt idx="42">
                  <c:v>4368.0</c:v>
                </c:pt>
                <c:pt idx="43">
                  <c:v>218.0</c:v>
                </c:pt>
              </c:numCache>
            </c:numRef>
          </c:yVal>
          <c:smooth val="0"/>
        </c:ser>
        <c:ser>
          <c:idx val="0"/>
          <c:order val="1"/>
          <c:tx>
            <c:v>Developed &amp; China (Higher)</c:v>
          </c:tx>
          <c:spPr>
            <a:ln w="19050" cap="rnd">
              <a:solidFill>
                <a:srgbClr val="F15854"/>
              </a:solidFill>
              <a:round/>
            </a:ln>
            <a:effectLst/>
          </c:spPr>
          <c:marker>
            <c:symbol val="none"/>
          </c:marker>
          <c:xVal>
            <c:numRef>
              <c:f>'Inventory Figures'!$B$78:$B$107</c:f>
              <c:numCache>
                <c:formatCode>General</c:formatCode>
                <c:ptCount val="30"/>
                <c:pt idx="0">
                  <c:v>2001.0</c:v>
                </c:pt>
                <c:pt idx="1">
                  <c:v>2002.0</c:v>
                </c:pt>
                <c:pt idx="2">
                  <c:v>2003.0</c:v>
                </c:pt>
                <c:pt idx="3">
                  <c:v>2004.0</c:v>
                </c:pt>
                <c:pt idx="4">
                  <c:v>2005.0</c:v>
                </c:pt>
                <c:pt idx="5">
                  <c:v>2006.0</c:v>
                </c:pt>
                <c:pt idx="6">
                  <c:v>2007.0</c:v>
                </c:pt>
                <c:pt idx="7">
                  <c:v>2008.0</c:v>
                </c:pt>
                <c:pt idx="8">
                  <c:v>2009.0</c:v>
                </c:pt>
                <c:pt idx="9">
                  <c:v>2010.0</c:v>
                </c:pt>
                <c:pt idx="10">
                  <c:v>2011.0</c:v>
                </c:pt>
                <c:pt idx="11">
                  <c:v>2012.0</c:v>
                </c:pt>
                <c:pt idx="12">
                  <c:v>2013.0</c:v>
                </c:pt>
                <c:pt idx="13">
                  <c:v>2014.0</c:v>
                </c:pt>
                <c:pt idx="14">
                  <c:v>2015.0</c:v>
                </c:pt>
                <c:pt idx="15">
                  <c:v>2016.0</c:v>
                </c:pt>
                <c:pt idx="16">
                  <c:v>2017.0</c:v>
                </c:pt>
                <c:pt idx="17">
                  <c:v>2018.0</c:v>
                </c:pt>
                <c:pt idx="18">
                  <c:v>2019.0</c:v>
                </c:pt>
                <c:pt idx="19">
                  <c:v>2020.0</c:v>
                </c:pt>
                <c:pt idx="20">
                  <c:v>2021.0</c:v>
                </c:pt>
                <c:pt idx="21">
                  <c:v>2022.0</c:v>
                </c:pt>
                <c:pt idx="22">
                  <c:v>2023.0</c:v>
                </c:pt>
                <c:pt idx="23">
                  <c:v>2024.0</c:v>
                </c:pt>
                <c:pt idx="24">
                  <c:v>2025.0</c:v>
                </c:pt>
                <c:pt idx="25">
                  <c:v>2026.0</c:v>
                </c:pt>
                <c:pt idx="26">
                  <c:v>2027.0</c:v>
                </c:pt>
                <c:pt idx="27">
                  <c:v>2028.0</c:v>
                </c:pt>
                <c:pt idx="28">
                  <c:v>2029.0</c:v>
                </c:pt>
                <c:pt idx="29">
                  <c:v>2030.0</c:v>
                </c:pt>
              </c:numCache>
            </c:numRef>
          </c:xVal>
          <c:yVal>
            <c:numRef>
              <c:f>'Inventory Figures'!$H$78:$H$107</c:f>
              <c:numCache>
                <c:formatCode>General</c:formatCode>
                <c:ptCount val="30"/>
                <c:pt idx="0">
                  <c:v>218.0</c:v>
                </c:pt>
                <c:pt idx="1">
                  <c:v>181.0</c:v>
                </c:pt>
                <c:pt idx="2">
                  <c:v>210.0</c:v>
                </c:pt>
                <c:pt idx="3">
                  <c:v>260.0</c:v>
                </c:pt>
                <c:pt idx="4">
                  <c:v>332.0</c:v>
                </c:pt>
                <c:pt idx="5">
                  <c:v>350.0</c:v>
                </c:pt>
                <c:pt idx="6">
                  <c:v>300.0</c:v>
                </c:pt>
                <c:pt idx="7">
                  <c:v>250.0</c:v>
                </c:pt>
                <c:pt idx="8">
                  <c:v>130.0</c:v>
                </c:pt>
                <c:pt idx="9">
                  <c:v>100.0</c:v>
                </c:pt>
                <c:pt idx="10">
                  <c:v>130.0</c:v>
                </c:pt>
                <c:pt idx="11">
                  <c:v>130.0</c:v>
                </c:pt>
                <c:pt idx="12">
                  <c:v>150.0</c:v>
                </c:pt>
                <c:pt idx="13">
                  <c:v>170.0</c:v>
                </c:pt>
                <c:pt idx="14">
                  <c:v>170.0</c:v>
                </c:pt>
                <c:pt idx="15">
                  <c:v>153.0</c:v>
                </c:pt>
                <c:pt idx="16">
                  <c:v>136.0</c:v>
                </c:pt>
                <c:pt idx="17">
                  <c:v>119.0</c:v>
                </c:pt>
                <c:pt idx="18">
                  <c:v>102.0</c:v>
                </c:pt>
                <c:pt idx="19">
                  <c:v>85.0</c:v>
                </c:pt>
                <c:pt idx="20">
                  <c:v>68.0</c:v>
                </c:pt>
                <c:pt idx="21">
                  <c:v>51.0</c:v>
                </c:pt>
                <c:pt idx="22">
                  <c:v>34.0</c:v>
                </c:pt>
                <c:pt idx="23">
                  <c:v>17.0</c:v>
                </c:pt>
                <c:pt idx="24">
                  <c:v>0.0</c:v>
                </c:pt>
                <c:pt idx="25">
                  <c:v>0.0</c:v>
                </c:pt>
                <c:pt idx="26">
                  <c:v>0.0</c:v>
                </c:pt>
                <c:pt idx="27">
                  <c:v>0.0</c:v>
                </c:pt>
                <c:pt idx="28">
                  <c:v>0.0</c:v>
                </c:pt>
                <c:pt idx="29">
                  <c:v>0.0</c:v>
                </c:pt>
              </c:numCache>
            </c:numRef>
          </c:yVal>
          <c:smooth val="0"/>
        </c:ser>
        <c:ser>
          <c:idx val="2"/>
          <c:order val="2"/>
          <c:tx>
            <c:v>Developed &amp; China (Lower)</c:v>
          </c:tx>
          <c:spPr>
            <a:ln w="19050" cap="rnd">
              <a:solidFill>
                <a:srgbClr val="5D61DA"/>
              </a:solidFill>
              <a:round/>
            </a:ln>
            <a:effectLst/>
          </c:spPr>
          <c:marker>
            <c:symbol val="none"/>
          </c:marker>
          <c:xVal>
            <c:numRef>
              <c:f>'Inventory Figures'!$B$78:$B$107</c:f>
              <c:numCache>
                <c:formatCode>General</c:formatCode>
                <c:ptCount val="30"/>
                <c:pt idx="0">
                  <c:v>2001.0</c:v>
                </c:pt>
                <c:pt idx="1">
                  <c:v>2002.0</c:v>
                </c:pt>
                <c:pt idx="2">
                  <c:v>2003.0</c:v>
                </c:pt>
                <c:pt idx="3">
                  <c:v>2004.0</c:v>
                </c:pt>
                <c:pt idx="4">
                  <c:v>2005.0</c:v>
                </c:pt>
                <c:pt idx="5">
                  <c:v>2006.0</c:v>
                </c:pt>
                <c:pt idx="6">
                  <c:v>2007.0</c:v>
                </c:pt>
                <c:pt idx="7">
                  <c:v>2008.0</c:v>
                </c:pt>
                <c:pt idx="8">
                  <c:v>2009.0</c:v>
                </c:pt>
                <c:pt idx="9">
                  <c:v>2010.0</c:v>
                </c:pt>
                <c:pt idx="10">
                  <c:v>2011.0</c:v>
                </c:pt>
                <c:pt idx="11">
                  <c:v>2012.0</c:v>
                </c:pt>
                <c:pt idx="12">
                  <c:v>2013.0</c:v>
                </c:pt>
                <c:pt idx="13">
                  <c:v>2014.0</c:v>
                </c:pt>
                <c:pt idx="14">
                  <c:v>2015.0</c:v>
                </c:pt>
                <c:pt idx="15">
                  <c:v>2016.0</c:v>
                </c:pt>
                <c:pt idx="16">
                  <c:v>2017.0</c:v>
                </c:pt>
                <c:pt idx="17">
                  <c:v>2018.0</c:v>
                </c:pt>
                <c:pt idx="18">
                  <c:v>2019.0</c:v>
                </c:pt>
                <c:pt idx="19">
                  <c:v>2020.0</c:v>
                </c:pt>
                <c:pt idx="20">
                  <c:v>2021.0</c:v>
                </c:pt>
                <c:pt idx="21">
                  <c:v>2022.0</c:v>
                </c:pt>
                <c:pt idx="22">
                  <c:v>2023.0</c:v>
                </c:pt>
                <c:pt idx="23">
                  <c:v>2024.0</c:v>
                </c:pt>
                <c:pt idx="24">
                  <c:v>2025.0</c:v>
                </c:pt>
                <c:pt idx="25">
                  <c:v>2026.0</c:v>
                </c:pt>
                <c:pt idx="26">
                  <c:v>2027.0</c:v>
                </c:pt>
                <c:pt idx="27">
                  <c:v>2028.0</c:v>
                </c:pt>
                <c:pt idx="28">
                  <c:v>2029.0</c:v>
                </c:pt>
                <c:pt idx="29">
                  <c:v>2030.0</c:v>
                </c:pt>
              </c:numCache>
            </c:numRef>
          </c:xVal>
          <c:yVal>
            <c:numRef>
              <c:f>'Inventory Figures'!$G$78:$G$107</c:f>
              <c:numCache>
                <c:formatCode>General</c:formatCode>
                <c:ptCount val="30"/>
                <c:pt idx="0">
                  <c:v>218.0</c:v>
                </c:pt>
                <c:pt idx="1">
                  <c:v>181.0</c:v>
                </c:pt>
                <c:pt idx="2">
                  <c:v>100.0</c:v>
                </c:pt>
                <c:pt idx="3">
                  <c:v>150.0</c:v>
                </c:pt>
                <c:pt idx="4">
                  <c:v>243.0</c:v>
                </c:pt>
                <c:pt idx="5">
                  <c:v>300.0</c:v>
                </c:pt>
                <c:pt idx="6">
                  <c:v>275.0</c:v>
                </c:pt>
                <c:pt idx="7">
                  <c:v>250.0</c:v>
                </c:pt>
                <c:pt idx="8">
                  <c:v>130.0</c:v>
                </c:pt>
                <c:pt idx="9">
                  <c:v>100.0</c:v>
                </c:pt>
                <c:pt idx="10">
                  <c:v>130.0</c:v>
                </c:pt>
                <c:pt idx="11">
                  <c:v>130.0</c:v>
                </c:pt>
                <c:pt idx="12">
                  <c:v>150.0</c:v>
                </c:pt>
                <c:pt idx="13">
                  <c:v>170.0</c:v>
                </c:pt>
                <c:pt idx="14">
                  <c:v>170.0</c:v>
                </c:pt>
                <c:pt idx="15">
                  <c:v>113.3333333333333</c:v>
                </c:pt>
                <c:pt idx="16">
                  <c:v>56.66666666666668</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numCache>
            </c:numRef>
          </c:yVal>
          <c:smooth val="0"/>
        </c:ser>
        <c:dLbls>
          <c:showLegendKey val="0"/>
          <c:showVal val="0"/>
          <c:showCatName val="0"/>
          <c:showSerName val="0"/>
          <c:showPercent val="0"/>
          <c:showBubbleSize val="0"/>
        </c:dLbls>
        <c:axId val="-1965048512"/>
        <c:axId val="-1962926272"/>
      </c:scatterChart>
      <c:valAx>
        <c:axId val="-1965048512"/>
        <c:scaling>
          <c:orientation val="minMax"/>
          <c:max val="2030.0"/>
          <c:min val="1955.0"/>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600" b="0" i="0" u="none" strike="noStrike" kern="1200" baseline="0">
                    <a:solidFill>
                      <a:schemeClr val="tx1"/>
                    </a:solidFill>
                    <a:latin typeface="+mj-lt"/>
                    <a:ea typeface="+mn-ea"/>
                    <a:cs typeface="+mn-cs"/>
                  </a:defRPr>
                </a:pPr>
                <a:r>
                  <a:rPr lang="en-US" sz="1600" b="0">
                    <a:solidFill>
                      <a:schemeClr val="tx1"/>
                    </a:solidFill>
                    <a:latin typeface="+mj-lt"/>
                  </a:rPr>
                  <a:t>Year</a:t>
                </a:r>
              </a:p>
            </c:rich>
          </c:tx>
          <c:layout>
            <c:manualLayout>
              <c:xMode val="edge"/>
              <c:yMode val="edge"/>
              <c:x val="0.436710044799048"/>
              <c:y val="0.9450546101092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j-lt"/>
                  <a:ea typeface="+mn-ea"/>
                  <a:cs typeface="+mn-cs"/>
                </a:defRPr>
              </a:pPr>
              <a:endParaRPr lang="en-US"/>
            </a:p>
          </c:txPr>
        </c:title>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mj-lt"/>
                <a:ea typeface="+mn-ea"/>
                <a:cs typeface="+mn-cs"/>
              </a:defRPr>
            </a:pPr>
            <a:endParaRPr lang="en-US"/>
          </a:p>
        </c:txPr>
        <c:crossAx val="-1962926272"/>
        <c:crosses val="autoZero"/>
        <c:crossBetween val="midCat"/>
        <c:majorUnit val="15.0"/>
      </c:valAx>
      <c:valAx>
        <c:axId val="-1962926272"/>
        <c:scaling>
          <c:orientation val="minMax"/>
          <c:max val="5000.0"/>
          <c:min val="0.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2000" b="0" i="0" u="none" strike="noStrike" kern="1200" baseline="0">
                    <a:solidFill>
                      <a:schemeClr val="tx1"/>
                    </a:solidFill>
                    <a:latin typeface="+mj-lt"/>
                    <a:ea typeface="+mn-ea"/>
                    <a:cs typeface="+mn-cs"/>
                  </a:defRPr>
                </a:pPr>
                <a:r>
                  <a:rPr lang="en-US" sz="2000" b="0">
                    <a:solidFill>
                      <a:schemeClr val="tx1"/>
                    </a:solidFill>
                    <a:latin typeface="+mj-lt"/>
                  </a:rPr>
                  <a:t>POSF</a:t>
                </a:r>
                <a:r>
                  <a:rPr lang="en-US" sz="2000" b="0" baseline="0">
                    <a:solidFill>
                      <a:schemeClr val="tx1"/>
                    </a:solidFill>
                    <a:latin typeface="+mj-lt"/>
                  </a:rPr>
                  <a:t> Production</a:t>
                </a:r>
                <a:r>
                  <a:rPr lang="en-US" sz="2000" b="0">
                    <a:solidFill>
                      <a:schemeClr val="tx1"/>
                    </a:solidFill>
                    <a:latin typeface="+mj-lt"/>
                  </a:rPr>
                  <a:t> (tonnes/yr)</a:t>
                </a:r>
              </a:p>
            </c:rich>
          </c:tx>
          <c:layout>
            <c:manualLayout>
              <c:xMode val="edge"/>
              <c:yMode val="edge"/>
              <c:x val="0.00308978576082775"/>
              <c:y val="0.145985283498951"/>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solidFill>
                  <a:latin typeface="+mj-lt"/>
                  <a:ea typeface="+mn-ea"/>
                  <a:cs typeface="+mn-cs"/>
                </a:defRPr>
              </a:pPr>
              <a:endParaRPr lang="en-US"/>
            </a:p>
          </c:txPr>
        </c:title>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mj-lt"/>
                <a:ea typeface="+mn-ea"/>
                <a:cs typeface="+mn-cs"/>
              </a:defRPr>
            </a:pPr>
            <a:endParaRPr lang="en-US"/>
          </a:p>
        </c:txPr>
        <c:crossAx val="-1965048512"/>
        <c:crosses val="autoZero"/>
        <c:crossBetween val="midCat"/>
        <c:majorUnit val="1000.0"/>
      </c:valAx>
      <c:spPr>
        <a:noFill/>
        <a:ln>
          <a:noFill/>
        </a:ln>
        <a:effectLst/>
      </c:spPr>
    </c:plotArea>
    <c:legend>
      <c:legendPos val="r"/>
      <c:layout>
        <c:manualLayout>
          <c:xMode val="edge"/>
          <c:yMode val="edge"/>
          <c:x val="0.762123629112662"/>
          <c:y val="0.000723446687068039"/>
          <c:w val="0.23568193450534"/>
          <c:h val="0.188965377314865"/>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solidFill>
              <a:latin typeface="+mj-lt"/>
              <a:ea typeface="+mn-ea"/>
              <a:cs typeface="+mn-cs"/>
            </a:defRPr>
          </a:pPr>
          <a:endParaRPr lang="en-US"/>
        </a:p>
      </c:txPr>
    </c:legend>
    <c:plotVisOnly val="1"/>
    <c:dispBlanksAs val="span"/>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solidFill>
                <a:latin typeface="+mj-lt"/>
                <a:ea typeface="+mn-ea"/>
                <a:cs typeface="+mn-cs"/>
              </a:defRPr>
            </a:pPr>
            <a:r>
              <a:rPr lang="en-US"/>
              <a:t>Higher Inventory Scenario</a:t>
            </a:r>
          </a:p>
        </c:rich>
      </c:tx>
      <c:layout>
        <c:manualLayout>
          <c:xMode val="edge"/>
          <c:yMode val="edge"/>
          <c:x val="0.328146422233322"/>
          <c:y val="0.0478833852423939"/>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solidFill>
              <a:latin typeface="+mj-lt"/>
              <a:ea typeface="+mn-ea"/>
              <a:cs typeface="+mn-cs"/>
            </a:defRPr>
          </a:pPr>
          <a:endParaRPr lang="en-US"/>
        </a:p>
      </c:txPr>
    </c:title>
    <c:autoTitleDeleted val="0"/>
    <c:plotArea>
      <c:layout>
        <c:manualLayout>
          <c:layoutTarget val="inner"/>
          <c:xMode val="edge"/>
          <c:yMode val="edge"/>
          <c:x val="0.0759535996099463"/>
          <c:y val="0.100925345860968"/>
          <c:w val="0.67768995649049"/>
          <c:h val="0.649657545140936"/>
        </c:manualLayout>
      </c:layout>
      <c:scatterChart>
        <c:scatterStyle val="lineMarker"/>
        <c:varyColors val="0"/>
        <c:ser>
          <c:idx val="2"/>
          <c:order val="0"/>
          <c:tx>
            <c:v>POSF</c:v>
          </c:tx>
          <c:spPr>
            <a:ln w="25400" cap="flat" cmpd="sng" algn="ctr">
              <a:solidFill>
                <a:schemeClr val="accent2"/>
              </a:solidFill>
              <a:prstDash val="solid"/>
              <a:round/>
            </a:ln>
            <a:effectLst/>
          </c:spPr>
          <c:marker>
            <c:symbol val="none"/>
          </c:marker>
          <c:xVal>
            <c:numRef>
              <c:f>'Inventory Figures'!$B$121:$B$193</c:f>
              <c:numCache>
                <c:formatCode>General</c:formatCode>
                <c:ptCount val="73"/>
                <c:pt idx="0">
                  <c:v>1958.0</c:v>
                </c:pt>
                <c:pt idx="1">
                  <c:v>1959.0</c:v>
                </c:pt>
                <c:pt idx="2">
                  <c:v>1960.0</c:v>
                </c:pt>
                <c:pt idx="3">
                  <c:v>1961.0</c:v>
                </c:pt>
                <c:pt idx="4">
                  <c:v>1962.0</c:v>
                </c:pt>
                <c:pt idx="5">
                  <c:v>1963.0</c:v>
                </c:pt>
                <c:pt idx="6">
                  <c:v>1964.0</c:v>
                </c:pt>
                <c:pt idx="7">
                  <c:v>1965.0</c:v>
                </c:pt>
                <c:pt idx="8">
                  <c:v>1966.0</c:v>
                </c:pt>
                <c:pt idx="9">
                  <c:v>1967.0</c:v>
                </c:pt>
                <c:pt idx="10">
                  <c:v>1968.0</c:v>
                </c:pt>
                <c:pt idx="11">
                  <c:v>1969.0</c:v>
                </c:pt>
                <c:pt idx="12">
                  <c:v>1970.0</c:v>
                </c:pt>
                <c:pt idx="13">
                  <c:v>1971.0</c:v>
                </c:pt>
                <c:pt idx="14">
                  <c:v>1972.0</c:v>
                </c:pt>
                <c:pt idx="15">
                  <c:v>1973.0</c:v>
                </c:pt>
                <c:pt idx="16">
                  <c:v>1974.0</c:v>
                </c:pt>
                <c:pt idx="17">
                  <c:v>1975.0</c:v>
                </c:pt>
                <c:pt idx="18">
                  <c:v>1976.0</c:v>
                </c:pt>
                <c:pt idx="19">
                  <c:v>1977.0</c:v>
                </c:pt>
                <c:pt idx="20">
                  <c:v>1978.0</c:v>
                </c:pt>
                <c:pt idx="21">
                  <c:v>1979.0</c:v>
                </c:pt>
                <c:pt idx="22">
                  <c:v>1980.0</c:v>
                </c:pt>
                <c:pt idx="23">
                  <c:v>1981.0</c:v>
                </c:pt>
                <c:pt idx="24">
                  <c:v>1982.0</c:v>
                </c:pt>
                <c:pt idx="25">
                  <c:v>1983.0</c:v>
                </c:pt>
                <c:pt idx="26">
                  <c:v>1984.0</c:v>
                </c:pt>
                <c:pt idx="27">
                  <c:v>1985.0</c:v>
                </c:pt>
                <c:pt idx="28">
                  <c:v>1986.0</c:v>
                </c:pt>
                <c:pt idx="29">
                  <c:v>1987.0</c:v>
                </c:pt>
                <c:pt idx="30">
                  <c:v>1988.0</c:v>
                </c:pt>
                <c:pt idx="31">
                  <c:v>1989.0</c:v>
                </c:pt>
                <c:pt idx="32">
                  <c:v>1990.0</c:v>
                </c:pt>
                <c:pt idx="33">
                  <c:v>1991.0</c:v>
                </c:pt>
                <c:pt idx="34">
                  <c:v>1992.0</c:v>
                </c:pt>
                <c:pt idx="35">
                  <c:v>1993.0</c:v>
                </c:pt>
                <c:pt idx="36">
                  <c:v>1994.0</c:v>
                </c:pt>
                <c:pt idx="37">
                  <c:v>1995.0</c:v>
                </c:pt>
                <c:pt idx="38">
                  <c:v>1996.0</c:v>
                </c:pt>
                <c:pt idx="39">
                  <c:v>1997.0</c:v>
                </c:pt>
                <c:pt idx="40">
                  <c:v>1998.0</c:v>
                </c:pt>
                <c:pt idx="41">
                  <c:v>1999.0</c:v>
                </c:pt>
                <c:pt idx="42">
                  <c:v>2000.0</c:v>
                </c:pt>
                <c:pt idx="43">
                  <c:v>2001.0</c:v>
                </c:pt>
                <c:pt idx="44">
                  <c:v>2002.0</c:v>
                </c:pt>
                <c:pt idx="45">
                  <c:v>2003.0</c:v>
                </c:pt>
                <c:pt idx="46">
                  <c:v>2004.0</c:v>
                </c:pt>
                <c:pt idx="47">
                  <c:v>2005.0</c:v>
                </c:pt>
                <c:pt idx="48">
                  <c:v>2006.0</c:v>
                </c:pt>
                <c:pt idx="49">
                  <c:v>2007.0</c:v>
                </c:pt>
                <c:pt idx="50">
                  <c:v>2008.0</c:v>
                </c:pt>
                <c:pt idx="51">
                  <c:v>2009.0</c:v>
                </c:pt>
                <c:pt idx="52">
                  <c:v>2010.0</c:v>
                </c:pt>
                <c:pt idx="53">
                  <c:v>2011.0</c:v>
                </c:pt>
                <c:pt idx="54">
                  <c:v>2012.0</c:v>
                </c:pt>
                <c:pt idx="55">
                  <c:v>2013.0</c:v>
                </c:pt>
                <c:pt idx="56">
                  <c:v>2014.0</c:v>
                </c:pt>
                <c:pt idx="57">
                  <c:v>2015.0</c:v>
                </c:pt>
                <c:pt idx="58">
                  <c:v>2016.0</c:v>
                </c:pt>
                <c:pt idx="59">
                  <c:v>2017.0</c:v>
                </c:pt>
                <c:pt idx="60">
                  <c:v>2018.0</c:v>
                </c:pt>
                <c:pt idx="61">
                  <c:v>2019.0</c:v>
                </c:pt>
                <c:pt idx="62">
                  <c:v>2020.0</c:v>
                </c:pt>
                <c:pt idx="63">
                  <c:v>2021.0</c:v>
                </c:pt>
                <c:pt idx="64">
                  <c:v>2022.0</c:v>
                </c:pt>
                <c:pt idx="65">
                  <c:v>2023.0</c:v>
                </c:pt>
                <c:pt idx="66">
                  <c:v>2024.0</c:v>
                </c:pt>
                <c:pt idx="67">
                  <c:v>2025.0</c:v>
                </c:pt>
                <c:pt idx="68">
                  <c:v>2026.0</c:v>
                </c:pt>
                <c:pt idx="69">
                  <c:v>2027.0</c:v>
                </c:pt>
                <c:pt idx="70">
                  <c:v>2028.0</c:v>
                </c:pt>
                <c:pt idx="71">
                  <c:v>2029.0</c:v>
                </c:pt>
                <c:pt idx="72">
                  <c:v>2030.0</c:v>
                </c:pt>
              </c:numCache>
            </c:numRef>
          </c:xVal>
          <c:yVal>
            <c:numRef>
              <c:f>'Inventory Figures'!$D$121:$D$193</c:f>
              <c:numCache>
                <c:formatCode>General</c:formatCode>
                <c:ptCount val="73"/>
                <c:pt idx="0">
                  <c:v>0.305852547</c:v>
                </c:pt>
                <c:pt idx="1">
                  <c:v>0.6234686535</c:v>
                </c:pt>
                <c:pt idx="2">
                  <c:v>0.9293212005</c:v>
                </c:pt>
                <c:pt idx="3">
                  <c:v>1.246937307</c:v>
                </c:pt>
                <c:pt idx="4">
                  <c:v>1.552789854</c:v>
                </c:pt>
                <c:pt idx="5">
                  <c:v>1.8704059605</c:v>
                </c:pt>
                <c:pt idx="6">
                  <c:v>2.1762585075</c:v>
                </c:pt>
                <c:pt idx="7">
                  <c:v>2.493874614</c:v>
                </c:pt>
                <c:pt idx="8">
                  <c:v>2.799727161</c:v>
                </c:pt>
                <c:pt idx="9">
                  <c:v>3.1173432675</c:v>
                </c:pt>
                <c:pt idx="10">
                  <c:v>3.4231958145</c:v>
                </c:pt>
                <c:pt idx="11">
                  <c:v>3.740811921000001</c:v>
                </c:pt>
                <c:pt idx="12">
                  <c:v>4.046664467999999</c:v>
                </c:pt>
                <c:pt idx="13">
                  <c:v>4.352517014999999</c:v>
                </c:pt>
                <c:pt idx="14">
                  <c:v>4.670133121499999</c:v>
                </c:pt>
                <c:pt idx="15">
                  <c:v>4.9759856685</c:v>
                </c:pt>
                <c:pt idx="16">
                  <c:v>5.293601775</c:v>
                </c:pt>
                <c:pt idx="17">
                  <c:v>5.599454322</c:v>
                </c:pt>
                <c:pt idx="18">
                  <c:v>7.8462941865</c:v>
                </c:pt>
                <c:pt idx="19">
                  <c:v>10.0813704915</c:v>
                </c:pt>
                <c:pt idx="20">
                  <c:v>12.328210356</c:v>
                </c:pt>
                <c:pt idx="21">
                  <c:v>14.563286661</c:v>
                </c:pt>
                <c:pt idx="22">
                  <c:v>16.8101265255</c:v>
                </c:pt>
                <c:pt idx="23">
                  <c:v>19.0452028305</c:v>
                </c:pt>
                <c:pt idx="24">
                  <c:v>21.292042695</c:v>
                </c:pt>
                <c:pt idx="25">
                  <c:v>23.527119</c:v>
                </c:pt>
                <c:pt idx="26">
                  <c:v>25.7739588645</c:v>
                </c:pt>
                <c:pt idx="27">
                  <c:v>28.0090351695</c:v>
                </c:pt>
                <c:pt idx="28">
                  <c:v>28.0090351695</c:v>
                </c:pt>
                <c:pt idx="29">
                  <c:v>28.0090351695</c:v>
                </c:pt>
                <c:pt idx="30">
                  <c:v>28.0090351695</c:v>
                </c:pt>
                <c:pt idx="31">
                  <c:v>28.0090351695</c:v>
                </c:pt>
                <c:pt idx="32">
                  <c:v>32.020408959</c:v>
                </c:pt>
                <c:pt idx="33">
                  <c:v>32.020408959</c:v>
                </c:pt>
                <c:pt idx="34">
                  <c:v>32.020408959</c:v>
                </c:pt>
                <c:pt idx="35">
                  <c:v>32.020408959</c:v>
                </c:pt>
                <c:pt idx="36">
                  <c:v>32.020408959</c:v>
                </c:pt>
                <c:pt idx="37">
                  <c:v>42.6899574255</c:v>
                </c:pt>
                <c:pt idx="38">
                  <c:v>42.6899574255</c:v>
                </c:pt>
                <c:pt idx="39">
                  <c:v>42.6899574255</c:v>
                </c:pt>
                <c:pt idx="40">
                  <c:v>6.05531311</c:v>
                </c:pt>
                <c:pt idx="41">
                  <c:v>6.05531311</c:v>
                </c:pt>
                <c:pt idx="42">
                  <c:v>7.28840112</c:v>
                </c:pt>
                <c:pt idx="43">
                  <c:v>0.36375262</c:v>
                </c:pt>
                <c:pt idx="44">
                  <c:v>0.604863875</c:v>
                </c:pt>
                <c:pt idx="45">
                  <c:v>0.855152375</c:v>
                </c:pt>
                <c:pt idx="46">
                  <c:v>1.44333035</c:v>
                </c:pt>
                <c:pt idx="47">
                  <c:v>2.270116695</c:v>
                </c:pt>
                <c:pt idx="48">
                  <c:v>3.107748875</c:v>
                </c:pt>
                <c:pt idx="49">
                  <c:v>3.024319375</c:v>
                </c:pt>
                <c:pt idx="50">
                  <c:v>2.940889875</c:v>
                </c:pt>
                <c:pt idx="51">
                  <c:v>1.529262735</c:v>
                </c:pt>
                <c:pt idx="52">
                  <c:v>1.17635595</c:v>
                </c:pt>
                <c:pt idx="53">
                  <c:v>1.529262735</c:v>
                </c:pt>
                <c:pt idx="54">
                  <c:v>1.529262735</c:v>
                </c:pt>
                <c:pt idx="55">
                  <c:v>1.764533925</c:v>
                </c:pt>
                <c:pt idx="56">
                  <c:v>1.999805115</c:v>
                </c:pt>
                <c:pt idx="57">
                  <c:v>1.999805115</c:v>
                </c:pt>
                <c:pt idx="58">
                  <c:v>1.799824603499999</c:v>
                </c:pt>
                <c:pt idx="59">
                  <c:v>1.599844092</c:v>
                </c:pt>
                <c:pt idx="60">
                  <c:v>1.3998635805</c:v>
                </c:pt>
                <c:pt idx="61">
                  <c:v>1.199883069</c:v>
                </c:pt>
                <c:pt idx="62">
                  <c:v>0.9999025575</c:v>
                </c:pt>
                <c:pt idx="63">
                  <c:v>0.799922046</c:v>
                </c:pt>
                <c:pt idx="64">
                  <c:v>0.5999415345</c:v>
                </c:pt>
                <c:pt idx="65">
                  <c:v>0.399961023</c:v>
                </c:pt>
                <c:pt idx="66">
                  <c:v>0.1999805115</c:v>
                </c:pt>
                <c:pt idx="67">
                  <c:v>0.0</c:v>
                </c:pt>
                <c:pt idx="68">
                  <c:v>0.0</c:v>
                </c:pt>
                <c:pt idx="69">
                  <c:v>0.0</c:v>
                </c:pt>
                <c:pt idx="70">
                  <c:v>0.0</c:v>
                </c:pt>
                <c:pt idx="71">
                  <c:v>0.0</c:v>
                </c:pt>
                <c:pt idx="72">
                  <c:v>0.0</c:v>
                </c:pt>
              </c:numCache>
            </c:numRef>
          </c:yVal>
          <c:smooth val="0"/>
        </c:ser>
        <c:ser>
          <c:idx val="3"/>
          <c:order val="1"/>
          <c:tx>
            <c:v>PFOS</c:v>
          </c:tx>
          <c:spPr>
            <a:ln w="25400" cap="flat" cmpd="sng" algn="ctr">
              <a:solidFill>
                <a:schemeClr val="accent1"/>
              </a:solidFill>
              <a:prstDash val="solid"/>
              <a:round/>
            </a:ln>
            <a:effectLst/>
          </c:spPr>
          <c:marker>
            <c:symbol val="none"/>
          </c:marker>
          <c:xVal>
            <c:numRef>
              <c:f>'Inventory Figures'!$B$121:$B$193</c:f>
              <c:numCache>
                <c:formatCode>General</c:formatCode>
                <c:ptCount val="73"/>
                <c:pt idx="0">
                  <c:v>1958.0</c:v>
                </c:pt>
                <c:pt idx="1">
                  <c:v>1959.0</c:v>
                </c:pt>
                <c:pt idx="2">
                  <c:v>1960.0</c:v>
                </c:pt>
                <c:pt idx="3">
                  <c:v>1961.0</c:v>
                </c:pt>
                <c:pt idx="4">
                  <c:v>1962.0</c:v>
                </c:pt>
                <c:pt idx="5">
                  <c:v>1963.0</c:v>
                </c:pt>
                <c:pt idx="6">
                  <c:v>1964.0</c:v>
                </c:pt>
                <c:pt idx="7">
                  <c:v>1965.0</c:v>
                </c:pt>
                <c:pt idx="8">
                  <c:v>1966.0</c:v>
                </c:pt>
                <c:pt idx="9">
                  <c:v>1967.0</c:v>
                </c:pt>
                <c:pt idx="10">
                  <c:v>1968.0</c:v>
                </c:pt>
                <c:pt idx="11">
                  <c:v>1969.0</c:v>
                </c:pt>
                <c:pt idx="12">
                  <c:v>1970.0</c:v>
                </c:pt>
                <c:pt idx="13">
                  <c:v>1971.0</c:v>
                </c:pt>
                <c:pt idx="14">
                  <c:v>1972.0</c:v>
                </c:pt>
                <c:pt idx="15">
                  <c:v>1973.0</c:v>
                </c:pt>
                <c:pt idx="16">
                  <c:v>1974.0</c:v>
                </c:pt>
                <c:pt idx="17">
                  <c:v>1975.0</c:v>
                </c:pt>
                <c:pt idx="18">
                  <c:v>1976.0</c:v>
                </c:pt>
                <c:pt idx="19">
                  <c:v>1977.0</c:v>
                </c:pt>
                <c:pt idx="20">
                  <c:v>1978.0</c:v>
                </c:pt>
                <c:pt idx="21">
                  <c:v>1979.0</c:v>
                </c:pt>
                <c:pt idx="22">
                  <c:v>1980.0</c:v>
                </c:pt>
                <c:pt idx="23">
                  <c:v>1981.0</c:v>
                </c:pt>
                <c:pt idx="24">
                  <c:v>1982.0</c:v>
                </c:pt>
                <c:pt idx="25">
                  <c:v>1983.0</c:v>
                </c:pt>
                <c:pt idx="26">
                  <c:v>1984.0</c:v>
                </c:pt>
                <c:pt idx="27">
                  <c:v>1985.0</c:v>
                </c:pt>
                <c:pt idx="28">
                  <c:v>1986.0</c:v>
                </c:pt>
                <c:pt idx="29">
                  <c:v>1987.0</c:v>
                </c:pt>
                <c:pt idx="30">
                  <c:v>1988.0</c:v>
                </c:pt>
                <c:pt idx="31">
                  <c:v>1989.0</c:v>
                </c:pt>
                <c:pt idx="32">
                  <c:v>1990.0</c:v>
                </c:pt>
                <c:pt idx="33">
                  <c:v>1991.0</c:v>
                </c:pt>
                <c:pt idx="34">
                  <c:v>1992.0</c:v>
                </c:pt>
                <c:pt idx="35">
                  <c:v>1993.0</c:v>
                </c:pt>
                <c:pt idx="36">
                  <c:v>1994.0</c:v>
                </c:pt>
                <c:pt idx="37">
                  <c:v>1995.0</c:v>
                </c:pt>
                <c:pt idx="38">
                  <c:v>1996.0</c:v>
                </c:pt>
                <c:pt idx="39">
                  <c:v>1997.0</c:v>
                </c:pt>
                <c:pt idx="40">
                  <c:v>1998.0</c:v>
                </c:pt>
                <c:pt idx="41">
                  <c:v>1999.0</c:v>
                </c:pt>
                <c:pt idx="42">
                  <c:v>2000.0</c:v>
                </c:pt>
                <c:pt idx="43">
                  <c:v>2001.0</c:v>
                </c:pt>
                <c:pt idx="44">
                  <c:v>2002.0</c:v>
                </c:pt>
                <c:pt idx="45">
                  <c:v>2003.0</c:v>
                </c:pt>
                <c:pt idx="46">
                  <c:v>2004.0</c:v>
                </c:pt>
                <c:pt idx="47">
                  <c:v>2005.0</c:v>
                </c:pt>
                <c:pt idx="48">
                  <c:v>2006.0</c:v>
                </c:pt>
                <c:pt idx="49">
                  <c:v>2007.0</c:v>
                </c:pt>
                <c:pt idx="50">
                  <c:v>2008.0</c:v>
                </c:pt>
                <c:pt idx="51">
                  <c:v>2009.0</c:v>
                </c:pt>
                <c:pt idx="52">
                  <c:v>2010.0</c:v>
                </c:pt>
                <c:pt idx="53">
                  <c:v>2011.0</c:v>
                </c:pt>
                <c:pt idx="54">
                  <c:v>2012.0</c:v>
                </c:pt>
                <c:pt idx="55">
                  <c:v>2013.0</c:v>
                </c:pt>
                <c:pt idx="56">
                  <c:v>2014.0</c:v>
                </c:pt>
                <c:pt idx="57">
                  <c:v>2015.0</c:v>
                </c:pt>
                <c:pt idx="58">
                  <c:v>2016.0</c:v>
                </c:pt>
                <c:pt idx="59">
                  <c:v>2017.0</c:v>
                </c:pt>
                <c:pt idx="60">
                  <c:v>2018.0</c:v>
                </c:pt>
                <c:pt idx="61">
                  <c:v>2019.0</c:v>
                </c:pt>
                <c:pt idx="62">
                  <c:v>2020.0</c:v>
                </c:pt>
                <c:pt idx="63">
                  <c:v>2021.0</c:v>
                </c:pt>
                <c:pt idx="64">
                  <c:v>2022.0</c:v>
                </c:pt>
                <c:pt idx="65">
                  <c:v>2023.0</c:v>
                </c:pt>
                <c:pt idx="66">
                  <c:v>2024.0</c:v>
                </c:pt>
                <c:pt idx="67">
                  <c:v>2025.0</c:v>
                </c:pt>
                <c:pt idx="68">
                  <c:v>2026.0</c:v>
                </c:pt>
                <c:pt idx="69">
                  <c:v>2027.0</c:v>
                </c:pt>
                <c:pt idx="70">
                  <c:v>2028.0</c:v>
                </c:pt>
                <c:pt idx="71">
                  <c:v>2029.0</c:v>
                </c:pt>
                <c:pt idx="72">
                  <c:v>2030.0</c:v>
                </c:pt>
              </c:numCache>
            </c:numRef>
          </c:xVal>
          <c:yVal>
            <c:numRef>
              <c:f>'Inventory Figures'!$F$121:$F$193</c:f>
              <c:numCache>
                <c:formatCode>General</c:formatCode>
                <c:ptCount val="73"/>
                <c:pt idx="0">
                  <c:v>0.838823792579681</c:v>
                </c:pt>
                <c:pt idx="1">
                  <c:v>2.216012996638446</c:v>
                </c:pt>
                <c:pt idx="2">
                  <c:v>3.580405245517928</c:v>
                </c:pt>
                <c:pt idx="3">
                  <c:v>4.957594449576693</c:v>
                </c:pt>
                <c:pt idx="4">
                  <c:v>6.321986698456177</c:v>
                </c:pt>
                <c:pt idx="5">
                  <c:v>7.699175902514939</c:v>
                </c:pt>
                <c:pt idx="6">
                  <c:v>9.063568151394422</c:v>
                </c:pt>
                <c:pt idx="7">
                  <c:v>10.44075735545319</c:v>
                </c:pt>
                <c:pt idx="8">
                  <c:v>11.80514960433267</c:v>
                </c:pt>
                <c:pt idx="9">
                  <c:v>13.18233880839144</c:v>
                </c:pt>
                <c:pt idx="10">
                  <c:v>14.54673105727091</c:v>
                </c:pt>
                <c:pt idx="11">
                  <c:v>15.92392026132968</c:v>
                </c:pt>
                <c:pt idx="12">
                  <c:v>17.28831251020916</c:v>
                </c:pt>
                <c:pt idx="13">
                  <c:v>18.63323926070717</c:v>
                </c:pt>
                <c:pt idx="14">
                  <c:v>20.01042846476594</c:v>
                </c:pt>
                <c:pt idx="15">
                  <c:v>21.37482071364542</c:v>
                </c:pt>
                <c:pt idx="16">
                  <c:v>22.75200991770419</c:v>
                </c:pt>
                <c:pt idx="17">
                  <c:v>24.11640216658366</c:v>
                </c:pt>
                <c:pt idx="18">
                  <c:v>30.78463375460657</c:v>
                </c:pt>
                <c:pt idx="19">
                  <c:v>40.63241012201194</c:v>
                </c:pt>
                <c:pt idx="20">
                  <c:v>50.49298344459662</c:v>
                </c:pt>
                <c:pt idx="21">
                  <c:v>60.340759812002</c:v>
                </c:pt>
                <c:pt idx="22">
                  <c:v>70.20133313458666</c:v>
                </c:pt>
                <c:pt idx="23">
                  <c:v>80.049109501992</c:v>
                </c:pt>
                <c:pt idx="24">
                  <c:v>89.90968282457669</c:v>
                </c:pt>
                <c:pt idx="25">
                  <c:v>99.75745919198212</c:v>
                </c:pt>
                <c:pt idx="26">
                  <c:v>109.6180325145667</c:v>
                </c:pt>
                <c:pt idx="27">
                  <c:v>119.4658088819721</c:v>
                </c:pt>
                <c:pt idx="28">
                  <c:v>123.1642535744522</c:v>
                </c:pt>
                <c:pt idx="29">
                  <c:v>123.1642535744522</c:v>
                </c:pt>
                <c:pt idx="30">
                  <c:v>123.1642535744522</c:v>
                </c:pt>
                <c:pt idx="31">
                  <c:v>123.1642535744522</c:v>
                </c:pt>
                <c:pt idx="32">
                  <c:v>134.1657502386703</c:v>
                </c:pt>
                <c:pt idx="33">
                  <c:v>140.803485186753</c:v>
                </c:pt>
                <c:pt idx="34">
                  <c:v>140.803485186753</c:v>
                </c:pt>
                <c:pt idx="35">
                  <c:v>140.7507585931275</c:v>
                </c:pt>
                <c:pt idx="36">
                  <c:v>140.6453054058765</c:v>
                </c:pt>
                <c:pt idx="37">
                  <c:v>169.8018975982321</c:v>
                </c:pt>
                <c:pt idx="38">
                  <c:v>187.3516514429781</c:v>
                </c:pt>
                <c:pt idx="39">
                  <c:v>187.2461982557271</c:v>
                </c:pt>
                <c:pt idx="40">
                  <c:v>149.5965975488048</c:v>
                </c:pt>
                <c:pt idx="41">
                  <c:v>150.2450429061255</c:v>
                </c:pt>
                <c:pt idx="42">
                  <c:v>166.3361516032122</c:v>
                </c:pt>
                <c:pt idx="43">
                  <c:v>128.1812891384462</c:v>
                </c:pt>
                <c:pt idx="44">
                  <c:v>85.24257362636951</c:v>
                </c:pt>
                <c:pt idx="45">
                  <c:v>99.43167949701195</c:v>
                </c:pt>
                <c:pt idx="46">
                  <c:v>108.2852153753735</c:v>
                </c:pt>
                <c:pt idx="47">
                  <c:v>99.70712237848603</c:v>
                </c:pt>
                <c:pt idx="48">
                  <c:v>80.37634814180775</c:v>
                </c:pt>
                <c:pt idx="49">
                  <c:v>54.14691624128485</c:v>
                </c:pt>
                <c:pt idx="50">
                  <c:v>34.41184787724103</c:v>
                </c:pt>
                <c:pt idx="51">
                  <c:v>24.77480852651892</c:v>
                </c:pt>
                <c:pt idx="52">
                  <c:v>21.56653713894422</c:v>
                </c:pt>
                <c:pt idx="53">
                  <c:v>20.34717349850597</c:v>
                </c:pt>
                <c:pt idx="54">
                  <c:v>23.78254096115538</c:v>
                </c:pt>
                <c:pt idx="55">
                  <c:v>25.81747111553785</c:v>
                </c:pt>
                <c:pt idx="56">
                  <c:v>29.73655023904382</c:v>
                </c:pt>
                <c:pt idx="57">
                  <c:v>32.20610359561751</c:v>
                </c:pt>
                <c:pt idx="58">
                  <c:v>30.03626064068724</c:v>
                </c:pt>
                <c:pt idx="59">
                  <c:v>25.80537120592628</c:v>
                </c:pt>
                <c:pt idx="60">
                  <c:v>21.57448177116534</c:v>
                </c:pt>
                <c:pt idx="61">
                  <c:v>17.34359233640438</c:v>
                </c:pt>
                <c:pt idx="62">
                  <c:v>13.11270290164342</c:v>
                </c:pt>
                <c:pt idx="63">
                  <c:v>8.881813466882468</c:v>
                </c:pt>
                <c:pt idx="64">
                  <c:v>4.650924032121512</c:v>
                </c:pt>
                <c:pt idx="65">
                  <c:v>1.430900835906373</c:v>
                </c:pt>
                <c:pt idx="66">
                  <c:v>0.217548238047809</c:v>
                </c:pt>
                <c:pt idx="67">
                  <c:v>0.0</c:v>
                </c:pt>
                <c:pt idx="68">
                  <c:v>0.0</c:v>
                </c:pt>
                <c:pt idx="69">
                  <c:v>0.0</c:v>
                </c:pt>
                <c:pt idx="70">
                  <c:v>0.0</c:v>
                </c:pt>
                <c:pt idx="71">
                  <c:v>0.0</c:v>
                </c:pt>
                <c:pt idx="72">
                  <c:v>0.0</c:v>
                </c:pt>
              </c:numCache>
            </c:numRef>
          </c:yVal>
          <c:smooth val="0"/>
        </c:ser>
        <c:ser>
          <c:idx val="0"/>
          <c:order val="2"/>
          <c:tx>
            <c:v>xFOSAs</c:v>
          </c:tx>
          <c:spPr>
            <a:ln w="25400" cap="flat" cmpd="sng" algn="ctr">
              <a:solidFill>
                <a:schemeClr val="accent3"/>
              </a:solidFill>
              <a:prstDash val="solid"/>
              <a:round/>
            </a:ln>
            <a:effectLst/>
          </c:spPr>
          <c:marker>
            <c:symbol val="none"/>
          </c:marker>
          <c:xVal>
            <c:numRef>
              <c:f>'Inventory Figures'!$B$121:$B$193</c:f>
              <c:numCache>
                <c:formatCode>General</c:formatCode>
                <c:ptCount val="73"/>
                <c:pt idx="0">
                  <c:v>1958.0</c:v>
                </c:pt>
                <c:pt idx="1">
                  <c:v>1959.0</c:v>
                </c:pt>
                <c:pt idx="2">
                  <c:v>1960.0</c:v>
                </c:pt>
                <c:pt idx="3">
                  <c:v>1961.0</c:v>
                </c:pt>
                <c:pt idx="4">
                  <c:v>1962.0</c:v>
                </c:pt>
                <c:pt idx="5">
                  <c:v>1963.0</c:v>
                </c:pt>
                <c:pt idx="6">
                  <c:v>1964.0</c:v>
                </c:pt>
                <c:pt idx="7">
                  <c:v>1965.0</c:v>
                </c:pt>
                <c:pt idx="8">
                  <c:v>1966.0</c:v>
                </c:pt>
                <c:pt idx="9">
                  <c:v>1967.0</c:v>
                </c:pt>
                <c:pt idx="10">
                  <c:v>1968.0</c:v>
                </c:pt>
                <c:pt idx="11">
                  <c:v>1969.0</c:v>
                </c:pt>
                <c:pt idx="12">
                  <c:v>1970.0</c:v>
                </c:pt>
                <c:pt idx="13">
                  <c:v>1971.0</c:v>
                </c:pt>
                <c:pt idx="14">
                  <c:v>1972.0</c:v>
                </c:pt>
                <c:pt idx="15">
                  <c:v>1973.0</c:v>
                </c:pt>
                <c:pt idx="16">
                  <c:v>1974.0</c:v>
                </c:pt>
                <c:pt idx="17">
                  <c:v>1975.0</c:v>
                </c:pt>
                <c:pt idx="18">
                  <c:v>1976.0</c:v>
                </c:pt>
                <c:pt idx="19">
                  <c:v>1977.0</c:v>
                </c:pt>
                <c:pt idx="20">
                  <c:v>1978.0</c:v>
                </c:pt>
                <c:pt idx="21">
                  <c:v>1979.0</c:v>
                </c:pt>
                <c:pt idx="22">
                  <c:v>1980.0</c:v>
                </c:pt>
                <c:pt idx="23">
                  <c:v>1981.0</c:v>
                </c:pt>
                <c:pt idx="24">
                  <c:v>1982.0</c:v>
                </c:pt>
                <c:pt idx="25">
                  <c:v>1983.0</c:v>
                </c:pt>
                <c:pt idx="26">
                  <c:v>1984.0</c:v>
                </c:pt>
                <c:pt idx="27">
                  <c:v>1985.0</c:v>
                </c:pt>
                <c:pt idx="28">
                  <c:v>1986.0</c:v>
                </c:pt>
                <c:pt idx="29">
                  <c:v>1987.0</c:v>
                </c:pt>
                <c:pt idx="30">
                  <c:v>1988.0</c:v>
                </c:pt>
                <c:pt idx="31">
                  <c:v>1989.0</c:v>
                </c:pt>
                <c:pt idx="32">
                  <c:v>1990.0</c:v>
                </c:pt>
                <c:pt idx="33">
                  <c:v>1991.0</c:v>
                </c:pt>
                <c:pt idx="34">
                  <c:v>1992.0</c:v>
                </c:pt>
                <c:pt idx="35">
                  <c:v>1993.0</c:v>
                </c:pt>
                <c:pt idx="36">
                  <c:v>1994.0</c:v>
                </c:pt>
                <c:pt idx="37">
                  <c:v>1995.0</c:v>
                </c:pt>
                <c:pt idx="38">
                  <c:v>1996.0</c:v>
                </c:pt>
                <c:pt idx="39">
                  <c:v>1997.0</c:v>
                </c:pt>
                <c:pt idx="40">
                  <c:v>1998.0</c:v>
                </c:pt>
                <c:pt idx="41">
                  <c:v>1999.0</c:v>
                </c:pt>
                <c:pt idx="42">
                  <c:v>2000.0</c:v>
                </c:pt>
                <c:pt idx="43">
                  <c:v>2001.0</c:v>
                </c:pt>
                <c:pt idx="44">
                  <c:v>2002.0</c:v>
                </c:pt>
                <c:pt idx="45">
                  <c:v>2003.0</c:v>
                </c:pt>
                <c:pt idx="46">
                  <c:v>2004.0</c:v>
                </c:pt>
                <c:pt idx="47">
                  <c:v>2005.0</c:v>
                </c:pt>
                <c:pt idx="48">
                  <c:v>2006.0</c:v>
                </c:pt>
                <c:pt idx="49">
                  <c:v>2007.0</c:v>
                </c:pt>
                <c:pt idx="50">
                  <c:v>2008.0</c:v>
                </c:pt>
                <c:pt idx="51">
                  <c:v>2009.0</c:v>
                </c:pt>
                <c:pt idx="52">
                  <c:v>2010.0</c:v>
                </c:pt>
                <c:pt idx="53">
                  <c:v>2011.0</c:v>
                </c:pt>
                <c:pt idx="54">
                  <c:v>2012.0</c:v>
                </c:pt>
                <c:pt idx="55">
                  <c:v>2013.0</c:v>
                </c:pt>
                <c:pt idx="56">
                  <c:v>2014.0</c:v>
                </c:pt>
                <c:pt idx="57">
                  <c:v>2015.0</c:v>
                </c:pt>
                <c:pt idx="58">
                  <c:v>2016.0</c:v>
                </c:pt>
                <c:pt idx="59">
                  <c:v>2017.0</c:v>
                </c:pt>
                <c:pt idx="60">
                  <c:v>2018.0</c:v>
                </c:pt>
                <c:pt idx="61">
                  <c:v>2019.0</c:v>
                </c:pt>
                <c:pt idx="62">
                  <c:v>2020.0</c:v>
                </c:pt>
                <c:pt idx="63">
                  <c:v>2021.0</c:v>
                </c:pt>
                <c:pt idx="64">
                  <c:v>2022.0</c:v>
                </c:pt>
                <c:pt idx="65">
                  <c:v>2023.0</c:v>
                </c:pt>
                <c:pt idx="66">
                  <c:v>2024.0</c:v>
                </c:pt>
                <c:pt idx="67">
                  <c:v>2025.0</c:v>
                </c:pt>
                <c:pt idx="68">
                  <c:v>2026.0</c:v>
                </c:pt>
                <c:pt idx="69">
                  <c:v>2027.0</c:v>
                </c:pt>
                <c:pt idx="70">
                  <c:v>2028.0</c:v>
                </c:pt>
                <c:pt idx="71">
                  <c:v>2029.0</c:v>
                </c:pt>
                <c:pt idx="72">
                  <c:v>2030.0</c:v>
                </c:pt>
              </c:numCache>
            </c:numRef>
          </c:xVal>
          <c:yVal>
            <c:numRef>
              <c:f>'Inventory Figures'!$H$121:$H$193</c:f>
              <c:numCache>
                <c:formatCode>General</c:formatCode>
                <c:ptCount val="73"/>
                <c:pt idx="0">
                  <c:v>0.0262059495577374</c:v>
                </c:pt>
                <c:pt idx="1">
                  <c:v>0.0746723231984149</c:v>
                </c:pt>
                <c:pt idx="2">
                  <c:v>0.124232671598025</c:v>
                </c:pt>
                <c:pt idx="3">
                  <c:v>0.17531743264732</c:v>
                </c:pt>
                <c:pt idx="4">
                  <c:v>0.227496168455548</c:v>
                </c:pt>
                <c:pt idx="5">
                  <c:v>0.28119931691346</c:v>
                </c:pt>
                <c:pt idx="6">
                  <c:v>0.335996440130305</c:v>
                </c:pt>
                <c:pt idx="7">
                  <c:v>0.392317975996836</c:v>
                </c:pt>
                <c:pt idx="8">
                  <c:v>0.449733486622299</c:v>
                </c:pt>
                <c:pt idx="9">
                  <c:v>0.508673409897447</c:v>
                </c:pt>
                <c:pt idx="10">
                  <c:v>0.567422815995224</c:v>
                </c:pt>
                <c:pt idx="11">
                  <c:v>0.626362739270372</c:v>
                </c:pt>
                <c:pt idx="12">
                  <c:v>0.68511214536815</c:v>
                </c:pt>
                <c:pt idx="13">
                  <c:v>0.743044147506462</c:v>
                </c:pt>
                <c:pt idx="14">
                  <c:v>0.80198407078161</c:v>
                </c:pt>
                <c:pt idx="15">
                  <c:v>0.860684073343376</c:v>
                </c:pt>
                <c:pt idx="16">
                  <c:v>0.919623996618524</c:v>
                </c:pt>
                <c:pt idx="17">
                  <c:v>0.978323999180289</c:v>
                </c:pt>
                <c:pt idx="18">
                  <c:v>1.202562988896551</c:v>
                </c:pt>
                <c:pt idx="19">
                  <c:v>1.560616307251778</c:v>
                </c:pt>
                <c:pt idx="20">
                  <c:v>1.927011726226298</c:v>
                </c:pt>
                <c:pt idx="21">
                  <c:v>2.301269404393348</c:v>
                </c:pt>
                <c:pt idx="22">
                  <c:v>2.683869183179691</c:v>
                </c:pt>
                <c:pt idx="23">
                  <c:v>3.074380624694574</c:v>
                </c:pt>
                <c:pt idx="24">
                  <c:v>3.47318476329274</c:v>
                </c:pt>
                <c:pt idx="25">
                  <c:v>3.879900564619445</c:v>
                </c:pt>
                <c:pt idx="26">
                  <c:v>4.294909063029433</c:v>
                </c:pt>
                <c:pt idx="27">
                  <c:v>4.717829224167962</c:v>
                </c:pt>
                <c:pt idx="28">
                  <c:v>4.948426965348174</c:v>
                </c:pt>
                <c:pt idx="29">
                  <c:v>5.023717954229934</c:v>
                </c:pt>
                <c:pt idx="30">
                  <c:v>5.089572867733467</c:v>
                </c:pt>
                <c:pt idx="31">
                  <c:v>5.146041109394786</c:v>
                </c:pt>
                <c:pt idx="32">
                  <c:v>5.536774383338975</c:v>
                </c:pt>
                <c:pt idx="33">
                  <c:v>5.853154627957603</c:v>
                </c:pt>
                <c:pt idx="34">
                  <c:v>5.89821065280023</c:v>
                </c:pt>
                <c:pt idx="35">
                  <c:v>8.492821265462</c:v>
                </c:pt>
                <c:pt idx="36">
                  <c:v>11.07578168392084</c:v>
                </c:pt>
                <c:pt idx="37">
                  <c:v>14.56340608127925</c:v>
                </c:pt>
                <c:pt idx="38">
                  <c:v>17.87809757839407</c:v>
                </c:pt>
                <c:pt idx="39">
                  <c:v>20.49607887106768</c:v>
                </c:pt>
                <c:pt idx="40">
                  <c:v>22.47690199393287</c:v>
                </c:pt>
                <c:pt idx="41">
                  <c:v>25.12627369249592</c:v>
                </c:pt>
                <c:pt idx="42">
                  <c:v>28.34405207644361</c:v>
                </c:pt>
                <c:pt idx="43">
                  <c:v>28.21356571288575</c:v>
                </c:pt>
                <c:pt idx="44">
                  <c:v>27.48553788050643</c:v>
                </c:pt>
                <c:pt idx="45">
                  <c:v>29.66329865526956</c:v>
                </c:pt>
                <c:pt idx="46">
                  <c:v>31.93183030288082</c:v>
                </c:pt>
                <c:pt idx="47">
                  <c:v>31.86184965081922</c:v>
                </c:pt>
                <c:pt idx="48">
                  <c:v>32.71392536201787</c:v>
                </c:pt>
                <c:pt idx="49">
                  <c:v>32.57538193320621</c:v>
                </c:pt>
                <c:pt idx="50">
                  <c:v>31.68179353649795</c:v>
                </c:pt>
                <c:pt idx="51">
                  <c:v>24.50502655460701</c:v>
                </c:pt>
                <c:pt idx="52">
                  <c:v>31.97720348173433</c:v>
                </c:pt>
                <c:pt idx="53">
                  <c:v>37.2182243763482</c:v>
                </c:pt>
                <c:pt idx="54">
                  <c:v>32.93149316549029</c:v>
                </c:pt>
                <c:pt idx="55">
                  <c:v>41.97928043214439</c:v>
                </c:pt>
                <c:pt idx="56">
                  <c:v>41.6090591026614</c:v>
                </c:pt>
                <c:pt idx="57">
                  <c:v>41.16464259405682</c:v>
                </c:pt>
                <c:pt idx="58">
                  <c:v>41.09491161924817</c:v>
                </c:pt>
                <c:pt idx="59">
                  <c:v>41.02518201593823</c:v>
                </c:pt>
                <c:pt idx="60">
                  <c:v>40.95540823782032</c:v>
                </c:pt>
                <c:pt idx="61">
                  <c:v>40.89474187220304</c:v>
                </c:pt>
                <c:pt idx="62">
                  <c:v>40.83407550658576</c:v>
                </c:pt>
                <c:pt idx="63">
                  <c:v>40.77340914096847</c:v>
                </c:pt>
                <c:pt idx="64">
                  <c:v>40.71274277535119</c:v>
                </c:pt>
                <c:pt idx="65">
                  <c:v>40.68100571948878</c:v>
                </c:pt>
                <c:pt idx="66">
                  <c:v>40.67776692747348</c:v>
                </c:pt>
                <c:pt idx="67">
                  <c:v>40.67452813545817</c:v>
                </c:pt>
                <c:pt idx="68">
                  <c:v>40.67452813545817</c:v>
                </c:pt>
                <c:pt idx="69">
                  <c:v>40.67452813545817</c:v>
                </c:pt>
                <c:pt idx="70">
                  <c:v>40.67452813545817</c:v>
                </c:pt>
                <c:pt idx="71">
                  <c:v>40.67452813545817</c:v>
                </c:pt>
                <c:pt idx="72">
                  <c:v>40.67452813545817</c:v>
                </c:pt>
              </c:numCache>
            </c:numRef>
          </c:yVal>
          <c:smooth val="0"/>
        </c:ser>
        <c:ser>
          <c:idx val="1"/>
          <c:order val="3"/>
          <c:tx>
            <c:v>xFOSEs</c:v>
          </c:tx>
          <c:spPr>
            <a:ln w="25400" cap="flat" cmpd="sng" algn="ctr">
              <a:solidFill>
                <a:schemeClr val="dk1"/>
              </a:solidFill>
              <a:prstDash val="solid"/>
              <a:round/>
            </a:ln>
            <a:effectLst/>
          </c:spPr>
          <c:marker>
            <c:symbol val="none"/>
          </c:marker>
          <c:xVal>
            <c:numRef>
              <c:f>'Inventory Figures'!$B$121:$B$193</c:f>
              <c:numCache>
                <c:formatCode>General</c:formatCode>
                <c:ptCount val="73"/>
                <c:pt idx="0">
                  <c:v>1958.0</c:v>
                </c:pt>
                <c:pt idx="1">
                  <c:v>1959.0</c:v>
                </c:pt>
                <c:pt idx="2">
                  <c:v>1960.0</c:v>
                </c:pt>
                <c:pt idx="3">
                  <c:v>1961.0</c:v>
                </c:pt>
                <c:pt idx="4">
                  <c:v>1962.0</c:v>
                </c:pt>
                <c:pt idx="5">
                  <c:v>1963.0</c:v>
                </c:pt>
                <c:pt idx="6">
                  <c:v>1964.0</c:v>
                </c:pt>
                <c:pt idx="7">
                  <c:v>1965.0</c:v>
                </c:pt>
                <c:pt idx="8">
                  <c:v>1966.0</c:v>
                </c:pt>
                <c:pt idx="9">
                  <c:v>1967.0</c:v>
                </c:pt>
                <c:pt idx="10">
                  <c:v>1968.0</c:v>
                </c:pt>
                <c:pt idx="11">
                  <c:v>1969.0</c:v>
                </c:pt>
                <c:pt idx="12">
                  <c:v>1970.0</c:v>
                </c:pt>
                <c:pt idx="13">
                  <c:v>1971.0</c:v>
                </c:pt>
                <c:pt idx="14">
                  <c:v>1972.0</c:v>
                </c:pt>
                <c:pt idx="15">
                  <c:v>1973.0</c:v>
                </c:pt>
                <c:pt idx="16">
                  <c:v>1974.0</c:v>
                </c:pt>
                <c:pt idx="17">
                  <c:v>1975.0</c:v>
                </c:pt>
                <c:pt idx="18">
                  <c:v>1976.0</c:v>
                </c:pt>
                <c:pt idx="19">
                  <c:v>1977.0</c:v>
                </c:pt>
                <c:pt idx="20">
                  <c:v>1978.0</c:v>
                </c:pt>
                <c:pt idx="21">
                  <c:v>1979.0</c:v>
                </c:pt>
                <c:pt idx="22">
                  <c:v>1980.0</c:v>
                </c:pt>
                <c:pt idx="23">
                  <c:v>1981.0</c:v>
                </c:pt>
                <c:pt idx="24">
                  <c:v>1982.0</c:v>
                </c:pt>
                <c:pt idx="25">
                  <c:v>1983.0</c:v>
                </c:pt>
                <c:pt idx="26">
                  <c:v>1984.0</c:v>
                </c:pt>
                <c:pt idx="27">
                  <c:v>1985.0</c:v>
                </c:pt>
                <c:pt idx="28">
                  <c:v>1986.0</c:v>
                </c:pt>
                <c:pt idx="29">
                  <c:v>1987.0</c:v>
                </c:pt>
                <c:pt idx="30">
                  <c:v>1988.0</c:v>
                </c:pt>
                <c:pt idx="31">
                  <c:v>1989.0</c:v>
                </c:pt>
                <c:pt idx="32">
                  <c:v>1990.0</c:v>
                </c:pt>
                <c:pt idx="33">
                  <c:v>1991.0</c:v>
                </c:pt>
                <c:pt idx="34">
                  <c:v>1992.0</c:v>
                </c:pt>
                <c:pt idx="35">
                  <c:v>1993.0</c:v>
                </c:pt>
                <c:pt idx="36">
                  <c:v>1994.0</c:v>
                </c:pt>
                <c:pt idx="37">
                  <c:v>1995.0</c:v>
                </c:pt>
                <c:pt idx="38">
                  <c:v>1996.0</c:v>
                </c:pt>
                <c:pt idx="39">
                  <c:v>1997.0</c:v>
                </c:pt>
                <c:pt idx="40">
                  <c:v>1998.0</c:v>
                </c:pt>
                <c:pt idx="41">
                  <c:v>1999.0</c:v>
                </c:pt>
                <c:pt idx="42">
                  <c:v>2000.0</c:v>
                </c:pt>
                <c:pt idx="43">
                  <c:v>2001.0</c:v>
                </c:pt>
                <c:pt idx="44">
                  <c:v>2002.0</c:v>
                </c:pt>
                <c:pt idx="45">
                  <c:v>2003.0</c:v>
                </c:pt>
                <c:pt idx="46">
                  <c:v>2004.0</c:v>
                </c:pt>
                <c:pt idx="47">
                  <c:v>2005.0</c:v>
                </c:pt>
                <c:pt idx="48">
                  <c:v>2006.0</c:v>
                </c:pt>
                <c:pt idx="49">
                  <c:v>2007.0</c:v>
                </c:pt>
                <c:pt idx="50">
                  <c:v>2008.0</c:v>
                </c:pt>
                <c:pt idx="51">
                  <c:v>2009.0</c:v>
                </c:pt>
                <c:pt idx="52">
                  <c:v>2010.0</c:v>
                </c:pt>
                <c:pt idx="53">
                  <c:v>2011.0</c:v>
                </c:pt>
                <c:pt idx="54">
                  <c:v>2012.0</c:v>
                </c:pt>
                <c:pt idx="55">
                  <c:v>2013.0</c:v>
                </c:pt>
                <c:pt idx="56">
                  <c:v>2014.0</c:v>
                </c:pt>
                <c:pt idx="57">
                  <c:v>2015.0</c:v>
                </c:pt>
                <c:pt idx="58">
                  <c:v>2016.0</c:v>
                </c:pt>
                <c:pt idx="59">
                  <c:v>2017.0</c:v>
                </c:pt>
                <c:pt idx="60">
                  <c:v>2018.0</c:v>
                </c:pt>
                <c:pt idx="61">
                  <c:v>2019.0</c:v>
                </c:pt>
                <c:pt idx="62">
                  <c:v>2020.0</c:v>
                </c:pt>
                <c:pt idx="63">
                  <c:v>2021.0</c:v>
                </c:pt>
                <c:pt idx="64">
                  <c:v>2022.0</c:v>
                </c:pt>
                <c:pt idx="65">
                  <c:v>2023.0</c:v>
                </c:pt>
                <c:pt idx="66">
                  <c:v>2024.0</c:v>
                </c:pt>
                <c:pt idx="67">
                  <c:v>2025.0</c:v>
                </c:pt>
                <c:pt idx="68">
                  <c:v>2026.0</c:v>
                </c:pt>
                <c:pt idx="69">
                  <c:v>2027.0</c:v>
                </c:pt>
                <c:pt idx="70">
                  <c:v>2028.0</c:v>
                </c:pt>
                <c:pt idx="71">
                  <c:v>2029.0</c:v>
                </c:pt>
                <c:pt idx="72">
                  <c:v>2030.0</c:v>
                </c:pt>
              </c:numCache>
            </c:numRef>
          </c:xVal>
          <c:yVal>
            <c:numRef>
              <c:f>'Inventory Figures'!$J$121:$J$193</c:f>
              <c:numCache>
                <c:formatCode>General</c:formatCode>
                <c:ptCount val="73"/>
                <c:pt idx="0">
                  <c:v>1.392745426880062</c:v>
                </c:pt>
                <c:pt idx="1">
                  <c:v>3.968546776752682</c:v>
                </c:pt>
                <c:pt idx="2">
                  <c:v>6.602488677467337</c:v>
                </c:pt>
                <c:pt idx="3">
                  <c:v>9.317447247387184</c:v>
                </c:pt>
                <c:pt idx="4">
                  <c:v>12.09054636814906</c:v>
                </c:pt>
                <c:pt idx="5">
                  <c:v>14.94466215811614</c:v>
                </c:pt>
                <c:pt idx="6">
                  <c:v>17.85691849892524</c:v>
                </c:pt>
                <c:pt idx="7">
                  <c:v>20.85019150893953</c:v>
                </c:pt>
                <c:pt idx="8">
                  <c:v>23.90160506979586</c:v>
                </c:pt>
                <c:pt idx="9">
                  <c:v>27.03403529985739</c:v>
                </c:pt>
                <c:pt idx="10">
                  <c:v>30.15634027470004</c:v>
                </c:pt>
                <c:pt idx="11">
                  <c:v>33.28877050476156</c:v>
                </c:pt>
                <c:pt idx="12">
                  <c:v>36.41107547960421</c:v>
                </c:pt>
                <c:pt idx="13">
                  <c:v>39.48993857786264</c:v>
                </c:pt>
                <c:pt idx="14">
                  <c:v>42.62236880792416</c:v>
                </c:pt>
                <c:pt idx="15">
                  <c:v>45.74204817484141</c:v>
                </c:pt>
                <c:pt idx="16">
                  <c:v>48.87447840490292</c:v>
                </c:pt>
                <c:pt idx="17">
                  <c:v>51.99415777182016</c:v>
                </c:pt>
                <c:pt idx="18">
                  <c:v>63.91159761758669</c:v>
                </c:pt>
                <c:pt idx="19">
                  <c:v>82.94075436001946</c:v>
                </c:pt>
                <c:pt idx="20">
                  <c:v>102.4132616653654</c:v>
                </c:pt>
                <c:pt idx="21">
                  <c:v>122.3036178073357</c:v>
                </c:pt>
                <c:pt idx="22">
                  <c:v>142.6373245122191</c:v>
                </c:pt>
                <c:pt idx="23">
                  <c:v>163.3915056616524</c:v>
                </c:pt>
                <c:pt idx="24">
                  <c:v>184.5864117660733</c:v>
                </c:pt>
                <c:pt idx="25">
                  <c:v>206.2017923150443</c:v>
                </c:pt>
                <c:pt idx="26">
                  <c:v>228.2578978190026</c:v>
                </c:pt>
                <c:pt idx="27">
                  <c:v>250.7344777675111</c:v>
                </c:pt>
                <c:pt idx="28">
                  <c:v>262.9898607968502</c:v>
                </c:pt>
                <c:pt idx="29">
                  <c:v>266.9912872751893</c:v>
                </c:pt>
                <c:pt idx="30">
                  <c:v>270.4912226397732</c:v>
                </c:pt>
                <c:pt idx="31">
                  <c:v>273.4922924985275</c:v>
                </c:pt>
                <c:pt idx="32">
                  <c:v>294.2582631883768</c:v>
                </c:pt>
                <c:pt idx="33">
                  <c:v>311.0726563427622</c:v>
                </c:pt>
                <c:pt idx="34">
                  <c:v>313.4672107707446</c:v>
                </c:pt>
                <c:pt idx="35">
                  <c:v>315.2452277932061</c:v>
                </c:pt>
                <c:pt idx="36">
                  <c:v>316.4040818022213</c:v>
                </c:pt>
                <c:pt idx="37">
                  <c:v>365.6423468129063</c:v>
                </c:pt>
                <c:pt idx="38">
                  <c:v>405.6898933021841</c:v>
                </c:pt>
                <c:pt idx="39">
                  <c:v>408.7099720800447</c:v>
                </c:pt>
                <c:pt idx="40">
                  <c:v>377.8675447409327</c:v>
                </c:pt>
                <c:pt idx="41">
                  <c:v>382.5559028594857</c:v>
                </c:pt>
                <c:pt idx="42">
                  <c:v>417.4528901266736</c:v>
                </c:pt>
                <c:pt idx="43">
                  <c:v>274.4024840052781</c:v>
                </c:pt>
                <c:pt idx="44">
                  <c:v>99.59504705244103</c:v>
                </c:pt>
                <c:pt idx="45">
                  <c:v>79.21909845919712</c:v>
                </c:pt>
                <c:pt idx="46">
                  <c:v>63.66727263908949</c:v>
                </c:pt>
                <c:pt idx="47">
                  <c:v>58.12956628657675</c:v>
                </c:pt>
                <c:pt idx="48">
                  <c:v>53.23647390657517</c:v>
                </c:pt>
                <c:pt idx="49">
                  <c:v>44.20736909748521</c:v>
                </c:pt>
                <c:pt idx="50">
                  <c:v>50.37878018571084</c:v>
                </c:pt>
                <c:pt idx="51">
                  <c:v>33.99592087283875</c:v>
                </c:pt>
                <c:pt idx="52">
                  <c:v>15.30213491280796</c:v>
                </c:pt>
                <c:pt idx="53">
                  <c:v>19.83617527770798</c:v>
                </c:pt>
                <c:pt idx="54">
                  <c:v>20.49102949695013</c:v>
                </c:pt>
                <c:pt idx="55">
                  <c:v>22.5460375298525</c:v>
                </c:pt>
                <c:pt idx="56">
                  <c:v>26.27118448765495</c:v>
                </c:pt>
                <c:pt idx="57">
                  <c:v>26.04769841890774</c:v>
                </c:pt>
                <c:pt idx="58">
                  <c:v>22.34176530388523</c:v>
                </c:pt>
                <c:pt idx="59">
                  <c:v>18.63590507874394</c:v>
                </c:pt>
                <c:pt idx="60">
                  <c:v>14.92769713246223</c:v>
                </c:pt>
                <c:pt idx="61">
                  <c:v>11.70351313207899</c:v>
                </c:pt>
                <c:pt idx="62">
                  <c:v>8.47932913169575</c:v>
                </c:pt>
                <c:pt idx="63">
                  <c:v>5.255145131312514</c:v>
                </c:pt>
                <c:pt idx="64">
                  <c:v>2.030961130929274</c:v>
                </c:pt>
                <c:pt idx="65">
                  <c:v>0.34425867744153</c:v>
                </c:pt>
                <c:pt idx="66">
                  <c:v>0.172129338720765</c:v>
                </c:pt>
                <c:pt idx="67">
                  <c:v>0.0</c:v>
                </c:pt>
                <c:pt idx="68">
                  <c:v>0.0</c:v>
                </c:pt>
                <c:pt idx="69">
                  <c:v>0.0</c:v>
                </c:pt>
                <c:pt idx="70">
                  <c:v>0.0</c:v>
                </c:pt>
                <c:pt idx="71">
                  <c:v>0.0</c:v>
                </c:pt>
                <c:pt idx="72">
                  <c:v>0.0</c:v>
                </c:pt>
              </c:numCache>
            </c:numRef>
          </c:yVal>
          <c:smooth val="0"/>
        </c:ser>
        <c:dLbls>
          <c:showLegendKey val="0"/>
          <c:showVal val="0"/>
          <c:showCatName val="0"/>
          <c:showSerName val="0"/>
          <c:showPercent val="0"/>
          <c:showBubbleSize val="0"/>
        </c:dLbls>
        <c:axId val="-1962841568"/>
        <c:axId val="-1962832704"/>
      </c:scatterChart>
      <c:valAx>
        <c:axId val="-1962841568"/>
        <c:scaling>
          <c:orientation val="minMax"/>
          <c:max val="2030.0"/>
          <c:min val="1955.0"/>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2000" b="0" i="0" u="none" strike="noStrike" kern="1200" baseline="0">
                    <a:solidFill>
                      <a:schemeClr val="tx1"/>
                    </a:solidFill>
                    <a:latin typeface="+mj-lt"/>
                    <a:ea typeface="+mn-ea"/>
                    <a:cs typeface="+mn-cs"/>
                  </a:defRPr>
                </a:pPr>
                <a:r>
                  <a:rPr lang="en-US"/>
                  <a:t>Year</a:t>
                </a:r>
              </a:p>
            </c:rich>
          </c:tx>
          <c:layout>
            <c:manualLayout>
              <c:xMode val="edge"/>
              <c:yMode val="edge"/>
              <c:x val="0.479610938786686"/>
              <c:y val="0.868131453983568"/>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mj-lt"/>
                  <a:ea typeface="+mn-ea"/>
                  <a:cs typeface="+mn-cs"/>
                </a:defRPr>
              </a:pPr>
              <a:endParaRPr lang="en-US"/>
            </a:p>
          </c:txPr>
        </c:title>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mj-lt"/>
                <a:ea typeface="+mn-ea"/>
                <a:cs typeface="+mn-cs"/>
              </a:defRPr>
            </a:pPr>
            <a:endParaRPr lang="en-US"/>
          </a:p>
        </c:txPr>
        <c:crossAx val="-1962832704"/>
        <c:crosses val="autoZero"/>
        <c:crossBetween val="midCat"/>
        <c:majorUnit val="15.0"/>
      </c:valAx>
      <c:valAx>
        <c:axId val="-1962832704"/>
        <c:scaling>
          <c:orientation val="minMax"/>
        </c:scaling>
        <c:delete val="0"/>
        <c:axPos val="l"/>
        <c:majorGridlines>
          <c:spPr>
            <a:ln w="9525" cap="flat" cmpd="sng" algn="ctr">
              <a:noFill/>
              <a:round/>
            </a:ln>
            <a:effectLst/>
          </c:spPr>
        </c:majorGridlines>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mj-lt"/>
                <a:ea typeface="+mn-ea"/>
                <a:cs typeface="+mn-cs"/>
              </a:defRPr>
            </a:pPr>
            <a:endParaRPr lang="en-US"/>
          </a:p>
        </c:txPr>
        <c:crossAx val="-1962841568"/>
        <c:crosses val="autoZero"/>
        <c:crossBetween val="midCat"/>
        <c:majorUnit val="100.0"/>
      </c:valAx>
      <c:spPr>
        <a:noFill/>
        <a:ln>
          <a:noFill/>
        </a:ln>
        <a:effectLst/>
      </c:spPr>
    </c:plotArea>
    <c:legend>
      <c:legendPos val="b"/>
      <c:layout>
        <c:manualLayout>
          <c:xMode val="edge"/>
          <c:yMode val="edge"/>
          <c:x val="0.0152182780620705"/>
          <c:y val="0.922508275108107"/>
          <c:w val="0.485864979755913"/>
          <c:h val="0.067868294642912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mj-lt"/>
              <a:ea typeface="+mn-ea"/>
              <a:cs typeface="+mn-cs"/>
            </a:defRPr>
          </a:pPr>
          <a:endParaRPr lang="en-US"/>
        </a:p>
      </c:txPr>
    </c:legend>
    <c:plotVisOnly val="1"/>
    <c:dispBlanksAs val="span"/>
    <c:showDLblsOverMax val="0"/>
  </c:chart>
  <c:spPr>
    <a:solidFill>
      <a:schemeClr val="bg1"/>
    </a:solidFill>
    <a:ln w="9525" cap="flat" cmpd="sng" algn="ctr">
      <a:noFill/>
      <a:round/>
    </a:ln>
    <a:effectLst/>
  </c:spPr>
  <c:txPr>
    <a:bodyPr/>
    <a:lstStyle/>
    <a:p>
      <a:pPr>
        <a:defRPr sz="2000">
          <a:solidFill>
            <a:schemeClr val="tx1"/>
          </a:solidFill>
          <a:latin typeface="+mj-lt"/>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9884329348303"/>
          <c:y val="0.134854561877186"/>
          <c:w val="0.672357775084913"/>
          <c:h val="0.544938509642239"/>
        </c:manualLayout>
      </c:layout>
      <c:scatterChart>
        <c:scatterStyle val="lineMarker"/>
        <c:varyColors val="0"/>
        <c:ser>
          <c:idx val="0"/>
          <c:order val="0"/>
          <c:tx>
            <c:strRef>
              <c:f>'Deposition Flux Compare'!$G$8</c:f>
              <c:strCache>
                <c:ptCount val="1"/>
                <c:pt idx="0">
                  <c:v>Young et al., 2007</c:v>
                </c:pt>
              </c:strCache>
            </c:strRef>
          </c:tx>
          <c:spPr>
            <a:ln w="47625" cap="rnd">
              <a:noFill/>
              <a:round/>
            </a:ln>
            <a:effectLst/>
          </c:spPr>
          <c:marker>
            <c:symbol val="circle"/>
            <c:size val="5"/>
            <c:spPr>
              <a:solidFill>
                <a:schemeClr val="tx1"/>
              </a:solidFill>
              <a:ln w="9525">
                <a:noFill/>
              </a:ln>
              <a:effectLst/>
            </c:spPr>
          </c:marker>
          <c:xVal>
            <c:numRef>
              <c:f>'Deposition Flux Compare'!$B$9:$B$21</c:f>
              <c:numCache>
                <c:formatCode>General</c:formatCode>
                <c:ptCount val="13"/>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pt idx="12">
                  <c:v>2007.0</c:v>
                </c:pt>
              </c:numCache>
            </c:numRef>
          </c:xVal>
          <c:yVal>
            <c:numRef>
              <c:f>'Deposition Flux Compare'!$G$9:$G$21</c:f>
              <c:numCache>
                <c:formatCode>0</c:formatCode>
                <c:ptCount val="13"/>
                <c:pt idx="1">
                  <c:v>266.64</c:v>
                </c:pt>
                <c:pt idx="2">
                  <c:v>479.16</c:v>
                </c:pt>
                <c:pt idx="3">
                  <c:v>732.6</c:v>
                </c:pt>
                <c:pt idx="4">
                  <c:v>297.0</c:v>
                </c:pt>
                <c:pt idx="5">
                  <c:v>158.4</c:v>
                </c:pt>
                <c:pt idx="6">
                  <c:v>103.752</c:v>
                </c:pt>
                <c:pt idx="7">
                  <c:v>29.832</c:v>
                </c:pt>
                <c:pt idx="8">
                  <c:v>88.17599999999999</c:v>
                </c:pt>
                <c:pt idx="9">
                  <c:v>135.96</c:v>
                </c:pt>
                <c:pt idx="10">
                  <c:v>106.392</c:v>
                </c:pt>
              </c:numCache>
            </c:numRef>
          </c:yVal>
          <c:smooth val="0"/>
        </c:ser>
        <c:ser>
          <c:idx val="1"/>
          <c:order val="1"/>
          <c:tx>
            <c:v>High</c:v>
          </c:tx>
          <c:spPr>
            <a:ln w="25400" cap="rnd">
              <a:solidFill>
                <a:srgbClr val="F15854"/>
              </a:solidFill>
              <a:prstDash val="solid"/>
              <a:round/>
            </a:ln>
            <a:effectLst/>
          </c:spPr>
          <c:marker>
            <c:symbol val="none"/>
          </c:marker>
          <c:xVal>
            <c:numRef>
              <c:f>'Deposition Flux Compare'!$H$109:$H$120</c:f>
              <c:numCache>
                <c:formatCode>General</c:formatCode>
                <c:ptCount val="12"/>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numCache>
            </c:numRef>
          </c:xVal>
          <c:yVal>
            <c:numRef>
              <c:f>'Deposition Flux Compare'!$F$109:$F$120</c:f>
              <c:numCache>
                <c:formatCode>General</c:formatCode>
                <c:ptCount val="12"/>
                <c:pt idx="0">
                  <c:v>682.727429</c:v>
                </c:pt>
                <c:pt idx="1">
                  <c:v>765.55103</c:v>
                </c:pt>
                <c:pt idx="2">
                  <c:v>782.673766</c:v>
                </c:pt>
                <c:pt idx="3">
                  <c:v>793.041793</c:v>
                </c:pt>
                <c:pt idx="4">
                  <c:v>803.295103</c:v>
                </c:pt>
                <c:pt idx="5">
                  <c:v>867.554022</c:v>
                </c:pt>
                <c:pt idx="6">
                  <c:v>620.697254</c:v>
                </c:pt>
                <c:pt idx="7">
                  <c:v>268.541572</c:v>
                </c:pt>
                <c:pt idx="8">
                  <c:v>182.040798</c:v>
                </c:pt>
                <c:pt idx="9">
                  <c:v>140.733198</c:v>
                </c:pt>
                <c:pt idx="10">
                  <c:v>120.786352</c:v>
                </c:pt>
                <c:pt idx="11">
                  <c:v>105.014476</c:v>
                </c:pt>
              </c:numCache>
            </c:numRef>
          </c:yVal>
          <c:smooth val="0"/>
        </c:ser>
        <c:ser>
          <c:idx val="3"/>
          <c:order val="2"/>
          <c:tx>
            <c:v>Medium</c:v>
          </c:tx>
          <c:spPr>
            <a:ln w="25400" cap="rnd">
              <a:solidFill>
                <a:srgbClr val="5DA5DA"/>
              </a:solidFill>
              <a:prstDash val="solid"/>
              <a:round/>
            </a:ln>
            <a:effectLst/>
          </c:spPr>
          <c:marker>
            <c:symbol val="none"/>
          </c:marker>
          <c:xVal>
            <c:numRef>
              <c:f>'Deposition Flux Compare'!$H$133:$H$144</c:f>
              <c:numCache>
                <c:formatCode>General</c:formatCode>
                <c:ptCount val="12"/>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numCache>
            </c:numRef>
          </c:xVal>
          <c:yVal>
            <c:numRef>
              <c:f>'Deposition Flux Compare'!$F$133:$F$144</c:f>
              <c:numCache>
                <c:formatCode>General</c:formatCode>
                <c:ptCount val="12"/>
                <c:pt idx="0">
                  <c:v>86.7482</c:v>
                </c:pt>
                <c:pt idx="1">
                  <c:v>98.895207</c:v>
                </c:pt>
                <c:pt idx="2">
                  <c:v>100.600461</c:v>
                </c:pt>
                <c:pt idx="3">
                  <c:v>101.059365</c:v>
                </c:pt>
                <c:pt idx="4">
                  <c:v>101.429512</c:v>
                </c:pt>
                <c:pt idx="5">
                  <c:v>110.183751</c:v>
                </c:pt>
                <c:pt idx="6">
                  <c:v>72.720062</c:v>
                </c:pt>
                <c:pt idx="7">
                  <c:v>19.067385</c:v>
                </c:pt>
                <c:pt idx="8">
                  <c:v>7.524865</c:v>
                </c:pt>
                <c:pt idx="9">
                  <c:v>3.172475</c:v>
                </c:pt>
                <c:pt idx="10">
                  <c:v>2.835469</c:v>
                </c:pt>
                <c:pt idx="11">
                  <c:v>3.233189</c:v>
                </c:pt>
              </c:numCache>
            </c:numRef>
          </c:yVal>
          <c:smooth val="0"/>
        </c:ser>
        <c:ser>
          <c:idx val="5"/>
          <c:order val="3"/>
          <c:tx>
            <c:v>Low</c:v>
          </c:tx>
          <c:spPr>
            <a:ln w="25400" cap="rnd">
              <a:solidFill>
                <a:srgbClr val="5D61DA"/>
              </a:solidFill>
              <a:prstDash val="solid"/>
              <a:round/>
            </a:ln>
            <a:effectLst/>
          </c:spPr>
          <c:marker>
            <c:symbol val="none"/>
          </c:marker>
          <c:xVal>
            <c:numRef>
              <c:f>'Deposition Flux Compare'!$H$169:$H$180</c:f>
              <c:numCache>
                <c:formatCode>General</c:formatCode>
                <c:ptCount val="12"/>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numCache>
            </c:numRef>
          </c:xVal>
          <c:yVal>
            <c:numRef>
              <c:f>'Deposition Flux Compare'!$F$169:$F$180</c:f>
              <c:numCache>
                <c:formatCode>General</c:formatCode>
                <c:ptCount val="12"/>
                <c:pt idx="0">
                  <c:v>3.899947</c:v>
                </c:pt>
                <c:pt idx="1">
                  <c:v>4.434861</c:v>
                </c:pt>
                <c:pt idx="2">
                  <c:v>4.536389</c:v>
                </c:pt>
                <c:pt idx="3">
                  <c:v>4.512708</c:v>
                </c:pt>
                <c:pt idx="4">
                  <c:v>4.482473</c:v>
                </c:pt>
                <c:pt idx="5">
                  <c:v>4.822025</c:v>
                </c:pt>
                <c:pt idx="6">
                  <c:v>3.25723</c:v>
                </c:pt>
                <c:pt idx="7">
                  <c:v>1.001991</c:v>
                </c:pt>
                <c:pt idx="8">
                  <c:v>0.47963</c:v>
                </c:pt>
                <c:pt idx="9">
                  <c:v>0.285004</c:v>
                </c:pt>
                <c:pt idx="10">
                  <c:v>0.26428</c:v>
                </c:pt>
                <c:pt idx="11">
                  <c:v>0.279478</c:v>
                </c:pt>
              </c:numCache>
            </c:numRef>
          </c:yVal>
          <c:smooth val="0"/>
        </c:ser>
        <c:dLbls>
          <c:showLegendKey val="0"/>
          <c:showVal val="0"/>
          <c:showCatName val="0"/>
          <c:showSerName val="0"/>
          <c:showPercent val="0"/>
          <c:showBubbleSize val="0"/>
        </c:dLbls>
        <c:axId val="-1961624096"/>
        <c:axId val="-1961615376"/>
      </c:scatterChart>
      <c:valAx>
        <c:axId val="-1961624096"/>
        <c:scaling>
          <c:orientation val="minMax"/>
          <c:max val="2006.0"/>
          <c:min val="1995.0"/>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r>
                  <a:rPr lang="en-US"/>
                  <a:t>Year</a:t>
                </a:r>
              </a:p>
            </c:rich>
          </c:tx>
          <c:layout>
            <c:manualLayout>
              <c:xMode val="edge"/>
              <c:yMode val="edge"/>
              <c:x val="0.450346149157425"/>
              <c:y val="0.873841617317283"/>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endParaRPr lang="en-US"/>
            </a:p>
          </c:txPr>
        </c:title>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endParaRPr lang="en-US"/>
          </a:p>
        </c:txPr>
        <c:crossAx val="-1961615376"/>
        <c:crosses val="autoZero"/>
        <c:crossBetween val="midCat"/>
      </c:valAx>
      <c:valAx>
        <c:axId val="-1961615376"/>
        <c:scaling>
          <c:orientation val="minMax"/>
          <c:max val="2000.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r>
                  <a:rPr lang="en-US"/>
                  <a:t>PFOS Flux to Arctic (kg/yr)</a:t>
                </a:r>
              </a:p>
            </c:rich>
          </c:tx>
          <c:layout>
            <c:manualLayout>
              <c:xMode val="edge"/>
              <c:yMode val="edge"/>
              <c:x val="0.0148500142976373"/>
              <c:y val="0.0960166345715146"/>
            </c:manualLayout>
          </c:layout>
          <c:overlay val="0"/>
          <c:spPr>
            <a:noFill/>
            <a:ln>
              <a:noFill/>
            </a:ln>
            <a:effectLst/>
          </c:spPr>
          <c:txPr>
            <a:bodyPr rot="-5400000" spcFirstLastPara="1" vertOverflow="ellipsis" vert="horz"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endParaRPr lang="en-US"/>
            </a:p>
          </c:txPr>
        </c:title>
        <c:numFmt formatCode="0"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endParaRPr lang="en-US"/>
          </a:p>
        </c:txPr>
        <c:crossAx val="-1961624096"/>
        <c:crosses val="autoZero"/>
        <c:crossBetween val="midCat"/>
        <c:majorUnit val="500.0"/>
      </c:valAx>
      <c:spPr>
        <a:noFill/>
        <a:ln>
          <a:noFill/>
        </a:ln>
        <a:effectLst/>
      </c:spPr>
    </c:plotArea>
    <c:plotVisOnly val="1"/>
    <c:dispBlanksAs val="span"/>
    <c:showDLblsOverMax val="0"/>
  </c:chart>
  <c:spPr>
    <a:solidFill>
      <a:schemeClr val="bg1"/>
    </a:solidFill>
    <a:ln w="9525" cap="flat" cmpd="sng" algn="ctr">
      <a:noFill/>
      <a:round/>
    </a:ln>
    <a:effectLst/>
  </c:spPr>
  <c:txPr>
    <a:bodyPr/>
    <a:lstStyle/>
    <a:p>
      <a:pPr>
        <a:defRPr sz="1500">
          <a:solidFill>
            <a:schemeClr val="tx1"/>
          </a:solidFill>
          <a:latin typeface="Bitstream Vera Sans Roman" charset="0"/>
          <a:ea typeface="Bitstream Vera Sans Roman" charset="0"/>
          <a:cs typeface="Bitstream Vera Sans Roman"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Model</a:t>
            </a:r>
            <a:r>
              <a:rPr lang="en-US" b="1" baseline="0"/>
              <a:t> Flux vs Measured Flux</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4"/>
          <c:order val="0"/>
          <c:tx>
            <c:v>Higher/Slow - Young 2007</c:v>
          </c:tx>
          <c:spPr>
            <a:ln w="25400" cap="rnd">
              <a:noFill/>
              <a:round/>
            </a:ln>
            <a:effectLst/>
          </c:spPr>
          <c:marker>
            <c:symbol val="circle"/>
            <c:size val="5"/>
            <c:spPr>
              <a:solidFill>
                <a:schemeClr val="accent5"/>
              </a:solidFill>
              <a:ln w="9525">
                <a:solidFill>
                  <a:schemeClr val="accent5"/>
                </a:solidFill>
              </a:ln>
              <a:effectLst/>
            </c:spPr>
          </c:marker>
          <c:xVal>
            <c:numRef>
              <c:f>'Deposition Flux Compare'!$F$31:$F$42</c:f>
              <c:numCache>
                <c:formatCode>General</c:formatCode>
                <c:ptCount val="12"/>
                <c:pt idx="0">
                  <c:v>1650.683893</c:v>
                </c:pt>
                <c:pt idx="1">
                  <c:v>1806.338973</c:v>
                </c:pt>
                <c:pt idx="2">
                  <c:v>1830.448199</c:v>
                </c:pt>
                <c:pt idx="3">
                  <c:v>1219.064587</c:v>
                </c:pt>
                <c:pt idx="4">
                  <c:v>980.240394</c:v>
                </c:pt>
                <c:pt idx="5">
                  <c:v>1041.531392</c:v>
                </c:pt>
                <c:pt idx="6">
                  <c:v>682.294251</c:v>
                </c:pt>
                <c:pt idx="7">
                  <c:v>286.888981</c:v>
                </c:pt>
                <c:pt idx="8">
                  <c:v>201.397326</c:v>
                </c:pt>
                <c:pt idx="9">
                  <c:v>170.812677</c:v>
                </c:pt>
                <c:pt idx="10">
                  <c:v>168.221387</c:v>
                </c:pt>
                <c:pt idx="11">
                  <c:v>171.877988</c:v>
                </c:pt>
              </c:numCache>
            </c:numRef>
          </c:xVal>
          <c:yVal>
            <c:numRef>
              <c:f>'Deposition Flux Compare'!$I$31:$I$42</c:f>
              <c:numCache>
                <c:formatCode>0</c:formatCode>
                <c:ptCount val="12"/>
                <c:pt idx="0">
                  <c:v>0.0</c:v>
                </c:pt>
                <c:pt idx="1">
                  <c:v>266.64</c:v>
                </c:pt>
                <c:pt idx="2">
                  <c:v>479.16</c:v>
                </c:pt>
                <c:pt idx="3">
                  <c:v>732.6</c:v>
                </c:pt>
                <c:pt idx="4">
                  <c:v>297.0</c:v>
                </c:pt>
                <c:pt idx="5">
                  <c:v>158.4</c:v>
                </c:pt>
                <c:pt idx="6">
                  <c:v>103.752</c:v>
                </c:pt>
                <c:pt idx="7">
                  <c:v>29.832</c:v>
                </c:pt>
                <c:pt idx="8">
                  <c:v>88.17599999999999</c:v>
                </c:pt>
                <c:pt idx="9">
                  <c:v>135.96</c:v>
                </c:pt>
                <c:pt idx="10">
                  <c:v>106.392</c:v>
                </c:pt>
                <c:pt idx="11">
                  <c:v>0.0</c:v>
                </c:pt>
              </c:numCache>
            </c:numRef>
          </c:yVal>
          <c:smooth val="0"/>
        </c:ser>
        <c:ser>
          <c:idx val="5"/>
          <c:order val="1"/>
          <c:spPr>
            <a:ln w="25400" cap="rnd">
              <a:solidFill>
                <a:schemeClr val="tx1"/>
              </a:solidFill>
              <a:round/>
            </a:ln>
            <a:effectLst/>
          </c:spPr>
          <c:marker>
            <c:symbol val="circle"/>
            <c:size val="5"/>
            <c:spPr>
              <a:noFill/>
              <a:ln w="9525">
                <a:noFill/>
              </a:ln>
              <a:effectLst/>
            </c:spPr>
          </c:marker>
          <c:xVal>
            <c:numRef>
              <c:f>'Deposition Flux Compare'!$Y$56:$Y$57</c:f>
              <c:numCache>
                <c:formatCode>General</c:formatCode>
                <c:ptCount val="2"/>
                <c:pt idx="0">
                  <c:v>1.0</c:v>
                </c:pt>
                <c:pt idx="1">
                  <c:v>500.0</c:v>
                </c:pt>
              </c:numCache>
            </c:numRef>
          </c:xVal>
          <c:yVal>
            <c:numRef>
              <c:f>'Deposition Flux Compare'!$Z$56:$Z$57</c:f>
              <c:numCache>
                <c:formatCode>General</c:formatCode>
                <c:ptCount val="2"/>
                <c:pt idx="0">
                  <c:v>1.0</c:v>
                </c:pt>
                <c:pt idx="1">
                  <c:v>500.0</c:v>
                </c:pt>
              </c:numCache>
            </c:numRef>
          </c:yVal>
          <c:smooth val="0"/>
        </c:ser>
        <c:ser>
          <c:idx val="7"/>
          <c:order val="2"/>
          <c:spPr>
            <a:ln w="25400" cap="rnd">
              <a:solidFill>
                <a:schemeClr val="tx1"/>
              </a:solidFill>
              <a:round/>
            </a:ln>
            <a:effectLst/>
          </c:spPr>
          <c:marker>
            <c:symbol val="circle"/>
            <c:size val="5"/>
            <c:spPr>
              <a:noFill/>
              <a:ln w="9525">
                <a:noFill/>
              </a:ln>
              <a:effectLst/>
            </c:spPr>
          </c:marker>
          <c:xVal>
            <c:numRef>
              <c:f>'Deposition Flux Compare'!$Y$60:$Y$61</c:f>
              <c:numCache>
                <c:formatCode>General</c:formatCode>
                <c:ptCount val="2"/>
                <c:pt idx="0">
                  <c:v>0.0</c:v>
                </c:pt>
                <c:pt idx="1">
                  <c:v>500.0</c:v>
                </c:pt>
              </c:numCache>
            </c:numRef>
          </c:xVal>
          <c:yVal>
            <c:numRef>
              <c:f>'Deposition Flux Compare'!$Z$60:$Z$61</c:f>
              <c:numCache>
                <c:formatCode>General</c:formatCode>
                <c:ptCount val="2"/>
                <c:pt idx="0">
                  <c:v>100.0</c:v>
                </c:pt>
                <c:pt idx="1">
                  <c:v>600.0</c:v>
                </c:pt>
              </c:numCache>
            </c:numRef>
          </c:yVal>
          <c:smooth val="0"/>
        </c:ser>
        <c:ser>
          <c:idx val="3"/>
          <c:order val="3"/>
          <c:spPr>
            <a:ln w="25400" cap="rnd">
              <a:solidFill>
                <a:schemeClr val="tx1"/>
              </a:solidFill>
              <a:round/>
            </a:ln>
            <a:effectLst/>
          </c:spPr>
          <c:marker>
            <c:symbol val="circle"/>
            <c:size val="5"/>
            <c:spPr>
              <a:noFill/>
              <a:ln w="9525">
                <a:noFill/>
              </a:ln>
              <a:effectLst/>
            </c:spPr>
          </c:marker>
          <c:xVal>
            <c:numRef>
              <c:f>'Deposition Flux Compare'!$Y$64:$Y$65</c:f>
              <c:numCache>
                <c:formatCode>General</c:formatCode>
                <c:ptCount val="2"/>
                <c:pt idx="0">
                  <c:v>100.0</c:v>
                </c:pt>
                <c:pt idx="1">
                  <c:v>500.0</c:v>
                </c:pt>
              </c:numCache>
            </c:numRef>
          </c:xVal>
          <c:yVal>
            <c:numRef>
              <c:f>'Deposition Flux Compare'!$Z$64:$Z$65</c:f>
              <c:numCache>
                <c:formatCode>General</c:formatCode>
                <c:ptCount val="2"/>
                <c:pt idx="0">
                  <c:v>0.0</c:v>
                </c:pt>
                <c:pt idx="1">
                  <c:v>400.0</c:v>
                </c:pt>
              </c:numCache>
            </c:numRef>
          </c:yVal>
          <c:smooth val="0"/>
        </c:ser>
        <c:dLbls>
          <c:showLegendKey val="0"/>
          <c:showVal val="0"/>
          <c:showCatName val="0"/>
          <c:showSerName val="0"/>
          <c:showPercent val="0"/>
          <c:showBubbleSize val="0"/>
        </c:dLbls>
        <c:axId val="-1961524608"/>
        <c:axId val="-1961512240"/>
      </c:scatterChart>
      <c:valAx>
        <c:axId val="-1961524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Model Result Flux (kg/yr)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512240"/>
        <c:crosses val="autoZero"/>
        <c:crossBetween val="midCat"/>
        <c:majorUnit val="100.0"/>
      </c:valAx>
      <c:valAx>
        <c:axId val="-1961512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Measured Flux (kg/yr)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524608"/>
        <c:crosses val="autoZero"/>
        <c:crossBetween val="midCat"/>
      </c:valAx>
      <c:spPr>
        <a:noFill/>
        <a:ln>
          <a:noFill/>
        </a:ln>
        <a:effectLst/>
      </c:spPr>
    </c:plotArea>
    <c:legend>
      <c:legendPos val="b"/>
      <c:legendEntry>
        <c:idx val="1"/>
        <c:delete val="1"/>
      </c:legendEntry>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Model</a:t>
            </a:r>
            <a:r>
              <a:rPr lang="en-US" b="1" baseline="0"/>
              <a:t> Flux vs Measured Flux</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4"/>
          <c:order val="0"/>
          <c:tx>
            <c:v>Higher/Slow - MacInnes 2015</c:v>
          </c:tx>
          <c:spPr>
            <a:ln w="25400" cap="rnd">
              <a:noFill/>
              <a:round/>
            </a:ln>
            <a:effectLst/>
          </c:spPr>
          <c:marker>
            <c:symbol val="circle"/>
            <c:size val="5"/>
            <c:spPr>
              <a:solidFill>
                <a:schemeClr val="accent2"/>
              </a:solidFill>
              <a:ln w="9525">
                <a:noFill/>
              </a:ln>
              <a:effectLst/>
            </c:spPr>
          </c:marker>
          <c:xVal>
            <c:numRef>
              <c:f>'Deposition Flux Compare'!$F$31:$F$42</c:f>
              <c:numCache>
                <c:formatCode>General</c:formatCode>
                <c:ptCount val="12"/>
                <c:pt idx="0">
                  <c:v>1650.683893</c:v>
                </c:pt>
                <c:pt idx="1">
                  <c:v>1806.338973</c:v>
                </c:pt>
                <c:pt idx="2">
                  <c:v>1830.448199</c:v>
                </c:pt>
                <c:pt idx="3">
                  <c:v>1219.064587</c:v>
                </c:pt>
                <c:pt idx="4">
                  <c:v>980.240394</c:v>
                </c:pt>
                <c:pt idx="5">
                  <c:v>1041.531392</c:v>
                </c:pt>
                <c:pt idx="6">
                  <c:v>682.294251</c:v>
                </c:pt>
                <c:pt idx="7">
                  <c:v>286.888981</c:v>
                </c:pt>
                <c:pt idx="8">
                  <c:v>201.397326</c:v>
                </c:pt>
                <c:pt idx="9">
                  <c:v>170.812677</c:v>
                </c:pt>
                <c:pt idx="10">
                  <c:v>168.221387</c:v>
                </c:pt>
                <c:pt idx="11">
                  <c:v>171.877988</c:v>
                </c:pt>
              </c:numCache>
            </c:numRef>
          </c:xVal>
          <c:yVal>
            <c:numRef>
              <c:f>'Deposition Flux Compare'!$J$31:$J$42</c:f>
              <c:numCache>
                <c:formatCode>0</c:formatCode>
                <c:ptCount val="12"/>
                <c:pt idx="0">
                  <c:v>0.0</c:v>
                </c:pt>
                <c:pt idx="1">
                  <c:v>69.168</c:v>
                </c:pt>
                <c:pt idx="2">
                  <c:v>76.824</c:v>
                </c:pt>
                <c:pt idx="3">
                  <c:v>99.0</c:v>
                </c:pt>
                <c:pt idx="4">
                  <c:v>103.488</c:v>
                </c:pt>
                <c:pt idx="5">
                  <c:v>35.376</c:v>
                </c:pt>
                <c:pt idx="6">
                  <c:v>95.568</c:v>
                </c:pt>
                <c:pt idx="7">
                  <c:v>55.176</c:v>
                </c:pt>
                <c:pt idx="8">
                  <c:v>73.128</c:v>
                </c:pt>
                <c:pt idx="9">
                  <c:v>64.152</c:v>
                </c:pt>
                <c:pt idx="10">
                  <c:v>77.088</c:v>
                </c:pt>
                <c:pt idx="11">
                  <c:v>93.19200000000001</c:v>
                </c:pt>
              </c:numCache>
            </c:numRef>
          </c:yVal>
          <c:smooth val="0"/>
        </c:ser>
        <c:ser>
          <c:idx val="5"/>
          <c:order val="1"/>
          <c:spPr>
            <a:ln w="25400" cap="rnd">
              <a:solidFill>
                <a:schemeClr val="tx1"/>
              </a:solidFill>
              <a:round/>
            </a:ln>
            <a:effectLst/>
          </c:spPr>
          <c:marker>
            <c:symbol val="circle"/>
            <c:size val="5"/>
            <c:spPr>
              <a:noFill/>
              <a:ln w="9525">
                <a:noFill/>
              </a:ln>
              <a:effectLst/>
            </c:spPr>
          </c:marker>
          <c:xVal>
            <c:numRef>
              <c:f>'Deposition Flux Compare'!$Y$56:$Y$57</c:f>
              <c:numCache>
                <c:formatCode>General</c:formatCode>
                <c:ptCount val="2"/>
                <c:pt idx="0">
                  <c:v>1.0</c:v>
                </c:pt>
                <c:pt idx="1">
                  <c:v>500.0</c:v>
                </c:pt>
              </c:numCache>
            </c:numRef>
          </c:xVal>
          <c:yVal>
            <c:numRef>
              <c:f>'Deposition Flux Compare'!$Z$56:$Z$57</c:f>
              <c:numCache>
                <c:formatCode>General</c:formatCode>
                <c:ptCount val="2"/>
                <c:pt idx="0">
                  <c:v>1.0</c:v>
                </c:pt>
                <c:pt idx="1">
                  <c:v>500.0</c:v>
                </c:pt>
              </c:numCache>
            </c:numRef>
          </c:yVal>
          <c:smooth val="0"/>
        </c:ser>
        <c:ser>
          <c:idx val="7"/>
          <c:order val="2"/>
          <c:spPr>
            <a:ln w="25400" cap="rnd">
              <a:solidFill>
                <a:schemeClr val="tx1"/>
              </a:solidFill>
              <a:round/>
            </a:ln>
            <a:effectLst/>
          </c:spPr>
          <c:marker>
            <c:symbol val="circle"/>
            <c:size val="5"/>
            <c:spPr>
              <a:noFill/>
              <a:ln w="9525">
                <a:noFill/>
              </a:ln>
              <a:effectLst/>
            </c:spPr>
          </c:marker>
          <c:xVal>
            <c:numRef>
              <c:f>'Deposition Flux Compare'!$Y$60:$Y$61</c:f>
              <c:numCache>
                <c:formatCode>General</c:formatCode>
                <c:ptCount val="2"/>
                <c:pt idx="0">
                  <c:v>0.0</c:v>
                </c:pt>
                <c:pt idx="1">
                  <c:v>500.0</c:v>
                </c:pt>
              </c:numCache>
            </c:numRef>
          </c:xVal>
          <c:yVal>
            <c:numRef>
              <c:f>'Deposition Flux Compare'!$Z$60:$Z$61</c:f>
              <c:numCache>
                <c:formatCode>General</c:formatCode>
                <c:ptCount val="2"/>
                <c:pt idx="0">
                  <c:v>100.0</c:v>
                </c:pt>
                <c:pt idx="1">
                  <c:v>600.0</c:v>
                </c:pt>
              </c:numCache>
            </c:numRef>
          </c:yVal>
          <c:smooth val="0"/>
        </c:ser>
        <c:ser>
          <c:idx val="3"/>
          <c:order val="3"/>
          <c:spPr>
            <a:ln w="25400" cap="rnd">
              <a:solidFill>
                <a:schemeClr val="tx1"/>
              </a:solidFill>
              <a:round/>
            </a:ln>
            <a:effectLst/>
          </c:spPr>
          <c:marker>
            <c:symbol val="circle"/>
            <c:size val="5"/>
            <c:spPr>
              <a:noFill/>
              <a:ln w="9525">
                <a:noFill/>
              </a:ln>
              <a:effectLst/>
            </c:spPr>
          </c:marker>
          <c:xVal>
            <c:numRef>
              <c:f>'Deposition Flux Compare'!$Y$64:$Y$65</c:f>
              <c:numCache>
                <c:formatCode>General</c:formatCode>
                <c:ptCount val="2"/>
                <c:pt idx="0">
                  <c:v>100.0</c:v>
                </c:pt>
                <c:pt idx="1">
                  <c:v>500.0</c:v>
                </c:pt>
              </c:numCache>
            </c:numRef>
          </c:xVal>
          <c:yVal>
            <c:numRef>
              <c:f>'Deposition Flux Compare'!$Z$64:$Z$65</c:f>
              <c:numCache>
                <c:formatCode>General</c:formatCode>
                <c:ptCount val="2"/>
                <c:pt idx="0">
                  <c:v>0.0</c:v>
                </c:pt>
                <c:pt idx="1">
                  <c:v>400.0</c:v>
                </c:pt>
              </c:numCache>
            </c:numRef>
          </c:yVal>
          <c:smooth val="0"/>
        </c:ser>
        <c:dLbls>
          <c:showLegendKey val="0"/>
          <c:showVal val="0"/>
          <c:showCatName val="0"/>
          <c:showSerName val="0"/>
          <c:showPercent val="0"/>
          <c:showBubbleSize val="0"/>
        </c:dLbls>
        <c:axId val="-1964330064"/>
        <c:axId val="-1964317424"/>
      </c:scatterChart>
      <c:valAx>
        <c:axId val="-1964330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Model Result Flux (kg/yr)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317424"/>
        <c:crosses val="autoZero"/>
        <c:crossBetween val="midCat"/>
        <c:majorUnit val="100.0"/>
      </c:valAx>
      <c:valAx>
        <c:axId val="-1964317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Measured Flux (kg/yr)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330064"/>
        <c:crosses val="autoZero"/>
        <c:crossBetween val="midCat"/>
      </c:valAx>
      <c:spPr>
        <a:noFill/>
        <a:ln>
          <a:noFill/>
        </a:ln>
        <a:effectLst/>
      </c:spPr>
    </c:plotArea>
    <c:legend>
      <c:legendPos val="b"/>
      <c:legendEntry>
        <c:idx val="1"/>
        <c:delete val="1"/>
      </c:legendEntry>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Model</a:t>
            </a:r>
            <a:r>
              <a:rPr lang="en-US" b="1" baseline="0"/>
              <a:t> Flux vs Measured Flux</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4"/>
          <c:order val="0"/>
          <c:tx>
            <c:v>Higher/Fast - Young 2007</c:v>
          </c:tx>
          <c:spPr>
            <a:ln w="25400" cap="rnd">
              <a:noFill/>
              <a:round/>
            </a:ln>
            <a:effectLst/>
          </c:spPr>
          <c:marker>
            <c:symbol val="circle"/>
            <c:size val="5"/>
            <c:spPr>
              <a:solidFill>
                <a:schemeClr val="accent5"/>
              </a:solidFill>
              <a:ln w="9525">
                <a:solidFill>
                  <a:schemeClr val="accent5"/>
                </a:solidFill>
              </a:ln>
              <a:effectLst/>
            </c:spPr>
          </c:marker>
          <c:xVal>
            <c:numRef>
              <c:f>'Deposition Flux Compare'!$F$43:$F$54</c:f>
              <c:numCache>
                <c:formatCode>General</c:formatCode>
                <c:ptCount val="12"/>
                <c:pt idx="0">
                  <c:v>356.531078</c:v>
                </c:pt>
                <c:pt idx="1">
                  <c:v>395.061424</c:v>
                </c:pt>
                <c:pt idx="2">
                  <c:v>407.69652</c:v>
                </c:pt>
                <c:pt idx="3">
                  <c:v>326.694567</c:v>
                </c:pt>
                <c:pt idx="4">
                  <c:v>258.172924</c:v>
                </c:pt>
                <c:pt idx="5">
                  <c:v>245.063589</c:v>
                </c:pt>
                <c:pt idx="6">
                  <c:v>167.330214</c:v>
                </c:pt>
                <c:pt idx="7">
                  <c:v>76.080462</c:v>
                </c:pt>
                <c:pt idx="8">
                  <c:v>50.118778</c:v>
                </c:pt>
                <c:pt idx="9">
                  <c:v>39.507561</c:v>
                </c:pt>
                <c:pt idx="10">
                  <c:v>36.729987</c:v>
                </c:pt>
                <c:pt idx="11">
                  <c:v>36.677313</c:v>
                </c:pt>
              </c:numCache>
            </c:numRef>
          </c:xVal>
          <c:yVal>
            <c:numRef>
              <c:f>'Deposition Flux Compare'!$I$43:$I$54</c:f>
              <c:numCache>
                <c:formatCode>0</c:formatCode>
                <c:ptCount val="12"/>
                <c:pt idx="0">
                  <c:v>0.0</c:v>
                </c:pt>
                <c:pt idx="1">
                  <c:v>266.64</c:v>
                </c:pt>
                <c:pt idx="2">
                  <c:v>479.16</c:v>
                </c:pt>
                <c:pt idx="3">
                  <c:v>732.6</c:v>
                </c:pt>
                <c:pt idx="4">
                  <c:v>297.0</c:v>
                </c:pt>
                <c:pt idx="5">
                  <c:v>158.4</c:v>
                </c:pt>
                <c:pt idx="6">
                  <c:v>103.752</c:v>
                </c:pt>
                <c:pt idx="7">
                  <c:v>29.832</c:v>
                </c:pt>
                <c:pt idx="8">
                  <c:v>88.17599999999999</c:v>
                </c:pt>
                <c:pt idx="9">
                  <c:v>135.96</c:v>
                </c:pt>
                <c:pt idx="10">
                  <c:v>106.392</c:v>
                </c:pt>
                <c:pt idx="11">
                  <c:v>0.0</c:v>
                </c:pt>
              </c:numCache>
            </c:numRef>
          </c:yVal>
          <c:smooth val="0"/>
        </c:ser>
        <c:ser>
          <c:idx val="5"/>
          <c:order val="1"/>
          <c:spPr>
            <a:ln w="25400" cap="rnd">
              <a:solidFill>
                <a:schemeClr val="tx1"/>
              </a:solidFill>
              <a:round/>
            </a:ln>
            <a:effectLst/>
          </c:spPr>
          <c:marker>
            <c:symbol val="circle"/>
            <c:size val="5"/>
            <c:spPr>
              <a:noFill/>
              <a:ln w="9525">
                <a:noFill/>
              </a:ln>
              <a:effectLst/>
            </c:spPr>
          </c:marker>
          <c:xVal>
            <c:numRef>
              <c:f>'Deposition Flux Compare'!$Y$56:$Y$57</c:f>
              <c:numCache>
                <c:formatCode>General</c:formatCode>
                <c:ptCount val="2"/>
                <c:pt idx="0">
                  <c:v>1.0</c:v>
                </c:pt>
                <c:pt idx="1">
                  <c:v>500.0</c:v>
                </c:pt>
              </c:numCache>
            </c:numRef>
          </c:xVal>
          <c:yVal>
            <c:numRef>
              <c:f>'Deposition Flux Compare'!$Z$56:$Z$57</c:f>
              <c:numCache>
                <c:formatCode>General</c:formatCode>
                <c:ptCount val="2"/>
                <c:pt idx="0">
                  <c:v>1.0</c:v>
                </c:pt>
                <c:pt idx="1">
                  <c:v>500.0</c:v>
                </c:pt>
              </c:numCache>
            </c:numRef>
          </c:yVal>
          <c:smooth val="0"/>
        </c:ser>
        <c:ser>
          <c:idx val="7"/>
          <c:order val="2"/>
          <c:spPr>
            <a:ln w="25400" cap="rnd">
              <a:solidFill>
                <a:schemeClr val="tx1"/>
              </a:solidFill>
              <a:round/>
            </a:ln>
            <a:effectLst/>
          </c:spPr>
          <c:marker>
            <c:symbol val="circle"/>
            <c:size val="5"/>
            <c:spPr>
              <a:noFill/>
              <a:ln w="9525">
                <a:noFill/>
              </a:ln>
              <a:effectLst/>
            </c:spPr>
          </c:marker>
          <c:xVal>
            <c:numRef>
              <c:f>'Deposition Flux Compare'!$Y$60:$Y$61</c:f>
              <c:numCache>
                <c:formatCode>General</c:formatCode>
                <c:ptCount val="2"/>
                <c:pt idx="0">
                  <c:v>0.0</c:v>
                </c:pt>
                <c:pt idx="1">
                  <c:v>500.0</c:v>
                </c:pt>
              </c:numCache>
            </c:numRef>
          </c:xVal>
          <c:yVal>
            <c:numRef>
              <c:f>'Deposition Flux Compare'!$Z$60:$Z$61</c:f>
              <c:numCache>
                <c:formatCode>General</c:formatCode>
                <c:ptCount val="2"/>
                <c:pt idx="0">
                  <c:v>100.0</c:v>
                </c:pt>
                <c:pt idx="1">
                  <c:v>600.0</c:v>
                </c:pt>
              </c:numCache>
            </c:numRef>
          </c:yVal>
          <c:smooth val="0"/>
        </c:ser>
        <c:ser>
          <c:idx val="3"/>
          <c:order val="3"/>
          <c:spPr>
            <a:ln w="25400" cap="rnd">
              <a:solidFill>
                <a:schemeClr val="tx1"/>
              </a:solidFill>
              <a:round/>
            </a:ln>
            <a:effectLst/>
          </c:spPr>
          <c:marker>
            <c:symbol val="circle"/>
            <c:size val="5"/>
            <c:spPr>
              <a:noFill/>
              <a:ln w="9525">
                <a:noFill/>
              </a:ln>
              <a:effectLst/>
            </c:spPr>
          </c:marker>
          <c:xVal>
            <c:numRef>
              <c:f>'Deposition Flux Compare'!$Y$64:$Y$65</c:f>
              <c:numCache>
                <c:formatCode>General</c:formatCode>
                <c:ptCount val="2"/>
                <c:pt idx="0">
                  <c:v>100.0</c:v>
                </c:pt>
                <c:pt idx="1">
                  <c:v>500.0</c:v>
                </c:pt>
              </c:numCache>
            </c:numRef>
          </c:xVal>
          <c:yVal>
            <c:numRef>
              <c:f>'Deposition Flux Compare'!$Z$64:$Z$65</c:f>
              <c:numCache>
                <c:formatCode>General</c:formatCode>
                <c:ptCount val="2"/>
                <c:pt idx="0">
                  <c:v>0.0</c:v>
                </c:pt>
                <c:pt idx="1">
                  <c:v>400.0</c:v>
                </c:pt>
              </c:numCache>
            </c:numRef>
          </c:yVal>
          <c:smooth val="0"/>
        </c:ser>
        <c:dLbls>
          <c:showLegendKey val="0"/>
          <c:showVal val="0"/>
          <c:showCatName val="0"/>
          <c:showSerName val="0"/>
          <c:showPercent val="0"/>
          <c:showBubbleSize val="0"/>
        </c:dLbls>
        <c:axId val="-1964218096"/>
        <c:axId val="-1964205456"/>
      </c:scatterChart>
      <c:valAx>
        <c:axId val="-19642180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Model Result Flux (kg/yr)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05456"/>
        <c:crosses val="autoZero"/>
        <c:crossBetween val="midCat"/>
        <c:majorUnit val="100.0"/>
      </c:valAx>
      <c:valAx>
        <c:axId val="-1964205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Measured Flux (kg/yr)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18096"/>
        <c:crosses val="autoZero"/>
        <c:crossBetween val="midCat"/>
      </c:valAx>
      <c:spPr>
        <a:noFill/>
        <a:ln>
          <a:noFill/>
        </a:ln>
        <a:effectLst/>
      </c:spPr>
    </c:plotArea>
    <c:legend>
      <c:legendPos val="b"/>
      <c:legendEntry>
        <c:idx val="1"/>
        <c:delete val="1"/>
      </c:legendEntry>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Model</a:t>
            </a:r>
            <a:r>
              <a:rPr lang="en-US" b="1" baseline="0"/>
              <a:t> Flux vs Measured Flux</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4"/>
          <c:order val="0"/>
          <c:tx>
            <c:v>Higher/Fast - MacInnes 2015</c:v>
          </c:tx>
          <c:spPr>
            <a:ln w="25400" cap="rnd">
              <a:noFill/>
              <a:round/>
            </a:ln>
            <a:effectLst/>
          </c:spPr>
          <c:marker>
            <c:symbol val="circle"/>
            <c:size val="5"/>
            <c:spPr>
              <a:solidFill>
                <a:schemeClr val="accent5"/>
              </a:solidFill>
              <a:ln w="9525">
                <a:solidFill>
                  <a:schemeClr val="accent5"/>
                </a:solidFill>
              </a:ln>
              <a:effectLst/>
            </c:spPr>
          </c:marker>
          <c:xVal>
            <c:numRef>
              <c:f>'Deposition Flux Compare'!$F$43:$F$54</c:f>
              <c:numCache>
                <c:formatCode>General</c:formatCode>
                <c:ptCount val="12"/>
                <c:pt idx="0">
                  <c:v>356.531078</c:v>
                </c:pt>
                <c:pt idx="1">
                  <c:v>395.061424</c:v>
                </c:pt>
                <c:pt idx="2">
                  <c:v>407.69652</c:v>
                </c:pt>
                <c:pt idx="3">
                  <c:v>326.694567</c:v>
                </c:pt>
                <c:pt idx="4">
                  <c:v>258.172924</c:v>
                </c:pt>
                <c:pt idx="5">
                  <c:v>245.063589</c:v>
                </c:pt>
                <c:pt idx="6">
                  <c:v>167.330214</c:v>
                </c:pt>
                <c:pt idx="7">
                  <c:v>76.080462</c:v>
                </c:pt>
                <c:pt idx="8">
                  <c:v>50.118778</c:v>
                </c:pt>
                <c:pt idx="9">
                  <c:v>39.507561</c:v>
                </c:pt>
                <c:pt idx="10">
                  <c:v>36.729987</c:v>
                </c:pt>
                <c:pt idx="11">
                  <c:v>36.677313</c:v>
                </c:pt>
              </c:numCache>
            </c:numRef>
          </c:xVal>
          <c:yVal>
            <c:numRef>
              <c:f>'Deposition Flux Compare'!$J$43:$J$54</c:f>
              <c:numCache>
                <c:formatCode>0</c:formatCode>
                <c:ptCount val="12"/>
                <c:pt idx="0">
                  <c:v>0.0</c:v>
                </c:pt>
                <c:pt idx="1">
                  <c:v>69.168</c:v>
                </c:pt>
                <c:pt idx="2">
                  <c:v>76.824</c:v>
                </c:pt>
                <c:pt idx="3">
                  <c:v>99.0</c:v>
                </c:pt>
                <c:pt idx="4">
                  <c:v>103.488</c:v>
                </c:pt>
                <c:pt idx="5">
                  <c:v>35.376</c:v>
                </c:pt>
                <c:pt idx="6">
                  <c:v>95.568</c:v>
                </c:pt>
                <c:pt idx="7">
                  <c:v>55.176</c:v>
                </c:pt>
                <c:pt idx="8">
                  <c:v>73.128</c:v>
                </c:pt>
                <c:pt idx="9">
                  <c:v>64.152</c:v>
                </c:pt>
                <c:pt idx="10">
                  <c:v>77.088</c:v>
                </c:pt>
                <c:pt idx="11">
                  <c:v>93.19200000000001</c:v>
                </c:pt>
              </c:numCache>
            </c:numRef>
          </c:yVal>
          <c:smooth val="0"/>
        </c:ser>
        <c:ser>
          <c:idx val="5"/>
          <c:order val="1"/>
          <c:spPr>
            <a:ln w="25400" cap="rnd">
              <a:solidFill>
                <a:schemeClr val="tx1"/>
              </a:solidFill>
              <a:round/>
            </a:ln>
            <a:effectLst/>
          </c:spPr>
          <c:marker>
            <c:symbol val="circle"/>
            <c:size val="5"/>
            <c:spPr>
              <a:noFill/>
              <a:ln w="9525">
                <a:noFill/>
              </a:ln>
              <a:effectLst/>
            </c:spPr>
          </c:marker>
          <c:xVal>
            <c:numRef>
              <c:f>'Deposition Flux Compare'!$Y$56:$Y$57</c:f>
              <c:numCache>
                <c:formatCode>General</c:formatCode>
                <c:ptCount val="2"/>
                <c:pt idx="0">
                  <c:v>1.0</c:v>
                </c:pt>
                <c:pt idx="1">
                  <c:v>500.0</c:v>
                </c:pt>
              </c:numCache>
            </c:numRef>
          </c:xVal>
          <c:yVal>
            <c:numRef>
              <c:f>'Deposition Flux Compare'!$Z$56:$Z$57</c:f>
              <c:numCache>
                <c:formatCode>General</c:formatCode>
                <c:ptCount val="2"/>
                <c:pt idx="0">
                  <c:v>1.0</c:v>
                </c:pt>
                <c:pt idx="1">
                  <c:v>500.0</c:v>
                </c:pt>
              </c:numCache>
            </c:numRef>
          </c:yVal>
          <c:smooth val="0"/>
        </c:ser>
        <c:ser>
          <c:idx val="7"/>
          <c:order val="2"/>
          <c:spPr>
            <a:ln w="25400" cap="rnd">
              <a:solidFill>
                <a:schemeClr val="tx1"/>
              </a:solidFill>
              <a:round/>
            </a:ln>
            <a:effectLst/>
          </c:spPr>
          <c:marker>
            <c:symbol val="circle"/>
            <c:size val="5"/>
            <c:spPr>
              <a:noFill/>
              <a:ln w="9525">
                <a:noFill/>
              </a:ln>
              <a:effectLst/>
            </c:spPr>
          </c:marker>
          <c:xVal>
            <c:numRef>
              <c:f>'Deposition Flux Compare'!$Y$60:$Y$61</c:f>
              <c:numCache>
                <c:formatCode>General</c:formatCode>
                <c:ptCount val="2"/>
                <c:pt idx="0">
                  <c:v>0.0</c:v>
                </c:pt>
                <c:pt idx="1">
                  <c:v>500.0</c:v>
                </c:pt>
              </c:numCache>
            </c:numRef>
          </c:xVal>
          <c:yVal>
            <c:numRef>
              <c:f>'Deposition Flux Compare'!$Z$60:$Z$61</c:f>
              <c:numCache>
                <c:formatCode>General</c:formatCode>
                <c:ptCount val="2"/>
                <c:pt idx="0">
                  <c:v>100.0</c:v>
                </c:pt>
                <c:pt idx="1">
                  <c:v>600.0</c:v>
                </c:pt>
              </c:numCache>
            </c:numRef>
          </c:yVal>
          <c:smooth val="0"/>
        </c:ser>
        <c:ser>
          <c:idx val="3"/>
          <c:order val="3"/>
          <c:spPr>
            <a:ln w="25400" cap="rnd">
              <a:solidFill>
                <a:schemeClr val="tx1"/>
              </a:solidFill>
              <a:round/>
            </a:ln>
            <a:effectLst/>
          </c:spPr>
          <c:marker>
            <c:symbol val="circle"/>
            <c:size val="5"/>
            <c:spPr>
              <a:noFill/>
              <a:ln w="9525">
                <a:noFill/>
              </a:ln>
              <a:effectLst/>
            </c:spPr>
          </c:marker>
          <c:xVal>
            <c:numRef>
              <c:f>'Deposition Flux Compare'!$Y$64:$Y$65</c:f>
              <c:numCache>
                <c:formatCode>General</c:formatCode>
                <c:ptCount val="2"/>
                <c:pt idx="0">
                  <c:v>100.0</c:v>
                </c:pt>
                <c:pt idx="1">
                  <c:v>500.0</c:v>
                </c:pt>
              </c:numCache>
            </c:numRef>
          </c:xVal>
          <c:yVal>
            <c:numRef>
              <c:f>'Deposition Flux Compare'!$Z$64:$Z$65</c:f>
              <c:numCache>
                <c:formatCode>General</c:formatCode>
                <c:ptCount val="2"/>
                <c:pt idx="0">
                  <c:v>0.0</c:v>
                </c:pt>
                <c:pt idx="1">
                  <c:v>400.0</c:v>
                </c:pt>
              </c:numCache>
            </c:numRef>
          </c:yVal>
          <c:smooth val="0"/>
        </c:ser>
        <c:dLbls>
          <c:showLegendKey val="0"/>
          <c:showVal val="0"/>
          <c:showCatName val="0"/>
          <c:showSerName val="0"/>
          <c:showPercent val="0"/>
          <c:showBubbleSize val="0"/>
        </c:dLbls>
        <c:axId val="-1964130992"/>
        <c:axId val="-1964118352"/>
      </c:scatterChart>
      <c:valAx>
        <c:axId val="-19641309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Model Result Flux (kg/yr)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118352"/>
        <c:crosses val="autoZero"/>
        <c:crossBetween val="midCat"/>
        <c:majorUnit val="100.0"/>
      </c:valAx>
      <c:valAx>
        <c:axId val="-1964118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Measured Flux (kg/yr)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130992"/>
        <c:crosses val="autoZero"/>
        <c:crossBetween val="midCat"/>
      </c:valAx>
      <c:spPr>
        <a:noFill/>
        <a:ln>
          <a:noFill/>
        </a:ln>
        <a:effectLst/>
      </c:spPr>
    </c:plotArea>
    <c:legend>
      <c:legendPos val="b"/>
      <c:legendEntry>
        <c:idx val="1"/>
        <c:delete val="1"/>
      </c:legendEntry>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PFOS Flux to the Arctic Using</a:t>
            </a:r>
            <a:r>
              <a:rPr lang="en-US" b="1" baseline="0"/>
              <a:t> Kwok 2013</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'Deposition Flux Compare'!$I$8</c:f>
              <c:strCache>
                <c:ptCount val="1"/>
                <c:pt idx="0">
                  <c:v>Kwok 2013, _x000d_Core 1</c:v>
                </c:pt>
              </c:strCache>
            </c:strRef>
          </c:tx>
          <c:spPr>
            <a:ln w="25400" cap="rnd">
              <a:solidFill>
                <a:schemeClr val="accent1"/>
              </a:solidFill>
              <a:round/>
            </a:ln>
            <a:effectLst/>
          </c:spPr>
          <c:marker>
            <c:symbol val="circle"/>
            <c:size val="5"/>
            <c:spPr>
              <a:solidFill>
                <a:schemeClr val="accent1"/>
              </a:solidFill>
              <a:ln w="9525">
                <a:noFill/>
              </a:ln>
              <a:effectLst/>
            </c:spPr>
          </c:marker>
          <c:xVal>
            <c:numRef>
              <c:f>'Deposition Flux Compare'!$B$9:$B$21</c:f>
              <c:numCache>
                <c:formatCode>General</c:formatCode>
                <c:ptCount val="13"/>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pt idx="12">
                  <c:v>2007.0</c:v>
                </c:pt>
              </c:numCache>
            </c:numRef>
          </c:xVal>
          <c:yVal>
            <c:numRef>
              <c:f>'Deposition Flux Compare'!$I$9:$I$21</c:f>
              <c:numCache>
                <c:formatCode>0.00E+00</c:formatCode>
                <c:ptCount val="13"/>
                <c:pt idx="0">
                  <c:v>0.0038544</c:v>
                </c:pt>
                <c:pt idx="1">
                  <c:v>0.0026928</c:v>
                </c:pt>
                <c:pt idx="2">
                  <c:v>0.012276</c:v>
                </c:pt>
                <c:pt idx="3">
                  <c:v>0.0042768</c:v>
                </c:pt>
                <c:pt idx="4">
                  <c:v>0.0041712</c:v>
                </c:pt>
                <c:pt idx="5">
                  <c:v>0.0034848</c:v>
                </c:pt>
                <c:pt idx="6">
                  <c:v>0.002376</c:v>
                </c:pt>
                <c:pt idx="7">
                  <c:v>0.002376</c:v>
                </c:pt>
                <c:pt idx="8">
                  <c:v>0.0042504</c:v>
                </c:pt>
                <c:pt idx="9">
                  <c:v>0.0042768</c:v>
                </c:pt>
              </c:numCache>
            </c:numRef>
          </c:yVal>
          <c:smooth val="0"/>
        </c:ser>
        <c:ser>
          <c:idx val="1"/>
          <c:order val="1"/>
          <c:tx>
            <c:strRef>
              <c:f>'Deposition Flux Compare'!$J$8</c:f>
              <c:strCache>
                <c:ptCount val="1"/>
                <c:pt idx="0">
                  <c:v>Kwok 2013, _x000d_Core 2</c:v>
                </c:pt>
              </c:strCache>
            </c:strRef>
          </c:tx>
          <c:spPr>
            <a:ln w="25400" cap="rnd">
              <a:solidFill>
                <a:schemeClr val="accent3"/>
              </a:solidFill>
              <a:round/>
            </a:ln>
            <a:effectLst/>
          </c:spPr>
          <c:marker>
            <c:symbol val="circle"/>
            <c:size val="5"/>
            <c:spPr>
              <a:solidFill>
                <a:schemeClr val="accent3"/>
              </a:solidFill>
              <a:ln w="9525">
                <a:noFill/>
              </a:ln>
              <a:effectLst/>
            </c:spPr>
          </c:marker>
          <c:xVal>
            <c:numRef>
              <c:f>'Deposition Flux Compare'!$B$9:$B$21</c:f>
              <c:numCache>
                <c:formatCode>General</c:formatCode>
                <c:ptCount val="13"/>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pt idx="12">
                  <c:v>2007.0</c:v>
                </c:pt>
              </c:numCache>
            </c:numRef>
          </c:xVal>
          <c:yVal>
            <c:numRef>
              <c:f>'Deposition Flux Compare'!$J$9:$J$21</c:f>
              <c:numCache>
                <c:formatCode>0.00E+00</c:formatCode>
                <c:ptCount val="13"/>
                <c:pt idx="0">
                  <c:v>0.0052008</c:v>
                </c:pt>
                <c:pt idx="1">
                  <c:v>0.0039072</c:v>
                </c:pt>
                <c:pt idx="2">
                  <c:v>0.006072</c:v>
                </c:pt>
                <c:pt idx="3">
                  <c:v>0.005808</c:v>
                </c:pt>
                <c:pt idx="4">
                  <c:v>0.006864</c:v>
                </c:pt>
                <c:pt idx="5">
                  <c:v>0.0042504</c:v>
                </c:pt>
                <c:pt idx="6">
                  <c:v>0.00264</c:v>
                </c:pt>
                <c:pt idx="7">
                  <c:v>0.0034584</c:v>
                </c:pt>
                <c:pt idx="8">
                  <c:v>0.001716</c:v>
                </c:pt>
                <c:pt idx="9">
                  <c:v>0.0017424</c:v>
                </c:pt>
              </c:numCache>
            </c:numRef>
          </c:yVal>
          <c:smooth val="0"/>
        </c:ser>
        <c:dLbls>
          <c:showLegendKey val="0"/>
          <c:showVal val="0"/>
          <c:showCatName val="0"/>
          <c:showSerName val="0"/>
          <c:showPercent val="0"/>
          <c:showBubbleSize val="0"/>
        </c:dLbls>
        <c:axId val="-1962217824"/>
        <c:axId val="-1962209472"/>
      </c:scatterChart>
      <c:valAx>
        <c:axId val="-19622178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Year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209472"/>
        <c:crosses val="autoZero"/>
        <c:crossBetween val="midCat"/>
      </c:valAx>
      <c:valAx>
        <c:axId val="-1962209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PFOS Flux to Arctic (kg/yr)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2178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963248353379037"/>
          <c:y val="0.139559520669822"/>
          <c:w val="0.536047300195157"/>
          <c:h val="0.552547668824215"/>
        </c:manualLayout>
      </c:layout>
      <c:scatterChart>
        <c:scatterStyle val="lineMarker"/>
        <c:varyColors val="0"/>
        <c:ser>
          <c:idx val="0"/>
          <c:order val="0"/>
          <c:tx>
            <c:strRef>
              <c:f>'Deposition Flux Compare'!$G$8</c:f>
              <c:strCache>
                <c:ptCount val="1"/>
                <c:pt idx="0">
                  <c:v>Young et al., 2007</c:v>
                </c:pt>
              </c:strCache>
            </c:strRef>
          </c:tx>
          <c:spPr>
            <a:ln w="47625" cap="rnd">
              <a:noFill/>
              <a:round/>
            </a:ln>
            <a:effectLst/>
          </c:spPr>
          <c:marker>
            <c:symbol val="circle"/>
            <c:size val="5"/>
            <c:spPr>
              <a:solidFill>
                <a:schemeClr val="tx1"/>
              </a:solidFill>
              <a:ln w="9525">
                <a:noFill/>
              </a:ln>
              <a:effectLst/>
            </c:spPr>
          </c:marker>
          <c:xVal>
            <c:numRef>
              <c:f>'Deposition Flux Compare'!$B$9:$B$21</c:f>
              <c:numCache>
                <c:formatCode>General</c:formatCode>
                <c:ptCount val="13"/>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pt idx="12">
                  <c:v>2007.0</c:v>
                </c:pt>
              </c:numCache>
            </c:numRef>
          </c:xVal>
          <c:yVal>
            <c:numRef>
              <c:f>'Deposition Flux Compare'!$G$9:$G$21</c:f>
              <c:numCache>
                <c:formatCode>0</c:formatCode>
                <c:ptCount val="13"/>
                <c:pt idx="1">
                  <c:v>266.64</c:v>
                </c:pt>
                <c:pt idx="2">
                  <c:v>479.16</c:v>
                </c:pt>
                <c:pt idx="3">
                  <c:v>732.6</c:v>
                </c:pt>
                <c:pt idx="4">
                  <c:v>297.0</c:v>
                </c:pt>
                <c:pt idx="5">
                  <c:v>158.4</c:v>
                </c:pt>
                <c:pt idx="6">
                  <c:v>103.752</c:v>
                </c:pt>
                <c:pt idx="7">
                  <c:v>29.832</c:v>
                </c:pt>
                <c:pt idx="8">
                  <c:v>88.17599999999999</c:v>
                </c:pt>
                <c:pt idx="9">
                  <c:v>135.96</c:v>
                </c:pt>
                <c:pt idx="10">
                  <c:v>106.392</c:v>
                </c:pt>
              </c:numCache>
            </c:numRef>
          </c:yVal>
          <c:smooth val="0"/>
        </c:ser>
        <c:ser>
          <c:idx val="2"/>
          <c:order val="1"/>
          <c:tx>
            <c:v>High</c:v>
          </c:tx>
          <c:spPr>
            <a:ln w="25400" cap="rnd">
              <a:solidFill>
                <a:srgbClr val="F15854"/>
              </a:solidFill>
              <a:round/>
            </a:ln>
            <a:effectLst/>
          </c:spPr>
          <c:marker>
            <c:symbol val="none"/>
          </c:marker>
          <c:xVal>
            <c:numRef>
              <c:f>'Deposition Flux Compare'!$H$31:$H$42</c:f>
              <c:numCache>
                <c:formatCode>General</c:formatCode>
                <c:ptCount val="12"/>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numCache>
            </c:numRef>
          </c:xVal>
          <c:yVal>
            <c:numRef>
              <c:f>'Deposition Flux Compare'!$F$31:$F$42</c:f>
              <c:numCache>
                <c:formatCode>General</c:formatCode>
                <c:ptCount val="12"/>
                <c:pt idx="0">
                  <c:v>1650.683893</c:v>
                </c:pt>
                <c:pt idx="1">
                  <c:v>1806.338973</c:v>
                </c:pt>
                <c:pt idx="2">
                  <c:v>1830.448199</c:v>
                </c:pt>
                <c:pt idx="3">
                  <c:v>1219.064587</c:v>
                </c:pt>
                <c:pt idx="4">
                  <c:v>980.240394</c:v>
                </c:pt>
                <c:pt idx="5">
                  <c:v>1041.531392</c:v>
                </c:pt>
                <c:pt idx="6">
                  <c:v>682.294251</c:v>
                </c:pt>
                <c:pt idx="7">
                  <c:v>286.888981</c:v>
                </c:pt>
                <c:pt idx="8">
                  <c:v>201.397326</c:v>
                </c:pt>
                <c:pt idx="9">
                  <c:v>170.812677</c:v>
                </c:pt>
                <c:pt idx="10">
                  <c:v>168.221387</c:v>
                </c:pt>
                <c:pt idx="11">
                  <c:v>171.877988</c:v>
                </c:pt>
              </c:numCache>
            </c:numRef>
          </c:yVal>
          <c:smooth val="0"/>
        </c:ser>
        <c:ser>
          <c:idx val="4"/>
          <c:order val="2"/>
          <c:tx>
            <c:v>Medium</c:v>
          </c:tx>
          <c:spPr>
            <a:ln w="25400" cap="flat" cmpd="sng" algn="ctr">
              <a:solidFill>
                <a:srgbClr val="5DA5DA"/>
              </a:solidFill>
              <a:prstDash val="solid"/>
              <a:round/>
            </a:ln>
            <a:effectLst/>
          </c:spPr>
          <c:marker>
            <c:symbol val="none"/>
          </c:marker>
          <c:xVal>
            <c:numRef>
              <c:f>'Deposition Flux Compare'!$H$55:$H$66</c:f>
              <c:numCache>
                <c:formatCode>General</c:formatCode>
                <c:ptCount val="12"/>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numCache>
            </c:numRef>
          </c:xVal>
          <c:yVal>
            <c:numRef>
              <c:f>'Deposition Flux Compare'!$F$55:$F$66</c:f>
              <c:numCache>
                <c:formatCode>General</c:formatCode>
                <c:ptCount val="12"/>
                <c:pt idx="0">
                  <c:v>1052.160605</c:v>
                </c:pt>
                <c:pt idx="1">
                  <c:v>1136.769291</c:v>
                </c:pt>
                <c:pt idx="2">
                  <c:v>1145.713502</c:v>
                </c:pt>
                <c:pt idx="3">
                  <c:v>526.173363</c:v>
                </c:pt>
                <c:pt idx="4">
                  <c:v>277.99019</c:v>
                </c:pt>
                <c:pt idx="5">
                  <c:v>283.730161</c:v>
                </c:pt>
                <c:pt idx="6">
                  <c:v>134.138175</c:v>
                </c:pt>
                <c:pt idx="7">
                  <c:v>37.341561</c:v>
                </c:pt>
                <c:pt idx="8">
                  <c:v>23.767311</c:v>
                </c:pt>
                <c:pt idx="9">
                  <c:v>28.819525</c:v>
                </c:pt>
                <c:pt idx="10">
                  <c:v>46.298307</c:v>
                </c:pt>
                <c:pt idx="11">
                  <c:v>67.361456</c:v>
                </c:pt>
              </c:numCache>
            </c:numRef>
          </c:yVal>
          <c:smooth val="0"/>
        </c:ser>
        <c:ser>
          <c:idx val="7"/>
          <c:order val="3"/>
          <c:tx>
            <c:v>Low</c:v>
          </c:tx>
          <c:spPr>
            <a:ln w="25400" cap="flat" cmpd="sng" algn="ctr">
              <a:solidFill>
                <a:srgbClr val="5D61DA"/>
              </a:solidFill>
              <a:prstDash val="solid"/>
              <a:round/>
            </a:ln>
            <a:effectLst/>
          </c:spPr>
          <c:marker>
            <c:symbol val="none"/>
          </c:marker>
          <c:xVal>
            <c:numRef>
              <c:f>'Deposition Flux Compare'!$H$91:$H$102</c:f>
              <c:numCache>
                <c:formatCode>General</c:formatCode>
                <c:ptCount val="12"/>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numCache>
            </c:numRef>
          </c:xVal>
          <c:yVal>
            <c:numRef>
              <c:f>'Deposition Flux Compare'!$F$91:$F$102</c:f>
              <c:numCache>
                <c:formatCode>General</c:formatCode>
                <c:ptCount val="12"/>
                <c:pt idx="0">
                  <c:v>218.352186</c:v>
                </c:pt>
                <c:pt idx="1">
                  <c:v>240.228773</c:v>
                </c:pt>
                <c:pt idx="2">
                  <c:v>249.211046</c:v>
                </c:pt>
                <c:pt idx="3">
                  <c:v>166.082938</c:v>
                </c:pt>
                <c:pt idx="4">
                  <c:v>95.620147</c:v>
                </c:pt>
                <c:pt idx="5">
                  <c:v>69.748688</c:v>
                </c:pt>
                <c:pt idx="6">
                  <c:v>40.798458</c:v>
                </c:pt>
                <c:pt idx="7">
                  <c:v>20.053664</c:v>
                </c:pt>
                <c:pt idx="8">
                  <c:v>11.844435</c:v>
                </c:pt>
                <c:pt idx="9">
                  <c:v>9.395511</c:v>
                </c:pt>
                <c:pt idx="10">
                  <c:v>10.744464</c:v>
                </c:pt>
                <c:pt idx="11">
                  <c:v>14.123809</c:v>
                </c:pt>
              </c:numCache>
            </c:numRef>
          </c:yVal>
          <c:smooth val="0"/>
        </c:ser>
        <c:dLbls>
          <c:showLegendKey val="0"/>
          <c:showVal val="0"/>
          <c:showCatName val="0"/>
          <c:showSerName val="0"/>
          <c:showPercent val="0"/>
          <c:showBubbleSize val="0"/>
        </c:dLbls>
        <c:axId val="-1963446256"/>
        <c:axId val="-1963437376"/>
      </c:scatterChart>
      <c:valAx>
        <c:axId val="-1963446256"/>
        <c:scaling>
          <c:orientation val="minMax"/>
          <c:max val="2006.0"/>
          <c:min val="1995.0"/>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r>
                  <a:rPr lang="en-US"/>
                  <a:t>Year</a:t>
                </a:r>
              </a:p>
            </c:rich>
          </c:tx>
          <c:layout>
            <c:manualLayout>
              <c:xMode val="edge"/>
              <c:yMode val="edge"/>
              <c:x val="0.310077296775231"/>
              <c:y val="0.890395525750736"/>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endParaRPr lang="en-US"/>
            </a:p>
          </c:txPr>
        </c:title>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endParaRPr lang="en-US"/>
          </a:p>
        </c:txPr>
        <c:crossAx val="-1963437376"/>
        <c:crosses val="autoZero"/>
        <c:crossBetween val="midCat"/>
      </c:valAx>
      <c:valAx>
        <c:axId val="-1963437376"/>
        <c:scaling>
          <c:orientation val="minMax"/>
          <c:max val="2000.0"/>
        </c:scaling>
        <c:delete val="0"/>
        <c:axPos val="l"/>
        <c:majorGridlines>
          <c:spPr>
            <a:ln w="9525" cap="flat" cmpd="sng" algn="ctr">
              <a:noFill/>
              <a:round/>
            </a:ln>
            <a:effectLst/>
          </c:spPr>
        </c:majorGridlines>
        <c:numFmt formatCode="0"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500" b="0" i="0" u="none" strike="noStrike" kern="1200" baseline="0">
                <a:solidFill>
                  <a:schemeClr val="tx1"/>
                </a:solidFill>
                <a:latin typeface="Bitstream Vera Sans Roman" charset="0"/>
                <a:ea typeface="Bitstream Vera Sans Roman" charset="0"/>
                <a:cs typeface="Bitstream Vera Sans Roman" charset="0"/>
              </a:defRPr>
            </a:pPr>
            <a:endParaRPr lang="en-US"/>
          </a:p>
        </c:txPr>
        <c:crossAx val="-1963446256"/>
        <c:crosses val="autoZero"/>
        <c:crossBetween val="midCat"/>
        <c:majorUnit val="500.0"/>
      </c:valAx>
      <c:spPr>
        <a:noFill/>
        <a:ln>
          <a:noFill/>
        </a:ln>
        <a:effectLst/>
      </c:spPr>
    </c:plotArea>
    <c:plotVisOnly val="1"/>
    <c:dispBlanksAs val="span"/>
    <c:showDLblsOverMax val="0"/>
  </c:chart>
  <c:spPr>
    <a:solidFill>
      <a:schemeClr val="bg1"/>
    </a:solidFill>
    <a:ln w="9525" cap="flat" cmpd="sng" algn="ctr">
      <a:noFill/>
      <a:round/>
    </a:ln>
    <a:effectLst/>
  </c:spPr>
  <c:txPr>
    <a:bodyPr/>
    <a:lstStyle/>
    <a:p>
      <a:pPr>
        <a:defRPr sz="1500">
          <a:solidFill>
            <a:schemeClr val="tx1"/>
          </a:solidFill>
          <a:latin typeface="Bitstream Vera Sans Roman" charset="0"/>
          <a:ea typeface="Bitstream Vera Sans Roman" charset="0"/>
          <a:cs typeface="Bitstream Vera Sans Roman"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63579570568378"/>
          <c:y val="0.28793866825534"/>
          <c:w val="0.536047300195157"/>
          <c:h val="0.552547668824215"/>
        </c:manualLayout>
      </c:layout>
      <c:scatterChart>
        <c:scatterStyle val="lineMarker"/>
        <c:varyColors val="0"/>
        <c:ser>
          <c:idx val="0"/>
          <c:order val="0"/>
          <c:tx>
            <c:strRef>
              <c:f>'Deposition Flux Compare'!$G$8</c:f>
              <c:strCache>
                <c:ptCount val="1"/>
                <c:pt idx="0">
                  <c:v>Young et al., 2007</c:v>
                </c:pt>
              </c:strCache>
            </c:strRef>
          </c:tx>
          <c:spPr>
            <a:ln w="47625" cap="rnd">
              <a:noFill/>
              <a:round/>
            </a:ln>
            <a:effectLst/>
          </c:spPr>
          <c:marker>
            <c:symbol val="circle"/>
            <c:size val="5"/>
            <c:spPr>
              <a:solidFill>
                <a:schemeClr val="tx1"/>
              </a:solidFill>
              <a:ln w="9525">
                <a:noFill/>
              </a:ln>
              <a:effectLst/>
            </c:spPr>
          </c:marker>
          <c:xVal>
            <c:numRef>
              <c:f>'Deposition Flux Compare'!$B$9:$B$21</c:f>
              <c:numCache>
                <c:formatCode>General</c:formatCode>
                <c:ptCount val="13"/>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pt idx="12">
                  <c:v>2007.0</c:v>
                </c:pt>
              </c:numCache>
            </c:numRef>
          </c:xVal>
          <c:yVal>
            <c:numRef>
              <c:f>'Deposition Flux Compare'!$G$9:$G$21</c:f>
              <c:numCache>
                <c:formatCode>0</c:formatCode>
                <c:ptCount val="13"/>
                <c:pt idx="1">
                  <c:v>266.64</c:v>
                </c:pt>
                <c:pt idx="2">
                  <c:v>479.16</c:v>
                </c:pt>
                <c:pt idx="3">
                  <c:v>732.6</c:v>
                </c:pt>
                <c:pt idx="4">
                  <c:v>297.0</c:v>
                </c:pt>
                <c:pt idx="5">
                  <c:v>158.4</c:v>
                </c:pt>
                <c:pt idx="6">
                  <c:v>103.752</c:v>
                </c:pt>
                <c:pt idx="7">
                  <c:v>29.832</c:v>
                </c:pt>
                <c:pt idx="8">
                  <c:v>88.17599999999999</c:v>
                </c:pt>
                <c:pt idx="9">
                  <c:v>135.96</c:v>
                </c:pt>
                <c:pt idx="10">
                  <c:v>106.392</c:v>
                </c:pt>
              </c:numCache>
            </c:numRef>
          </c:yVal>
          <c:smooth val="0"/>
        </c:ser>
        <c:ser>
          <c:idx val="2"/>
          <c:order val="1"/>
          <c:tx>
            <c:v>High</c:v>
          </c:tx>
          <c:spPr>
            <a:ln w="25400" cap="rnd">
              <a:solidFill>
                <a:srgbClr val="F15854"/>
              </a:solidFill>
              <a:round/>
            </a:ln>
            <a:effectLst/>
          </c:spPr>
          <c:marker>
            <c:symbol val="none"/>
          </c:marker>
          <c:xVal>
            <c:numRef>
              <c:f>'Deposition Flux Compare'!$H$31:$H$42</c:f>
              <c:numCache>
                <c:formatCode>General</c:formatCode>
                <c:ptCount val="12"/>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numCache>
            </c:numRef>
          </c:xVal>
          <c:yVal>
            <c:numRef>
              <c:f>'Deposition Flux Compare'!$F$31:$F$42</c:f>
              <c:numCache>
                <c:formatCode>General</c:formatCode>
                <c:ptCount val="12"/>
                <c:pt idx="0">
                  <c:v>1650.683893</c:v>
                </c:pt>
                <c:pt idx="1">
                  <c:v>1806.338973</c:v>
                </c:pt>
                <c:pt idx="2">
                  <c:v>1830.448199</c:v>
                </c:pt>
                <c:pt idx="3">
                  <c:v>1219.064587</c:v>
                </c:pt>
                <c:pt idx="4">
                  <c:v>980.240394</c:v>
                </c:pt>
                <c:pt idx="5">
                  <c:v>1041.531392</c:v>
                </c:pt>
                <c:pt idx="6">
                  <c:v>682.294251</c:v>
                </c:pt>
                <c:pt idx="7">
                  <c:v>286.888981</c:v>
                </c:pt>
                <c:pt idx="8">
                  <c:v>201.397326</c:v>
                </c:pt>
                <c:pt idx="9">
                  <c:v>170.812677</c:v>
                </c:pt>
                <c:pt idx="10">
                  <c:v>168.221387</c:v>
                </c:pt>
                <c:pt idx="11">
                  <c:v>171.877988</c:v>
                </c:pt>
              </c:numCache>
            </c:numRef>
          </c:yVal>
          <c:smooth val="0"/>
        </c:ser>
        <c:ser>
          <c:idx val="4"/>
          <c:order val="2"/>
          <c:tx>
            <c:v>Medium</c:v>
          </c:tx>
          <c:spPr>
            <a:ln w="25400" cap="flat" cmpd="sng" algn="ctr">
              <a:solidFill>
                <a:srgbClr val="5DA5DA"/>
              </a:solidFill>
              <a:prstDash val="solid"/>
              <a:round/>
            </a:ln>
            <a:effectLst/>
          </c:spPr>
          <c:marker>
            <c:symbol val="none"/>
          </c:marker>
          <c:xVal>
            <c:numRef>
              <c:f>'Deposition Flux Compare'!$H$55:$H$66</c:f>
              <c:numCache>
                <c:formatCode>General</c:formatCode>
                <c:ptCount val="12"/>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numCache>
            </c:numRef>
          </c:xVal>
          <c:yVal>
            <c:numRef>
              <c:f>'Deposition Flux Compare'!$F$55:$F$66</c:f>
              <c:numCache>
                <c:formatCode>General</c:formatCode>
                <c:ptCount val="12"/>
                <c:pt idx="0">
                  <c:v>1052.160605</c:v>
                </c:pt>
                <c:pt idx="1">
                  <c:v>1136.769291</c:v>
                </c:pt>
                <c:pt idx="2">
                  <c:v>1145.713502</c:v>
                </c:pt>
                <c:pt idx="3">
                  <c:v>526.173363</c:v>
                </c:pt>
                <c:pt idx="4">
                  <c:v>277.99019</c:v>
                </c:pt>
                <c:pt idx="5">
                  <c:v>283.730161</c:v>
                </c:pt>
                <c:pt idx="6">
                  <c:v>134.138175</c:v>
                </c:pt>
                <c:pt idx="7">
                  <c:v>37.341561</c:v>
                </c:pt>
                <c:pt idx="8">
                  <c:v>23.767311</c:v>
                </c:pt>
                <c:pt idx="9">
                  <c:v>28.819525</c:v>
                </c:pt>
                <c:pt idx="10">
                  <c:v>46.298307</c:v>
                </c:pt>
                <c:pt idx="11">
                  <c:v>67.361456</c:v>
                </c:pt>
              </c:numCache>
            </c:numRef>
          </c:yVal>
          <c:smooth val="0"/>
        </c:ser>
        <c:ser>
          <c:idx val="7"/>
          <c:order val="3"/>
          <c:tx>
            <c:v>Low</c:v>
          </c:tx>
          <c:spPr>
            <a:ln w="25400" cap="flat" cmpd="sng" algn="ctr">
              <a:solidFill>
                <a:srgbClr val="5D61DA"/>
              </a:solidFill>
              <a:prstDash val="solid"/>
              <a:round/>
            </a:ln>
            <a:effectLst/>
          </c:spPr>
          <c:marker>
            <c:symbol val="none"/>
          </c:marker>
          <c:xVal>
            <c:numRef>
              <c:f>'Deposition Flux Compare'!$H$91:$H$102</c:f>
              <c:numCache>
                <c:formatCode>General</c:formatCode>
                <c:ptCount val="12"/>
                <c:pt idx="0">
                  <c:v>1995.0</c:v>
                </c:pt>
                <c:pt idx="1">
                  <c:v>1996.0</c:v>
                </c:pt>
                <c:pt idx="2">
                  <c:v>1997.0</c:v>
                </c:pt>
                <c:pt idx="3">
                  <c:v>1998.0</c:v>
                </c:pt>
                <c:pt idx="4">
                  <c:v>1999.0</c:v>
                </c:pt>
                <c:pt idx="5">
                  <c:v>2000.0</c:v>
                </c:pt>
                <c:pt idx="6">
                  <c:v>2001.0</c:v>
                </c:pt>
                <c:pt idx="7">
                  <c:v>2002.0</c:v>
                </c:pt>
                <c:pt idx="8">
                  <c:v>2003.0</c:v>
                </c:pt>
                <c:pt idx="9">
                  <c:v>2004.0</c:v>
                </c:pt>
                <c:pt idx="10">
                  <c:v>2005.0</c:v>
                </c:pt>
                <c:pt idx="11">
                  <c:v>2006.0</c:v>
                </c:pt>
              </c:numCache>
            </c:numRef>
          </c:xVal>
          <c:yVal>
            <c:numRef>
              <c:f>'Deposition Flux Compare'!$F$91:$F$102</c:f>
              <c:numCache>
                <c:formatCode>General</c:formatCode>
                <c:ptCount val="12"/>
                <c:pt idx="0">
                  <c:v>218.352186</c:v>
                </c:pt>
                <c:pt idx="1">
                  <c:v>240.228773</c:v>
                </c:pt>
                <c:pt idx="2">
                  <c:v>249.211046</c:v>
                </c:pt>
                <c:pt idx="3">
                  <c:v>166.082938</c:v>
                </c:pt>
                <c:pt idx="4">
                  <c:v>95.620147</c:v>
                </c:pt>
                <c:pt idx="5">
                  <c:v>69.748688</c:v>
                </c:pt>
                <c:pt idx="6">
                  <c:v>40.798458</c:v>
                </c:pt>
                <c:pt idx="7">
                  <c:v>20.053664</c:v>
                </c:pt>
                <c:pt idx="8">
                  <c:v>11.844435</c:v>
                </c:pt>
                <c:pt idx="9">
                  <c:v>9.395511</c:v>
                </c:pt>
                <c:pt idx="10">
                  <c:v>10.744464</c:v>
                </c:pt>
                <c:pt idx="11">
                  <c:v>14.123809</c:v>
                </c:pt>
              </c:numCache>
            </c:numRef>
          </c:yVal>
          <c:smooth val="0"/>
        </c:ser>
        <c:dLbls>
          <c:showLegendKey val="0"/>
          <c:showVal val="0"/>
          <c:showCatName val="0"/>
          <c:showSerName val="0"/>
          <c:showPercent val="0"/>
          <c:showBubbleSize val="0"/>
        </c:dLbls>
        <c:axId val="-1964053632"/>
        <c:axId val="-1964049184"/>
      </c:scatterChart>
      <c:valAx>
        <c:axId val="-1964053632"/>
        <c:scaling>
          <c:orientation val="minMax"/>
          <c:max val="2006.0"/>
          <c:min val="1995.0"/>
        </c:scaling>
        <c:delete val="1"/>
        <c:axPos val="b"/>
        <c:majorGridlines>
          <c:spPr>
            <a:ln w="9525" cap="flat" cmpd="sng" algn="ctr">
              <a:noFill/>
              <a:round/>
            </a:ln>
            <a:effectLst/>
          </c:spPr>
        </c:majorGridlines>
        <c:numFmt formatCode="General" sourceLinked="1"/>
        <c:majorTickMark val="cross"/>
        <c:minorTickMark val="none"/>
        <c:tickLblPos val="nextTo"/>
        <c:crossAx val="-1964049184"/>
        <c:crosses val="autoZero"/>
        <c:crossBetween val="midCat"/>
      </c:valAx>
      <c:valAx>
        <c:axId val="-1964049184"/>
        <c:scaling>
          <c:orientation val="minMax"/>
          <c:max val="2000.0"/>
        </c:scaling>
        <c:delete val="1"/>
        <c:axPos val="l"/>
        <c:numFmt formatCode="0" sourceLinked="1"/>
        <c:majorTickMark val="cross"/>
        <c:minorTickMark val="none"/>
        <c:tickLblPos val="nextTo"/>
        <c:crossAx val="-1964053632"/>
        <c:crosses val="autoZero"/>
        <c:crossBetween val="midCat"/>
        <c:majorUnit val="500.0"/>
      </c:valAx>
      <c:spPr>
        <a:noFill/>
        <a:ln>
          <a:noFill/>
        </a:ln>
        <a:effectLst/>
      </c:spPr>
    </c:plotArea>
    <c:legend>
      <c:legendPos val="l"/>
      <c:layout>
        <c:manualLayout>
          <c:xMode val="edge"/>
          <c:yMode val="edge"/>
          <c:x val="0.00149838799104921"/>
          <c:y val="0.32140582342383"/>
          <c:w val="0.247765775835388"/>
          <c:h val="0.30707149040542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Bitstream Vera Sans Roman" charset="0"/>
              <a:ea typeface="Bitstream Vera Sans Roman" charset="0"/>
              <a:cs typeface="Bitstream Vera Sans Roman" charset="0"/>
            </a:defRPr>
          </a:pPr>
          <a:endParaRPr lang="en-US"/>
        </a:p>
      </c:txPr>
    </c:legend>
    <c:plotVisOnly val="1"/>
    <c:dispBlanksAs val="span"/>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 Id="rId1" Type="http://schemas.openxmlformats.org/officeDocument/2006/relationships/chart" Target="../charts/chart5.xml"/><Relationship Id="rId2"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67</xdr:col>
      <xdr:colOff>727752</xdr:colOff>
      <xdr:row>3</xdr:row>
      <xdr:rowOff>38724</xdr:rowOff>
    </xdr:from>
    <xdr:to>
      <xdr:col>71</xdr:col>
      <xdr:colOff>747595</xdr:colOff>
      <xdr:row>6</xdr:row>
      <xdr:rowOff>187950</xdr:rowOff>
    </xdr:to>
    <xdr:sp macro="" textlink="">
      <xdr:nvSpPr>
        <xdr:cNvPr id="2" name="TextBox 1"/>
        <xdr:cNvSpPr txBox="1"/>
      </xdr:nvSpPr>
      <xdr:spPr>
        <a:xfrm>
          <a:off x="83345615" y="746434"/>
          <a:ext cx="2811904" cy="8375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The lower bound results here are actively</a:t>
          </a:r>
          <a:r>
            <a:rPr lang="en-US" sz="1100" baseline="0"/>
            <a:t> updated and dependent on whichever use and disposal % is currently set (10 or 50%).</a:t>
          </a:r>
          <a:endParaRPr lang="en-US" sz="1100"/>
        </a:p>
      </xdr:txBody>
    </xdr:sp>
    <xdr:clientData/>
  </xdr:twoCellAnchor>
  <xdr:twoCellAnchor>
    <xdr:from>
      <xdr:col>6</xdr:col>
      <xdr:colOff>444500</xdr:colOff>
      <xdr:row>30</xdr:row>
      <xdr:rowOff>165100</xdr:rowOff>
    </xdr:from>
    <xdr:to>
      <xdr:col>8</xdr:col>
      <xdr:colOff>304800</xdr:colOff>
      <xdr:row>33</xdr:row>
      <xdr:rowOff>25400</xdr:rowOff>
    </xdr:to>
    <xdr:sp macro="" textlink="">
      <xdr:nvSpPr>
        <xdr:cNvPr id="3" name="TextBox 2"/>
        <xdr:cNvSpPr txBox="1"/>
      </xdr:nvSpPr>
      <xdr:spPr>
        <a:xfrm>
          <a:off x="12128500" y="6553200"/>
          <a:ext cx="360680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Note</a:t>
          </a:r>
          <a:r>
            <a:rPr lang="en-US" sz="1400" baseline="0"/>
            <a:t> that the resulting values from our study are after the homologue distribution is considered (C8 purity is 84.5%).</a:t>
          </a:r>
          <a:endParaRPr lang="en-US" sz="1400"/>
        </a:p>
      </xdr:txBody>
    </xdr:sp>
    <xdr:clientData/>
  </xdr:twoCellAnchor>
  <xdr:twoCellAnchor>
    <xdr:from>
      <xdr:col>89</xdr:col>
      <xdr:colOff>510822</xdr:colOff>
      <xdr:row>5</xdr:row>
      <xdr:rowOff>80905</xdr:rowOff>
    </xdr:from>
    <xdr:to>
      <xdr:col>95</xdr:col>
      <xdr:colOff>446617</xdr:colOff>
      <xdr:row>7</xdr:row>
      <xdr:rowOff>650523</xdr:rowOff>
    </xdr:to>
    <xdr:sp macro="" textlink="">
      <xdr:nvSpPr>
        <xdr:cNvPr id="4" name="TextBox 3"/>
        <xdr:cNvSpPr txBox="1"/>
      </xdr:nvSpPr>
      <xdr:spPr>
        <a:xfrm>
          <a:off x="116614222" y="1236605"/>
          <a:ext cx="4888795" cy="1433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NOTE:</a:t>
          </a:r>
          <a:r>
            <a:rPr lang="en-US" sz="1200"/>
            <a:t> In order to show the true</a:t>
          </a:r>
          <a:r>
            <a:rPr lang="en-US" sz="1200" baseline="0"/>
            <a:t> range of the scearios (especially in the middle) for the fluxes, the medium scenario is set to lower/fast. This is different from the medium scenario for PFOS in ocean water, and a separate table column was added here to note this. However, it might not be important to actually include this column in the publication.</a:t>
          </a:r>
          <a:endParaRPr lang="en-US" sz="1200"/>
        </a:p>
      </xdr:txBody>
    </xdr:sp>
    <xdr:clientData/>
  </xdr:twoCellAnchor>
  <xdr:twoCellAnchor>
    <xdr:from>
      <xdr:col>21</xdr:col>
      <xdr:colOff>705083</xdr:colOff>
      <xdr:row>30</xdr:row>
      <xdr:rowOff>270680</xdr:rowOff>
    </xdr:from>
    <xdr:to>
      <xdr:col>30</xdr:col>
      <xdr:colOff>673100</xdr:colOff>
      <xdr:row>60</xdr:row>
      <xdr:rowOff>1491006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706429</xdr:colOff>
      <xdr:row>117</xdr:row>
      <xdr:rowOff>130620</xdr:rowOff>
    </xdr:from>
    <xdr:to>
      <xdr:col>22</xdr:col>
      <xdr:colOff>707052</xdr:colOff>
      <xdr:row>144</xdr:row>
      <xdr:rowOff>164520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520700</xdr:colOff>
      <xdr:row>38</xdr:row>
      <xdr:rowOff>0</xdr:rowOff>
    </xdr:from>
    <xdr:to>
      <xdr:col>21</xdr:col>
      <xdr:colOff>88900</xdr:colOff>
      <xdr:row>66</xdr:row>
      <xdr:rowOff>127000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794124</xdr:colOff>
      <xdr:row>67</xdr:row>
      <xdr:rowOff>135591</xdr:rowOff>
    </xdr:from>
    <xdr:to>
      <xdr:col>14</xdr:col>
      <xdr:colOff>806824</xdr:colOff>
      <xdr:row>72</xdr:row>
      <xdr:rowOff>171450</xdr:rowOff>
    </xdr:to>
    <xdr:sp macro="" textlink="">
      <xdr:nvSpPr>
        <xdr:cNvPr id="3" name="TextBox 2"/>
        <xdr:cNvSpPr txBox="1"/>
      </xdr:nvSpPr>
      <xdr:spPr>
        <a:xfrm>
          <a:off x="17024724" y="19363391"/>
          <a:ext cx="7213600" cy="10518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Note that production</a:t>
          </a:r>
          <a:r>
            <a:rPr lang="en-US" sz="1600" baseline="0"/>
            <a:t> inventory the same for all scenarios until 2002. Differences exist higher vs lower for CGI in 2003 through 2007, and in China for 2017 through 2024.</a:t>
          </a:r>
          <a:endParaRPr lang="en-US" sz="1600"/>
        </a:p>
      </xdr:txBody>
    </xdr:sp>
    <xdr:clientData/>
  </xdr:twoCellAnchor>
  <xdr:twoCellAnchor>
    <xdr:from>
      <xdr:col>21</xdr:col>
      <xdr:colOff>418167</xdr:colOff>
      <xdr:row>117</xdr:row>
      <xdr:rowOff>99392</xdr:rowOff>
    </xdr:from>
    <xdr:to>
      <xdr:col>32</xdr:col>
      <xdr:colOff>458859</xdr:colOff>
      <xdr:row>144</xdr:row>
      <xdr:rowOff>11044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403967</xdr:colOff>
      <xdr:row>110</xdr:row>
      <xdr:rowOff>74350</xdr:rowOff>
    </xdr:from>
    <xdr:to>
      <xdr:col>21</xdr:col>
      <xdr:colOff>683218</xdr:colOff>
      <xdr:row>114</xdr:row>
      <xdr:rowOff>38150</xdr:rowOff>
    </xdr:to>
    <xdr:sp macro="" textlink="">
      <xdr:nvSpPr>
        <xdr:cNvPr id="5" name="TextBox 4"/>
        <xdr:cNvSpPr txBox="1"/>
      </xdr:nvSpPr>
      <xdr:spPr>
        <a:xfrm>
          <a:off x="23032054" y="27583654"/>
          <a:ext cx="6905338" cy="7589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Note</a:t>
          </a:r>
          <a:r>
            <a:rPr lang="en-US" sz="1400"/>
            <a:t> that the higher scenario of xFOSAs</a:t>
          </a:r>
          <a:r>
            <a:rPr lang="en-US" sz="1400" baseline="0"/>
            <a:t> continues into the future at a constant rate due to our assumption that sulfluramid use in Brazil continues indefinitley</a:t>
          </a:r>
          <a:r>
            <a:rPr lang="en-US" sz="1100" baseline="0"/>
            <a:t>.</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113</xdr:col>
      <xdr:colOff>419100</xdr:colOff>
      <xdr:row>26</xdr:row>
      <xdr:rowOff>50800</xdr:rowOff>
    </xdr:from>
    <xdr:to>
      <xdr:col>117</xdr:col>
      <xdr:colOff>88900</xdr:colOff>
      <xdr:row>31</xdr:row>
      <xdr:rowOff>114300</xdr:rowOff>
    </xdr:to>
    <xdr:sp macro="" textlink="">
      <xdr:nvSpPr>
        <xdr:cNvPr id="3" name="TextBox 2"/>
        <xdr:cNvSpPr txBox="1"/>
      </xdr:nvSpPr>
      <xdr:spPr>
        <a:xfrm>
          <a:off x="101815900" y="6565900"/>
          <a:ext cx="29718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5% of POSF used to make</a:t>
          </a:r>
          <a:r>
            <a:rPr lang="en-US" sz="1100" baseline="0">
              <a:solidFill>
                <a:schemeClr val="tx1"/>
              </a:solidFill>
            </a:rPr>
            <a:t> the PFOS directly, and the other 95% is used for the precursor chemicals where the market is larger. Value is defined to change to 100% in year 2003.</a:t>
          </a:r>
          <a:endParaRPr lang="en-US" sz="1100">
            <a:solidFill>
              <a:schemeClr val="tx1"/>
            </a:solidFill>
          </a:endParaRPr>
        </a:p>
      </xdr:txBody>
    </xdr:sp>
    <xdr:clientData/>
  </xdr:twoCellAnchor>
  <xdr:twoCellAnchor>
    <xdr:from>
      <xdr:col>130</xdr:col>
      <xdr:colOff>266700</xdr:colOff>
      <xdr:row>26</xdr:row>
      <xdr:rowOff>114300</xdr:rowOff>
    </xdr:from>
    <xdr:to>
      <xdr:col>131</xdr:col>
      <xdr:colOff>1473200</xdr:colOff>
      <xdr:row>33</xdr:row>
      <xdr:rowOff>127000</xdr:rowOff>
    </xdr:to>
    <xdr:sp macro="" textlink="">
      <xdr:nvSpPr>
        <xdr:cNvPr id="4" name="TextBox 3"/>
        <xdr:cNvSpPr txBox="1"/>
      </xdr:nvSpPr>
      <xdr:spPr>
        <a:xfrm>
          <a:off x="97764600" y="6146800"/>
          <a:ext cx="3111500" cy="161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000000"/>
              </a:solidFill>
            </a:rPr>
            <a:t>TE </a:t>
          </a:r>
          <a:r>
            <a:rPr lang="en-US" sz="1100" baseline="0">
              <a:solidFill>
                <a:srgbClr val="000000"/>
              </a:solidFill>
            </a:rPr>
            <a:t>= product use and disposal, EF = manufacturing loss. Assumed product has lifetime for two years and uniform distributrion of releaes from products during the lifetime. Since there are basically no studies on actual releases from products, we are assuming this distribution of release (using the 1/2 to average the release over the two years).</a:t>
          </a:r>
          <a:endParaRPr lang="en-US" sz="1100">
            <a:solidFill>
              <a:srgbClr val="000000"/>
            </a:solidFill>
          </a:endParaRPr>
        </a:p>
      </xdr:txBody>
    </xdr:sp>
    <xdr:clientData/>
  </xdr:twoCellAnchor>
  <xdr:twoCellAnchor>
    <xdr:from>
      <xdr:col>116</xdr:col>
      <xdr:colOff>406400</xdr:colOff>
      <xdr:row>78</xdr:row>
      <xdr:rowOff>152400</xdr:rowOff>
    </xdr:from>
    <xdr:to>
      <xdr:col>118</xdr:col>
      <xdr:colOff>647700</xdr:colOff>
      <xdr:row>82</xdr:row>
      <xdr:rowOff>25400</xdr:rowOff>
    </xdr:to>
    <xdr:sp macro="" textlink="">
      <xdr:nvSpPr>
        <xdr:cNvPr id="5" name="TextBox 4"/>
        <xdr:cNvSpPr txBox="1"/>
      </xdr:nvSpPr>
      <xdr:spPr>
        <a:xfrm>
          <a:off x="109080300" y="19304000"/>
          <a:ext cx="1892300" cy="78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000000"/>
              </a:solidFill>
            </a:rPr>
            <a:t>Estimated proportions defined in Table</a:t>
          </a:r>
          <a:r>
            <a:rPr lang="en-US" sz="1100" baseline="0">
              <a:solidFill>
                <a:srgbClr val="000000"/>
              </a:solidFill>
            </a:rPr>
            <a:t> S8.</a:t>
          </a:r>
          <a:endParaRPr lang="en-US" sz="1100">
            <a:solidFill>
              <a:srgbClr val="000000"/>
            </a:solidFill>
          </a:endParaRPr>
        </a:p>
      </xdr:txBody>
    </xdr:sp>
    <xdr:clientData/>
  </xdr:twoCellAnchor>
  <xdr:twoCellAnchor>
    <xdr:from>
      <xdr:col>116</xdr:col>
      <xdr:colOff>444500</xdr:colOff>
      <xdr:row>52</xdr:row>
      <xdr:rowOff>127000</xdr:rowOff>
    </xdr:from>
    <xdr:to>
      <xdr:col>118</xdr:col>
      <xdr:colOff>584200</xdr:colOff>
      <xdr:row>56</xdr:row>
      <xdr:rowOff>25400</xdr:rowOff>
    </xdr:to>
    <xdr:sp macro="" textlink="">
      <xdr:nvSpPr>
        <xdr:cNvPr id="6" name="TextBox 5"/>
        <xdr:cNvSpPr txBox="1"/>
      </xdr:nvSpPr>
      <xdr:spPr>
        <a:xfrm>
          <a:off x="101739700" y="12369800"/>
          <a:ext cx="1790700" cy="81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two values fixed at:</a:t>
          </a:r>
          <a:r>
            <a:rPr lang="en-US" sz="1100" baseline="0"/>
            <a:t> 100. See Table S8 for assumption description.</a:t>
          </a:r>
          <a:endParaRPr lang="en-US" sz="1100"/>
        </a:p>
      </xdr:txBody>
    </xdr:sp>
    <xdr:clientData/>
  </xdr:twoCellAnchor>
  <xdr:twoCellAnchor>
    <xdr:from>
      <xdr:col>119</xdr:col>
      <xdr:colOff>152400</xdr:colOff>
      <xdr:row>46</xdr:row>
      <xdr:rowOff>177800</xdr:rowOff>
    </xdr:from>
    <xdr:to>
      <xdr:col>121</xdr:col>
      <xdr:colOff>736600</xdr:colOff>
      <xdr:row>54</xdr:row>
      <xdr:rowOff>177800</xdr:rowOff>
    </xdr:to>
    <xdr:sp macro="" textlink="">
      <xdr:nvSpPr>
        <xdr:cNvPr id="7" name="TextBox 6"/>
        <xdr:cNvSpPr txBox="1"/>
      </xdr:nvSpPr>
      <xdr:spPr>
        <a:xfrm>
          <a:off x="95173800" y="10782300"/>
          <a:ext cx="2235200" cy="18288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NOTE:</a:t>
          </a:r>
          <a:r>
            <a:rPr lang="en-US" sz="1100" baseline="0"/>
            <a:t> Linear decrease in TE set between 2002 and 2006 to represent an advancement in technology for CGI.</a:t>
          </a:r>
        </a:p>
        <a:p>
          <a:endParaRPr lang="en-US" sz="1100" baseline="0">
            <a:solidFill>
              <a:schemeClr val="tx1"/>
            </a:solidFill>
          </a:endParaRPr>
        </a:p>
        <a:p>
          <a:r>
            <a:rPr lang="en-US" sz="1100" baseline="0">
              <a:solidFill>
                <a:schemeClr val="tx1"/>
              </a:solidFill>
            </a:rPr>
            <a:t>SI 2.1.3.6 defines the 50% lower bound for use and disposal based on a 3M report. The upper bound 100% is assumed as a worst case scenario.</a:t>
          </a:r>
        </a:p>
      </xdr:txBody>
    </xdr:sp>
    <xdr:clientData/>
  </xdr:twoCellAnchor>
  <xdr:twoCellAnchor>
    <xdr:from>
      <xdr:col>192</xdr:col>
      <xdr:colOff>584200</xdr:colOff>
      <xdr:row>20</xdr:row>
      <xdr:rowOff>203200</xdr:rowOff>
    </xdr:from>
    <xdr:to>
      <xdr:col>195</xdr:col>
      <xdr:colOff>266700</xdr:colOff>
      <xdr:row>25</xdr:row>
      <xdr:rowOff>177800</xdr:rowOff>
    </xdr:to>
    <xdr:sp macro="" textlink="">
      <xdr:nvSpPr>
        <xdr:cNvPr id="10" name="TextBox 9"/>
        <xdr:cNvSpPr txBox="1"/>
      </xdr:nvSpPr>
      <xdr:spPr>
        <a:xfrm>
          <a:off x="189534800" y="5664200"/>
          <a:ext cx="2921000" cy="111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000000"/>
              </a:solidFill>
            </a:rPr>
            <a:t>Degredation</a:t>
          </a:r>
          <a:r>
            <a:rPr lang="en-US" sz="1100" baseline="0">
              <a:solidFill>
                <a:srgbClr val="000000"/>
              </a:solidFill>
            </a:rPr>
            <a:t> assumed as uniform distribution across 2 years for non-polymeric and 10 years for polymeric. </a:t>
          </a:r>
          <a:r>
            <a:rPr lang="en-US" sz="1100" baseline="0">
              <a:solidFill>
                <a:srgbClr val="FF0000"/>
              </a:solidFill>
            </a:rPr>
            <a:t>May not be the best approach, need to consider how to define product release further.</a:t>
          </a:r>
        </a:p>
      </xdr:txBody>
    </xdr:sp>
    <xdr:clientData/>
  </xdr:twoCellAnchor>
  <xdr:twoCellAnchor>
    <xdr:from>
      <xdr:col>176</xdr:col>
      <xdr:colOff>355600</xdr:colOff>
      <xdr:row>38</xdr:row>
      <xdr:rowOff>50800</xdr:rowOff>
    </xdr:from>
    <xdr:to>
      <xdr:col>179</xdr:col>
      <xdr:colOff>571500</xdr:colOff>
      <xdr:row>42</xdr:row>
      <xdr:rowOff>190500</xdr:rowOff>
    </xdr:to>
    <xdr:sp macro="" textlink="">
      <xdr:nvSpPr>
        <xdr:cNvPr id="11" name="TextBox 10"/>
        <xdr:cNvSpPr txBox="1"/>
      </xdr:nvSpPr>
      <xdr:spPr>
        <a:xfrm>
          <a:off x="137795000" y="8826500"/>
          <a:ext cx="3098800" cy="1054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Small molecule</a:t>
          </a:r>
          <a:r>
            <a:rPr lang="en-US" sz="1100" baseline="0">
              <a:solidFill>
                <a:schemeClr val="tx1"/>
              </a:solidFill>
            </a:rPr>
            <a:t> = substances that can directly degrade to PFOS. Big molecules = substances that first degrade to small molecules, and then degrade to PFOS in a second step.</a:t>
          </a:r>
          <a:endParaRPr lang="en-US" sz="1100">
            <a:solidFill>
              <a:schemeClr val="tx1"/>
            </a:solidFill>
          </a:endParaRPr>
        </a:p>
      </xdr:txBody>
    </xdr:sp>
    <xdr:clientData/>
  </xdr:twoCellAnchor>
  <xdr:twoCellAnchor>
    <xdr:from>
      <xdr:col>176</xdr:col>
      <xdr:colOff>12700</xdr:colOff>
      <xdr:row>24</xdr:row>
      <xdr:rowOff>12700</xdr:rowOff>
    </xdr:from>
    <xdr:to>
      <xdr:col>179</xdr:col>
      <xdr:colOff>1028700</xdr:colOff>
      <xdr:row>38</xdr:row>
      <xdr:rowOff>0</xdr:rowOff>
    </xdr:to>
    <xdr:sp macro="" textlink="">
      <xdr:nvSpPr>
        <xdr:cNvPr id="12" name="TextBox 11"/>
        <xdr:cNvSpPr txBox="1"/>
      </xdr:nvSpPr>
      <xdr:spPr>
        <a:xfrm>
          <a:off x="132791200" y="5588000"/>
          <a:ext cx="3898900" cy="318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3%</a:t>
          </a:r>
          <a:r>
            <a:rPr lang="en-US" sz="1100" baseline="0">
              <a:solidFill>
                <a:schemeClr val="tx1"/>
              </a:solidFill>
            </a:rPr>
            <a:t> and 10% are the set yields, meaning how many of the big molecules degrade to small molecules. Need to check this number for improvement, could probably be higher (but not lower). Cell EJ13: assumed that 5% are small molecules, and the remaining 95% are big molecules. Cell EH13 uses this remaining 95% to calculate how many of the big ones will degrade to small molecules in the end. So, in total, 7% of all non-polymeric molecules will in the end be small.</a:t>
          </a:r>
        </a:p>
        <a:p>
          <a:endParaRPr lang="en-US" sz="1100" baseline="0">
            <a:solidFill>
              <a:schemeClr val="tx1"/>
            </a:solidFill>
          </a:endParaRPr>
        </a:p>
        <a:p>
          <a:r>
            <a:rPr lang="en-US" sz="1100" baseline="0">
              <a:solidFill>
                <a:schemeClr val="tx1"/>
              </a:solidFill>
            </a:rPr>
            <a:t>Justified and explained in SI 2.1.3.6</a:t>
          </a:r>
        </a:p>
        <a:p>
          <a:endParaRPr lang="en-US" sz="1100" baseline="0">
            <a:solidFill>
              <a:srgbClr val="008000"/>
            </a:solidFill>
          </a:endParaRPr>
        </a:p>
        <a:p>
          <a:r>
            <a:rPr lang="en-US" sz="1100" baseline="0">
              <a:solidFill>
                <a:srgbClr val="008000"/>
              </a:solidFill>
            </a:rPr>
            <a:t>Report by Avendano, 2015 found that EtFOSA converted in soil to PFOS with a yield of 4.0mol% after 182 days of observation (yield could continue growing with more time, but this was not studied).</a:t>
          </a:r>
          <a:endParaRPr lang="en-US" sz="1100">
            <a:solidFill>
              <a:srgbClr val="008000"/>
            </a:solidFill>
          </a:endParaRPr>
        </a:p>
      </xdr:txBody>
    </xdr:sp>
    <xdr:clientData/>
  </xdr:twoCellAnchor>
  <xdr:twoCellAnchor>
    <xdr:from>
      <xdr:col>23</xdr:col>
      <xdr:colOff>406400</xdr:colOff>
      <xdr:row>19</xdr:row>
      <xdr:rowOff>127000</xdr:rowOff>
    </xdr:from>
    <xdr:to>
      <xdr:col>25</xdr:col>
      <xdr:colOff>927100</xdr:colOff>
      <xdr:row>27</xdr:row>
      <xdr:rowOff>88900</xdr:rowOff>
    </xdr:to>
    <xdr:sp macro="" textlink="">
      <xdr:nvSpPr>
        <xdr:cNvPr id="13" name="TextBox 12"/>
        <xdr:cNvSpPr txBox="1"/>
      </xdr:nvSpPr>
      <xdr:spPr>
        <a:xfrm>
          <a:off x="16903700" y="4559300"/>
          <a:ext cx="2349500"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rgbClr val="000000"/>
              </a:solidFill>
            </a:rPr>
            <a:t>Assumed that these solid wastes are properly contained and do not leave into the environment. See SI Table S5. EFs calculated from measured values in Table S5.</a:t>
          </a:r>
          <a:endParaRPr lang="en-US" sz="1100">
            <a:solidFill>
              <a:srgbClr val="000000"/>
            </a:solidFill>
          </a:endParaRPr>
        </a:p>
      </xdr:txBody>
    </xdr:sp>
    <xdr:clientData/>
  </xdr:twoCellAnchor>
  <xdr:twoCellAnchor>
    <xdr:from>
      <xdr:col>48</xdr:col>
      <xdr:colOff>241300</xdr:colOff>
      <xdr:row>25</xdr:row>
      <xdr:rowOff>127000</xdr:rowOff>
    </xdr:from>
    <xdr:to>
      <xdr:col>52</xdr:col>
      <xdr:colOff>152400</xdr:colOff>
      <xdr:row>37</xdr:row>
      <xdr:rowOff>76200</xdr:rowOff>
    </xdr:to>
    <xdr:sp macro="" textlink="">
      <xdr:nvSpPr>
        <xdr:cNvPr id="14" name="TextBox 13"/>
        <xdr:cNvSpPr txBox="1"/>
      </xdr:nvSpPr>
      <xdr:spPr>
        <a:xfrm>
          <a:off x="36804600" y="5930900"/>
          <a:ext cx="3213100" cy="269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This is just multiplying the EF for PFOS by the total amout of POFS produced. Is</a:t>
          </a:r>
          <a:r>
            <a:rPr lang="en-US" sz="1100" baseline="0">
              <a:solidFill>
                <a:srgbClr val="FF0000"/>
              </a:solidFill>
            </a:rPr>
            <a:t> that correctly done? Does the emission factor directly relate to POSF manufactured? Or should it not first be multiplied by the 5% yield of PFOS from POSF?</a:t>
          </a:r>
        </a:p>
        <a:p>
          <a:endParaRPr lang="en-US" sz="1100" baseline="0">
            <a:solidFill>
              <a:srgbClr val="FF0000"/>
            </a:solidFill>
          </a:endParaRPr>
        </a:p>
        <a:p>
          <a:r>
            <a:rPr lang="en-US" sz="1100" baseline="0">
              <a:solidFill>
                <a:srgbClr val="000000"/>
              </a:solidFill>
            </a:rPr>
            <a:t>- The molecular weights of PFOS and POSF are almost identical (500 vs 502 g/mol). So they are assumed equal when making this calcuation.</a:t>
          </a:r>
          <a:endParaRPr lang="en-US" sz="1100">
            <a:solidFill>
              <a:srgbClr val="000000"/>
            </a:solidFill>
          </a:endParaRPr>
        </a:p>
      </xdr:txBody>
    </xdr:sp>
    <xdr:clientData/>
  </xdr:twoCellAnchor>
  <xdr:twoCellAnchor>
    <xdr:from>
      <xdr:col>166</xdr:col>
      <xdr:colOff>723900</xdr:colOff>
      <xdr:row>37</xdr:row>
      <xdr:rowOff>12700</xdr:rowOff>
    </xdr:from>
    <xdr:to>
      <xdr:col>168</xdr:col>
      <xdr:colOff>342900</xdr:colOff>
      <xdr:row>47</xdr:row>
      <xdr:rowOff>152400</xdr:rowOff>
    </xdr:to>
    <xdr:sp macro="" textlink="">
      <xdr:nvSpPr>
        <xdr:cNvPr id="17" name="TextBox 16"/>
        <xdr:cNvSpPr txBox="1"/>
      </xdr:nvSpPr>
      <xdr:spPr>
        <a:xfrm>
          <a:off x="126987300" y="8559800"/>
          <a:ext cx="2476500" cy="242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Where are these</a:t>
          </a:r>
          <a:r>
            <a:rPr lang="en-US" sz="1100" baseline="0">
              <a:solidFill>
                <a:srgbClr val="FF0000"/>
              </a:solidFill>
            </a:rPr>
            <a:t> defined and justified in the SI? What is the reasoning?</a:t>
          </a:r>
        </a:p>
        <a:p>
          <a:endParaRPr lang="en-US" sz="1100" baseline="0">
            <a:solidFill>
              <a:srgbClr val="FF0000"/>
            </a:solidFill>
          </a:endParaRPr>
        </a:p>
        <a:p>
          <a:r>
            <a:rPr lang="en-US" sz="1100" baseline="0">
              <a:solidFill>
                <a:srgbClr val="000000"/>
              </a:solidFill>
            </a:rPr>
            <a:t>Assumed that 100% released to air/water will transfer to air/water. </a:t>
          </a:r>
          <a:r>
            <a:rPr lang="en-US" sz="1100" baseline="0">
              <a:solidFill>
                <a:srgbClr val="FF0000"/>
              </a:solidFill>
            </a:rPr>
            <a:t>Soil values based on expert judgement. May need to be justified by some reports.</a:t>
          </a:r>
          <a:r>
            <a:rPr lang="en-US" sz="1100" baseline="0">
              <a:solidFill>
                <a:srgbClr val="000000"/>
              </a:solidFill>
            </a:rPr>
            <a:t> Use and disposal lower scenario value came from 3M's report (approx 48%), can find discussion and value in the SI.</a:t>
          </a:r>
        </a:p>
      </xdr:txBody>
    </xdr:sp>
    <xdr:clientData/>
  </xdr:twoCellAnchor>
  <xdr:twoCellAnchor>
    <xdr:from>
      <xdr:col>173</xdr:col>
      <xdr:colOff>800100</xdr:colOff>
      <xdr:row>21</xdr:row>
      <xdr:rowOff>177800</xdr:rowOff>
    </xdr:from>
    <xdr:to>
      <xdr:col>175</xdr:col>
      <xdr:colOff>939800</xdr:colOff>
      <xdr:row>37</xdr:row>
      <xdr:rowOff>114300</xdr:rowOff>
    </xdr:to>
    <xdr:sp macro="" textlink="">
      <xdr:nvSpPr>
        <xdr:cNvPr id="18" name="TextBox 17"/>
        <xdr:cNvSpPr txBox="1"/>
      </xdr:nvSpPr>
      <xdr:spPr>
        <a:xfrm>
          <a:off x="164465000" y="5549900"/>
          <a:ext cx="1968500" cy="3594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According to Table S10, shouldn't the higher residual level be 7% (if really considering the full</a:t>
          </a:r>
          <a:r>
            <a:rPr lang="en-US" sz="1100" baseline="0">
              <a:solidFill>
                <a:srgbClr val="FF0000"/>
              </a:solidFill>
            </a:rPr>
            <a:t> range across all of the studies in this table)?</a:t>
          </a:r>
        </a:p>
        <a:p>
          <a:endParaRPr lang="en-US" sz="1100" baseline="0">
            <a:solidFill>
              <a:srgbClr val="FF0000"/>
            </a:solidFill>
          </a:endParaRPr>
        </a:p>
        <a:p>
          <a:r>
            <a:rPr lang="en-US" sz="1100">
              <a:solidFill>
                <a:srgbClr val="000000"/>
              </a:solidFill>
            </a:rPr>
            <a:t>Need to consider this</a:t>
          </a:r>
          <a:r>
            <a:rPr lang="en-US" sz="1100" baseline="0">
              <a:solidFill>
                <a:srgbClr val="000000"/>
              </a:solidFill>
            </a:rPr>
            <a:t> and find a good justification for which lower and higher values are taken (maybe the lowest and highest or a mean from the different products). Previous range of 0.1%-5% was taken from the values assumed by Armitage (see Armitage SI Table S7).</a:t>
          </a:r>
          <a:endParaRPr lang="en-US" sz="1100">
            <a:solidFill>
              <a:srgbClr val="000000"/>
            </a:solidFill>
          </a:endParaRPr>
        </a:p>
      </xdr:txBody>
    </xdr:sp>
    <xdr:clientData/>
  </xdr:twoCellAnchor>
  <xdr:twoCellAnchor>
    <xdr:from>
      <xdr:col>98</xdr:col>
      <xdr:colOff>457200</xdr:colOff>
      <xdr:row>66</xdr:row>
      <xdr:rowOff>190500</xdr:rowOff>
    </xdr:from>
    <xdr:to>
      <xdr:col>99</xdr:col>
      <xdr:colOff>876300</xdr:colOff>
      <xdr:row>71</xdr:row>
      <xdr:rowOff>25400</xdr:rowOff>
    </xdr:to>
    <xdr:sp macro="" textlink="">
      <xdr:nvSpPr>
        <xdr:cNvPr id="29" name="TextBox 28"/>
        <xdr:cNvSpPr txBox="1"/>
      </xdr:nvSpPr>
      <xdr:spPr>
        <a:xfrm>
          <a:off x="85001100" y="15849600"/>
          <a:ext cx="1612900" cy="97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Shift</a:t>
          </a:r>
          <a:r>
            <a:rPr lang="en-US" sz="1100" baseline="0">
              <a:solidFill>
                <a:schemeClr val="tx1"/>
              </a:solidFill>
            </a:rPr>
            <a:t> to all non-polymeric products starting in 2009.</a:t>
          </a:r>
          <a:endParaRPr lang="en-US" sz="1100">
            <a:solidFill>
              <a:schemeClr val="tx1"/>
            </a:solidFill>
          </a:endParaRPr>
        </a:p>
      </xdr:txBody>
    </xdr:sp>
    <xdr:clientData/>
  </xdr:twoCellAnchor>
  <xdr:twoCellAnchor>
    <xdr:from>
      <xdr:col>127</xdr:col>
      <xdr:colOff>609600</xdr:colOff>
      <xdr:row>18</xdr:row>
      <xdr:rowOff>38100</xdr:rowOff>
    </xdr:from>
    <xdr:to>
      <xdr:col>129</xdr:col>
      <xdr:colOff>609600</xdr:colOff>
      <xdr:row>23</xdr:row>
      <xdr:rowOff>152400</xdr:rowOff>
    </xdr:to>
    <xdr:sp macro="" textlink="">
      <xdr:nvSpPr>
        <xdr:cNvPr id="30" name="TextBox 29"/>
        <xdr:cNvSpPr txBox="1"/>
      </xdr:nvSpPr>
      <xdr:spPr>
        <a:xfrm>
          <a:off x="110197900" y="4508500"/>
          <a:ext cx="20574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PFOS emissions in China</a:t>
          </a:r>
          <a:r>
            <a:rPr lang="en-US" sz="1100" baseline="0">
              <a:solidFill>
                <a:schemeClr val="tx1"/>
              </a:solidFill>
            </a:rPr>
            <a:t> assumed to all be metal plating operations and assumed to therefore enter only into the water compartment.</a:t>
          </a:r>
          <a:endParaRPr lang="en-US" sz="1100">
            <a:solidFill>
              <a:schemeClr val="tx1"/>
            </a:solidFill>
          </a:endParaRPr>
        </a:p>
      </xdr:txBody>
    </xdr:sp>
    <xdr:clientData/>
  </xdr:twoCellAnchor>
  <xdr:twoCellAnchor>
    <xdr:from>
      <xdr:col>124</xdr:col>
      <xdr:colOff>901700</xdr:colOff>
      <xdr:row>22</xdr:row>
      <xdr:rowOff>38100</xdr:rowOff>
    </xdr:from>
    <xdr:to>
      <xdr:col>126</xdr:col>
      <xdr:colOff>647700</xdr:colOff>
      <xdr:row>25</xdr:row>
      <xdr:rowOff>203200</xdr:rowOff>
    </xdr:to>
    <xdr:sp macro="" textlink="">
      <xdr:nvSpPr>
        <xdr:cNvPr id="31" name="TextBox 30"/>
        <xdr:cNvSpPr txBox="1"/>
      </xdr:nvSpPr>
      <xdr:spPr>
        <a:xfrm>
          <a:off x="107149900" y="5422900"/>
          <a:ext cx="2057400" cy="850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What are the compartment distributions</a:t>
          </a:r>
          <a:r>
            <a:rPr lang="en-US" sz="1100" baseline="0">
              <a:solidFill>
                <a:srgbClr val="FF0000"/>
              </a:solidFill>
            </a:rPr>
            <a:t> for CGI PFOS emissions?</a:t>
          </a:r>
          <a:endParaRPr lang="en-US" sz="1100">
            <a:solidFill>
              <a:srgbClr val="FF0000"/>
            </a:solidFill>
          </a:endParaRPr>
        </a:p>
      </xdr:txBody>
    </xdr:sp>
    <xdr:clientData/>
  </xdr:twoCellAnchor>
  <xdr:twoCellAnchor>
    <xdr:from>
      <xdr:col>200</xdr:col>
      <xdr:colOff>317500</xdr:colOff>
      <xdr:row>13</xdr:row>
      <xdr:rowOff>12700</xdr:rowOff>
    </xdr:from>
    <xdr:to>
      <xdr:col>201</xdr:col>
      <xdr:colOff>622300</xdr:colOff>
      <xdr:row>15</xdr:row>
      <xdr:rowOff>152400</xdr:rowOff>
    </xdr:to>
    <xdr:sp macro="" textlink="">
      <xdr:nvSpPr>
        <xdr:cNvPr id="8" name="TextBox 7"/>
        <xdr:cNvSpPr txBox="1"/>
      </xdr:nvSpPr>
      <xdr:spPr>
        <a:xfrm>
          <a:off x="190284100" y="3556000"/>
          <a:ext cx="11303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Section 2.1.3.5</a:t>
          </a:r>
        </a:p>
      </xdr:txBody>
    </xdr:sp>
    <xdr:clientData/>
  </xdr:twoCellAnchor>
  <xdr:twoCellAnchor>
    <xdr:from>
      <xdr:col>202</xdr:col>
      <xdr:colOff>266700</xdr:colOff>
      <xdr:row>13</xdr:row>
      <xdr:rowOff>12700</xdr:rowOff>
    </xdr:from>
    <xdr:to>
      <xdr:col>203</xdr:col>
      <xdr:colOff>571500</xdr:colOff>
      <xdr:row>15</xdr:row>
      <xdr:rowOff>152400</xdr:rowOff>
    </xdr:to>
    <xdr:sp macro="" textlink="">
      <xdr:nvSpPr>
        <xdr:cNvPr id="32" name="TextBox 31"/>
        <xdr:cNvSpPr txBox="1"/>
      </xdr:nvSpPr>
      <xdr:spPr>
        <a:xfrm>
          <a:off x="191884300" y="3556000"/>
          <a:ext cx="11303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Section 2.1.3.5</a:t>
          </a:r>
        </a:p>
      </xdr:txBody>
    </xdr:sp>
    <xdr:clientData/>
  </xdr:twoCellAnchor>
  <xdr:twoCellAnchor>
    <xdr:from>
      <xdr:col>174</xdr:col>
      <xdr:colOff>444500</xdr:colOff>
      <xdr:row>13</xdr:row>
      <xdr:rowOff>63500</xdr:rowOff>
    </xdr:from>
    <xdr:to>
      <xdr:col>175</xdr:col>
      <xdr:colOff>571500</xdr:colOff>
      <xdr:row>15</xdr:row>
      <xdr:rowOff>203200</xdr:rowOff>
    </xdr:to>
    <xdr:sp macro="" textlink="">
      <xdr:nvSpPr>
        <xdr:cNvPr id="33" name="TextBox 32"/>
        <xdr:cNvSpPr txBox="1"/>
      </xdr:nvSpPr>
      <xdr:spPr>
        <a:xfrm>
          <a:off x="167678100" y="3606800"/>
          <a:ext cx="11303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Section 2.1.3.5</a:t>
          </a:r>
        </a:p>
      </xdr:txBody>
    </xdr:sp>
    <xdr:clientData/>
  </xdr:twoCellAnchor>
  <xdr:twoCellAnchor>
    <xdr:from>
      <xdr:col>172</xdr:col>
      <xdr:colOff>215900</xdr:colOff>
      <xdr:row>13</xdr:row>
      <xdr:rowOff>152400</xdr:rowOff>
    </xdr:from>
    <xdr:to>
      <xdr:col>173</xdr:col>
      <xdr:colOff>520700</xdr:colOff>
      <xdr:row>16</xdr:row>
      <xdr:rowOff>63500</xdr:rowOff>
    </xdr:to>
    <xdr:sp macro="" textlink="">
      <xdr:nvSpPr>
        <xdr:cNvPr id="34" name="TextBox 33"/>
        <xdr:cNvSpPr txBox="1"/>
      </xdr:nvSpPr>
      <xdr:spPr>
        <a:xfrm>
          <a:off x="171259500" y="4013200"/>
          <a:ext cx="11303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Section 2.1.3.5</a:t>
          </a:r>
        </a:p>
      </xdr:txBody>
    </xdr:sp>
    <xdr:clientData/>
  </xdr:twoCellAnchor>
  <xdr:twoCellAnchor>
    <xdr:from>
      <xdr:col>8</xdr:col>
      <xdr:colOff>88900</xdr:colOff>
      <xdr:row>10</xdr:row>
      <xdr:rowOff>12700</xdr:rowOff>
    </xdr:from>
    <xdr:to>
      <xdr:col>9</xdr:col>
      <xdr:colOff>12700</xdr:colOff>
      <xdr:row>10</xdr:row>
      <xdr:rowOff>342900</xdr:rowOff>
    </xdr:to>
    <xdr:sp macro="" textlink="">
      <xdr:nvSpPr>
        <xdr:cNvPr id="35" name="Right Arrow 34"/>
        <xdr:cNvSpPr/>
      </xdr:nvSpPr>
      <xdr:spPr>
        <a:xfrm rot="10800000">
          <a:off x="7327900" y="3035300"/>
          <a:ext cx="749300" cy="33020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168</xdr:col>
      <xdr:colOff>114300</xdr:colOff>
      <xdr:row>48</xdr:row>
      <xdr:rowOff>58057</xdr:rowOff>
    </xdr:from>
    <xdr:to>
      <xdr:col>170</xdr:col>
      <xdr:colOff>698500</xdr:colOff>
      <xdr:row>52</xdr:row>
      <xdr:rowOff>116115</xdr:rowOff>
    </xdr:to>
    <xdr:sp macro="" textlink="">
      <xdr:nvSpPr>
        <xdr:cNvPr id="36" name="TextBox 35"/>
        <xdr:cNvSpPr txBox="1"/>
      </xdr:nvSpPr>
      <xdr:spPr>
        <a:xfrm>
          <a:off x="170112871" y="12395200"/>
          <a:ext cx="2253343" cy="1001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NOTE:</a:t>
          </a:r>
          <a:r>
            <a:rPr lang="en-US" sz="1100" baseline="0"/>
            <a:t> Linear decrease in TE set between 2002 and 2006 to represent an advancement in technology for CGI.</a:t>
          </a:r>
        </a:p>
      </xdr:txBody>
    </xdr:sp>
    <xdr:clientData/>
  </xdr:twoCellAnchor>
  <xdr:twoCellAnchor>
    <xdr:from>
      <xdr:col>120</xdr:col>
      <xdr:colOff>82550</xdr:colOff>
      <xdr:row>0</xdr:row>
      <xdr:rowOff>69850</xdr:rowOff>
    </xdr:from>
    <xdr:to>
      <xdr:col>120</xdr:col>
      <xdr:colOff>412750</xdr:colOff>
      <xdr:row>3</xdr:row>
      <xdr:rowOff>133350</xdr:rowOff>
    </xdr:to>
    <xdr:sp macro="" textlink="">
      <xdr:nvSpPr>
        <xdr:cNvPr id="24" name="Right Arrow 23"/>
        <xdr:cNvSpPr/>
      </xdr:nvSpPr>
      <xdr:spPr>
        <a:xfrm rot="5400000">
          <a:off x="111848900" y="279400"/>
          <a:ext cx="749300" cy="33020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69850</xdr:colOff>
      <xdr:row>0</xdr:row>
      <xdr:rowOff>57150</xdr:rowOff>
    </xdr:from>
    <xdr:to>
      <xdr:col>122</xdr:col>
      <xdr:colOff>400050</xdr:colOff>
      <xdr:row>3</xdr:row>
      <xdr:rowOff>120650</xdr:rowOff>
    </xdr:to>
    <xdr:sp macro="" textlink="">
      <xdr:nvSpPr>
        <xdr:cNvPr id="25" name="Right Arrow 24"/>
        <xdr:cNvSpPr/>
      </xdr:nvSpPr>
      <xdr:spPr>
        <a:xfrm rot="5400000">
          <a:off x="113487200" y="266700"/>
          <a:ext cx="749300" cy="33020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165100</xdr:colOff>
      <xdr:row>0</xdr:row>
      <xdr:rowOff>0</xdr:rowOff>
    </xdr:from>
    <xdr:to>
      <xdr:col>124</xdr:col>
      <xdr:colOff>1016000</xdr:colOff>
      <xdr:row>4</xdr:row>
      <xdr:rowOff>63500</xdr:rowOff>
    </xdr:to>
    <xdr:sp macro="" textlink="">
      <xdr:nvSpPr>
        <xdr:cNvPr id="2" name="TextBox 1"/>
        <xdr:cNvSpPr txBox="1"/>
      </xdr:nvSpPr>
      <xdr:spPr>
        <a:xfrm>
          <a:off x="114617500" y="0"/>
          <a:ext cx="16764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Manually change the lower rate for both CGI and China here to set the lower and very lower (10%)</a:t>
          </a:r>
          <a:r>
            <a:rPr lang="en-US" sz="1100" baseline="0"/>
            <a:t> bounds.</a:t>
          </a:r>
          <a:endParaRPr lang="en-US" sz="1100"/>
        </a:p>
      </xdr:txBody>
    </xdr:sp>
    <xdr:clientData/>
  </xdr:twoCellAnchor>
  <xdr:twoCellAnchor>
    <xdr:from>
      <xdr:col>5</xdr:col>
      <xdr:colOff>609600</xdr:colOff>
      <xdr:row>45</xdr:row>
      <xdr:rowOff>25400</xdr:rowOff>
    </xdr:from>
    <xdr:to>
      <xdr:col>8</xdr:col>
      <xdr:colOff>660400</xdr:colOff>
      <xdr:row>54</xdr:row>
      <xdr:rowOff>76200</xdr:rowOff>
    </xdr:to>
    <xdr:sp macro="" textlink="">
      <xdr:nvSpPr>
        <xdr:cNvPr id="9" name="TextBox 8"/>
        <xdr:cNvSpPr txBox="1"/>
      </xdr:nvSpPr>
      <xdr:spPr>
        <a:xfrm>
          <a:off x="5372100" y="11633200"/>
          <a:ext cx="2527300" cy="210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Chinese numbers may need to be updated.</a:t>
          </a:r>
          <a:r>
            <a:rPr lang="en-US" sz="1400" baseline="0">
              <a:solidFill>
                <a:srgbClr val="FF0000"/>
              </a:solidFill>
            </a:rPr>
            <a:t> Waiting for report published on the Stockholm Convention website around the end of March 2016 or for Zhanyun's contact in China to confirm any additional changes (due May 2016, still not submitted).</a:t>
          </a:r>
          <a:endParaRPr lang="en-US" sz="1400">
            <a:solidFill>
              <a:srgbClr val="FF0000"/>
            </a:solidFill>
          </a:endParaRPr>
        </a:p>
      </xdr:txBody>
    </xdr:sp>
    <xdr:clientData/>
  </xdr:twoCellAnchor>
  <xdr:twoCellAnchor>
    <xdr:from>
      <xdr:col>17</xdr:col>
      <xdr:colOff>834572</xdr:colOff>
      <xdr:row>17</xdr:row>
      <xdr:rowOff>72571</xdr:rowOff>
    </xdr:from>
    <xdr:to>
      <xdr:col>20</xdr:col>
      <xdr:colOff>852715</xdr:colOff>
      <xdr:row>28</xdr:row>
      <xdr:rowOff>36285</xdr:rowOff>
    </xdr:to>
    <xdr:sp macro="" textlink="">
      <xdr:nvSpPr>
        <xdr:cNvPr id="15" name="TextBox 14"/>
        <xdr:cNvSpPr txBox="1"/>
      </xdr:nvSpPr>
      <xdr:spPr>
        <a:xfrm>
          <a:off x="15802429" y="5098142"/>
          <a:ext cx="2739572" cy="2558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Emissions</a:t>
          </a:r>
          <a:r>
            <a:rPr lang="en-US" sz="2000" b="1" baseline="0">
              <a:solidFill>
                <a:srgbClr val="FF0000"/>
              </a:solidFill>
            </a:rPr>
            <a:t> factors in column V small after using updated 3M data. Magnitudes smaller than those assumed by Armitage et al.</a:t>
          </a:r>
          <a:endParaRPr lang="en-US"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49</xdr:col>
      <xdr:colOff>1</xdr:colOff>
      <xdr:row>2</xdr:row>
      <xdr:rowOff>293741</xdr:rowOff>
    </xdr:from>
    <xdr:to>
      <xdr:col>52</xdr:col>
      <xdr:colOff>207348</xdr:colOff>
      <xdr:row>3</xdr:row>
      <xdr:rowOff>535646</xdr:rowOff>
    </xdr:to>
    <xdr:sp macro="" textlink="">
      <xdr:nvSpPr>
        <xdr:cNvPr id="2" name="TextBox 1"/>
        <xdr:cNvSpPr txBox="1"/>
      </xdr:nvSpPr>
      <xdr:spPr>
        <a:xfrm>
          <a:off x="43430545" y="1114489"/>
          <a:ext cx="2695510" cy="10712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Result:</a:t>
          </a:r>
          <a:r>
            <a:rPr lang="en-US" sz="1200" b="1"/>
            <a:t> Below is the data required for creating</a:t>
          </a:r>
          <a:r>
            <a:rPr lang="en-US" sz="1200" b="1" baseline="0"/>
            <a:t> the first figure that estimates the total (polymer and non-polymer) waste fractions.</a:t>
          </a:r>
          <a:endParaRPr lang="en-US" sz="1200" b="1"/>
        </a:p>
      </xdr:txBody>
    </xdr:sp>
    <xdr:clientData/>
  </xdr:twoCellAnchor>
  <xdr:twoCellAnchor>
    <xdr:from>
      <xdr:col>103</xdr:col>
      <xdr:colOff>215986</xdr:colOff>
      <xdr:row>1</xdr:row>
      <xdr:rowOff>1</xdr:rowOff>
    </xdr:from>
    <xdr:to>
      <xdr:col>106</xdr:col>
      <xdr:colOff>544284</xdr:colOff>
      <xdr:row>2</xdr:row>
      <xdr:rowOff>544286</xdr:rowOff>
    </xdr:to>
    <xdr:sp macro="" textlink="">
      <xdr:nvSpPr>
        <xdr:cNvPr id="4" name="TextBox 3"/>
        <xdr:cNvSpPr txBox="1"/>
      </xdr:nvSpPr>
      <xdr:spPr>
        <a:xfrm>
          <a:off x="56519319" y="190069"/>
          <a:ext cx="2816462" cy="11144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Note: </a:t>
          </a:r>
          <a:r>
            <a:rPr lang="en-US" sz="1100"/>
            <a:t>Currently</a:t>
          </a:r>
          <a:r>
            <a:rPr lang="en-US" sz="1100" baseline="0"/>
            <a:t> multiplied by the C8 homologue distribution to consider this. Polymers do not have a homologue distribution set or considered.</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166</xdr:col>
      <xdr:colOff>152400</xdr:colOff>
      <xdr:row>1</xdr:row>
      <xdr:rowOff>152400</xdr:rowOff>
    </xdr:from>
    <xdr:to>
      <xdr:col>167</xdr:col>
      <xdr:colOff>1701800</xdr:colOff>
      <xdr:row>5</xdr:row>
      <xdr:rowOff>203200</xdr:rowOff>
    </xdr:to>
    <xdr:sp macro="" textlink="">
      <xdr:nvSpPr>
        <xdr:cNvPr id="2" name="TextBox 1"/>
        <xdr:cNvSpPr txBox="1"/>
      </xdr:nvSpPr>
      <xdr:spPr>
        <a:xfrm>
          <a:off x="137972800" y="355600"/>
          <a:ext cx="2374900" cy="116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FF0000"/>
              </a:solidFill>
            </a:rPr>
            <a:t>Adding</a:t>
          </a:r>
          <a:r>
            <a:rPr lang="en-US" sz="1600" b="1" baseline="0">
              <a:solidFill>
                <a:srgbClr val="FF0000"/>
              </a:solidFill>
            </a:rPr>
            <a:t> or removing any columns/helper text will require the Python script to be updated.</a:t>
          </a:r>
          <a:endParaRPr lang="en-US" sz="1600" b="1">
            <a:solidFill>
              <a:srgbClr val="FF0000"/>
            </a:solidFill>
          </a:endParaRPr>
        </a:p>
      </xdr:txBody>
    </xdr:sp>
    <xdr:clientData/>
  </xdr:twoCellAnchor>
  <xdr:twoCellAnchor>
    <xdr:from>
      <xdr:col>167</xdr:col>
      <xdr:colOff>787400</xdr:colOff>
      <xdr:row>7</xdr:row>
      <xdr:rowOff>177800</xdr:rowOff>
    </xdr:from>
    <xdr:to>
      <xdr:col>167</xdr:col>
      <xdr:colOff>1625600</xdr:colOff>
      <xdr:row>9</xdr:row>
      <xdr:rowOff>139700</xdr:rowOff>
    </xdr:to>
    <xdr:sp macro="" textlink="">
      <xdr:nvSpPr>
        <xdr:cNvPr id="3" name="Right Arrow 2"/>
        <xdr:cNvSpPr/>
      </xdr:nvSpPr>
      <xdr:spPr>
        <a:xfrm>
          <a:off x="129527300" y="1854200"/>
          <a:ext cx="838200" cy="41910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419567</xdr:colOff>
      <xdr:row>68</xdr:row>
      <xdr:rowOff>164721</xdr:rowOff>
    </xdr:from>
    <xdr:to>
      <xdr:col>20</xdr:col>
      <xdr:colOff>378404</xdr:colOff>
      <xdr:row>96</xdr:row>
      <xdr:rowOff>66351</xdr:rowOff>
    </xdr:to>
    <xdr:pic>
      <xdr:nvPicPr>
        <xdr:cNvPr id="4" name="Picture 3"/>
        <xdr:cNvPicPr>
          <a:picLocks noChangeAspect="1"/>
        </xdr:cNvPicPr>
      </xdr:nvPicPr>
      <xdr:blipFill>
        <a:blip xmlns:r="http://schemas.openxmlformats.org/officeDocument/2006/relationships" r:embed="rId1"/>
        <a:stretch>
          <a:fillRect/>
        </a:stretch>
      </xdr:blipFill>
      <xdr:spPr>
        <a:xfrm>
          <a:off x="15236234" y="15158597"/>
          <a:ext cx="4093720" cy="60941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101690</xdr:colOff>
      <xdr:row>30</xdr:row>
      <xdr:rowOff>118533</xdr:rowOff>
    </xdr:from>
    <xdr:to>
      <xdr:col>19</xdr:col>
      <xdr:colOff>554567</xdr:colOff>
      <xdr:row>50</xdr:row>
      <xdr:rowOff>146445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957385</xdr:colOff>
      <xdr:row>10</xdr:row>
      <xdr:rowOff>156308</xdr:rowOff>
    </xdr:from>
    <xdr:to>
      <xdr:col>18</xdr:col>
      <xdr:colOff>674077</xdr:colOff>
      <xdr:row>25</xdr:row>
      <xdr:rowOff>97692</xdr:rowOff>
    </xdr:to>
    <xdr:sp macro="" textlink="">
      <xdr:nvSpPr>
        <xdr:cNvPr id="3" name="TextBox 2"/>
        <xdr:cNvSpPr txBox="1"/>
      </xdr:nvSpPr>
      <xdr:spPr>
        <a:xfrm>
          <a:off x="13752635" y="3087891"/>
          <a:ext cx="5685692" cy="2957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Calculation Method:</a:t>
          </a:r>
        </a:p>
        <a:p>
          <a:endParaRPr lang="en-US" sz="1200"/>
        </a:p>
        <a:p>
          <a:r>
            <a:rPr lang="en-US" sz="1200"/>
            <a:t>Arctic region defined as 65-90 deg N. Urs Schenker calculated this area to be 26.4 million km2 (Schenker et al, 2008,</a:t>
          </a:r>
          <a:r>
            <a:rPr lang="en-US" sz="1200" baseline="0"/>
            <a:t> pp 3715).</a:t>
          </a:r>
          <a:endParaRPr lang="en-US" sz="1200"/>
        </a:p>
        <a:p>
          <a:endParaRPr lang="en-US" sz="1200"/>
        </a:p>
        <a:p>
          <a:r>
            <a:rPr lang="en-US" sz="1200"/>
            <a:t>Modeled results are total fluxes from</a:t>
          </a:r>
          <a:r>
            <a:rPr lang="en-US" sz="1200" baseline="0"/>
            <a:t> air to snow and ice (diffusion, dry deposition, wet deposition, and rain deposition) in zone 1 and in 28% of zone 2.</a:t>
          </a:r>
        </a:p>
        <a:p>
          <a:endParaRPr lang="en-US" sz="1200" baseline="0"/>
        </a:p>
        <a:p>
          <a:r>
            <a:rPr lang="en-US" sz="1200" baseline="0"/>
            <a:t>Results extrapolated to Arctic from the ice caps are from Young, 2007. Young's results seem to be calculated using an arctic area of approx 11 million km2. They state "Fluxes calculated to each of the ice caps were multiplied bythe area of the Arctic to yield a flux of these compounds tothe area north of 65°N." However, the exact value is not stated. </a:t>
          </a:r>
          <a:r>
            <a:rPr lang="en-US" sz="1200" b="1" baseline="0"/>
            <a:t>The area of arctic land is approximately 11 million km2 , so this may have been the area considered by Young</a:t>
          </a:r>
          <a:r>
            <a:rPr lang="en-US" sz="1200" baseline="0"/>
            <a:t> (http://www.terrapolaris.com/5/arctic/the-arctic-in-general/arktische-landflaechen/).</a:t>
          </a:r>
        </a:p>
      </xdr:txBody>
    </xdr:sp>
    <xdr:clientData/>
  </xdr:twoCellAnchor>
  <xdr:twoCellAnchor>
    <xdr:from>
      <xdr:col>0</xdr:col>
      <xdr:colOff>534378</xdr:colOff>
      <xdr:row>23</xdr:row>
      <xdr:rowOff>50802</xdr:rowOff>
    </xdr:from>
    <xdr:to>
      <xdr:col>2</xdr:col>
      <xdr:colOff>895839</xdr:colOff>
      <xdr:row>26</xdr:row>
      <xdr:rowOff>70340</xdr:rowOff>
    </xdr:to>
    <xdr:sp macro="" textlink="">
      <xdr:nvSpPr>
        <xdr:cNvPr id="4" name="TextBox 3"/>
        <xdr:cNvSpPr txBox="1"/>
      </xdr:nvSpPr>
      <xdr:spPr>
        <a:xfrm>
          <a:off x="534378" y="5321302"/>
          <a:ext cx="1733061" cy="5910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Copy and paste Python flux</a:t>
          </a:r>
          <a:r>
            <a:rPr lang="en-US" sz="1100" baseline="0">
              <a:solidFill>
                <a:srgbClr val="FF0000"/>
              </a:solidFill>
            </a:rPr>
            <a:t> output table here starting with year number:</a:t>
          </a:r>
          <a:endParaRPr lang="en-US" sz="1100">
            <a:solidFill>
              <a:srgbClr val="FF0000"/>
            </a:solidFill>
          </a:endParaRPr>
        </a:p>
      </xdr:txBody>
    </xdr:sp>
    <xdr:clientData/>
  </xdr:twoCellAnchor>
  <xdr:twoCellAnchor>
    <xdr:from>
      <xdr:col>12</xdr:col>
      <xdr:colOff>263770</xdr:colOff>
      <xdr:row>83</xdr:row>
      <xdr:rowOff>111693</xdr:rowOff>
    </xdr:from>
    <xdr:to>
      <xdr:col>17</xdr:col>
      <xdr:colOff>251558</xdr:colOff>
      <xdr:row>109</xdr:row>
      <xdr:rowOff>27679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424685</xdr:colOff>
      <xdr:row>52</xdr:row>
      <xdr:rowOff>138981</xdr:rowOff>
    </xdr:from>
    <xdr:to>
      <xdr:col>29</xdr:col>
      <xdr:colOff>143773</xdr:colOff>
      <xdr:row>57</xdr:row>
      <xdr:rowOff>1</xdr:rowOff>
    </xdr:to>
    <xdr:sp macro="" textlink="">
      <xdr:nvSpPr>
        <xdr:cNvPr id="9" name="TextBox 8"/>
        <xdr:cNvSpPr txBox="1"/>
      </xdr:nvSpPr>
      <xdr:spPr>
        <a:xfrm>
          <a:off x="26184119" y="11197566"/>
          <a:ext cx="2199182" cy="879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Lower and upper bound lines should represent 1 and 2 orders of magnitude above the 1:1 relationship</a:t>
          </a:r>
          <a:r>
            <a:rPr lang="en-US" sz="1100" baseline="0">
              <a:solidFill>
                <a:srgbClr val="FF0000"/>
              </a:solidFill>
            </a:rPr>
            <a:t> center line.</a:t>
          </a:r>
          <a:endParaRPr lang="en-US" sz="1100">
            <a:solidFill>
              <a:srgbClr val="FF0000"/>
            </a:solidFill>
          </a:endParaRPr>
        </a:p>
      </xdr:txBody>
    </xdr:sp>
    <xdr:clientData/>
  </xdr:twoCellAnchor>
  <xdr:twoCellAnchor>
    <xdr:from>
      <xdr:col>18</xdr:col>
      <xdr:colOff>4070</xdr:colOff>
      <xdr:row>83</xdr:row>
      <xdr:rowOff>115601</xdr:rowOff>
    </xdr:from>
    <xdr:to>
      <xdr:col>22</xdr:col>
      <xdr:colOff>787238</xdr:colOff>
      <xdr:row>109</xdr:row>
      <xdr:rowOff>31587</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264583</xdr:colOff>
      <xdr:row>109</xdr:row>
      <xdr:rowOff>183986</xdr:rowOff>
    </xdr:from>
    <xdr:to>
      <xdr:col>17</xdr:col>
      <xdr:colOff>256442</xdr:colOff>
      <xdr:row>135</xdr:row>
      <xdr:rowOff>99972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23608</xdr:colOff>
      <xdr:row>109</xdr:row>
      <xdr:rowOff>189687</xdr:rowOff>
    </xdr:from>
    <xdr:to>
      <xdr:col>22</xdr:col>
      <xdr:colOff>806776</xdr:colOff>
      <xdr:row>135</xdr:row>
      <xdr:rowOff>109742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651382</xdr:colOff>
      <xdr:row>51</xdr:row>
      <xdr:rowOff>38143</xdr:rowOff>
    </xdr:from>
    <xdr:to>
      <xdr:col>38</xdr:col>
      <xdr:colOff>814022</xdr:colOff>
      <xdr:row>71</xdr:row>
      <xdr:rowOff>161474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810846</xdr:colOff>
      <xdr:row>20</xdr:row>
      <xdr:rowOff>117231</xdr:rowOff>
    </xdr:from>
    <xdr:to>
      <xdr:col>30</xdr:col>
      <xdr:colOff>341923</xdr:colOff>
      <xdr:row>23</xdr:row>
      <xdr:rowOff>136769</xdr:rowOff>
    </xdr:to>
    <xdr:sp macro="" textlink="">
      <xdr:nvSpPr>
        <xdr:cNvPr id="2" name="TextBox 1"/>
        <xdr:cNvSpPr txBox="1"/>
      </xdr:nvSpPr>
      <xdr:spPr>
        <a:xfrm>
          <a:off x="26640692" y="5128846"/>
          <a:ext cx="3683000" cy="6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r>
            <a:rPr lang="en-US" sz="1100" baseline="0"/>
            <a:t> that these flux sums do not add up exactly to match the total flux (in kg). This is likely due to rounding assumptions in CliMoChem during the calculations.</a:t>
          </a:r>
          <a:endParaRPr lang="en-US" sz="1100"/>
        </a:p>
      </xdr:txBody>
    </xdr:sp>
    <xdr:clientData/>
  </xdr:twoCellAnchor>
  <xdr:twoCellAnchor>
    <xdr:from>
      <xdr:col>18</xdr:col>
      <xdr:colOff>558229</xdr:colOff>
      <xdr:row>30</xdr:row>
      <xdr:rowOff>80049</xdr:rowOff>
    </xdr:from>
    <xdr:to>
      <xdr:col>27</xdr:col>
      <xdr:colOff>416217</xdr:colOff>
      <xdr:row>50</xdr:row>
      <xdr:rowOff>61778</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7055</xdr:colOff>
      <xdr:row>27</xdr:row>
      <xdr:rowOff>74083</xdr:rowOff>
    </xdr:from>
    <xdr:to>
      <xdr:col>21</xdr:col>
      <xdr:colOff>268111</xdr:colOff>
      <xdr:row>29</xdr:row>
      <xdr:rowOff>141111</xdr:rowOff>
    </xdr:to>
    <xdr:sp macro="" textlink="">
      <xdr:nvSpPr>
        <xdr:cNvPr id="17" name="TextBox 16"/>
        <xdr:cNvSpPr txBox="1"/>
      </xdr:nvSpPr>
      <xdr:spPr>
        <a:xfrm>
          <a:off x="13779499" y="6339416"/>
          <a:ext cx="8318501" cy="4621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ctr" defTabSz="914400" rtl="0" eaLnBrk="1" fontAlgn="auto" latinLnBrk="0" hangingPunct="1">
            <a:lnSpc>
              <a:spcPct val="100000"/>
            </a:lnSpc>
            <a:spcBef>
              <a:spcPts val="0"/>
            </a:spcBef>
            <a:spcAft>
              <a:spcPts val="0"/>
            </a:spcAft>
            <a:buClrTx/>
            <a:buSzTx/>
            <a:buFontTx/>
            <a:buNone/>
            <a:tabLst/>
            <a:defRPr/>
          </a:pPr>
          <a:r>
            <a:rPr lang="en-US" sz="1600" b="1"/>
            <a:t>PFOS Flux to Arctic without </a:t>
          </a:r>
          <a:r>
            <a:rPr lang="en-US" sz="1600" b="1" baseline="0"/>
            <a:t>and </a:t>
          </a:r>
          <a:r>
            <a:rPr lang="en-US" sz="1600" b="1"/>
            <a:t>POSF Emissions Compared to Young et al. (for publication)</a:t>
          </a:r>
        </a:p>
      </xdr:txBody>
    </xdr:sp>
    <xdr:clientData/>
  </xdr:twoCellAnchor>
  <xdr:twoCellAnchor>
    <xdr:from>
      <xdr:col>13</xdr:col>
      <xdr:colOff>421922</xdr:colOff>
      <xdr:row>32</xdr:row>
      <xdr:rowOff>32457</xdr:rowOff>
    </xdr:from>
    <xdr:to>
      <xdr:col>16</xdr:col>
      <xdr:colOff>514047</xdr:colOff>
      <xdr:row>34</xdr:row>
      <xdr:rowOff>8469</xdr:rowOff>
    </xdr:to>
    <xdr:sp macro="" textlink="">
      <xdr:nvSpPr>
        <xdr:cNvPr id="6" name="TextBox 5"/>
        <xdr:cNvSpPr txBox="1"/>
      </xdr:nvSpPr>
      <xdr:spPr>
        <a:xfrm>
          <a:off x="15329303" y="7519409"/>
          <a:ext cx="2874030" cy="387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Bitstream Vera Sans Roman" charset="0"/>
              <a:ea typeface="Bitstream Vera Sans Roman" charset="0"/>
              <a:cs typeface="Bitstream Vera Sans Roman" charset="0"/>
            </a:rPr>
            <a:t>a) Without POSF emissions</a:t>
          </a:r>
        </a:p>
      </xdr:txBody>
    </xdr:sp>
    <xdr:clientData/>
  </xdr:twoCellAnchor>
  <xdr:twoCellAnchor>
    <xdr:from>
      <xdr:col>19</xdr:col>
      <xdr:colOff>537633</xdr:colOff>
      <xdr:row>32</xdr:row>
      <xdr:rowOff>28222</xdr:rowOff>
    </xdr:from>
    <xdr:to>
      <xdr:col>22</xdr:col>
      <xdr:colOff>275166</xdr:colOff>
      <xdr:row>33</xdr:row>
      <xdr:rowOff>174977</xdr:rowOff>
    </xdr:to>
    <xdr:sp macro="" textlink="">
      <xdr:nvSpPr>
        <xdr:cNvPr id="15" name="TextBox 14"/>
        <xdr:cNvSpPr txBox="1"/>
      </xdr:nvSpPr>
      <xdr:spPr>
        <a:xfrm>
          <a:off x="20293189" y="7281333"/>
          <a:ext cx="2644421" cy="3443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Bitstream Vera Sans Roman" charset="0"/>
              <a:ea typeface="Bitstream Vera Sans Roman" charset="0"/>
              <a:cs typeface="Bitstream Vera Sans Roman" charset="0"/>
            </a:rPr>
            <a:t>b) </a:t>
          </a:r>
          <a:r>
            <a:rPr lang="en-US" sz="1500">
              <a:latin typeface="Bitstream Vera Sans Roman" charset="0"/>
              <a:ea typeface="Bitstream Vera Sans Roman" charset="0"/>
              <a:cs typeface="Bitstream Vera Sans Roman" charset="0"/>
            </a:rPr>
            <a:t>With</a:t>
          </a:r>
          <a:r>
            <a:rPr lang="en-US" sz="1600">
              <a:latin typeface="Bitstream Vera Sans Roman" charset="0"/>
              <a:ea typeface="Bitstream Vera Sans Roman" charset="0"/>
              <a:cs typeface="Bitstream Vera Sans Roman" charset="0"/>
            </a:rPr>
            <a:t> POSF emissions</a:t>
          </a:r>
        </a:p>
      </xdr:txBody>
    </xdr:sp>
    <xdr:clientData/>
  </xdr:twoCellAnchor>
  <xdr:twoCellAnchor>
    <xdr:from>
      <xdr:col>24</xdr:col>
      <xdr:colOff>132974</xdr:colOff>
      <xdr:row>27</xdr:row>
      <xdr:rowOff>105164</xdr:rowOff>
    </xdr:from>
    <xdr:to>
      <xdr:col>33</xdr:col>
      <xdr:colOff>549227</xdr:colOff>
      <xdr:row>47</xdr:row>
      <xdr:rowOff>86894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211667</xdr:colOff>
      <xdr:row>53</xdr:row>
      <xdr:rowOff>31749</xdr:rowOff>
    </xdr:from>
    <xdr:to>
      <xdr:col>14</xdr:col>
      <xdr:colOff>560918</xdr:colOff>
      <xdr:row>58</xdr:row>
      <xdr:rowOff>74084</xdr:rowOff>
    </xdr:to>
    <xdr:sp macro="" textlink="">
      <xdr:nvSpPr>
        <xdr:cNvPr id="8" name="TextBox 7"/>
        <xdr:cNvSpPr txBox="1"/>
      </xdr:nvSpPr>
      <xdr:spPr>
        <a:xfrm>
          <a:off x="13197417" y="11609916"/>
          <a:ext cx="3217334" cy="1047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FF0000"/>
              </a:solidFill>
              <a:effectLst/>
              <a:latin typeface="+mn-lt"/>
              <a:ea typeface="+mn-ea"/>
              <a:cs typeface="+mn-cs"/>
            </a:rPr>
            <a:t>Note: </a:t>
          </a:r>
          <a:r>
            <a:rPr lang="en-US" sz="1400" b="0" i="0" u="none" strike="noStrike">
              <a:solidFill>
                <a:schemeClr val="dk1"/>
              </a:solidFill>
              <a:effectLst/>
              <a:latin typeface="+mn-lt"/>
              <a:ea typeface="+mn-ea"/>
              <a:cs typeface="+mn-cs"/>
            </a:rPr>
            <a:t>Figure fonts in the Manuscript are currently in "Cambria", but in the SETAC poster they are set to "Bitstream Vera Sans" to match output from Matplotlib.</a:t>
          </a:r>
          <a:r>
            <a:rPr lang="en-US" sz="1400"/>
            <a:t>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18</xdr:col>
      <xdr:colOff>411409</xdr:colOff>
      <xdr:row>50</xdr:row>
      <xdr:rowOff>366689</xdr:rowOff>
    </xdr:from>
    <xdr:to>
      <xdr:col>24</xdr:col>
      <xdr:colOff>321972</xdr:colOff>
      <xdr:row>54</xdr:row>
      <xdr:rowOff>205702</xdr:rowOff>
    </xdr:to>
    <xdr:sp macro="" textlink="">
      <xdr:nvSpPr>
        <xdr:cNvPr id="3" name="TextBox 2"/>
        <xdr:cNvSpPr txBox="1"/>
      </xdr:nvSpPr>
      <xdr:spPr>
        <a:xfrm>
          <a:off x="16331127" y="12342252"/>
          <a:ext cx="5464577" cy="15204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Mass balance matches up now for xFOSA/Es.</a:t>
          </a:r>
          <a:r>
            <a:rPr lang="en-US" sz="1100" baseline="0">
              <a:solidFill>
                <a:srgbClr val="FF0000"/>
              </a:solidFill>
            </a:rPr>
            <a:t> Updated equation to define the degradation of xFOSA/Es to other products. Balance for PFOS is close but not perfect. Most closely for the run with Ice/Snow off. Remaining missing kg in the ice/snow off could be due to rounding errors in the CliMoChem model.</a:t>
          </a:r>
          <a:endParaRPr lang="en-US" sz="1100">
            <a:solidFill>
              <a:srgbClr val="FF0000"/>
            </a:solidFill>
          </a:endParaRPr>
        </a:p>
      </xdr:txBody>
    </xdr:sp>
    <xdr:clientData/>
  </xdr:twoCellAnchor>
  <xdr:twoCellAnchor>
    <xdr:from>
      <xdr:col>5</xdr:col>
      <xdr:colOff>44718</xdr:colOff>
      <xdr:row>57</xdr:row>
      <xdr:rowOff>0</xdr:rowOff>
    </xdr:from>
    <xdr:to>
      <xdr:col>8</xdr:col>
      <xdr:colOff>286198</xdr:colOff>
      <xdr:row>57</xdr:row>
      <xdr:rowOff>0</xdr:rowOff>
    </xdr:to>
    <xdr:sp macro="" textlink="">
      <xdr:nvSpPr>
        <xdr:cNvPr id="2" name="TextBox 1"/>
        <xdr:cNvSpPr txBox="1"/>
      </xdr:nvSpPr>
      <xdr:spPr>
        <a:xfrm>
          <a:off x="5178380" y="14283029"/>
          <a:ext cx="2709931" cy="7780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Updated columns in</a:t>
          </a:r>
          <a:r>
            <a:rPr lang="en-US" sz="1100" baseline="0"/>
            <a:t> Python extraction script</a:t>
          </a:r>
          <a:r>
            <a:rPr lang="en-US" sz="1100"/>
            <a:t> must not be</a:t>
          </a:r>
          <a:r>
            <a:rPr lang="en-US" sz="1100" baseline="0"/>
            <a:t> the</a:t>
          </a:r>
          <a:r>
            <a:rPr lang="en-US" sz="1100"/>
            <a:t> correct ones to use.</a:t>
          </a:r>
          <a:r>
            <a:rPr lang="en-US" sz="1100" baseline="0"/>
            <a:t> Calculating much too high of losses here. These rows incorrect.</a:t>
          </a:r>
          <a:endParaRPr lang="en-US" sz="1100"/>
        </a:p>
      </xdr:txBody>
    </xdr:sp>
    <xdr:clientData/>
  </xdr:twoCellAnchor>
  <xdr:twoCellAnchor>
    <xdr:from>
      <xdr:col>8</xdr:col>
      <xdr:colOff>438240</xdr:colOff>
      <xdr:row>88</xdr:row>
      <xdr:rowOff>518733</xdr:rowOff>
    </xdr:from>
    <xdr:to>
      <xdr:col>10</xdr:col>
      <xdr:colOff>795986</xdr:colOff>
      <xdr:row>94</xdr:row>
      <xdr:rowOff>17888</xdr:rowOff>
    </xdr:to>
    <xdr:sp macro="" textlink="">
      <xdr:nvSpPr>
        <xdr:cNvPr id="5" name="TextBox 4"/>
        <xdr:cNvSpPr txBox="1"/>
      </xdr:nvSpPr>
      <xdr:spPr>
        <a:xfrm>
          <a:off x="8711127" y="20534648"/>
          <a:ext cx="2003380" cy="1010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Balance results here reasonable</a:t>
          </a:r>
          <a:r>
            <a:rPr lang="en-US" sz="1100" baseline="0"/>
            <a:t> and not 0 due to rounding errors (both by me extracting the numbers and by the model in reporting them).</a:t>
          </a:r>
          <a:endParaRPr lang="en-US" sz="1100"/>
        </a:p>
      </xdr:txBody>
    </xdr:sp>
    <xdr:clientData/>
  </xdr:twoCellAnchor>
  <xdr:twoCellAnchor>
    <xdr:from>
      <xdr:col>18</xdr:col>
      <xdr:colOff>295140</xdr:colOff>
      <xdr:row>101</xdr:row>
      <xdr:rowOff>939085</xdr:rowOff>
    </xdr:from>
    <xdr:to>
      <xdr:col>20</xdr:col>
      <xdr:colOff>366689</xdr:colOff>
      <xdr:row>106</xdr:row>
      <xdr:rowOff>169930</xdr:rowOff>
    </xdr:to>
    <xdr:sp macro="" textlink="">
      <xdr:nvSpPr>
        <xdr:cNvPr id="6" name="TextBox 5"/>
        <xdr:cNvSpPr txBox="1"/>
      </xdr:nvSpPr>
      <xdr:spPr>
        <a:xfrm>
          <a:off x="16885633" y="24738170"/>
          <a:ext cx="2128591" cy="9390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Mass</a:t>
          </a:r>
          <a:r>
            <a:rPr lang="en-US" sz="1100" baseline="0"/>
            <a:t> balance assumption is: if it wasn't permanently lost or remaining in the end as xFOSA/Es, then it was converted to other products.</a:t>
          </a:r>
        </a:p>
      </xdr:txBody>
    </xdr:sp>
    <xdr:clientData/>
  </xdr:twoCellAnchor>
  <xdr:twoCellAnchor>
    <xdr:from>
      <xdr:col>6</xdr:col>
      <xdr:colOff>134154</xdr:colOff>
      <xdr:row>113</xdr:row>
      <xdr:rowOff>232535</xdr:rowOff>
    </xdr:from>
    <xdr:to>
      <xdr:col>8</xdr:col>
      <xdr:colOff>751268</xdr:colOff>
      <xdr:row>119</xdr:row>
      <xdr:rowOff>17888</xdr:rowOff>
    </xdr:to>
    <xdr:sp macro="" textlink="">
      <xdr:nvSpPr>
        <xdr:cNvPr id="7" name="TextBox 6"/>
        <xdr:cNvSpPr txBox="1"/>
      </xdr:nvSpPr>
      <xdr:spPr>
        <a:xfrm>
          <a:off x="6761408" y="28727042"/>
          <a:ext cx="2262747" cy="11984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Is the result of this</a:t>
          </a:r>
          <a:r>
            <a:rPr lang="en-US" sz="1100" baseline="0"/>
            <a:t> mass balance reasonable? Is it possible that .5 to .9 tons are  rounding errors somewhere? Or is there a permanent loss that I forgot to consider?</a:t>
          </a:r>
          <a:endParaRPr lang="en-US" sz="1100"/>
        </a:p>
      </xdr:txBody>
    </xdr:sp>
    <xdr:clientData/>
  </xdr:twoCellAnchor>
  <xdr:twoCellAnchor>
    <xdr:from>
      <xdr:col>6</xdr:col>
      <xdr:colOff>456126</xdr:colOff>
      <xdr:row>139</xdr:row>
      <xdr:rowOff>375633</xdr:rowOff>
    </xdr:from>
    <xdr:to>
      <xdr:col>9</xdr:col>
      <xdr:colOff>250423</xdr:colOff>
      <xdr:row>145</xdr:row>
      <xdr:rowOff>160986</xdr:rowOff>
    </xdr:to>
    <xdr:sp macro="" textlink="">
      <xdr:nvSpPr>
        <xdr:cNvPr id="8" name="TextBox 7"/>
        <xdr:cNvSpPr txBox="1"/>
      </xdr:nvSpPr>
      <xdr:spPr>
        <a:xfrm>
          <a:off x="7083380" y="28870140"/>
          <a:ext cx="2262747" cy="11984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Is the result of this</a:t>
          </a:r>
          <a:r>
            <a:rPr lang="en-US" sz="1100" baseline="0"/>
            <a:t> mass balance reasonable? Is it possible that .2 to 1.5 tons are rounding errors somewhere? Or is there a permanent loss that I forgot to consider?</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1447800</xdr:colOff>
      <xdr:row>78</xdr:row>
      <xdr:rowOff>127000</xdr:rowOff>
    </xdr:from>
    <xdr:to>
      <xdr:col>19</xdr:col>
      <xdr:colOff>482600</xdr:colOff>
      <xdr:row>91</xdr:row>
      <xdr:rowOff>114300</xdr:rowOff>
    </xdr:to>
    <xdr:sp macro="" textlink="">
      <xdr:nvSpPr>
        <xdr:cNvPr id="2" name="TextBox 1"/>
        <xdr:cNvSpPr txBox="1"/>
      </xdr:nvSpPr>
      <xdr:spPr>
        <a:xfrm>
          <a:off x="18732500" y="15443200"/>
          <a:ext cx="7086600" cy="246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Measurements of</a:t>
          </a:r>
          <a:r>
            <a:rPr lang="en-US" sz="1400" baseline="0">
              <a:solidFill>
                <a:srgbClr val="FF0000"/>
              </a:solidFill>
            </a:rPr>
            <a:t> rain and snow samples, can compare deposition fluxes from the model and from the measurements. There are some new measurements available and some papers in the stacks that still need to be reviewed. Check for papers from: Xie Zhiyong. Need to find out where this data (which paper in the stacks) it came from.</a:t>
          </a:r>
          <a:endParaRPr lang="en-US" sz="1400">
            <a:solidFill>
              <a:srgbClr val="FF0000"/>
            </a:solidFill>
          </a:endParaRPr>
        </a:p>
      </xdr:txBody>
    </xdr:sp>
    <xdr:clientData/>
  </xdr:twoCellAnchor>
  <xdr:twoCellAnchor>
    <xdr:from>
      <xdr:col>11</xdr:col>
      <xdr:colOff>584200</xdr:colOff>
      <xdr:row>4</xdr:row>
      <xdr:rowOff>38100</xdr:rowOff>
    </xdr:from>
    <xdr:to>
      <xdr:col>14</xdr:col>
      <xdr:colOff>314960</xdr:colOff>
      <xdr:row>7</xdr:row>
      <xdr:rowOff>81280</xdr:rowOff>
    </xdr:to>
    <xdr:sp macro="" textlink="">
      <xdr:nvSpPr>
        <xdr:cNvPr id="3" name="TextBox 2"/>
        <xdr:cNvSpPr txBox="1"/>
      </xdr:nvSpPr>
      <xdr:spPr>
        <a:xfrm>
          <a:off x="23373080" y="1501140"/>
          <a:ext cx="4699000" cy="744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Paper</a:t>
          </a:r>
          <a:r>
            <a:rPr lang="en-US" sz="1400" baseline="0">
              <a:solidFill>
                <a:srgbClr val="FF0000"/>
              </a:solidFill>
            </a:rPr>
            <a:t> also has fluxes in units of ng/m2, but the raw numbers are not provided in a table (bar graph only).</a:t>
          </a:r>
          <a:endParaRPr lang="en-US" sz="1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24</xdr:col>
      <xdr:colOff>355600</xdr:colOff>
      <xdr:row>18</xdr:row>
      <xdr:rowOff>177800</xdr:rowOff>
    </xdr:from>
    <xdr:to>
      <xdr:col>27</xdr:col>
      <xdr:colOff>685800</xdr:colOff>
      <xdr:row>28</xdr:row>
      <xdr:rowOff>88900</xdr:rowOff>
    </xdr:to>
    <xdr:sp macro="" textlink="">
      <xdr:nvSpPr>
        <xdr:cNvPr id="2" name="TextBox 1"/>
        <xdr:cNvSpPr txBox="1"/>
      </xdr:nvSpPr>
      <xdr:spPr>
        <a:xfrm>
          <a:off x="13309600" y="3429000"/>
          <a:ext cx="2806700" cy="181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1 = above detection limit, </a:t>
          </a:r>
        </a:p>
        <a:p>
          <a:r>
            <a:rPr lang="en-US" sz="1100">
              <a:solidFill>
                <a:schemeClr val="tx1"/>
              </a:solidFill>
            </a:rPr>
            <a:t>0 = below detection limit</a:t>
          </a:r>
        </a:p>
        <a:p>
          <a:endParaRPr lang="en-US" sz="1100">
            <a:solidFill>
              <a:srgbClr val="FF0000"/>
            </a:solidFill>
          </a:endParaRPr>
        </a:p>
        <a:p>
          <a:r>
            <a:rPr lang="en-US" sz="1100">
              <a:solidFill>
                <a:srgbClr val="FF0000"/>
              </a:solidFill>
            </a:rPr>
            <a:t>Detection limit assumed when below detection limit.</a:t>
          </a:r>
        </a:p>
        <a:p>
          <a:endParaRPr lang="en-US" sz="1100">
            <a:solidFill>
              <a:srgbClr val="FF0000"/>
            </a:solidFill>
          </a:endParaRPr>
        </a:p>
        <a:p>
          <a:r>
            <a:rPr lang="en-US" sz="1100">
              <a:solidFill>
                <a:srgbClr val="FF0000"/>
              </a:solidFill>
            </a:rPr>
            <a:t>Salinity should</a:t>
          </a:r>
          <a:r>
            <a:rPr lang="en-US" sz="1100" baseline="0">
              <a:solidFill>
                <a:srgbClr val="FF0000"/>
              </a:solidFill>
            </a:rPr>
            <a:t> be &gt;30 in order to begin considering it as open ocean for our modeling.</a:t>
          </a:r>
          <a:endParaRPr lang="en-US" sz="1100">
            <a:solidFill>
              <a:srgbClr val="FF0000"/>
            </a:solidFill>
          </a:endParaRPr>
        </a:p>
      </xdr:txBody>
    </xdr:sp>
    <xdr:clientData/>
  </xdr:twoCellAnchor>
  <xdr:twoCellAnchor>
    <xdr:from>
      <xdr:col>24</xdr:col>
      <xdr:colOff>381000</xdr:colOff>
      <xdr:row>33</xdr:row>
      <xdr:rowOff>12700</xdr:rowOff>
    </xdr:from>
    <xdr:to>
      <xdr:col>30</xdr:col>
      <xdr:colOff>393700</xdr:colOff>
      <xdr:row>41</xdr:row>
      <xdr:rowOff>63500</xdr:rowOff>
    </xdr:to>
    <xdr:sp macro="" textlink="">
      <xdr:nvSpPr>
        <xdr:cNvPr id="3" name="TextBox 2"/>
        <xdr:cNvSpPr txBox="1"/>
      </xdr:nvSpPr>
      <xdr:spPr>
        <a:xfrm>
          <a:off x="13335000" y="6121400"/>
          <a:ext cx="3314700" cy="157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Quality screen published papers using salinity. If there is too much influence from fresh water,</a:t>
          </a:r>
          <a:r>
            <a:rPr lang="en-US" sz="1100" baseline="0">
              <a:solidFill>
                <a:srgbClr val="FF0000"/>
              </a:solidFill>
            </a:rPr>
            <a:t> then the measurements are ignored and not considered for comparison. This is an improvement from Armitage, et al. who did not consider this in the measurements that they used in their comparison. New ocean measurement papers available, need to find them and add the data here. Look for papers from: Xie Zhiyong, Rainer Lohmann, Jordi Dachs.</a:t>
          </a:r>
          <a:endParaRPr lang="en-US" sz="1100">
            <a:solidFill>
              <a:srgbClr val="FF0000"/>
            </a:solidFill>
          </a:endParaRPr>
        </a:p>
      </xdr:txBody>
    </xdr:sp>
    <xdr:clientData/>
  </xdr:twoCellAnchor>
  <xdr:twoCellAnchor>
    <xdr:from>
      <xdr:col>0</xdr:col>
      <xdr:colOff>579120</xdr:colOff>
      <xdr:row>82</xdr:row>
      <xdr:rowOff>111760</xdr:rowOff>
    </xdr:from>
    <xdr:to>
      <xdr:col>1</xdr:col>
      <xdr:colOff>375920</xdr:colOff>
      <xdr:row>86</xdr:row>
      <xdr:rowOff>101600</xdr:rowOff>
    </xdr:to>
    <xdr:sp macro="" textlink="">
      <xdr:nvSpPr>
        <xdr:cNvPr id="4" name="TextBox 3"/>
        <xdr:cNvSpPr txBox="1"/>
      </xdr:nvSpPr>
      <xdr:spPr>
        <a:xfrm>
          <a:off x="579120" y="19334480"/>
          <a:ext cx="2753360" cy="924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F0000"/>
              </a:solidFill>
            </a:rPr>
            <a:t>Oden Cruise = 2007 (only Benskin)</a:t>
          </a:r>
        </a:p>
        <a:p>
          <a:endParaRPr lang="en-US" sz="1400" b="1">
            <a:solidFill>
              <a:srgbClr val="FF0000"/>
            </a:solidFill>
          </a:endParaRPr>
        </a:p>
        <a:p>
          <a:r>
            <a:rPr lang="en-US" sz="1400" b="1">
              <a:solidFill>
                <a:srgbClr val="FF0000"/>
              </a:solidFill>
            </a:rPr>
            <a:t>Endeavour</a:t>
          </a:r>
          <a:r>
            <a:rPr lang="en-US" sz="1400" b="1" baseline="0">
              <a:solidFill>
                <a:srgbClr val="FF0000"/>
              </a:solidFill>
            </a:rPr>
            <a:t> Cruise = 2009 (&amp; Muir)</a:t>
          </a:r>
          <a:endParaRPr lang="en-US" sz="14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38</xdr:col>
      <xdr:colOff>533400</xdr:colOff>
      <xdr:row>33</xdr:row>
      <xdr:rowOff>25400</xdr:rowOff>
    </xdr:from>
    <xdr:to>
      <xdr:col>45</xdr:col>
      <xdr:colOff>190500</xdr:colOff>
      <xdr:row>44</xdr:row>
      <xdr:rowOff>177800</xdr:rowOff>
    </xdr:to>
    <xdr:sp macro="" textlink="">
      <xdr:nvSpPr>
        <xdr:cNvPr id="2" name="TextBox 1"/>
        <xdr:cNvSpPr txBox="1"/>
      </xdr:nvSpPr>
      <xdr:spPr>
        <a:xfrm>
          <a:off x="12331700" y="6515100"/>
          <a:ext cx="5435600" cy="224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Measurement</a:t>
          </a:r>
          <a:r>
            <a:rPr lang="en-US" sz="1400" baseline="0">
              <a:solidFill>
                <a:srgbClr val="FF0000"/>
              </a:solidFill>
            </a:rPr>
            <a:t> data for the ocean is more clear, but data for the air is not complete, and the final way to collect the data (consistently) is not finalized. Work needs to be done here to get new papers, extract data, and ensure consistency of what chemicals were measured with the data that was already collected. Be careful not to take the urban measurements (this is a main improvement to the method). Check for papers from: Xie Zhiyong and Rainer Lohmann (?).</a:t>
          </a:r>
          <a:endParaRPr lang="en-US" sz="1400">
            <a:solidFill>
              <a:srgbClr val="FF0000"/>
            </a:solidFill>
          </a:endParaRPr>
        </a:p>
      </xdr:txBody>
    </xdr:sp>
    <xdr:clientData/>
  </xdr:twoCellAnchor>
  <xdr:twoCellAnchor editAs="oneCell">
    <xdr:from>
      <xdr:col>38</xdr:col>
      <xdr:colOff>622120</xdr:colOff>
      <xdr:row>50</xdr:row>
      <xdr:rowOff>114300</xdr:rowOff>
    </xdr:from>
    <xdr:to>
      <xdr:col>48</xdr:col>
      <xdr:colOff>741679</xdr:colOff>
      <xdr:row>113</xdr:row>
      <xdr:rowOff>50800</xdr:rowOff>
    </xdr:to>
    <xdr:pic>
      <xdr:nvPicPr>
        <xdr:cNvPr id="3" name="Picture 2"/>
        <xdr:cNvPicPr>
          <a:picLocks noChangeAspect="1"/>
        </xdr:cNvPicPr>
      </xdr:nvPicPr>
      <xdr:blipFill>
        <a:blip xmlns:r="http://schemas.openxmlformats.org/officeDocument/2006/relationships" r:embed="rId1"/>
        <a:stretch>
          <a:fillRect/>
        </a:stretch>
      </xdr:blipFill>
      <xdr:spPr>
        <a:xfrm>
          <a:off x="25199160" y="11828780"/>
          <a:ext cx="8349159" cy="14658340"/>
        </a:xfrm>
        <a:prstGeom prst="rect">
          <a:avLst/>
        </a:prstGeom>
      </xdr:spPr>
    </xdr:pic>
    <xdr:clientData/>
  </xdr:twoCellAnchor>
  <xdr:twoCellAnchor>
    <xdr:from>
      <xdr:col>3</xdr:col>
      <xdr:colOff>345440</xdr:colOff>
      <xdr:row>12</xdr:row>
      <xdr:rowOff>91440</xdr:rowOff>
    </xdr:from>
    <xdr:to>
      <xdr:col>5</xdr:col>
      <xdr:colOff>426720</xdr:colOff>
      <xdr:row>20</xdr:row>
      <xdr:rowOff>142240</xdr:rowOff>
    </xdr:to>
    <xdr:sp macro="" textlink="">
      <xdr:nvSpPr>
        <xdr:cNvPr id="8" name="TextBox 7"/>
        <xdr:cNvSpPr txBox="1"/>
      </xdr:nvSpPr>
      <xdr:spPr>
        <a:xfrm>
          <a:off x="7376160" y="2479040"/>
          <a:ext cx="2794000" cy="1595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Values reported in results table in SI as being lower than the listed MDL for MQLs, but without</a:t>
          </a:r>
          <a:r>
            <a:rPr lang="en-US" sz="1400" baseline="0">
              <a:solidFill>
                <a:srgbClr val="FF0000"/>
              </a:solidFill>
            </a:rPr>
            <a:t> any special notation</a:t>
          </a:r>
          <a:r>
            <a:rPr lang="en-US" sz="1400">
              <a:solidFill>
                <a:srgbClr val="FF0000"/>
              </a:solidFill>
            </a:rPr>
            <a:t>. I assumed these are then below the MDL/MQLs and listed them here to be plotted as such.</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19</xdr:col>
      <xdr:colOff>88900</xdr:colOff>
      <xdr:row>16</xdr:row>
      <xdr:rowOff>203200</xdr:rowOff>
    </xdr:from>
    <xdr:to>
      <xdr:col>24</xdr:col>
      <xdr:colOff>63500</xdr:colOff>
      <xdr:row>20</xdr:row>
      <xdr:rowOff>190500</xdr:rowOff>
    </xdr:to>
    <xdr:sp macro="" textlink="">
      <xdr:nvSpPr>
        <xdr:cNvPr id="2" name="TextBox 1"/>
        <xdr:cNvSpPr txBox="1"/>
      </xdr:nvSpPr>
      <xdr:spPr>
        <a:xfrm>
          <a:off x="15938500" y="3860800"/>
          <a:ext cx="4102100" cy="90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Data</a:t>
          </a:r>
          <a:r>
            <a:rPr lang="en-US" sz="1400" baseline="0">
              <a:solidFill>
                <a:srgbClr val="FF0000"/>
              </a:solidFill>
            </a:rPr>
            <a:t> from Armitage's csv file, some of it has been back calculated to find out what they used for thier input file for the model (they also used CliMoChem).</a:t>
          </a:r>
          <a:endParaRPr lang="en-US" sz="14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419100</xdr:colOff>
      <xdr:row>19</xdr:row>
      <xdr:rowOff>101600</xdr:rowOff>
    </xdr:from>
    <xdr:to>
      <xdr:col>17</xdr:col>
      <xdr:colOff>215900</xdr:colOff>
      <xdr:row>31</xdr:row>
      <xdr:rowOff>0</xdr:rowOff>
    </xdr:to>
    <xdr:sp macro="" textlink="">
      <xdr:nvSpPr>
        <xdr:cNvPr id="2" name="TextBox 1"/>
        <xdr:cNvSpPr txBox="1"/>
      </xdr:nvSpPr>
      <xdr:spPr>
        <a:xfrm>
          <a:off x="11328400" y="4457700"/>
          <a:ext cx="3098800" cy="264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1997 is the only set of year production values that are known for all three chemicals. Set up the ratio in the year, assume it stays constant, extrapolated/calculated the remaining production values in remaining years from there. Assuming that these two are the byproducts of POSF production and that the ratio stays the same. Ratio of 3629:454:22. </a:t>
          </a:r>
        </a:p>
      </xdr:txBody>
    </xdr:sp>
    <xdr:clientData/>
  </xdr:twoCellAnchor>
  <xdr:twoCellAnchor>
    <xdr:from>
      <xdr:col>8</xdr:col>
      <xdr:colOff>406400</xdr:colOff>
      <xdr:row>69</xdr:row>
      <xdr:rowOff>177800</xdr:rowOff>
    </xdr:from>
    <xdr:to>
      <xdr:col>11</xdr:col>
      <xdr:colOff>355600</xdr:colOff>
      <xdr:row>73</xdr:row>
      <xdr:rowOff>152400</xdr:rowOff>
    </xdr:to>
    <xdr:sp macro="" textlink="">
      <xdr:nvSpPr>
        <xdr:cNvPr id="3" name="TextBox 2"/>
        <xdr:cNvSpPr txBox="1"/>
      </xdr:nvSpPr>
      <xdr:spPr>
        <a:xfrm>
          <a:off x="7188200" y="13335000"/>
          <a:ext cx="24257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Are these</a:t>
          </a:r>
          <a:r>
            <a:rPr lang="en-US" sz="1100" baseline="0">
              <a:solidFill>
                <a:srgbClr val="FF0000"/>
              </a:solidFill>
            </a:rPr>
            <a:t> all assumed to be zero?</a:t>
          </a:r>
          <a:endParaRPr lang="en-US" sz="1100">
            <a:solidFill>
              <a:srgbClr val="FF0000"/>
            </a:solidFill>
          </a:endParaRPr>
        </a:p>
      </xdr:txBody>
    </xdr:sp>
    <xdr:clientData/>
  </xdr:twoCellAnchor>
  <xdr:twoCellAnchor>
    <xdr:from>
      <xdr:col>13</xdr:col>
      <xdr:colOff>419100</xdr:colOff>
      <xdr:row>8</xdr:row>
      <xdr:rowOff>177800</xdr:rowOff>
    </xdr:from>
    <xdr:to>
      <xdr:col>18</xdr:col>
      <xdr:colOff>774700</xdr:colOff>
      <xdr:row>18</xdr:row>
      <xdr:rowOff>165100</xdr:rowOff>
    </xdr:to>
    <xdr:sp macro="" textlink="">
      <xdr:nvSpPr>
        <xdr:cNvPr id="4" name="TextBox 3"/>
        <xdr:cNvSpPr txBox="1"/>
      </xdr:nvSpPr>
      <xdr:spPr>
        <a:xfrm>
          <a:off x="11328400" y="2019300"/>
          <a:ext cx="4483100" cy="227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Important assumption: </a:t>
          </a:r>
          <a:r>
            <a:rPr lang="en-US" sz="1400"/>
            <a:t>3M has not produced PHxSF and PDSF in purpose, but rather as byproducts. 3M, however, has found specific uses for PHxSF and PDSF. For PHxSF, the known use includes: 1) use in the AFFFs (big molecule, similar structure to FTAB); 2) side-chain fluorinated polymers used in after-market products.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393700</xdr:colOff>
      <xdr:row>56</xdr:row>
      <xdr:rowOff>50800</xdr:rowOff>
    </xdr:from>
    <xdr:to>
      <xdr:col>10</xdr:col>
      <xdr:colOff>495300</xdr:colOff>
      <xdr:row>61</xdr:row>
      <xdr:rowOff>165100</xdr:rowOff>
    </xdr:to>
    <xdr:sp macro="" textlink="">
      <xdr:nvSpPr>
        <xdr:cNvPr id="3" name="TextBox 2"/>
        <xdr:cNvSpPr txBox="1"/>
      </xdr:nvSpPr>
      <xdr:spPr>
        <a:xfrm>
          <a:off x="6997700" y="10731500"/>
          <a:ext cx="1752600" cy="1066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After 2002</a:t>
          </a:r>
          <a:r>
            <a:rPr lang="en-US" sz="1100" baseline="0"/>
            <a:t>, the global production of PDSF is assumed to have ceased.</a:t>
          </a:r>
          <a:endParaRPr lang="en-US" sz="1100"/>
        </a:p>
      </xdr:txBody>
    </xdr:sp>
    <xdr:clientData/>
  </xdr:twoCellAnchor>
</xdr:wsDr>
</file>

<file path=xl/tables/table1.xml><?xml version="1.0" encoding="utf-8"?>
<table xmlns="http://schemas.openxmlformats.org/spreadsheetml/2006/main" id="3" name="Table3" displayName="Table3" ref="A3:AF351" totalsRowShown="0" headerRowDxfId="75" dataDxfId="74" tableBorderDxfId="73">
  <autoFilter ref="A3:AF351"/>
  <sortState ref="A34:U284">
    <sortCondition ref="B33:B286"/>
  </sortState>
  <tableColumns count="32">
    <tableColumn id="1" name="Location" dataDxfId="72"/>
    <tableColumn id="2" name="Reference" dataDxfId="71"/>
    <tableColumn id="3" name="Sample Nr." dataDxfId="70"/>
    <tableColumn id="4" name="Hemisphere" dataDxfId="69"/>
    <tableColumn id="5" name="Lat." dataDxfId="68"/>
    <tableColumn id="6" name="Lon." dataDxfId="67"/>
    <tableColumn id="24" name="lat_dec" dataDxfId="66"/>
    <tableColumn id="25" name="lon_dec" dataDxfId="65"/>
    <tableColumn id="20" name="ocean" dataDxfId="64"/>
    <tableColumn id="32" name="exclude_PFOS" dataDxfId="63"/>
    <tableColumn id="7" name="climochem_zone" dataDxfId="62"/>
    <tableColumn id="8" name="sampling_time" dataDxfId="61"/>
    <tableColumn id="9" name="PFBS" dataDxfId="60"/>
    <tableColumn id="10" name="d_PFBS" dataDxfId="59"/>
    <tableColumn id="22" name="PFBS_LOD" dataDxfId="58"/>
    <tableColumn id="23" name="PFBS_LOQ" dataDxfId="57"/>
    <tableColumn id="11" name="PFHxS" dataDxfId="56"/>
    <tableColumn id="12" name="d_PFHxS" dataDxfId="55"/>
    <tableColumn id="26" name="PFHxS_LOD" dataDxfId="54"/>
    <tableColumn id="27" name="PFHxS_LOQ" dataDxfId="53"/>
    <tableColumn id="13" name="PFOS" dataDxfId="52"/>
    <tableColumn id="14" name="d_PFOS" dataDxfId="51"/>
    <tableColumn id="28" name="PFOS_LOD" dataDxfId="50"/>
    <tableColumn id="29" name="PFOS_LOQ" dataDxfId="49"/>
    <tableColumn id="15" name="PFNS" dataDxfId="48"/>
    <tableColumn id="16" name="d_PFNS" dataDxfId="47"/>
    <tableColumn id="17" name="PFDS" dataDxfId="46"/>
    <tableColumn id="18" name="d_PFDS" dataDxfId="45"/>
    <tableColumn id="30" name="PFDS_LOD" dataDxfId="44"/>
    <tableColumn id="31" name="PFDS_LOQ" dataDxfId="43"/>
    <tableColumn id="19" name="Comment" dataDxfId="42"/>
    <tableColumn id="21" name="Column1" dataDxfId="41"/>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3:AK409" totalsRowShown="0" headerRowDxfId="40" dataDxfId="38" headerRowBorderDxfId="39" tableBorderDxfId="37">
  <autoFilter ref="A3:AK409"/>
  <sortState ref="A4:U346">
    <sortCondition ref="B4:B346"/>
    <sortCondition ref="C4:C346"/>
  </sortState>
  <tableColumns count="37">
    <tableColumn id="1" name="Location" dataDxfId="36"/>
    <tableColumn id="2" name="Reference" dataDxfId="35"/>
    <tableColumn id="3" name="Sample Nr." dataDxfId="34"/>
    <tableColumn id="4" name="Lat." dataDxfId="33"/>
    <tableColumn id="5" name="Lon start" dataDxfId="32"/>
    <tableColumn id="19" name="lat_dec" dataDxfId="31"/>
    <tableColumn id="20" name="lon_dec" dataDxfId="30"/>
    <tableColumn id="17" name="ocean" dataDxfId="29"/>
    <tableColumn id="18" name="meas_type" dataDxfId="28"/>
    <tableColumn id="36" name="exclude_xFOSAs" dataDxfId="27">
      <calculatedColumnFormula>IF(R4=1,"","yes")</calculatedColumnFormula>
    </tableColumn>
    <tableColumn id="37" name="exclude_xFOSEs" dataDxfId="26">
      <calculatedColumnFormula>IF(AB4=1,"","yes")</calculatedColumnFormula>
    </tableColumn>
    <tableColumn id="6" name="climochem_zone" dataDxfId="25"/>
    <tableColumn id="7" name="sampling_time" dataDxfId="24"/>
    <tableColumn id="31" name="EtFOSA" dataDxfId="23"/>
    <tableColumn id="32" name="MeFOSA" dataDxfId="22"/>
    <tableColumn id="33" name="FOSA" dataDxfId="21"/>
    <tableColumn id="8" name="xFOSAs" dataDxfId="20"/>
    <tableColumn id="9" name="d_xFOSA" dataDxfId="19"/>
    <tableColumn id="21" name="EtFOSAs_LOD" dataDxfId="18"/>
    <tableColumn id="22" name="EtFOSAs_LOQ" dataDxfId="17"/>
    <tableColumn id="25" name="MeFOSA_LOD" dataDxfId="16"/>
    <tableColumn id="26" name="MeFOSA_LOQ" dataDxfId="15"/>
    <tableColumn id="29" name="FOSA_LOD" dataDxfId="14"/>
    <tableColumn id="30" name="FOSA_LOQ" dataDxfId="13"/>
    <tableColumn id="34" name="EtFOSE" dataDxfId="12"/>
    <tableColumn id="35" name="MeFOSE" dataDxfId="11"/>
    <tableColumn id="10" name="xFOSEs" dataDxfId="10"/>
    <tableColumn id="11" name="d_xFOSE" dataDxfId="9"/>
    <tableColumn id="23" name="EtFOSEs_LOD" dataDxfId="8"/>
    <tableColumn id="24" name="EtFOSE_LOQ" dataDxfId="7"/>
    <tableColumn id="27" name="MeFOSE_LOD" dataDxfId="6"/>
    <tableColumn id="28" name="MeFOSE_LOQ" dataDxfId="5"/>
    <tableColumn id="16" name="xFOSAEs" dataDxfId="4">
      <calculatedColumnFormula>Table2[[#This Row],[xFOSAs]]+Table2[[#This Row],[xFOSEs]]</calculatedColumnFormula>
    </tableColumn>
    <tableColumn id="12" name="Sampler Type" dataDxfId="3"/>
    <tableColumn id="13" name="Note" dataDxfId="2"/>
    <tableColumn id="14" name="xFOSA Note" dataDxfId="1"/>
    <tableColumn id="15" name="xFOSE Not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 Id="rId2"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xml"/><Relationship Id="rId4" Type="http://schemas.openxmlformats.org/officeDocument/2006/relationships/comments" Target="../comments4.xml"/><Relationship Id="rId1" Type="http://schemas.openxmlformats.org/officeDocument/2006/relationships/drawing" Target="../drawings/drawing11.xml"/><Relationship Id="rId2"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baseColWidth="10" defaultColWidth="8.83203125" defaultRowHeight="16" x14ac:dyDescent="0.2"/>
  <sheetData>
    <row r="1" spans="1:3" x14ac:dyDescent="0.2">
      <c r="A1" t="s">
        <v>2199</v>
      </c>
    </row>
    <row r="2" spans="1:3" ht="409" x14ac:dyDescent="0.2">
      <c r="B2" t="s">
        <v>2200</v>
      </c>
      <c r="C2" s="1122" t="s">
        <v>2205</v>
      </c>
    </row>
    <row r="3" spans="1:3" x14ac:dyDescent="0.2">
      <c r="B3" t="s">
        <v>2201</v>
      </c>
      <c r="C3" t="s">
        <v>2204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CL72"/>
  <sheetViews>
    <sheetView showGridLines="0" topLeftCell="AN1" zoomScale="70" zoomScaleNormal="70" zoomScalePageLayoutView="70" workbookViewId="0">
      <selection activeCell="BY43" sqref="BY43"/>
    </sheetView>
  </sheetViews>
  <sheetFormatPr baseColWidth="10" defaultColWidth="11" defaultRowHeight="16" x14ac:dyDescent="0.2"/>
  <cols>
    <col min="2" max="2" width="44" customWidth="1"/>
    <col min="3" max="3" width="32" customWidth="1"/>
    <col min="4" max="4" width="36.5" customWidth="1"/>
    <col min="5" max="5" width="29.5" customWidth="1"/>
    <col min="6" max="6" width="24" customWidth="1"/>
    <col min="7" max="7" width="18.6640625" customWidth="1"/>
    <col min="8" max="12" width="30.5" customWidth="1"/>
    <col min="13" max="13" width="21.5" customWidth="1"/>
    <col min="14" max="14" width="18.33203125" customWidth="1"/>
    <col min="15" max="15" width="37" customWidth="1"/>
    <col min="16" max="16" width="11" customWidth="1"/>
    <col min="18" max="18" width="45.5" customWidth="1"/>
    <col min="19" max="19" width="23.6640625" customWidth="1"/>
    <col min="20" max="20" width="22.33203125" customWidth="1"/>
    <col min="21" max="21" width="5.33203125" customWidth="1"/>
    <col min="22" max="22" width="20.1640625" customWidth="1"/>
    <col min="23" max="24" width="21.5" customWidth="1"/>
    <col min="25" max="26" width="20.83203125" customWidth="1"/>
    <col min="27" max="28" width="17.33203125" customWidth="1"/>
    <col min="29" max="32" width="18.1640625" customWidth="1"/>
    <col min="33" max="34" width="18.83203125" customWidth="1"/>
    <col min="39" max="39" width="60.5" customWidth="1"/>
    <col min="40" max="40" width="22" customWidth="1"/>
    <col min="41" max="41" width="7.1640625" customWidth="1"/>
    <col min="42" max="42" width="17.83203125" customWidth="1"/>
    <col min="43" max="43" width="7.1640625" customWidth="1"/>
    <col min="44" max="44" width="17.83203125" customWidth="1"/>
    <col min="45" max="45" width="7.1640625" customWidth="1"/>
    <col min="46" max="46" width="17.33203125" customWidth="1"/>
    <col min="47" max="47" width="7.1640625" customWidth="1"/>
    <col min="48" max="48" width="17.83203125" customWidth="1"/>
    <col min="49" max="49" width="16.6640625" customWidth="1"/>
    <col min="53" max="53" width="19.33203125" customWidth="1"/>
    <col min="54" max="54" width="18.6640625" customWidth="1"/>
    <col min="55" max="55" width="13.33203125" customWidth="1"/>
    <col min="60" max="60" width="19" customWidth="1"/>
    <col min="61" max="61" width="14.5" customWidth="1"/>
    <col min="62" max="62" width="15" customWidth="1"/>
    <col min="63" max="63" width="5.1640625" customWidth="1"/>
    <col min="64" max="64" width="16.1640625" customWidth="1"/>
    <col min="65" max="65" width="16.83203125" customWidth="1"/>
    <col min="66" max="66" width="6.83203125" customWidth="1"/>
    <col min="69" max="69" width="4.1640625" customWidth="1"/>
    <col min="75" max="75" width="11.6640625" customWidth="1"/>
    <col min="76" max="76" width="15.6640625" customWidth="1"/>
    <col min="77" max="77" width="16.5" customWidth="1"/>
    <col min="78" max="78" width="16" customWidth="1"/>
    <col min="79" max="79" width="17.6640625" customWidth="1"/>
    <col min="80" max="80" width="16.6640625" customWidth="1"/>
    <col min="81" max="81" width="17.83203125" customWidth="1"/>
    <col min="86" max="86" width="21.1640625" customWidth="1"/>
    <col min="87" max="87" width="21.5" customWidth="1"/>
    <col min="88" max="88" width="24.33203125" customWidth="1"/>
  </cols>
  <sheetData>
    <row r="2" spans="2:90" ht="24" x14ac:dyDescent="0.3">
      <c r="B2" s="736" t="s">
        <v>2015</v>
      </c>
      <c r="BQ2" s="605" t="str">
        <f>"Current Lower Bound: "&amp;'POSF Inventory'!$DQ$12</f>
        <v>Current Lower Bound: 0.1</v>
      </c>
    </row>
    <row r="3" spans="2:90" x14ac:dyDescent="0.2">
      <c r="AV3" s="605" t="str">
        <f>"Current Lower Bound: "&amp;'POSF Inventory'!$DQ$12</f>
        <v>Current Lower Bound: 0.1</v>
      </c>
      <c r="BC3" s="605" t="str">
        <f>"Current Lower Bound: "&amp;'POSF Inventory'!$DQ$12</f>
        <v>Current Lower Bound: 0.1</v>
      </c>
    </row>
    <row r="4" spans="2:90" ht="19" x14ac:dyDescent="0.25">
      <c r="B4" s="341"/>
      <c r="BE4" s="220"/>
      <c r="BF4" s="350"/>
      <c r="BG4" s="819"/>
      <c r="BH4" s="871" t="s">
        <v>1783</v>
      </c>
      <c r="BI4" s="819"/>
      <c r="BJ4" s="819"/>
      <c r="BK4" s="819"/>
      <c r="BL4" s="819"/>
      <c r="BM4" s="819"/>
      <c r="BN4" s="819"/>
      <c r="BO4" s="819"/>
      <c r="BP4" s="819"/>
      <c r="BQ4" s="819"/>
      <c r="BR4" s="819"/>
      <c r="BS4" s="819"/>
      <c r="BT4" s="348"/>
      <c r="CF4" s="350"/>
      <c r="CG4" s="871" t="s">
        <v>1795</v>
      </c>
      <c r="CH4" s="819"/>
      <c r="CI4" s="819"/>
      <c r="CJ4" s="819"/>
      <c r="CK4" s="819"/>
      <c r="CL4" s="348"/>
    </row>
    <row r="5" spans="2:90" x14ac:dyDescent="0.2">
      <c r="Q5" s="350"/>
      <c r="R5" s="819"/>
      <c r="S5" s="819"/>
      <c r="T5" s="819"/>
      <c r="U5" s="819"/>
      <c r="V5" s="819"/>
      <c r="W5" s="819"/>
      <c r="X5" s="819"/>
      <c r="Y5" s="819"/>
      <c r="Z5" s="819"/>
      <c r="AA5" s="819"/>
      <c r="AB5" s="819"/>
      <c r="AC5" s="819"/>
      <c r="AD5" s="819"/>
      <c r="AE5" s="819"/>
      <c r="AF5" s="819"/>
      <c r="AG5" s="819"/>
      <c r="AH5" s="819"/>
      <c r="AI5" s="348"/>
      <c r="AZ5" s="350"/>
      <c r="BA5" s="819"/>
      <c r="BB5" s="819"/>
      <c r="BC5" s="819"/>
      <c r="BD5" s="348"/>
      <c r="BE5" s="220"/>
      <c r="BF5" s="339"/>
      <c r="BG5" s="340"/>
      <c r="BH5" s="340"/>
      <c r="BI5" s="340"/>
      <c r="BJ5" s="340"/>
      <c r="BK5" s="340"/>
      <c r="BL5" s="340"/>
      <c r="BM5" s="340"/>
      <c r="BN5" s="340"/>
      <c r="BO5" s="340"/>
      <c r="BP5" s="340"/>
      <c r="BQ5" s="340"/>
      <c r="BR5" s="340"/>
      <c r="BS5" s="340"/>
      <c r="BT5" s="804"/>
      <c r="CF5" s="339"/>
      <c r="CG5" s="340"/>
      <c r="CH5" s="340"/>
      <c r="CI5" s="340"/>
      <c r="CJ5" s="340"/>
      <c r="CK5" s="340"/>
      <c r="CL5" s="804"/>
    </row>
    <row r="6" spans="2:90" ht="19" x14ac:dyDescent="0.25">
      <c r="C6" s="1130" t="s">
        <v>1498</v>
      </c>
      <c r="D6" s="1130"/>
      <c r="E6" s="1129" t="s">
        <v>5</v>
      </c>
      <c r="F6" s="1130"/>
      <c r="G6" s="1129" t="s">
        <v>43</v>
      </c>
      <c r="H6" s="1130"/>
      <c r="I6" s="1129" t="s">
        <v>1650</v>
      </c>
      <c r="J6" s="1130"/>
      <c r="K6" s="1129" t="s">
        <v>1861</v>
      </c>
      <c r="L6" s="1130"/>
      <c r="M6" s="1129" t="s">
        <v>1648</v>
      </c>
      <c r="N6" s="1130"/>
      <c r="Q6" s="339"/>
      <c r="R6" s="848" t="s">
        <v>1806</v>
      </c>
      <c r="S6" s="939"/>
      <c r="T6" s="939"/>
      <c r="U6" s="939"/>
      <c r="V6" s="340"/>
      <c r="W6" s="340"/>
      <c r="X6" s="340"/>
      <c r="Y6" s="340"/>
      <c r="Z6" s="340"/>
      <c r="AA6" s="340"/>
      <c r="AB6" s="340"/>
      <c r="AC6" s="340"/>
      <c r="AD6" s="340"/>
      <c r="AE6" s="340"/>
      <c r="AF6" s="340"/>
      <c r="AG6" s="340"/>
      <c r="AH6" s="340"/>
      <c r="AI6" s="804"/>
      <c r="AL6" s="350"/>
      <c r="AM6" s="819"/>
      <c r="AN6" s="819"/>
      <c r="AO6" s="819"/>
      <c r="AP6" s="819"/>
      <c r="AQ6" s="819"/>
      <c r="AR6" s="819"/>
      <c r="AS6" s="819"/>
      <c r="AT6" s="819"/>
      <c r="AU6" s="819"/>
      <c r="AV6" s="819"/>
      <c r="AW6" s="819"/>
      <c r="AX6" s="348"/>
      <c r="AZ6" s="339"/>
      <c r="BA6" s="459" t="s">
        <v>1715</v>
      </c>
      <c r="BB6" s="340"/>
      <c r="BC6" s="340"/>
      <c r="BD6" s="804"/>
      <c r="BE6" s="220"/>
      <c r="BF6" s="339"/>
      <c r="BG6" s="340"/>
      <c r="BH6" s="340"/>
      <c r="BI6" s="868"/>
      <c r="BJ6" s="868"/>
      <c r="BK6" s="869"/>
      <c r="BL6" s="868"/>
      <c r="BM6" s="868"/>
      <c r="BN6" s="869"/>
      <c r="BO6" s="868"/>
      <c r="BP6" s="868"/>
      <c r="BQ6" s="869"/>
      <c r="BR6" s="868"/>
      <c r="BS6" s="868"/>
      <c r="BT6" s="804"/>
      <c r="CF6" s="339"/>
      <c r="CG6" s="1017" t="s">
        <v>2036</v>
      </c>
      <c r="CH6" s="1017" t="s">
        <v>2016</v>
      </c>
      <c r="CI6" s="1017" t="s">
        <v>2019</v>
      </c>
      <c r="CJ6" s="1017" t="s">
        <v>1799</v>
      </c>
      <c r="CL6" s="804"/>
    </row>
    <row r="7" spans="2:90" ht="74.25" customHeight="1" x14ac:dyDescent="0.25">
      <c r="C7" s="767" t="s">
        <v>41</v>
      </c>
      <c r="D7" s="737" t="s">
        <v>42</v>
      </c>
      <c r="E7" s="830" t="s">
        <v>41</v>
      </c>
      <c r="F7" s="737" t="s">
        <v>42</v>
      </c>
      <c r="G7" s="830" t="s">
        <v>41</v>
      </c>
      <c r="H7" s="737" t="s">
        <v>42</v>
      </c>
      <c r="I7" s="830" t="s">
        <v>41</v>
      </c>
      <c r="J7" s="843" t="s">
        <v>42</v>
      </c>
      <c r="K7" s="830" t="s">
        <v>41</v>
      </c>
      <c r="L7" s="933" t="s">
        <v>42</v>
      </c>
      <c r="M7" s="830" t="s">
        <v>41</v>
      </c>
      <c r="N7" s="737" t="s">
        <v>42</v>
      </c>
      <c r="Q7" s="339"/>
      <c r="R7" s="937" t="s">
        <v>1666</v>
      </c>
      <c r="S7" s="937"/>
      <c r="T7" s="937"/>
      <c r="U7" s="937"/>
      <c r="V7" s="340"/>
      <c r="W7" s="340"/>
      <c r="X7" s="340"/>
      <c r="Y7" s="340"/>
      <c r="Z7" s="340"/>
      <c r="AA7" s="340"/>
      <c r="AB7" s="340"/>
      <c r="AC7" s="340"/>
      <c r="AD7" s="340"/>
      <c r="AE7" s="340"/>
      <c r="AF7" s="340"/>
      <c r="AG7" s="340"/>
      <c r="AH7" s="340"/>
      <c r="AI7" s="804"/>
      <c r="AL7" s="339"/>
      <c r="AM7" s="848" t="s">
        <v>2164</v>
      </c>
      <c r="AN7" s="340"/>
      <c r="AO7" s="340"/>
      <c r="AP7" s="340"/>
      <c r="AQ7" s="340"/>
      <c r="AR7" s="340"/>
      <c r="AS7" s="340"/>
      <c r="AT7" s="340"/>
      <c r="AU7" s="340"/>
      <c r="AV7" s="340"/>
      <c r="AW7" s="340"/>
      <c r="AX7" s="804"/>
      <c r="AZ7" s="339"/>
      <c r="BA7" s="340" t="s">
        <v>1711</v>
      </c>
      <c r="BB7" s="340"/>
      <c r="BC7" s="340"/>
      <c r="BD7" s="804"/>
      <c r="BE7" s="220"/>
      <c r="BF7" s="339"/>
      <c r="BG7" s="340"/>
      <c r="BH7" s="340"/>
      <c r="BI7" s="340"/>
      <c r="BJ7" s="340"/>
      <c r="BK7" s="340"/>
      <c r="BL7" s="340"/>
      <c r="BM7" s="340"/>
      <c r="BN7" s="340"/>
      <c r="BO7" s="340"/>
      <c r="BP7" s="340"/>
      <c r="BQ7" s="340"/>
      <c r="BR7" s="340"/>
      <c r="BS7" s="340"/>
      <c r="BT7" s="804"/>
      <c r="CF7" s="339"/>
      <c r="CG7" s="1019" t="s">
        <v>1796</v>
      </c>
      <c r="CH7" s="1018" t="s">
        <v>2017</v>
      </c>
      <c r="CI7" s="1018" t="s">
        <v>2018</v>
      </c>
      <c r="CJ7" s="1018" t="s">
        <v>2017</v>
      </c>
      <c r="CL7" s="804"/>
    </row>
    <row r="8" spans="2:90" ht="72" customHeight="1" x14ac:dyDescent="0.25">
      <c r="B8" s="341" t="s">
        <v>1504</v>
      </c>
      <c r="E8" s="831"/>
      <c r="F8" s="340"/>
      <c r="G8" s="831"/>
      <c r="H8" s="340"/>
      <c r="I8" s="831"/>
      <c r="J8" s="340"/>
      <c r="K8" s="831"/>
      <c r="L8" s="340"/>
      <c r="M8" s="831"/>
      <c r="N8" s="340"/>
      <c r="Q8" s="339"/>
      <c r="R8" s="340"/>
      <c r="S8" s="1136" t="s">
        <v>1471</v>
      </c>
      <c r="T8" s="1136"/>
      <c r="U8" s="976"/>
      <c r="V8" s="1137" t="s">
        <v>1499</v>
      </c>
      <c r="W8" s="1137"/>
      <c r="X8" s="1137"/>
      <c r="Y8" s="1137"/>
      <c r="Z8" s="1137"/>
      <c r="AA8" s="1137"/>
      <c r="AB8" s="1137"/>
      <c r="AC8" s="1137"/>
      <c r="AD8" s="1137"/>
      <c r="AE8" s="1137"/>
      <c r="AF8" s="1137"/>
      <c r="AG8" s="1137"/>
      <c r="AH8" s="340"/>
      <c r="AI8" s="804"/>
      <c r="AL8" s="339"/>
      <c r="AM8" s="937" t="s">
        <v>1666</v>
      </c>
      <c r="AN8" s="340"/>
      <c r="AO8" s="340"/>
      <c r="AP8" s="340"/>
      <c r="AQ8" s="340"/>
      <c r="AR8" s="340"/>
      <c r="AS8" s="340"/>
      <c r="AT8" s="340"/>
      <c r="AU8" s="340"/>
      <c r="AV8" s="340"/>
      <c r="AW8" s="340"/>
      <c r="AX8" s="804"/>
      <c r="AZ8" s="339"/>
      <c r="BA8" s="340"/>
      <c r="BB8" s="852" t="str">
        <f>"Lower (Current "&amp;'POSF Inventory'!DQ12&amp;")"</f>
        <v>Lower (Current 0.1)</v>
      </c>
      <c r="BC8" s="852" t="s">
        <v>42</v>
      </c>
      <c r="BD8" s="804"/>
      <c r="BF8" s="872" t="s">
        <v>1736</v>
      </c>
      <c r="BG8" s="869" t="s">
        <v>1733</v>
      </c>
      <c r="BH8" s="950" t="s">
        <v>1726</v>
      </c>
      <c r="BI8" s="948"/>
      <c r="BJ8" s="948"/>
      <c r="BK8" s="948"/>
      <c r="BL8" s="948"/>
      <c r="BM8" s="948"/>
      <c r="BN8" s="948"/>
      <c r="BO8" s="948"/>
      <c r="BP8" s="948"/>
      <c r="BQ8" s="948"/>
      <c r="BR8" s="948"/>
      <c r="BS8" s="948"/>
      <c r="BT8" s="804"/>
      <c r="CF8" s="339"/>
      <c r="CG8" s="1019" t="s">
        <v>1797</v>
      </c>
      <c r="CH8" s="1018" t="s">
        <v>2020</v>
      </c>
      <c r="CI8" s="1018" t="s">
        <v>2021</v>
      </c>
      <c r="CJ8" s="1018" t="s">
        <v>2021</v>
      </c>
      <c r="CL8" s="804"/>
    </row>
    <row r="9" spans="2:90" ht="70.5" customHeight="1" x14ac:dyDescent="0.25">
      <c r="B9" s="438" t="s">
        <v>1500</v>
      </c>
      <c r="C9" s="790">
        <f>'POSF Inventory'!$F$86</f>
        <v>64793.30000000001</v>
      </c>
      <c r="D9" s="820">
        <f>'POSF Inventory'!$G$86</f>
        <v>64793.30000000001</v>
      </c>
      <c r="E9" s="832">
        <f>'POSF Inventory'!$F$87</f>
        <v>244.28</v>
      </c>
      <c r="F9" s="820">
        <f>'POSF Inventory'!$G$87</f>
        <v>622.52</v>
      </c>
      <c r="G9" s="832">
        <f>'POSF Inventory'!$F$88</f>
        <v>0</v>
      </c>
      <c r="H9" s="820">
        <f>'POSF Inventory'!$G$88</f>
        <v>0</v>
      </c>
      <c r="I9" s="832">
        <f>SUM(C9,E9)</f>
        <v>65037.580000000009</v>
      </c>
      <c r="J9" s="820">
        <f>SUM(D9,F9)</f>
        <v>65415.820000000007</v>
      </c>
      <c r="K9" s="832">
        <f>'POSF Inventory'!$F$90</f>
        <v>65037.580000000009</v>
      </c>
      <c r="L9" s="790">
        <f>'POSF Inventory'!$G$90</f>
        <v>622.52</v>
      </c>
      <c r="M9" s="832">
        <f>'POSF Inventory'!$F$89</f>
        <v>65037.580000000009</v>
      </c>
      <c r="N9" s="790">
        <f>'POSF Inventory'!$G$89</f>
        <v>65415.820000000007</v>
      </c>
      <c r="Q9" s="339"/>
      <c r="R9" s="459"/>
      <c r="S9" s="983" t="s">
        <v>44</v>
      </c>
      <c r="T9" s="983" t="s">
        <v>45</v>
      </c>
      <c r="U9" s="976"/>
      <c r="V9" s="933" t="s">
        <v>44</v>
      </c>
      <c r="W9" s="933" t="s">
        <v>45</v>
      </c>
      <c r="X9" s="933" t="s">
        <v>44</v>
      </c>
      <c r="Y9" s="933" t="s">
        <v>45</v>
      </c>
      <c r="Z9" s="933" t="s">
        <v>44</v>
      </c>
      <c r="AA9" s="933" t="s">
        <v>45</v>
      </c>
      <c r="AB9" s="933" t="s">
        <v>44</v>
      </c>
      <c r="AC9" s="933" t="s">
        <v>45</v>
      </c>
      <c r="AD9" s="983" t="s">
        <v>44</v>
      </c>
      <c r="AE9" s="983" t="s">
        <v>45</v>
      </c>
      <c r="AF9" s="933" t="s">
        <v>44</v>
      </c>
      <c r="AG9" s="933" t="s">
        <v>45</v>
      </c>
      <c r="AH9" s="940"/>
      <c r="AI9" s="804"/>
      <c r="AL9" s="339"/>
      <c r="AM9" s="950"/>
      <c r="AN9" s="958" t="s">
        <v>1471</v>
      </c>
      <c r="AO9" s="962"/>
      <c r="AP9" s="1132" t="s">
        <v>1808</v>
      </c>
      <c r="AQ9" s="1132"/>
      <c r="AR9" s="1132"/>
      <c r="AS9" s="1132"/>
      <c r="AT9" s="1132"/>
      <c r="AU9" s="1132"/>
      <c r="AV9" s="1132"/>
      <c r="AX9" s="804"/>
      <c r="AZ9" s="339"/>
      <c r="BA9" s="686" t="s">
        <v>1712</v>
      </c>
      <c r="BB9" s="889">
        <f>SUM('POSF Emiss by Zone'!GT97,'POSF Emiss by Zone'!GV97,'POSF Emiss by Zone'!GX97,'POSF Emiss by Zone'!GZ97,'POSF Emiss by Zone'!HB97,'POSF Emiss by Zone'!HD97,'POSF Emiss by Zone'!HF97,'POSF Emiss by Zone'!HH97,'POSF Emiss by Zone'!HJ97,'POSF Emiss by Zone'!HL97,'POSF Emiss by Zone'!HN97,'POSF Emiss by Zone'!HP97,'POSF Emiss by Zone'!HR97,'POSF Emiss by Zone'!HT97,'POSF Emiss by Zone'!HV97)</f>
        <v>469.70637659900461</v>
      </c>
      <c r="BC9" s="889">
        <f>SUM('POSF Emiss by Zone'!GU97,'POSF Emiss by Zone'!GW97,'POSF Emiss by Zone'!GY97,'POSF Emiss by Zone'!HA97,'POSF Emiss by Zone'!HC97,'POSF Emiss by Zone'!HE97,'POSF Emiss by Zone'!HG97,'POSF Emiss by Zone'!HI97,'POSF Emiss by Zone'!HK97,'POSF Emiss by Zone'!HM97,'POSF Emiss by Zone'!HO97,'POSF Emiss by Zone'!HQ97,'POSF Emiss by Zone'!HS97,'POSF Emiss by Zone'!HU97,'POSF Emiss by Zone'!HW97)</f>
        <v>1333.0517741855856</v>
      </c>
      <c r="BD9" s="804"/>
      <c r="BF9" s="339"/>
      <c r="BG9" s="340"/>
      <c r="BH9" s="949"/>
      <c r="BI9" s="949"/>
      <c r="BJ9" s="949"/>
      <c r="BK9" s="949"/>
      <c r="BL9" s="949"/>
      <c r="BM9" s="949"/>
      <c r="BN9" s="949"/>
      <c r="BO9" s="949"/>
      <c r="BP9" s="949"/>
      <c r="BQ9" s="949"/>
      <c r="BR9" s="949"/>
      <c r="BS9" s="949"/>
      <c r="BT9" s="804"/>
      <c r="CF9" s="339"/>
      <c r="CG9" s="1019" t="s">
        <v>1798</v>
      </c>
      <c r="CH9" s="1018" t="s">
        <v>2022</v>
      </c>
      <c r="CI9" s="1018" t="s">
        <v>2023</v>
      </c>
      <c r="CJ9" s="1018" t="s">
        <v>2022</v>
      </c>
      <c r="CL9" s="804"/>
    </row>
    <row r="10" spans="2:90" ht="30" customHeight="1" x14ac:dyDescent="0.3">
      <c r="B10" s="800" t="s">
        <v>1501</v>
      </c>
      <c r="C10" s="791">
        <f>'POSF Inventory'!$H$86</f>
        <v>29.55</v>
      </c>
      <c r="D10" s="821">
        <f>'POSF Inventory'!$I$86</f>
        <v>29.55</v>
      </c>
      <c r="E10" s="833">
        <f>'POSF Inventory'!$H$87</f>
        <v>2019.25</v>
      </c>
      <c r="F10" s="821">
        <f>'POSF Inventory'!$I$87</f>
        <v>2019.25</v>
      </c>
      <c r="G10" s="833">
        <f>'POSF Inventory'!$H$88</f>
        <v>167.45000000000002</v>
      </c>
      <c r="H10" s="821">
        <f>'POSF Inventory'!$I$88</f>
        <v>753.52500000000009</v>
      </c>
      <c r="I10" s="833">
        <f t="shared" ref="I10:I11" si="0">SUM(C10,E10)</f>
        <v>2048.8000000000002</v>
      </c>
      <c r="J10" s="821">
        <f>SUM(D10,F10)</f>
        <v>2048.8000000000002</v>
      </c>
      <c r="K10" s="833">
        <f>'POSF Inventory'!$H$90</f>
        <v>1310.05</v>
      </c>
      <c r="L10" s="791">
        <f>'POSF Inventory'!$I$90</f>
        <v>1310.05</v>
      </c>
      <c r="M10" s="833">
        <f>'POSF Inventory'!$H$89</f>
        <v>2216.25</v>
      </c>
      <c r="N10" s="791">
        <f>'POSF Inventory'!$I$89</f>
        <v>2802.3250000000003</v>
      </c>
      <c r="Q10" s="339"/>
      <c r="R10" s="340"/>
      <c r="S10" s="1133" t="s">
        <v>1800</v>
      </c>
      <c r="T10" s="1135"/>
      <c r="U10" s="976"/>
      <c r="V10" s="1138" t="s">
        <v>1801</v>
      </c>
      <c r="W10" s="1139"/>
      <c r="X10" s="1140" t="s">
        <v>1802</v>
      </c>
      <c r="Y10" s="1139"/>
      <c r="Z10" s="1140" t="s">
        <v>1803</v>
      </c>
      <c r="AA10" s="1139"/>
      <c r="AB10" s="1140" t="s">
        <v>1804</v>
      </c>
      <c r="AC10" s="1139"/>
      <c r="AD10" s="1133" t="s">
        <v>1863</v>
      </c>
      <c r="AE10" s="1134"/>
      <c r="AF10" s="1140" t="s">
        <v>1805</v>
      </c>
      <c r="AG10" s="1139"/>
      <c r="AH10" s="940"/>
      <c r="AI10" s="804"/>
      <c r="AL10" s="339"/>
      <c r="AM10" s="951"/>
      <c r="AN10" s="963" t="s">
        <v>1800</v>
      </c>
      <c r="AO10" s="952"/>
      <c r="AP10" s="963" t="s">
        <v>1802</v>
      </c>
      <c r="AQ10" s="963"/>
      <c r="AR10" s="963" t="s">
        <v>1803</v>
      </c>
      <c r="AS10" s="963"/>
      <c r="AT10" s="963" t="s">
        <v>1804</v>
      </c>
      <c r="AU10" s="963"/>
      <c r="AV10" s="963" t="s">
        <v>1727</v>
      </c>
      <c r="AX10" s="804"/>
      <c r="AZ10" s="339"/>
      <c r="BA10" s="686" t="s">
        <v>1713</v>
      </c>
      <c r="BB10" s="889">
        <f>SUM('POSF Emiss by Zone'!HX97,'POSF Emiss by Zone'!HZ97,'POSF Emiss by Zone'!IB97,'POSF Emiss by Zone'!ID97,'POSF Emiss by Zone'!IF97,'POSF Emiss by Zone'!IH97,'POSF Emiss by Zone'!IJ97,'POSF Emiss by Zone'!IL97,'POSF Emiss by Zone'!IN97)</f>
        <v>329.16291149718711</v>
      </c>
      <c r="BC10" s="889">
        <f>SUM('POSF Emiss by Zone'!HY97,'POSF Emiss by Zone'!IA97,'POSF Emiss by Zone'!IC97,'POSF Emiss by Zone'!IE97,'POSF Emiss by Zone'!IG97,'POSF Emiss by Zone'!II97,'POSF Emiss by Zone'!IK97,'POSF Emiss by Zone'!IM97,'POSF Emiss by Zone'!IO97)</f>
        <v>7967.4646360367215</v>
      </c>
      <c r="BD10" s="804"/>
      <c r="BF10" s="339"/>
      <c r="BG10" s="340"/>
      <c r="BH10" s="951" t="s">
        <v>1809</v>
      </c>
      <c r="BI10" s="953" t="s">
        <v>1730</v>
      </c>
      <c r="BJ10" s="953"/>
      <c r="BK10" s="951"/>
      <c r="BL10" s="953" t="s">
        <v>1729</v>
      </c>
      <c r="BM10" s="953"/>
      <c r="BN10" s="951"/>
      <c r="BO10" s="953" t="s">
        <v>1728</v>
      </c>
      <c r="BP10" s="953"/>
      <c r="BQ10" s="951"/>
      <c r="BR10" s="953" t="s">
        <v>1727</v>
      </c>
      <c r="BS10" s="953"/>
      <c r="BT10" s="804"/>
      <c r="CF10" s="339"/>
      <c r="CG10" s="340"/>
      <c r="CH10" s="340"/>
      <c r="CI10" s="340"/>
      <c r="CJ10" s="340"/>
      <c r="CK10" s="340"/>
      <c r="CL10" s="804"/>
    </row>
    <row r="11" spans="2:90" ht="21" x14ac:dyDescent="0.25">
      <c r="B11" s="819" t="s">
        <v>1502</v>
      </c>
      <c r="C11" s="792">
        <f>'POSF Inventory'!$J$86</f>
        <v>137.5</v>
      </c>
      <c r="D11" s="822">
        <f>'POSF Inventory'!$K$86</f>
        <v>137.5</v>
      </c>
      <c r="E11" s="834">
        <f>'POSF Inventory'!$J$87</f>
        <v>421.83519999999999</v>
      </c>
      <c r="F11" s="822">
        <f>'POSF Inventory'!$K$87</f>
        <v>421.83519999999999</v>
      </c>
      <c r="G11" s="834">
        <f>'POSF Inventory'!$J$88</f>
        <v>0</v>
      </c>
      <c r="H11" s="822">
        <f>'POSF Inventory'!$K$88</f>
        <v>595.54950000000008</v>
      </c>
      <c r="I11" s="834">
        <f t="shared" si="0"/>
        <v>559.33519999999999</v>
      </c>
      <c r="J11" s="822">
        <f>'POSF Inventory'!$K$88</f>
        <v>595.54950000000008</v>
      </c>
      <c r="K11" s="834">
        <f>'POSF Inventory'!$J$90</f>
        <v>371.20209999999997</v>
      </c>
      <c r="L11" s="792">
        <f>'POSF Inventory'!$K$90</f>
        <v>371.20209999999997</v>
      </c>
      <c r="M11" s="834">
        <f>'POSF Inventory'!$J$89</f>
        <v>559.33519999999999</v>
      </c>
      <c r="N11" s="792">
        <f>'POSF Inventory'!$K$89</f>
        <v>1154.8847000000001</v>
      </c>
      <c r="Q11" s="339"/>
      <c r="R11" s="459" t="s">
        <v>40</v>
      </c>
      <c r="S11" s="994"/>
      <c r="T11" s="994"/>
      <c r="U11" s="459"/>
      <c r="V11" s="340"/>
      <c r="W11" s="340"/>
      <c r="X11" s="340"/>
      <c r="Y11" s="340"/>
      <c r="Z11" s="340"/>
      <c r="AA11" s="340"/>
      <c r="AB11" s="340"/>
      <c r="AC11" s="340"/>
      <c r="AD11" s="984"/>
      <c r="AE11" s="984"/>
      <c r="AF11" s="340"/>
      <c r="AG11" s="340"/>
      <c r="AH11" s="340"/>
      <c r="AI11" s="804"/>
      <c r="AL11" s="339"/>
      <c r="AM11" s="950" t="s">
        <v>40</v>
      </c>
      <c r="AN11" s="951"/>
      <c r="AO11" s="951"/>
      <c r="AP11" s="951"/>
      <c r="AQ11" s="951"/>
      <c r="AR11" s="951"/>
      <c r="AS11" s="951"/>
      <c r="AT11" s="951"/>
      <c r="AU11" s="951"/>
      <c r="AV11" s="951"/>
      <c r="AX11" s="804"/>
      <c r="AZ11" s="339"/>
      <c r="BA11" s="686" t="s">
        <v>1714</v>
      </c>
      <c r="BB11" s="889">
        <f>SUM('POSF Emiss by Zone'!GB97,'POSF Emiss by Zone'!GD97,'POSF Emiss by Zone'!GF97,'POSF Emiss by Zone'!GH97,'POSF Emiss by Zone'!GJ97,'POSF Emiss by Zone'!GL97,'POSF Emiss by Zone'!GN97,'POSF Emiss by Zone'!GP97,'POSF Emiss by Zone'!GR97)</f>
        <v>1062.8529888372759</v>
      </c>
      <c r="BC11" s="889">
        <f>SUM('POSF Emiss by Zone'!GC97,'POSF Emiss by Zone'!GE97,'POSF Emiss by Zone'!GG97,'POSF Emiss by Zone'!GI97,'POSF Emiss by Zone'!GK97,'POSF Emiss by Zone'!GM97,'POSF Emiss by Zone'!GO97,'POSF Emiss by Zone'!GQ97,'POSF Emiss by Zone'!GS97)</f>
        <v>4167.4750015841628</v>
      </c>
      <c r="BD11" s="804"/>
      <c r="BF11" s="872" t="s">
        <v>1735</v>
      </c>
      <c r="BG11" s="340"/>
      <c r="BH11" s="953"/>
      <c r="BI11" s="953" t="s">
        <v>41</v>
      </c>
      <c r="BJ11" s="953" t="s">
        <v>42</v>
      </c>
      <c r="BK11" s="953"/>
      <c r="BL11" s="953" t="s">
        <v>41</v>
      </c>
      <c r="BM11" s="953" t="s">
        <v>42</v>
      </c>
      <c r="BN11" s="953"/>
      <c r="BO11" s="953" t="s">
        <v>41</v>
      </c>
      <c r="BP11" s="953" t="s">
        <v>42</v>
      </c>
      <c r="BQ11" s="953"/>
      <c r="BR11" s="953" t="s">
        <v>41</v>
      </c>
      <c r="BS11" s="953" t="s">
        <v>42</v>
      </c>
      <c r="BT11" s="804"/>
      <c r="CF11" s="849"/>
      <c r="CG11" s="438"/>
      <c r="CH11" s="438"/>
      <c r="CI11" s="438"/>
      <c r="CJ11" s="438"/>
      <c r="CK11" s="438"/>
      <c r="CL11" s="351"/>
    </row>
    <row r="12" spans="2:90" ht="23" x14ac:dyDescent="0.3">
      <c r="C12" s="587"/>
      <c r="D12" s="587"/>
      <c r="E12" s="835"/>
      <c r="F12" s="738"/>
      <c r="G12" s="835"/>
      <c r="H12" s="738"/>
      <c r="I12" s="835"/>
      <c r="J12" s="738"/>
      <c r="K12" s="835"/>
      <c r="L12" s="738"/>
      <c r="M12" s="835"/>
      <c r="N12" s="738"/>
      <c r="Q12" s="339"/>
      <c r="R12" s="351" t="s">
        <v>1474</v>
      </c>
      <c r="S12" s="995">
        <v>75</v>
      </c>
      <c r="T12" s="996">
        <v>299</v>
      </c>
      <c r="U12" s="340"/>
      <c r="V12" s="977">
        <f>ROUND($I$15,0)</f>
        <v>744</v>
      </c>
      <c r="W12" s="790">
        <f>ROUND($J$15,0)</f>
        <v>746</v>
      </c>
      <c r="X12" s="790">
        <f>ROUND($C$15,0)</f>
        <v>717</v>
      </c>
      <c r="Y12" s="790">
        <f>ROUND($D$15,0)</f>
        <v>718</v>
      </c>
      <c r="Z12" s="790">
        <f>ROUND($E$15,0)</f>
        <v>27</v>
      </c>
      <c r="AA12" s="790">
        <f>ROUND($F$15,0)</f>
        <v>28</v>
      </c>
      <c r="AB12" s="944">
        <f>ROUND($G$15,0)</f>
        <v>2</v>
      </c>
      <c r="AC12" s="943">
        <f>ROUND($H$15,0)</f>
        <v>10</v>
      </c>
      <c r="AD12" s="985">
        <f>ROUND($K$15,0)</f>
        <v>734</v>
      </c>
      <c r="AE12" s="986">
        <f>ROUND($L$15,0)</f>
        <v>737</v>
      </c>
      <c r="AF12" s="943">
        <f>ROUND($M$15,0)</f>
        <v>746</v>
      </c>
      <c r="AG12" s="946">
        <f>ROUND($N$15,0)</f>
        <v>756</v>
      </c>
      <c r="AH12" s="818"/>
      <c r="AI12" s="804"/>
      <c r="AL12" s="339"/>
      <c r="AM12" s="957" t="s">
        <v>2165</v>
      </c>
      <c r="AN12" s="959" t="s">
        <v>1475</v>
      </c>
      <c r="AO12" s="959"/>
      <c r="AP12" s="959" t="str">
        <f>ROUND(X12,0)&amp;" - "&amp;ROUND(Y12,0)</f>
        <v>717 - 718</v>
      </c>
      <c r="AQ12" s="959"/>
      <c r="AR12" s="959" t="str">
        <f t="shared" ref="AR12:AR16" si="1">ROUND(Z12,0)&amp;" - "&amp;ROUND(AA12,0)</f>
        <v>27 - 28</v>
      </c>
      <c r="AS12" s="959"/>
      <c r="AT12" s="960" t="str">
        <f t="shared" ref="AT12:AT16" si="2">ROUND(AB12,0)&amp;" - "&amp;ROUND(AC12,0)</f>
        <v>2 - 10</v>
      </c>
      <c r="AU12" s="960"/>
      <c r="AV12" s="960" t="str">
        <f>ROUND(AF12,0)&amp;" - "&amp;ROUND(AG12,0)</f>
        <v>746 - 756</v>
      </c>
      <c r="AX12" s="804"/>
      <c r="AY12" s="888"/>
      <c r="BA12" s="686" t="s">
        <v>1743</v>
      </c>
      <c r="BB12" s="889">
        <f>SUM('POSF Emiss by Zone'!FP97,'POSF Emiss by Zone'!FR97,'POSF Emiss by Zone'!FT97,'POSF Emiss by Zone'!FV97,'POSF Emiss by Zone'!FX97,'POSF Emiss by Zone'!FZ97)</f>
        <v>677.99488233750003</v>
      </c>
      <c r="BC12" s="889">
        <f>SUM('POSF Emiss by Zone'!FQ97,'POSF Emiss by Zone'!FS97,'POSF Emiss by Zone'!FU97,'POSF Emiss by Zone'!FW97,'POSF Emiss by Zone'!FY97,'POSF Emiss by Zone'!GA97)</f>
        <v>687.23966041499989</v>
      </c>
      <c r="BD12" s="888"/>
      <c r="BF12" s="873" t="s">
        <v>119</v>
      </c>
      <c r="BG12" s="340"/>
      <c r="BH12" s="951" t="s">
        <v>1847</v>
      </c>
      <c r="BI12" s="954">
        <f>SUMIFS('POSF Inventory'!$IH$86:$NC$86,'POSF Inventory'!$IH$10:$NC$10,'Results Summary'!$BF12,'POSF Inventory'!$IH$2:$NC$2,'Results Summary'!$BG$8,'POSF Inventory'!$IH$3:$NC$3,'Results Summary'!BI$11)</f>
        <v>12.817369884412502</v>
      </c>
      <c r="BJ12" s="954">
        <f>SUMIFS('POSF Inventory'!$IH$86:$NC$86,'POSF Inventory'!$IH$10:$NC$10,'Results Summary'!$BF12,'POSF Inventory'!$IH$2:$NC$2,'Results Summary'!$BG$8,'POSF Inventory'!$IH$3:$NC$3,'Results Summary'!BJ$11)</f>
        <v>132.59962659487502</v>
      </c>
      <c r="BK12" s="954"/>
      <c r="BL12" s="954">
        <f>SUMIFS('POSF Inventory'!$IH$87:$NC$87,'POSF Inventory'!$IH$10:$NC$10,'Results Summary'!$BF12,'POSF Inventory'!$IH$2:$NC$2,'Results Summary'!$BG$8,'POSF Inventory'!$IH$3:$NC$3,'Results Summary'!BL$11)</f>
        <v>0.97362032281250011</v>
      </c>
      <c r="BM12" s="954">
        <f>SUMIFS('POSF Inventory'!$IH$87:$NC$87,'POSF Inventory'!$IH$10:$NC$10,'Results Summary'!$BF12,'POSF Inventory'!$IH$2:$NC$2,'Results Summary'!$BG$8,'POSF Inventory'!$IH$3:$NC$3,'Results Summary'!BM$11)</f>
        <v>25.605532825125</v>
      </c>
      <c r="BN12" s="954"/>
      <c r="BO12" s="954">
        <f>SUMIFS('POSF Inventory'!$IH$88:$NC$88,'POSF Inventory'!$IH$10:$NC$10,'Results Summary'!$BF12,'POSF Inventory'!$IH$2:$NC$2,'Results Summary'!$BG$8,'POSF Inventory'!$IH$3:$NC$3,'Results Summary'!BO$11)</f>
        <v>0.10030968475</v>
      </c>
      <c r="BP12" s="954">
        <f>SUMIFS('POSF Inventory'!$IH$88:$NC$88,'POSF Inventory'!$IH$10:$NC$10,'Results Summary'!$BF12,'POSF Inventory'!$IH$2:$NC$2,'Results Summary'!$BG$8,'POSF Inventory'!$IH$3:$NC$3,'Results Summary'!BP$11)</f>
        <v>4.8134731094999985</v>
      </c>
      <c r="BQ12" s="954"/>
      <c r="BR12" s="954">
        <f>SUMIFS('POSF Inventory'!$IH$89:$NC$89,'POSF Inventory'!$IH$10:$NC$10,'Results Summary'!$BF12,'POSF Inventory'!$IH$2:$NC$2,'Results Summary'!$BG$8,'POSF Inventory'!$IH$3:$NC$3,'Results Summary'!BR$11)</f>
        <v>13.891299891975002</v>
      </c>
      <c r="BS12" s="954">
        <f>SUMIFS('POSF Inventory'!$IH$89:$NC$89,'POSF Inventory'!$IH$10:$NC$10,'Results Summary'!$BF12,'POSF Inventory'!$IH$2:$NC$2,'Results Summary'!$BG$8,'POSF Inventory'!$IH$3:$NC$3,'Results Summary'!BS$11)</f>
        <v>163.0186325295</v>
      </c>
      <c r="BT12" s="804"/>
    </row>
    <row r="13" spans="2:90" ht="23" x14ac:dyDescent="0.3">
      <c r="B13" s="341" t="s">
        <v>1503</v>
      </c>
      <c r="C13" s="587"/>
      <c r="D13" s="587"/>
      <c r="E13" s="835"/>
      <c r="F13" s="738"/>
      <c r="G13" s="835"/>
      <c r="H13" s="738"/>
      <c r="I13" s="835"/>
      <c r="J13" s="738"/>
      <c r="K13" s="835"/>
      <c r="L13" s="738"/>
      <c r="M13" s="835"/>
      <c r="N13" s="738"/>
      <c r="Q13" s="339"/>
      <c r="R13" s="345" t="s">
        <v>1478</v>
      </c>
      <c r="S13" s="998">
        <v>275</v>
      </c>
      <c r="T13" s="997">
        <v>2785</v>
      </c>
      <c r="U13" s="340"/>
      <c r="V13" s="978">
        <f>ROUND($I$20,0)</f>
        <v>316</v>
      </c>
      <c r="W13" s="791">
        <f>ROUND($J$20,0)</f>
        <v>3314</v>
      </c>
      <c r="X13" s="791">
        <f>ROUND($C$20,0)</f>
        <v>268</v>
      </c>
      <c r="Y13" s="791">
        <f>ROUND($D$20,0)</f>
        <v>2685</v>
      </c>
      <c r="Z13" s="821">
        <f>ROUND($E$20,0)</f>
        <v>48</v>
      </c>
      <c r="AA13" s="821">
        <f>ROUND($F$20,0)</f>
        <v>629</v>
      </c>
      <c r="AB13" s="821">
        <f>ROUND($G$20,0)</f>
        <v>6</v>
      </c>
      <c r="AC13" s="821">
        <f>ROUND($H$20,0)</f>
        <v>114</v>
      </c>
      <c r="AD13" s="988">
        <f>ROUND($K$20,0)</f>
        <v>304</v>
      </c>
      <c r="AE13" s="988">
        <f>ROUND($L$20,0)</f>
        <v>3192</v>
      </c>
      <c r="AF13" s="821">
        <f>ROUND($M$20,0)</f>
        <v>321</v>
      </c>
      <c r="AG13" s="821">
        <f>ROUND($N$20,0)</f>
        <v>3428</v>
      </c>
      <c r="AH13" s="799"/>
      <c r="AI13" s="804"/>
      <c r="AL13" s="339"/>
      <c r="AM13" s="951" t="s">
        <v>1807</v>
      </c>
      <c r="AN13" s="961" t="s">
        <v>1479</v>
      </c>
      <c r="AO13" s="961"/>
      <c r="AP13" s="961" t="str">
        <f t="shared" ref="AP13:AP16" si="3">ROUND(X13,0)&amp;" - "&amp;ROUND(Y13,0)</f>
        <v>268 - 2685</v>
      </c>
      <c r="AQ13" s="961"/>
      <c r="AR13" s="961" t="str">
        <f t="shared" si="1"/>
        <v>48 - 629</v>
      </c>
      <c r="AS13" s="961"/>
      <c r="AT13" s="961" t="str">
        <f t="shared" si="2"/>
        <v>6 - 114</v>
      </c>
      <c r="AU13" s="961"/>
      <c r="AV13" s="961" t="str">
        <f t="shared" ref="AV13:AV16" si="4">ROUND(AF13,0)&amp;" - "&amp;ROUND(AG13,0)</f>
        <v>321 - 3428</v>
      </c>
      <c r="AX13" s="804"/>
      <c r="AZ13" s="849"/>
      <c r="BA13" s="438"/>
      <c r="BB13" s="438"/>
      <c r="BC13" s="438"/>
      <c r="BD13" s="351"/>
      <c r="BF13" s="873" t="s">
        <v>30</v>
      </c>
      <c r="BG13" s="340"/>
      <c r="BH13" s="951" t="s">
        <v>1853</v>
      </c>
      <c r="BI13" s="954">
        <f>SUMIFS('POSF Inventory'!$IH$86:$NC$86,'POSF Inventory'!$IH$10:$NC$10,'Results Summary'!$BF13,'POSF Inventory'!$IH$2:$NC$2,'Results Summary'!$BG$8,'POSF Inventory'!$IH$3:$NC$3,'Results Summary'!BI$11)</f>
        <v>10.486938996337503</v>
      </c>
      <c r="BJ13" s="954">
        <f>SUMIFS('POSF Inventory'!$IH$86:$NC$86,'POSF Inventory'!$IH$10:$NC$10,'Results Summary'!$BF13,'POSF Inventory'!$IH$2:$NC$2,'Results Summary'!$BG$8,'POSF Inventory'!$IH$3:$NC$3,'Results Summary'!BJ$11)</f>
        <v>164.74499061787503</v>
      </c>
      <c r="BK13" s="954"/>
      <c r="BL13" s="954">
        <f>SUMIFS('POSF Inventory'!$IH$87:$NC$87,'POSF Inventory'!$IH$10:$NC$10,'Results Summary'!$BF13,'POSF Inventory'!$IH$2:$NC$2,'Results Summary'!$BG$8,'POSF Inventory'!$IH$3:$NC$3,'Results Summary'!BL$11)</f>
        <v>0.79659844593750007</v>
      </c>
      <c r="BM13" s="954">
        <f>SUMIFS('POSF Inventory'!$IH$87:$NC$87,'POSF Inventory'!$IH$10:$NC$10,'Results Summary'!$BF13,'POSF Inventory'!$IH$2:$NC$2,'Results Summary'!$BG$8,'POSF Inventory'!$IH$3:$NC$3,'Results Summary'!BM$11)</f>
        <v>31.812934722124997</v>
      </c>
      <c r="BN13" s="954"/>
      <c r="BO13" s="954">
        <f>SUMIFS('POSF Inventory'!$IH$88:$NC$88,'POSF Inventory'!$IH$10:$NC$10,'Results Summary'!$BF13,'POSF Inventory'!$IH$2:$NC$2,'Results Summary'!$BG$8,'POSF Inventory'!$IH$3:$NC$3,'Results Summary'!BO$11)</f>
        <v>8.2071560250000009E-2</v>
      </c>
      <c r="BP13" s="954">
        <f>SUMIFS('POSF Inventory'!$IH$88:$NC$88,'POSF Inventory'!$IH$10:$NC$10,'Results Summary'!$BF13,'POSF Inventory'!$IH$2:$NC$2,'Results Summary'!$BG$8,'POSF Inventory'!$IH$3:$NC$3,'Results Summary'!BP$11)</f>
        <v>5.9803756814999982</v>
      </c>
      <c r="BQ13" s="954"/>
      <c r="BR13" s="954">
        <f>SUMIFS('POSF Inventory'!$IH$89:$NC$89,'POSF Inventory'!$IH$10:$NC$10,'Results Summary'!$BF13,'POSF Inventory'!$IH$2:$NC$2,'Results Summary'!$BG$8,'POSF Inventory'!$IH$3:$NC$3,'Results Summary'!BR$11)</f>
        <v>11.365609002525002</v>
      </c>
      <c r="BS13" s="954">
        <f>SUMIFS('POSF Inventory'!$IH$89:$NC$89,'POSF Inventory'!$IH$10:$NC$10,'Results Summary'!$BF13,'POSF Inventory'!$IH$2:$NC$2,'Results Summary'!$BG$8,'POSF Inventory'!$IH$3:$NC$3,'Results Summary'!BS$11)</f>
        <v>202.53830102150002</v>
      </c>
      <c r="BT13" s="804"/>
    </row>
    <row r="14" spans="2:90" ht="23" x14ac:dyDescent="0.3">
      <c r="B14" s="438" t="s">
        <v>392</v>
      </c>
      <c r="C14" s="793">
        <f>SUM('POSF Emiss by Zone'!$C$94,'POSF Emiss by Zone'!$E$94,'POSF Emiss by Zone'!$G$94,'POSF Emiss by Zone'!$I$94,'POSF Emiss by Zone'!$K$94,'POSF Emiss by Zone'!$M$94,'POSF Emiss by Zone'!$O$94,'POSF Emiss by Zone'!$Q$94,'POSF Emiss by Zone'!$S$94,'POSF Emiss by Zone'!$U$94,'POSF Emiss by Zone'!$W$94,'POSF Emiss by Zone'!$Y$94)</f>
        <v>651.52861198749986</v>
      </c>
      <c r="D14" s="823">
        <f>SUM('POSF Emiss by Zone'!$D$94,'POSF Emiss by Zone'!$F$94,'POSF Emiss by Zone'!$H$94,'POSF Emiss by Zone'!$J$94,'POSF Emiss by Zone'!$L$94,'POSF Emiss by Zone'!$N$94,'POSF Emiss by Zone'!$P$94,'POSF Emiss by Zone'!$R$94,'POSF Emiss by Zone'!$T$94,'POSF Emiss by Zone'!$V$94,'POSF Emiss by Zone'!$X$94,'POSF Emiss by Zone'!$Z$94)</f>
        <v>653.07069154249996</v>
      </c>
      <c r="E14" s="836">
        <f>SUM('POSF Emiss by Zone'!$C$95,'POSF Emiss by Zone'!$E$95,'POSF Emiss by Zone'!$G$95,'POSF Emiss by Zone'!$I$95,'POSF Emiss by Zone'!$K$95,'POSF Emiss by Zone'!$M$95,'POSF Emiss by Zone'!$O$95,'POSF Emiss by Zone'!$Q$95,'POSF Emiss by Zone'!$S$95,'POSF Emiss by Zone'!$U$95,'POSF Emiss by Zone'!$W$95,'POSF Emiss by Zone'!$Y$95)</f>
        <v>24.471187324999995</v>
      </c>
      <c r="F14" s="823">
        <f>SUM('POSF Emiss by Zone'!$D$95,'POSF Emiss by Zone'!$F$95,'POSF Emiss by Zone'!$H$95,'POSF Emiss by Zone'!$J$95,'POSF Emiss by Zone'!$L$95,'POSF Emiss by Zone'!$N$95,'POSF Emiss by Zone'!$P$95,'POSF Emiss by Zone'!$R$95,'POSF Emiss by Zone'!$T$95,'POSF Emiss by Zone'!$V$95,'POSF Emiss by Zone'!$X$95,'POSF Emiss by Zone'!$Z$95)</f>
        <v>25.169845854999998</v>
      </c>
      <c r="G14" s="836">
        <f>SUM('POSF Emiss by Zone'!$C$96,'POSF Emiss by Zone'!$E$96,'POSF Emiss by Zone'!$G$96,'POSF Emiss by Zone'!$I$96,'POSF Emiss by Zone'!$K$96,'POSF Emiss by Zone'!$M$96,'POSF Emiss by Zone'!$O$96,'POSF Emiss by Zone'!$Q$96,'POSF Emiss by Zone'!$S$96,'POSF Emiss by Zone'!$U$96,'POSF Emiss by Zone'!$W$96,'POSF Emiss by Zone'!$Y$96)</f>
        <v>1.995083025</v>
      </c>
      <c r="H14" s="823">
        <f>SUM('POSF Emiss by Zone'!$D$96,'POSF Emiss by Zone'!$F$96,'POSF Emiss by Zone'!$H$96,'POSF Emiss by Zone'!$J$96,'POSF Emiss by Zone'!$L$96,'POSF Emiss by Zone'!$N$96,'POSF Emiss by Zone'!$P$96,'POSF Emiss by Zone'!$R$96,'POSF Emiss by Zone'!$T$96,'POSF Emiss by Zone'!$V$96,'POSF Emiss by Zone'!$X$96,'POSF Emiss by Zone'!$Z$96)</f>
        <v>8.9991230174999988</v>
      </c>
      <c r="I14" s="836">
        <f t="shared" ref="I14:I16" si="5">SUM(C14,E14)</f>
        <v>675.99979931249982</v>
      </c>
      <c r="J14" s="823">
        <f t="shared" ref="J14:J16" si="6">SUM(D14,F14)</f>
        <v>678.24053739749991</v>
      </c>
      <c r="K14" s="836">
        <f>SUM('POSF Emiss by Zone'!$C$98,'POSF Emiss by Zone'!$E$98,'POSF Emiss by Zone'!$G$98,'POSF Emiss by Zone'!$I$98,'POSF Emiss by Zone'!$K$98,'POSF Emiss by Zone'!$M$98,'POSF Emiss by Zone'!$O$98,'POSF Emiss by Zone'!$Q$98,'POSF Emiss by Zone'!$S$98,'POSF Emiss by Zone'!$U$98,'POSF Emiss by Zone'!$W$98,'POSF Emiss by Zone'!$Y$98)</f>
        <v>667.1979624375</v>
      </c>
      <c r="L14" s="793">
        <f>SUM('POSF Emiss by Zone'!$D$98,'POSF Emiss by Zone'!$F$98,'POSF Emiss by Zone'!$H$98,'POSF Emiss by Zone'!$J$98,'POSF Emiss by Zone'!$L$98,'POSF Emiss by Zone'!$N$98,'POSF Emiss by Zone'!$P$98,'POSF Emiss by Zone'!$R$98,'POSF Emiss by Zone'!$T$98,'POSF Emiss by Zone'!$V$98,'POSF Emiss by Zone'!$X$98,'POSF Emiss by Zone'!$Z$98)</f>
        <v>669.4178677724999</v>
      </c>
      <c r="M14" s="836">
        <f>SUM('POSF Emiss by Zone'!$C$97,'POSF Emiss by Zone'!$E$97,'POSF Emiss by Zone'!$G$97,'POSF Emiss by Zone'!$I$97,'POSF Emiss by Zone'!$K$97,'POSF Emiss by Zone'!$M$97,'POSF Emiss by Zone'!$O$97,'POSF Emiss by Zone'!$Q$97,'POSF Emiss by Zone'!$S$97,'POSF Emiss by Zone'!$U$97,'POSF Emiss by Zone'!$W$97,'POSF Emiss by Zone'!$Y$97)</f>
        <v>677.99488233750014</v>
      </c>
      <c r="N14" s="793">
        <f>SUM('POSF Emiss by Zone'!$D$97,'POSF Emiss by Zone'!$F$97,'POSF Emiss by Zone'!$H$97,'POSF Emiss by Zone'!$J$97,'POSF Emiss by Zone'!$L$97,'POSF Emiss by Zone'!$N$97,'POSF Emiss by Zone'!$P$97,'POSF Emiss by Zone'!$R$97,'POSF Emiss by Zone'!$T$97,'POSF Emiss by Zone'!$V$97,'POSF Emiss by Zone'!$X$97,'POSF Emiss by Zone'!$Z$97)</f>
        <v>687.239660415</v>
      </c>
      <c r="O14" t="s">
        <v>1542</v>
      </c>
      <c r="P14" s="850" t="s">
        <v>1651</v>
      </c>
      <c r="Q14" s="339"/>
      <c r="R14" s="345" t="s">
        <v>1482</v>
      </c>
      <c r="S14" s="998">
        <v>3</v>
      </c>
      <c r="T14" s="997">
        <v>168</v>
      </c>
      <c r="U14" s="340"/>
      <c r="V14" s="979">
        <f>ROUND($AP$43,0)</f>
        <v>3</v>
      </c>
      <c r="W14" s="772">
        <f>ROUND($AP$38,0)</f>
        <v>368</v>
      </c>
      <c r="X14" s="772">
        <f>ROUND($AN$43,0)</f>
        <v>2</v>
      </c>
      <c r="Y14" s="772">
        <f>ROUND($AN$38,0)</f>
        <v>332</v>
      </c>
      <c r="Z14" s="817">
        <f>ROUND($AR$43,0)</f>
        <v>1</v>
      </c>
      <c r="AA14" s="817">
        <f>ROUND($AR$38,0)</f>
        <v>36</v>
      </c>
      <c r="AB14" s="817">
        <f>ROUND($AS$43,0)</f>
        <v>0</v>
      </c>
      <c r="AC14" s="817">
        <f>ROUND($AS$38,0)</f>
        <v>25</v>
      </c>
      <c r="AD14" s="1003">
        <f>ROUND($AO$43,0)</f>
        <v>2</v>
      </c>
      <c r="AE14" s="1003">
        <f>ROUND($AO$38,0)</f>
        <v>357</v>
      </c>
      <c r="AF14" s="817">
        <f>ROUND($AQ$43,0)</f>
        <v>3</v>
      </c>
      <c r="AG14" s="817">
        <f>ROUND($AQ$38,0)</f>
        <v>393</v>
      </c>
      <c r="AH14" s="799"/>
      <c r="AI14" s="804"/>
      <c r="AK14" s="850" t="s">
        <v>1651</v>
      </c>
      <c r="AL14" s="339"/>
      <c r="AM14" s="951" t="s">
        <v>2026</v>
      </c>
      <c r="AN14" s="961" t="s">
        <v>1483</v>
      </c>
      <c r="AO14" s="961"/>
      <c r="AP14" s="961" t="str">
        <f t="shared" si="3"/>
        <v>2 - 332</v>
      </c>
      <c r="AQ14" s="961"/>
      <c r="AR14" s="961" t="str">
        <f t="shared" si="1"/>
        <v>1 - 36</v>
      </c>
      <c r="AS14" s="961"/>
      <c r="AT14" s="961" t="str">
        <f t="shared" si="2"/>
        <v>0 - 25</v>
      </c>
      <c r="AU14" s="961"/>
      <c r="AV14" s="961" t="str">
        <f t="shared" si="4"/>
        <v>3 - 393</v>
      </c>
      <c r="AX14" s="804"/>
      <c r="BF14" s="873" t="s">
        <v>31</v>
      </c>
      <c r="BG14" s="340"/>
      <c r="BH14" s="951" t="s">
        <v>1848</v>
      </c>
      <c r="BI14" s="954">
        <f>SUMIFS('POSF Inventory'!$IH$86:$NC$86,'POSF Inventory'!$IH$10:$NC$10,'Results Summary'!$BF14,'POSF Inventory'!$IH$2:$NC$2,'Results Summary'!$BG$8,'POSF Inventory'!$IH$3:$NC$3,'Results Summary'!BI$11)</f>
        <v>20.973877992675007</v>
      </c>
      <c r="BJ14" s="954">
        <f>SUMIFS('POSF Inventory'!$IH$86:$NC$86,'POSF Inventory'!$IH$10:$NC$10,'Results Summary'!$BF14,'POSF Inventory'!$IH$2:$NC$2,'Results Summary'!$BG$8,'POSF Inventory'!$IH$3:$NC$3,'Results Summary'!BJ$11)</f>
        <v>208.94486614950003</v>
      </c>
      <c r="BK14" s="954"/>
      <c r="BL14" s="954">
        <f>SUMIFS('POSF Inventory'!$IH$87:$NC$87,'POSF Inventory'!$IH$10:$NC$10,'Results Summary'!$BF14,'POSF Inventory'!$IH$2:$NC$2,'Results Summary'!$BG$8,'POSF Inventory'!$IH$3:$NC$3,'Results Summary'!BL$11)</f>
        <v>1.5931968918750001</v>
      </c>
      <c r="BM14" s="954">
        <f>SUMIFS('POSF Inventory'!$IH$87:$NC$87,'POSF Inventory'!$IH$10:$NC$10,'Results Summary'!$BF14,'POSF Inventory'!$IH$2:$NC$2,'Results Summary'!$BG$8,'POSF Inventory'!$IH$3:$NC$3,'Results Summary'!BM$11)</f>
        <v>40.348112330500001</v>
      </c>
      <c r="BN14" s="954"/>
      <c r="BO14" s="954">
        <f>SUMIFS('POSF Inventory'!$IH$88:$NC$88,'POSF Inventory'!$IH$10:$NC$10,'Results Summary'!$BF14,'POSF Inventory'!$IH$2:$NC$2,'Results Summary'!$BG$8,'POSF Inventory'!$IH$3:$NC$3,'Results Summary'!BO$11)</f>
        <v>0.16414312050000002</v>
      </c>
      <c r="BP14" s="954">
        <f>SUMIFS('POSF Inventory'!$IH$88:$NC$88,'POSF Inventory'!$IH$10:$NC$10,'Results Summary'!$BF14,'POSF Inventory'!$IH$2:$NC$2,'Results Summary'!$BG$8,'POSF Inventory'!$IH$3:$NC$3,'Results Summary'!BP$11)</f>
        <v>7.5848667179999998</v>
      </c>
      <c r="BQ14" s="954"/>
      <c r="BR14" s="954">
        <f>SUMIFS('POSF Inventory'!$IH$89:$NC$89,'POSF Inventory'!$IH$10:$NC$10,'Results Summary'!$BF14,'POSF Inventory'!$IH$2:$NC$2,'Results Summary'!$BG$8,'POSF Inventory'!$IH$3:$NC$3,'Results Summary'!BR$11)</f>
        <v>22.731218005050003</v>
      </c>
      <c r="BS14" s="954">
        <f>SUMIFS('POSF Inventory'!$IH$89:$NC$89,'POSF Inventory'!$IH$10:$NC$10,'Results Summary'!$BF14,'POSF Inventory'!$IH$2:$NC$2,'Results Summary'!$BG$8,'POSF Inventory'!$IH$3:$NC$3,'Results Summary'!BS$11)</f>
        <v>256.87784519800005</v>
      </c>
      <c r="BT14" s="804"/>
    </row>
    <row r="15" spans="2:90" ht="23" x14ac:dyDescent="0.3">
      <c r="B15" s="800" t="s">
        <v>40</v>
      </c>
      <c r="C15" s="794">
        <f>SUM('POSF Emiss by Zone'!$AA$94,'POSF Emiss by Zone'!$AC$94,'POSF Emiss by Zone'!$AE$94,'POSF Emiss by Zone'!$AG$94,'POSF Emiss by Zone'!$AI$94,'POSF Emiss by Zone'!$AK$94,'POSF Emiss by Zone'!$AM$94,'POSF Emiss by Zone'!$AO$94,'POSF Emiss by Zone'!$AQ$94,'POSF Emiss by Zone'!$AS$94,'POSF Emiss by Zone'!$AU$94,'POSF Emiss by Zone'!$AW$94)</f>
        <v>716.7462696875001</v>
      </c>
      <c r="D15" s="824">
        <f>SUM('POSF Emiss by Zone'!$AB$94,'POSF Emiss by Zone'!$AD$94,'POSF Emiss by Zone'!$AF$94,'POSF Emiss by Zone'!$AH$94,'POSF Emiss by Zone'!$AJ$94,'POSF Emiss by Zone'!$AL$94,'POSF Emiss by Zone'!$AN$94,'POSF Emiss by Zone'!$AP$94,'POSF Emiss by Zone'!$AR$94,'POSF Emiss by Zone'!$AT$94,'POSF Emiss by Zone'!$AV$94,'POSF Emiss by Zone'!$AX$94)</f>
        <v>718.4427105625</v>
      </c>
      <c r="E15" s="837">
        <f>SUM('POSF Emiss by Zone'!$AA$95,'POSF Emiss by Zone'!$AC$95,'POSF Emiss by Zone'!$AE$95,'POSF Emiss by Zone'!$AG$95,'POSF Emiss by Zone'!$AI$95,'POSF Emiss by Zone'!$AK$95,'POSF Emiss by Zone'!$AM$95,'POSF Emiss by Zone'!$AO$95,'POSF Emiss by Zone'!$AQ$95,'POSF Emiss by Zone'!$AS$95,'POSF Emiss by Zone'!$AU$95,'POSF Emiss by Zone'!$AW$95)</f>
        <v>26.833825069999996</v>
      </c>
      <c r="F15" s="824">
        <f>SUM('POSF Emiss by Zone'!$AB$95,'POSF Emiss by Zone'!$AD$95,'POSF Emiss by Zone'!$AF$95,'POSF Emiss by Zone'!$AH$95,'POSF Emiss by Zone'!$AJ$95,'POSF Emiss by Zone'!$AL$95,'POSF Emiss by Zone'!$AN$95,'POSF Emiss by Zone'!$AP$95,'POSF Emiss by Zone'!$AR$95,'POSF Emiss by Zone'!$AT$95,'POSF Emiss by Zone'!$AV$95,'POSF Emiss by Zone'!$AX$95)</f>
        <v>27.762334138</v>
      </c>
      <c r="G15" s="837">
        <f>SUM('POSF Emiss by Zone'!$AA$96,'POSF Emiss by Zone'!$AC$96,'POSF Emiss by Zone'!$AE$96,'POSF Emiss by Zone'!$AG$96,'POSF Emiss by Zone'!$AI$96,'POSF Emiss by Zone'!$AK$96,'POSF Emiss by Zone'!$AM$96,'POSF Emiss by Zone'!$AO$96,'POSF Emiss by Zone'!$AQ$96,'POSF Emiss by Zone'!$AS$96,'POSF Emiss by Zone'!$AU$96,'POSF Emiss by Zone'!$AW$96)</f>
        <v>2.1790268500000001</v>
      </c>
      <c r="H15" s="824">
        <f>SUM('POSF Emiss by Zone'!$AB$96,'POSF Emiss by Zone'!$AD$96,'POSF Emiss by Zone'!$AF$96,'POSF Emiss by Zone'!$AH$96,'POSF Emiss by Zone'!$AJ$96,'POSF Emiss by Zone'!$AL$96,'POSF Emiss by Zone'!$AN$96,'POSF Emiss by Zone'!$AP$96,'POSF Emiss by Zone'!$AR$96,'POSF Emiss by Zone'!$AT$96,'POSF Emiss by Zone'!$AV$96,'POSF Emiss by Zone'!$AX$96)</f>
        <v>9.8288293949999996</v>
      </c>
      <c r="I15" s="837">
        <f t="shared" si="5"/>
        <v>743.58009475750009</v>
      </c>
      <c r="J15" s="824">
        <f t="shared" si="6"/>
        <v>746.20504470050003</v>
      </c>
      <c r="K15" s="837">
        <f>SUM('POSF Emiss by Zone'!$AA$98,'POSF Emiss by Zone'!$AC$98,'POSF Emiss by Zone'!$AE$98,'POSF Emiss by Zone'!$AG$98,'POSF Emiss by Zone'!$AI$98,'POSF Emiss by Zone'!$AK$98,'POSF Emiss by Zone'!$AM$98,'POSF Emiss by Zone'!$AO$98,'POSF Emiss by Zone'!$AQ$98,'POSF Emiss by Zone'!$AS$98,'POSF Emiss by Zone'!$AU$98,'POSF Emiss by Zone'!$AW$98)</f>
        <v>733.9667410075001</v>
      </c>
      <c r="L15" s="794">
        <f>SUM('POSF Emiss by Zone'!$AB$98,'POSF Emiss by Zone'!$AD$98,'POSF Emiss by Zone'!$AF$98,'POSF Emiss by Zone'!$AH$98,'POSF Emiss by Zone'!$AJ$98,'POSF Emiss by Zone'!$AL$98,'POSF Emiss by Zone'!$AN$98,'POSF Emiss by Zone'!$AP$98,'POSF Emiss by Zone'!$AR$98,'POSF Emiss by Zone'!$AT$98,'POSF Emiss by Zone'!$AV$98,'POSF Emiss by Zone'!$AX$98)</f>
        <v>736.5689374504999</v>
      </c>
      <c r="M15" s="837">
        <f>SUM('POSF Emiss by Zone'!$AA$97,'POSF Emiss by Zone'!$AC$97,'POSF Emiss by Zone'!$AE$97,'POSF Emiss by Zone'!$AG$97,'POSF Emiss by Zone'!$AI$97,'POSF Emiss by Zone'!$AK$97,'POSF Emiss by Zone'!$AM$97,'POSF Emiss by Zone'!$AO$97,'POSF Emiss by Zone'!$AQ$97,'POSF Emiss by Zone'!$AS$97,'POSF Emiss by Zone'!$AU$97,'POSF Emiss by Zone'!$AW$97)</f>
        <v>745.75912160749999</v>
      </c>
      <c r="N15" s="794">
        <f>SUM('POSF Emiss by Zone'!$AB$97,'POSF Emiss by Zone'!$AD$97,'POSF Emiss by Zone'!$AF$97,'POSF Emiss by Zone'!$AH$97,'POSF Emiss by Zone'!$AJ$97,'POSF Emiss by Zone'!$AL$97,'POSF Emiss by Zone'!$AN$97,'POSF Emiss by Zone'!$AP$97,'POSF Emiss by Zone'!$AR$97,'POSF Emiss by Zone'!$AT$97,'POSF Emiss by Zone'!$AV$97,'POSF Emiss by Zone'!$AX$97)</f>
        <v>756.03387409549998</v>
      </c>
      <c r="O15" t="s">
        <v>1537</v>
      </c>
      <c r="P15" s="850" t="s">
        <v>1651</v>
      </c>
      <c r="Q15" s="339"/>
      <c r="R15" s="345" t="s">
        <v>1486</v>
      </c>
      <c r="S15" s="998">
        <v>0</v>
      </c>
      <c r="T15" s="997">
        <v>0</v>
      </c>
      <c r="U15" s="340"/>
      <c r="V15" s="979">
        <f>ROUND($AP$53,0)</f>
        <v>165</v>
      </c>
      <c r="W15" s="772">
        <f>ROUND($AP$48,0)</f>
        <v>508</v>
      </c>
      <c r="X15" s="772">
        <f>ROUND($AN$53,0)</f>
        <v>159</v>
      </c>
      <c r="Y15" s="772">
        <f>ROUND($AN$48,0)</f>
        <v>490</v>
      </c>
      <c r="Z15" s="817">
        <f>ROUND($AR$53,0)</f>
        <v>6</v>
      </c>
      <c r="AA15" s="817">
        <f>ROUND($AR$48,0)</f>
        <v>17</v>
      </c>
      <c r="AB15" s="817">
        <f>ROUND($AS$53,0)</f>
        <v>1</v>
      </c>
      <c r="AC15" s="817">
        <f>ROUND($AS$48,0)</f>
        <v>5</v>
      </c>
      <c r="AD15" s="989">
        <f>ROUND($AO$53,0)</f>
        <v>164</v>
      </c>
      <c r="AE15" s="989">
        <f>ROUND($AO$48,0)</f>
        <v>502</v>
      </c>
      <c r="AF15" s="817">
        <f>ROUND($AQ$53,0)</f>
        <v>166</v>
      </c>
      <c r="AG15" s="817">
        <f>ROUND($AQ$48,0)</f>
        <v>513</v>
      </c>
      <c r="AH15" s="799"/>
      <c r="AI15" s="804"/>
      <c r="AK15" s="850" t="s">
        <v>1651</v>
      </c>
      <c r="AL15" s="339"/>
      <c r="AM15" s="951" t="s">
        <v>2027</v>
      </c>
      <c r="AN15" s="961" t="s">
        <v>3</v>
      </c>
      <c r="AO15" s="961"/>
      <c r="AP15" s="961" t="str">
        <f t="shared" si="3"/>
        <v>159 - 490</v>
      </c>
      <c r="AQ15" s="961"/>
      <c r="AR15" s="961" t="str">
        <f t="shared" si="1"/>
        <v>6 - 17</v>
      </c>
      <c r="AS15" s="961"/>
      <c r="AT15" s="961" t="str">
        <f t="shared" si="2"/>
        <v>1 - 5</v>
      </c>
      <c r="AU15" s="961"/>
      <c r="AV15" s="961" t="str">
        <f t="shared" si="4"/>
        <v>166 - 513</v>
      </c>
      <c r="AX15" s="804"/>
      <c r="BF15" s="873" t="s">
        <v>32</v>
      </c>
      <c r="BG15" s="340"/>
      <c r="BH15" s="951" t="s">
        <v>1849</v>
      </c>
      <c r="BI15" s="954">
        <f>SUMIFS('POSF Inventory'!$IH$86:$NC$86,'POSF Inventory'!$IH$10:$NC$10,'Results Summary'!$BF15,'POSF Inventory'!$IH$2:$NC$2,'Results Summary'!$BG$8,'POSF Inventory'!$IH$3:$NC$3,'Results Summary'!BI$11)</f>
        <v>10.486938996337503</v>
      </c>
      <c r="BJ15" s="954">
        <f>SUMIFS('POSF Inventory'!$IH$86:$NC$86,'POSF Inventory'!$IH$10:$NC$10,'Results Summary'!$BF15,'POSF Inventory'!$IH$2:$NC$2,'Results Summary'!$BG$8,'POSF Inventory'!$IH$3:$NC$3,'Results Summary'!BJ$11)</f>
        <v>164.74499061787503</v>
      </c>
      <c r="BK15" s="954"/>
      <c r="BL15" s="954">
        <f>SUMIFS('POSF Inventory'!$IH$87:$NC$87,'POSF Inventory'!$IH$10:$NC$10,'Results Summary'!$BF15,'POSF Inventory'!$IH$2:$NC$2,'Results Summary'!$BG$8,'POSF Inventory'!$IH$3:$NC$3,'Results Summary'!BL$11)</f>
        <v>0.79659844593750007</v>
      </c>
      <c r="BM15" s="954">
        <f>SUMIFS('POSF Inventory'!$IH$87:$NC$87,'POSF Inventory'!$IH$10:$NC$10,'Results Summary'!$BF15,'POSF Inventory'!$IH$2:$NC$2,'Results Summary'!$BG$8,'POSF Inventory'!$IH$3:$NC$3,'Results Summary'!BM$11)</f>
        <v>31.812934722124997</v>
      </c>
      <c r="BN15" s="954"/>
      <c r="BO15" s="954">
        <f>SUMIFS('POSF Inventory'!$IH$88:$NC$88,'POSF Inventory'!$IH$10:$NC$10,'Results Summary'!$BF15,'POSF Inventory'!$IH$2:$NC$2,'Results Summary'!$BG$8,'POSF Inventory'!$IH$3:$NC$3,'Results Summary'!BO$11)</f>
        <v>8.2071560250000009E-2</v>
      </c>
      <c r="BP15" s="954">
        <f>SUMIFS('POSF Inventory'!$IH$88:$NC$88,'POSF Inventory'!$IH$10:$NC$10,'Results Summary'!$BF15,'POSF Inventory'!$IH$2:$NC$2,'Results Summary'!$BG$8,'POSF Inventory'!$IH$3:$NC$3,'Results Summary'!BP$11)</f>
        <v>5.9803756814999982</v>
      </c>
      <c r="BQ15" s="954"/>
      <c r="BR15" s="954">
        <f>SUMIFS('POSF Inventory'!$IH$89:$NC$89,'POSF Inventory'!$IH$10:$NC$10,'Results Summary'!$BF15,'POSF Inventory'!$IH$2:$NC$2,'Results Summary'!$BG$8,'POSF Inventory'!$IH$3:$NC$3,'Results Summary'!BR$11)</f>
        <v>11.365609002525002</v>
      </c>
      <c r="BS15" s="954">
        <f>SUMIFS('POSF Inventory'!$IH$89:$NC$89,'POSF Inventory'!$IH$10:$NC$10,'Results Summary'!$BF15,'POSF Inventory'!$IH$2:$NC$2,'Results Summary'!$BG$8,'POSF Inventory'!$IH$3:$NC$3,'Results Summary'!BS$11)</f>
        <v>202.53830102150002</v>
      </c>
      <c r="BT15" s="804"/>
    </row>
    <row r="16" spans="2:90" ht="23" x14ac:dyDescent="0.3">
      <c r="B16" s="800" t="s">
        <v>1506</v>
      </c>
      <c r="C16" s="795">
        <f>SUM('POSF Emiss by Zone'!$CC$94,'POSF Emiss by Zone'!$CE$94,'POSF Emiss by Zone'!$CG$94,'POSF Emiss by Zone'!$CI$94,'POSF Emiss by Zone'!$CK$94,'POSF Emiss by Zone'!$CM$94,'POSF Emiss by Zone'!$CO$94,'POSF Emiss by Zone'!$CQ$94,'POSF Emiss by Zone'!$CS$94,'POSF Emiss by Zone'!$CU$94,'POSF Emiss by Zone'!$CW$94,'POSF Emiss by Zone'!$CY$94)</f>
        <v>123.36380340000001</v>
      </c>
      <c r="D16" s="825">
        <f>SUM('POSF Emiss by Zone'!$CD$94,'POSF Emiss by Zone'!$CF$94,'POSF Emiss by Zone'!$CH$94,'POSF Emiss by Zone'!$CJ$94,'POSF Emiss by Zone'!$CL$94,'POSF Emiss by Zone'!$CN$94,'POSF Emiss by Zone'!$CP$94,'POSF Emiss by Zone'!$CR$94,'POSF Emiss by Zone'!$CT$94,'POSF Emiss by Zone'!$CV$94,'POSF Emiss by Zone'!$CX$94,'POSF Emiss by Zone'!$CZ$94)</f>
        <v>498.51145248824997</v>
      </c>
      <c r="E16" s="838">
        <f>SUM('POSF Emiss by Zone'!$CC$95,'POSF Emiss by Zone'!$CE$95,'POSF Emiss by Zone'!$CG$95,'POSF Emiss by Zone'!$CI$95,'POSF Emiss by Zone'!$CK$95,'POSF Emiss by Zone'!$CM$95,'POSF Emiss by Zone'!$CO$95,'POSF Emiss by Zone'!$CQ$95,'POSF Emiss by Zone'!$CS$95,'POSF Emiss by Zone'!$CU$95,'POSF Emiss by Zone'!$CW$95,'POSF Emiss by Zone'!$CY$95)</f>
        <v>4.6483174399999996</v>
      </c>
      <c r="F16" s="825">
        <f>SUM('POSF Emiss by Zone'!$CD$95,'POSF Emiss by Zone'!$CF$95,'POSF Emiss by Zone'!$CH$95,'POSF Emiss by Zone'!$CJ$95,'POSF Emiss by Zone'!$CL$95,'POSF Emiss by Zone'!$CN$95,'POSF Emiss by Zone'!$CP$95,'POSF Emiss by Zone'!$CR$95,'POSF Emiss by Zone'!$CT$95,'POSF Emiss by Zone'!$CV$95,'POSF Emiss by Zone'!$CX$95,'POSF Emiss by Zone'!$CZ$95)</f>
        <v>19.0428994868</v>
      </c>
      <c r="G16" s="838">
        <f>SUM('POSF Emiss by Zone'!$CC$96,'POSF Emiss by Zone'!$CE$96,'POSF Emiss by Zone'!$CG$96,'POSF Emiss by Zone'!$CI$96,'POSF Emiss by Zone'!$CK$96,'POSF Emiss by Zone'!$CM$96,'POSF Emiss by Zone'!$CO$96,'POSF Emiss by Zone'!$CQ$96,'POSF Emiss by Zone'!$CS$96,'POSF Emiss by Zone'!$CU$96,'POSF Emiss by Zone'!$CW$96,'POSF Emiss by Zone'!$CY$96)</f>
        <v>0.38044640000000007</v>
      </c>
      <c r="H16" s="825">
        <f>SUM('POSF Emiss by Zone'!$CD$96,'POSF Emiss by Zone'!$CF$96,'POSF Emiss by Zone'!$CH$96,'POSF Emiss by Zone'!$CJ$96,'POSF Emiss by Zone'!$CL$96,'POSF Emiss by Zone'!$CN$96,'POSF Emiss by Zone'!$CP$96,'POSF Emiss by Zone'!$CR$96,'POSF Emiss by Zone'!$CT$96,'POSF Emiss by Zone'!$CV$96,'POSF Emiss by Zone'!$CX$96,'POSF Emiss by Zone'!$CZ$96)</f>
        <v>7.0350299640000014</v>
      </c>
      <c r="I16" s="838">
        <f t="shared" si="5"/>
        <v>128.01212084000002</v>
      </c>
      <c r="J16" s="825">
        <f t="shared" si="6"/>
        <v>517.55435197504994</v>
      </c>
      <c r="K16" s="838">
        <f>SUM('POSF Emiss by Zone'!$CC$98,'POSF Emiss by Zone'!$CE$98,'POSF Emiss by Zone'!$CG$98,'POSF Emiss by Zone'!$CI$98,'POSF Emiss by Zone'!$CK$98,'POSF Emiss by Zone'!$CM$98,'POSF Emiss by Zone'!$CO$98,'POSF Emiss by Zone'!$CQ$98,'POSF Emiss by Zone'!$CS$98,'POSF Emiss by Zone'!$CU$98,'POSF Emiss by Zone'!$CW$98,'POSF Emiss by Zone'!$CY$98)</f>
        <v>126.33368084000004</v>
      </c>
      <c r="L16" s="795">
        <f>SUM('POSF Emiss by Zone'!$CD$98,'POSF Emiss by Zone'!$CF$98,'POSF Emiss by Zone'!$CH$98,'POSF Emiss by Zone'!$CJ$98,'POSF Emiss by Zone'!$CL$98,'POSF Emiss by Zone'!$CN$98,'POSF Emiss by Zone'!$CP$98,'POSF Emiss by Zone'!$CR$98,'POSF Emiss by Zone'!$CT$98,'POSF Emiss by Zone'!$CV$98,'POSF Emiss by Zone'!$CX$98,'POSF Emiss by Zone'!$CZ$98)</f>
        <v>510.65726377505007</v>
      </c>
      <c r="M16" s="838">
        <f>SUM('POSF Emiss by Zone'!$CC$97,'POSF Emiss by Zone'!$CE$97,'POSF Emiss by Zone'!$CG$97,'POSF Emiss by Zone'!$CI$97,'POSF Emiss by Zone'!$CK$97,'POSF Emiss by Zone'!$CM$97,'POSF Emiss by Zone'!$CO$97,'POSF Emiss by Zone'!$CQ$97,'POSF Emiss by Zone'!$CS$97,'POSF Emiss by Zone'!$CU$97,'POSF Emiss by Zone'!$CW$97,'POSF Emiss by Zone'!$CY$97)</f>
        <v>128.39256724000003</v>
      </c>
      <c r="N16" s="795">
        <f>SUM('POSF Emiss by Zone'!$CD$97,'POSF Emiss by Zone'!$CF$97,'POSF Emiss by Zone'!$CH$97,'POSF Emiss by Zone'!$CJ$97,'POSF Emiss by Zone'!$CL$97,'POSF Emiss by Zone'!$CN$97,'POSF Emiss by Zone'!$CP$97,'POSF Emiss by Zone'!$CR$97,'POSF Emiss by Zone'!$CT$97,'POSF Emiss by Zone'!$CV$97,'POSF Emiss by Zone'!$CX$97,'POSF Emiss by Zone'!$CZ$97)</f>
        <v>524.5893819390501</v>
      </c>
      <c r="O16" t="s">
        <v>1509</v>
      </c>
      <c r="P16" s="850" t="s">
        <v>1651</v>
      </c>
      <c r="Q16" s="339"/>
      <c r="R16" s="348" t="s">
        <v>0</v>
      </c>
      <c r="S16" s="999">
        <v>353</v>
      </c>
      <c r="T16" s="1000">
        <v>3252</v>
      </c>
      <c r="U16" s="340"/>
      <c r="V16" s="980">
        <f t="shared" ref="V16:AG16" si="7">SUM(V12,V13,V14,V15)</f>
        <v>1228</v>
      </c>
      <c r="W16" s="814">
        <f t="shared" si="7"/>
        <v>4936</v>
      </c>
      <c r="X16" s="814">
        <f t="shared" si="7"/>
        <v>1146</v>
      </c>
      <c r="Y16" s="814">
        <f t="shared" si="7"/>
        <v>4225</v>
      </c>
      <c r="Z16" s="814">
        <f t="shared" si="7"/>
        <v>82</v>
      </c>
      <c r="AA16" s="814">
        <f t="shared" si="7"/>
        <v>710</v>
      </c>
      <c r="AB16" s="814">
        <f t="shared" si="7"/>
        <v>9</v>
      </c>
      <c r="AC16" s="814">
        <f t="shared" si="7"/>
        <v>154</v>
      </c>
      <c r="AD16" s="990">
        <f t="shared" si="7"/>
        <v>1204</v>
      </c>
      <c r="AE16" s="990">
        <f t="shared" si="7"/>
        <v>4788</v>
      </c>
      <c r="AF16" s="814">
        <f t="shared" si="7"/>
        <v>1236</v>
      </c>
      <c r="AG16" s="814">
        <f t="shared" si="7"/>
        <v>5090</v>
      </c>
      <c r="AH16" s="799"/>
      <c r="AI16" s="804"/>
      <c r="AK16" s="850" t="s">
        <v>1651</v>
      </c>
      <c r="AL16" s="339"/>
      <c r="AM16" s="951" t="s">
        <v>0</v>
      </c>
      <c r="AN16" s="961" t="str">
        <f>(75+275+3)&amp;" - "&amp;(299+2785+168)</f>
        <v>353 - 3252</v>
      </c>
      <c r="AO16" s="961"/>
      <c r="AP16" s="961" t="str">
        <f t="shared" si="3"/>
        <v>1146 - 4225</v>
      </c>
      <c r="AQ16" s="961"/>
      <c r="AR16" s="961" t="str">
        <f t="shared" si="1"/>
        <v>82 - 710</v>
      </c>
      <c r="AS16" s="961"/>
      <c r="AT16" s="961" t="str">
        <f t="shared" si="2"/>
        <v>9 - 154</v>
      </c>
      <c r="AU16" s="961"/>
      <c r="AV16" s="961" t="str">
        <f t="shared" si="4"/>
        <v>1236 - 5090</v>
      </c>
      <c r="AX16" s="804"/>
      <c r="BF16" s="873" t="s">
        <v>33</v>
      </c>
      <c r="BG16" s="340"/>
      <c r="BH16" s="951" t="s">
        <v>1850</v>
      </c>
      <c r="BI16" s="954">
        <f>SUMIFS('POSF Inventory'!$IH$86:$NC$86,'POSF Inventory'!$IH$10:$NC$10,'Results Summary'!$BF16,'POSF Inventory'!$IH$2:$NC$2,'Results Summary'!$BG$8,'POSF Inventory'!$IH$3:$NC$3,'Results Summary'!BI$11)</f>
        <v>984.60705021168746</v>
      </c>
      <c r="BJ16" s="954">
        <f>SUMIFS('POSF Inventory'!$IH$86:$NC$86,'POSF Inventory'!$IH$10:$NC$10,'Results Summary'!$BF16,'POSF Inventory'!$IH$2:$NC$2,'Results Summary'!$BG$8,'POSF Inventory'!$IH$3:$NC$3,'Results Summary'!BJ$11)</f>
        <v>3403.3904159351255</v>
      </c>
      <c r="BK16" s="954"/>
      <c r="BL16" s="954">
        <f>SUMIFS('POSF Inventory'!$IH$87:$NC$87,'POSF Inventory'!$IH$10:$NC$10,'Results Summary'!$BF16,'POSF Inventory'!$IH$2:$NC$2,'Results Summary'!$BG$8,'POSF Inventory'!$IH$3:$NC$3,'Results Summary'!BL$11)</f>
        <v>74.791742979687498</v>
      </c>
      <c r="BM16" s="954">
        <f>SUMIFS('POSF Inventory'!$IH$87:$NC$87,'POSF Inventory'!$IH$10:$NC$10,'Results Summary'!$BF16,'POSF Inventory'!$IH$2:$NC$2,'Results Summary'!$BG$8,'POSF Inventory'!$IH$3:$NC$3,'Results Summary'!BM$11)</f>
        <v>657.20867584487496</v>
      </c>
      <c r="BN16" s="954"/>
      <c r="BO16" s="954">
        <f>SUMIFS('POSF Inventory'!$IH$88:$NC$88,'POSF Inventory'!$IH$10:$NC$10,'Results Summary'!$BF16,'POSF Inventory'!$IH$2:$NC$2,'Results Summary'!$BG$8,'POSF Inventory'!$IH$3:$NC$3,'Results Summary'!BO$11)</f>
        <v>7.7056076012499997</v>
      </c>
      <c r="BP16" s="954">
        <f>SUMIFS('POSF Inventory'!$IH$88:$NC$88,'POSF Inventory'!$IH$10:$NC$10,'Results Summary'!$BF16,'POSF Inventory'!$IH$2:$NC$2,'Results Summary'!$BG$8,'POSF Inventory'!$IH$3:$NC$3,'Results Summary'!BP$11)</f>
        <v>123.54580981049999</v>
      </c>
      <c r="BQ16" s="954"/>
      <c r="BR16" s="954">
        <f>SUMIFS('POSF Inventory'!$IH$89:$NC$89,'POSF Inventory'!$IH$10:$NC$10,'Results Summary'!$BF16,'POSF Inventory'!$IH$2:$NC$2,'Results Summary'!$BG$8,'POSF Inventory'!$IH$3:$NC$3,'Results Summary'!BR$11)</f>
        <v>1067.104400792625</v>
      </c>
      <c r="BS16" s="954">
        <f>SUMIFS('POSF Inventory'!$IH$89:$NC$89,'POSF Inventory'!$IH$10:$NC$10,'Results Summary'!$BF16,'POSF Inventory'!$IH$2:$NC$2,'Results Summary'!$BG$8,'POSF Inventory'!$IH$3:$NC$3,'Results Summary'!BS$11)</f>
        <v>4184.1449015905009</v>
      </c>
      <c r="BT16" s="804"/>
    </row>
    <row r="17" spans="2:72" ht="19.5" customHeight="1" x14ac:dyDescent="0.3">
      <c r="B17" s="801" t="s">
        <v>1507</v>
      </c>
      <c r="C17" s="796">
        <f t="shared" ref="C17:H17" si="8">SUM(C14:C16)</f>
        <v>1491.638685075</v>
      </c>
      <c r="D17" s="826">
        <f t="shared" si="8"/>
        <v>1870.0248545932498</v>
      </c>
      <c r="E17" s="839">
        <f t="shared" si="8"/>
        <v>55.953329834999991</v>
      </c>
      <c r="F17" s="826">
        <f t="shared" si="8"/>
        <v>71.975079479800002</v>
      </c>
      <c r="G17" s="839">
        <f t="shared" si="8"/>
        <v>4.5545562750000004</v>
      </c>
      <c r="H17" s="826">
        <f t="shared" si="8"/>
        <v>25.8629823765</v>
      </c>
      <c r="I17" s="839">
        <f t="shared" ref="I17:L17" si="9">SUM(I14:I16)</f>
        <v>1547.59201491</v>
      </c>
      <c r="J17" s="826">
        <f t="shared" si="9"/>
        <v>1941.9999340730499</v>
      </c>
      <c r="K17" s="839">
        <f t="shared" si="9"/>
        <v>1527.4983842850002</v>
      </c>
      <c r="L17" s="796">
        <f t="shared" si="9"/>
        <v>1916.64406899805</v>
      </c>
      <c r="M17" s="839">
        <f t="shared" ref="M17:N17" si="10">SUM(M14:M16)</f>
        <v>1552.1465711850001</v>
      </c>
      <c r="N17" s="796">
        <f t="shared" si="10"/>
        <v>1967.8629164495501</v>
      </c>
      <c r="Q17" s="339"/>
      <c r="R17" s="340"/>
      <c r="S17" s="987"/>
      <c r="T17" s="987"/>
      <c r="U17" s="340"/>
      <c r="V17" s="799"/>
      <c r="W17" s="799"/>
      <c r="X17" s="799"/>
      <c r="Y17" s="799"/>
      <c r="Z17" s="799"/>
      <c r="AA17" s="799"/>
      <c r="AB17" s="799"/>
      <c r="AC17" s="799"/>
      <c r="AD17" s="987"/>
      <c r="AE17" s="987"/>
      <c r="AF17" s="799"/>
      <c r="AG17" s="799"/>
      <c r="AH17" s="799"/>
      <c r="AI17" s="804"/>
      <c r="AL17" s="339"/>
      <c r="AM17" s="951"/>
      <c r="AN17" s="961"/>
      <c r="AO17" s="961"/>
      <c r="AP17" s="961"/>
      <c r="AQ17" s="961"/>
      <c r="AR17" s="961"/>
      <c r="AS17" s="961"/>
      <c r="AT17" s="961"/>
      <c r="AU17" s="961"/>
      <c r="AV17" s="961"/>
      <c r="AX17" s="804"/>
      <c r="BF17" s="873" t="s">
        <v>34</v>
      </c>
      <c r="BG17" s="340"/>
      <c r="BH17" s="951" t="s">
        <v>1851</v>
      </c>
      <c r="BI17" s="954">
        <f>SUMIFS('POSF Inventory'!$IH$86:$NC$86,'POSF Inventory'!$IH$10:$NC$10,'Results Summary'!$BF17,'POSF Inventory'!$IH$2:$NC$2,'Results Summary'!$BG$8,'POSF Inventory'!$IH$3:$NC$3,'Results Summary'!BI$11)</f>
        <v>1.1652154440375</v>
      </c>
      <c r="BJ17" s="954">
        <f>SUMIFS('POSF Inventory'!$IH$86:$NC$86,'POSF Inventory'!$IH$10:$NC$10,'Results Summary'!$BF17,'POSF Inventory'!$IH$2:$NC$2,'Results Summary'!$BG$8,'POSF Inventory'!$IH$3:$NC$3,'Results Summary'!BJ$11)</f>
        <v>40.181705028750009</v>
      </c>
      <c r="BK17" s="954"/>
      <c r="BL17" s="954">
        <f>SUMIFS('POSF Inventory'!$IH$87:$NC$87,'POSF Inventory'!$IH$10:$NC$10,'Results Summary'!$BF17,'POSF Inventory'!$IH$2:$NC$2,'Results Summary'!$BG$8,'POSF Inventory'!$IH$3:$NC$3,'Results Summary'!BL$11)</f>
        <v>8.8510938437500006E-2</v>
      </c>
      <c r="BM17" s="954">
        <f>SUMIFS('POSF Inventory'!$IH$87:$NC$87,'POSF Inventory'!$IH$10:$NC$10,'Results Summary'!$BF17,'POSF Inventory'!$IH$2:$NC$2,'Results Summary'!$BG$8,'POSF Inventory'!$IH$3:$NC$3,'Results Summary'!BM$11)</f>
        <v>7.7592523712500014</v>
      </c>
      <c r="BN17" s="954"/>
      <c r="BO17" s="954">
        <f>SUMIFS('POSF Inventory'!$IH$88:$NC$88,'POSF Inventory'!$IH$10:$NC$10,'Results Summary'!$BF17,'POSF Inventory'!$IH$2:$NC$2,'Results Summary'!$BG$8,'POSF Inventory'!$IH$3:$NC$3,'Results Summary'!BO$11)</f>
        <v>9.1190622500000006E-3</v>
      </c>
      <c r="BP17" s="954">
        <f>SUMIFS('POSF Inventory'!$IH$88:$NC$88,'POSF Inventory'!$IH$10:$NC$10,'Results Summary'!$BF17,'POSF Inventory'!$IH$2:$NC$2,'Results Summary'!$BG$8,'POSF Inventory'!$IH$3:$NC$3,'Results Summary'!BP$11)</f>
        <v>1.4586282149999996</v>
      </c>
      <c r="BQ17" s="954"/>
      <c r="BR17" s="954">
        <f>SUMIFS('POSF Inventory'!$IH$89:$NC$89,'POSF Inventory'!$IH$10:$NC$10,'Results Summary'!$BF17,'POSF Inventory'!$IH$2:$NC$2,'Results Summary'!$BG$8,'POSF Inventory'!$IH$3:$NC$3,'Results Summary'!BR$11)</f>
        <v>1.2628454447249999</v>
      </c>
      <c r="BS17" s="954">
        <f>SUMIFS('POSF Inventory'!$IH$89:$NC$89,'POSF Inventory'!$IH$10:$NC$10,'Results Summary'!$BF17,'POSF Inventory'!$IH$2:$NC$2,'Results Summary'!$BG$8,'POSF Inventory'!$IH$3:$NC$3,'Results Summary'!BS$11)</f>
        <v>49.399585615000007</v>
      </c>
      <c r="BT17" s="804"/>
    </row>
    <row r="18" spans="2:72" ht="23.25" customHeight="1" x14ac:dyDescent="0.3">
      <c r="C18" s="587"/>
      <c r="D18" s="587"/>
      <c r="E18" s="835"/>
      <c r="F18" s="738"/>
      <c r="G18" s="835"/>
      <c r="H18" s="738"/>
      <c r="I18" s="835"/>
      <c r="J18" s="738"/>
      <c r="K18" s="835"/>
      <c r="L18" s="738"/>
      <c r="M18" s="835"/>
      <c r="N18" s="738"/>
      <c r="Q18" s="339"/>
      <c r="R18" s="459" t="s">
        <v>393</v>
      </c>
      <c r="S18" s="1001"/>
      <c r="T18" s="1001"/>
      <c r="U18" s="459"/>
      <c r="V18" s="799"/>
      <c r="W18" s="799"/>
      <c r="X18" s="799"/>
      <c r="Y18" s="799"/>
      <c r="Z18" s="799"/>
      <c r="AA18" s="799"/>
      <c r="AB18" s="799"/>
      <c r="AC18" s="799"/>
      <c r="AD18" s="987"/>
      <c r="AE18" s="987"/>
      <c r="AF18" s="799"/>
      <c r="AG18" s="799"/>
      <c r="AH18" s="799"/>
      <c r="AI18" s="804"/>
      <c r="AL18" s="339"/>
      <c r="AM18" s="950" t="s">
        <v>393</v>
      </c>
      <c r="AN18" s="961"/>
      <c r="AO18" s="961"/>
      <c r="AP18" s="961"/>
      <c r="AQ18" s="961"/>
      <c r="AR18" s="961"/>
      <c r="AS18" s="961"/>
      <c r="AT18" s="961"/>
      <c r="AU18" s="961"/>
      <c r="AV18" s="961"/>
      <c r="AX18" s="804"/>
      <c r="BF18" s="873" t="s">
        <v>35</v>
      </c>
      <c r="BG18" s="340"/>
      <c r="BH18" s="953" t="s">
        <v>1852</v>
      </c>
      <c r="BI18" s="955">
        <f>SUMIFS('POSF Inventory'!$IH$86:$NC$86,'POSF Inventory'!$IH$10:$NC$10,'Results Summary'!$BF18,'POSF Inventory'!$IH$2:$NC$2,'Results Summary'!$BG$8,'POSF Inventory'!$IH$3:$NC$3,'Results Summary'!BI$11)</f>
        <v>1.1652154440375</v>
      </c>
      <c r="BJ18" s="955">
        <f>SUMIFS('POSF Inventory'!$IH$86:$NC$86,'POSF Inventory'!$IH$10:$NC$10,'Results Summary'!$BF18,'POSF Inventory'!$IH$2:$NC$2,'Results Summary'!$BG$8,'POSF Inventory'!$IH$3:$NC$3,'Results Summary'!BJ$11)</f>
        <v>40.181705028750009</v>
      </c>
      <c r="BK18" s="955"/>
      <c r="BL18" s="955">
        <f>SUMIFS('POSF Inventory'!$IH$87:$NC$87,'POSF Inventory'!$IH$10:$NC$10,'Results Summary'!$BF18,'POSF Inventory'!$IH$2:$NC$2,'Results Summary'!$BG$8,'POSF Inventory'!$IH$3:$NC$3,'Results Summary'!BL$11)</f>
        <v>8.8510938437500006E-2</v>
      </c>
      <c r="BM18" s="955">
        <f>SUMIFS('POSF Inventory'!$IH$87:$NC$87,'POSF Inventory'!$IH$10:$NC$10,'Results Summary'!$BF18,'POSF Inventory'!$IH$2:$NC$2,'Results Summary'!$BG$8,'POSF Inventory'!$IH$3:$NC$3,'Results Summary'!BM$11)</f>
        <v>7.7592523712500014</v>
      </c>
      <c r="BN18" s="955"/>
      <c r="BO18" s="955">
        <f>SUMIFS('POSF Inventory'!$IH$88:$NC$88,'POSF Inventory'!$IH$10:$NC$10,'Results Summary'!$BF18,'POSF Inventory'!$IH$2:$NC$2,'Results Summary'!$BG$8,'POSF Inventory'!$IH$3:$NC$3,'Results Summary'!BO$11)</f>
        <v>9.1190622500000006E-3</v>
      </c>
      <c r="BP18" s="955">
        <f>SUMIFS('POSF Inventory'!$IH$88:$NC$88,'POSF Inventory'!$IH$10:$NC$10,'Results Summary'!$BF18,'POSF Inventory'!$IH$2:$NC$2,'Results Summary'!$BG$8,'POSF Inventory'!$IH$3:$NC$3,'Results Summary'!BP$11)</f>
        <v>1.4586282149999996</v>
      </c>
      <c r="BQ18" s="955"/>
      <c r="BR18" s="955">
        <f>SUMIFS('POSF Inventory'!$IH$89:$NC$89,'POSF Inventory'!$IH$10:$NC$10,'Results Summary'!$BF18,'POSF Inventory'!$IH$2:$NC$2,'Results Summary'!$BG$8,'POSF Inventory'!$IH$3:$NC$3,'Results Summary'!BR$11)</f>
        <v>1.2628454447249999</v>
      </c>
      <c r="BS18" s="955">
        <f>SUMIFS('POSF Inventory'!$IH$89:$NC$89,'POSF Inventory'!$IH$10:$NC$10,'Results Summary'!$BF18,'POSF Inventory'!$IH$2:$NC$2,'Results Summary'!$BG$8,'POSF Inventory'!$IH$3:$NC$3,'Results Summary'!BS$11)</f>
        <v>49.399585615000007</v>
      </c>
      <c r="BT18" s="804"/>
    </row>
    <row r="19" spans="2:72" ht="23.25" customHeight="1" x14ac:dyDescent="0.25">
      <c r="B19" s="341" t="s">
        <v>1505</v>
      </c>
      <c r="C19" s="587"/>
      <c r="D19" s="587"/>
      <c r="E19" s="835"/>
      <c r="F19" s="738"/>
      <c r="G19" s="835"/>
      <c r="H19" s="738"/>
      <c r="I19" s="835"/>
      <c r="J19" s="738"/>
      <c r="K19" s="835"/>
      <c r="L19" s="738"/>
      <c r="M19" s="835"/>
      <c r="N19" s="738"/>
      <c r="Q19" s="339"/>
      <c r="R19" s="351" t="s">
        <v>1490</v>
      </c>
      <c r="S19" s="995">
        <v>681</v>
      </c>
      <c r="T19" s="996">
        <v>905</v>
      </c>
      <c r="U19" s="340"/>
      <c r="V19" s="977">
        <f>ROUND($I$16,0)</f>
        <v>128</v>
      </c>
      <c r="W19" s="790">
        <f>ROUND($J$16,0)</f>
        <v>518</v>
      </c>
      <c r="X19" s="790">
        <f>ROUND($C$16,0)</f>
        <v>123</v>
      </c>
      <c r="Y19" s="790">
        <f>ROUND($D$16,0)</f>
        <v>499</v>
      </c>
      <c r="Z19" s="820">
        <f>ROUND($E$16,0)</f>
        <v>5</v>
      </c>
      <c r="AA19" s="820">
        <f>ROUND($F$16,0)</f>
        <v>19</v>
      </c>
      <c r="AB19" s="820">
        <f>ROUND($G$16,0)</f>
        <v>0</v>
      </c>
      <c r="AC19" s="820">
        <f>ROUND($H$16,0)</f>
        <v>7</v>
      </c>
      <c r="AD19" s="986">
        <f>ROUND($K$16,0)</f>
        <v>126</v>
      </c>
      <c r="AE19" s="986">
        <f>ROUND($L$16,0)</f>
        <v>511</v>
      </c>
      <c r="AF19" s="820">
        <f>ROUND($M$16,0)</f>
        <v>128</v>
      </c>
      <c r="AG19" s="820">
        <f>ROUND($N$16,0)</f>
        <v>525</v>
      </c>
      <c r="AH19" s="799"/>
      <c r="AI19" s="804"/>
      <c r="AL19" s="339"/>
      <c r="AM19" s="957" t="s">
        <v>2165</v>
      </c>
      <c r="AN19" s="959" t="s">
        <v>1491</v>
      </c>
      <c r="AO19" s="959"/>
      <c r="AP19" s="959" t="str">
        <f t="shared" ref="AP19:AP22" si="11">ROUND(X19,0)&amp;" - "&amp;ROUND(Y19,0)</f>
        <v>123 - 499</v>
      </c>
      <c r="AQ19" s="959"/>
      <c r="AR19" s="959" t="str">
        <f t="shared" ref="AR19:AR22" si="12">ROUND(Z19,0)&amp;" - "&amp;ROUND(AA19,0)</f>
        <v>5 - 19</v>
      </c>
      <c r="AS19" s="959"/>
      <c r="AT19" s="959" t="str">
        <f t="shared" ref="AT19:AT22" si="13">ROUND(AB19,0)&amp;" - "&amp;ROUND(AC19,0)</f>
        <v>0 - 7</v>
      </c>
      <c r="AU19" s="959"/>
      <c r="AV19" s="959" t="str">
        <f t="shared" ref="AV19:AV21" si="14">ROUND(AF19,0)&amp;" - "&amp;ROUND(AG19,0)</f>
        <v>128 - 525</v>
      </c>
      <c r="AX19" s="804"/>
      <c r="BF19" s="339"/>
      <c r="BG19" s="340"/>
      <c r="BH19" s="951"/>
      <c r="BI19" s="951"/>
      <c r="BJ19" s="951"/>
      <c r="BK19" s="951"/>
      <c r="BL19" s="951"/>
      <c r="BM19" s="951"/>
      <c r="BN19" s="951"/>
      <c r="BO19" s="951"/>
      <c r="BP19" s="951"/>
      <c r="BQ19" s="951"/>
      <c r="BR19" s="951"/>
      <c r="BS19" s="951"/>
      <c r="BT19" s="804"/>
    </row>
    <row r="20" spans="2:72" ht="23.25" customHeight="1" x14ac:dyDescent="0.25">
      <c r="B20" s="438" t="s">
        <v>40</v>
      </c>
      <c r="C20" s="793">
        <f>SUM('POSF Emiss by Zone'!$AY$94,'POSF Emiss by Zone'!$BA$94,'POSF Emiss by Zone'!$BC$94,'POSF Emiss by Zone'!$BE$94,'POSF Emiss by Zone'!$BG$94,'POSF Emiss by Zone'!$BI$94,'POSF Emiss by Zone'!$BK$94,'POSF Emiss by Zone'!$BM$94,'POSF Emiss by Zone'!$BO$94,'POSF Emiss by Zone'!$BQ$94,'POSF Emiss by Zone'!$BS$94,'POSF Emiss by Zone'!$BU$94,'POSF Emiss by Zone'!$BW$94,'POSF Emiss by Zone'!$BY$94,'POSF Emiss by Zone'!$CA$94)</f>
        <v>267.86078052418753</v>
      </c>
      <c r="D20" s="823">
        <f>SUM('POSF Emiss by Zone'!$AZ$94,'POSF Emiss by Zone'!$BB$94,'POSF Emiss by Zone'!$BD$94,'POSF Emiss by Zone'!$BF$94,'POSF Emiss by Zone'!$BH$94,'POSF Emiss by Zone'!$BJ$94,'POSF Emiss by Zone'!$BL$94,'POSF Emiss by Zone'!$BN$94,'POSF Emiss by Zone'!$BP$94,'POSF Emiss by Zone'!$BR$94,'POSF Emiss by Zone'!$BT$94,'POSF Emiss by Zone'!$BV$94,'POSF Emiss by Zone'!$BX$94,'POSF Emiss by Zone'!$BZ$94,'POSF Emiss by Zone'!$CB$94)</f>
        <v>2684.9477053726259</v>
      </c>
      <c r="E20" s="836">
        <f>SUM('POSF Emiss by Zone'!$AY$95,'POSF Emiss by Zone'!$BA$95,'POSF Emiss by Zone'!$BC$95,'POSF Emiss by Zone'!$BE$95,'POSF Emiss by Zone'!$BG$95,'POSF Emiss by Zone'!$BI$95,'POSF Emiss by Zone'!$BK$95,'POSF Emiss by Zone'!$BM$95,'POSF Emiss by Zone'!$BO$95,'POSF Emiss by Zone'!$BQ$95,'POSF Emiss by Zone'!$BS$95,'POSF Emiss by Zone'!$BU$95,'POSF Emiss by Zone'!$BW$95,'POSF Emiss by Zone'!$BY$95,'POSF Emiss by Zone'!$CA$95)</f>
        <v>47.957917909687502</v>
      </c>
      <c r="F20" s="823">
        <f>SUM('POSF Emiss by Zone'!$AZ$95,'POSF Emiss by Zone'!$BB$95,'POSF Emiss by Zone'!$BD$95,'POSF Emiss by Zone'!$BF$95,'POSF Emiss by Zone'!$BH$95,'POSF Emiss by Zone'!$BJ$95,'POSF Emiss by Zone'!$BL$95,'POSF Emiss by Zone'!$BN$95,'POSF Emiss by Zone'!$BP$95,'POSF Emiss by Zone'!$BR$95,'POSF Emiss by Zone'!$BT$95,'POSF Emiss by Zone'!$BV$95,'POSF Emiss by Zone'!$BX$95,'POSF Emiss by Zone'!$BZ$95,'POSF Emiss by Zone'!$CB$95)</f>
        <v>629.44634170687482</v>
      </c>
      <c r="G20" s="836">
        <f>SUM('POSF Emiss by Zone'!$AY$96,'POSF Emiss by Zone'!$BA$96,'POSF Emiss by Zone'!$BC$96,'POSF Emiss by Zone'!$BE$96,'POSF Emiss by Zone'!$BG$96,'POSF Emiss by Zone'!$BI$96,'POSF Emiss by Zone'!$BK$96,'POSF Emiss by Zone'!$BM$96,'POSF Emiss by Zone'!$BO$96,'POSF Emiss by Zone'!$BQ$96,'POSF Emiss by Zone'!$BS$96,'POSF Emiss by Zone'!$BU$96,'POSF Emiss by Zone'!$BW$96,'POSF Emiss by Zone'!$BY$96,'POSF Emiss by Zone'!$CA$96)</f>
        <v>5.5265807512499991</v>
      </c>
      <c r="H20" s="823">
        <f>SUM('POSF Emiss by Zone'!$AZ$96,'POSF Emiss by Zone'!$BB$96,'POSF Emiss by Zone'!$BD$96,'POSF Emiss by Zone'!$BF$96,'POSF Emiss by Zone'!$BH$96,'POSF Emiss by Zone'!$BJ$96,'POSF Emiss by Zone'!$BL$96,'POSF Emiss by Zone'!$BN$96,'POSF Emiss by Zone'!$BP$96,'POSF Emiss by Zone'!$BR$96,'POSF Emiss by Zone'!$BT$96,'POSF Emiss by Zone'!$BV$96,'POSF Emiss by Zone'!$BX$96,'POSF Emiss by Zone'!$BZ$96,'POSF Emiss by Zone'!$CB$96)</f>
        <v>113.71698041549998</v>
      </c>
      <c r="I20" s="836">
        <f t="shared" ref="I20:I22" si="15">SUM(C20,E20)</f>
        <v>315.81869843387506</v>
      </c>
      <c r="J20" s="823">
        <f t="shared" ref="J20:J22" si="16">SUM(D20,F20)</f>
        <v>3314.3940470795005</v>
      </c>
      <c r="K20" s="836">
        <f>SUM('POSF Emiss by Zone'!$AY$98,'POSF Emiss by Zone'!$BA$98,'POSF Emiss by Zone'!$BC$98,'POSF Emiss by Zone'!$BE$98,'POSF Emiss by Zone'!$BG$98,'POSF Emiss by Zone'!$BI$98,'POSF Emiss by Zone'!$BK$98,'POSF Emiss by Zone'!$BM$98,'POSF Emiss by Zone'!$BO$98,'POSF Emiss by Zone'!$BQ$98,'POSF Emiss by Zone'!$BS$98,'POSF Emiss by Zone'!$BU$98,'POSF Emiss by Zone'!$BW$98,'POSF Emiss by Zone'!$BY$98,'POSF Emiss by Zone'!$CA$98)</f>
        <v>303.56956132262502</v>
      </c>
      <c r="L20" s="793">
        <f>SUM('POSF Emiss by Zone'!$AZ$98,'POSF Emiss by Zone'!$BB$98,'POSF Emiss by Zone'!$BD$98,'POSF Emiss by Zone'!$BF$98,'POSF Emiss by Zone'!$BH$98,'POSF Emiss by Zone'!$BJ$98,'POSF Emiss by Zone'!$BL$98,'POSF Emiss by Zone'!$BN$98,'POSF Emiss by Zone'!$BP$98,'POSF Emiss by Zone'!$BR$98,'POSF Emiss by Zone'!$BT$98,'POSF Emiss by Zone'!$BV$98,'POSF Emiss by Zone'!$BX$98,'POSF Emiss by Zone'!$BZ$98,'POSF Emiss by Zone'!$CB$98)</f>
        <v>3191.6127555620005</v>
      </c>
      <c r="M20" s="836">
        <f>SUM('POSF Emiss by Zone'!$AY$97,'POSF Emiss by Zone'!$BA$97,'POSF Emiss by Zone'!$BC$97,'POSF Emiss by Zone'!$BE$97,'POSF Emiss by Zone'!$BG$97,'POSF Emiss by Zone'!$BI$97,'POSF Emiss by Zone'!$BK$97,'POSF Emiss by Zone'!$BM$97,'POSF Emiss by Zone'!$BO$97,'POSF Emiss by Zone'!$BQ$97,'POSF Emiss by Zone'!$BS$97,'POSF Emiss by Zone'!$BU$97,'POSF Emiss by Zone'!$BW$97,'POSF Emiss by Zone'!$BY$97,'POSF Emiss by Zone'!$CA$97)</f>
        <v>321.34527918512509</v>
      </c>
      <c r="N20" s="793">
        <f>SUM('POSF Emiss by Zone'!$AZ$97,'POSF Emiss by Zone'!$BB$97,'POSF Emiss by Zone'!$BD$97,'POSF Emiss by Zone'!$BF$97,'POSF Emiss by Zone'!$BH$97,'POSF Emiss by Zone'!$BJ$97,'POSF Emiss by Zone'!$BL$97,'POSF Emiss by Zone'!$BN$97,'POSF Emiss by Zone'!$BP$97,'POSF Emiss by Zone'!$BR$97,'POSF Emiss by Zone'!$BT$97,'POSF Emiss by Zone'!$BV$97,'POSF Emiss by Zone'!$BX$97,'POSF Emiss by Zone'!$BZ$97,'POSF Emiss by Zone'!$CB$97)</f>
        <v>3428.1110274950006</v>
      </c>
      <c r="O20" t="s">
        <v>1538</v>
      </c>
      <c r="P20" s="850" t="s">
        <v>1651</v>
      </c>
      <c r="Q20" s="339"/>
      <c r="R20" s="348" t="s">
        <v>1478</v>
      </c>
      <c r="S20" s="999">
        <v>64</v>
      </c>
      <c r="T20" s="1000">
        <v>3146</v>
      </c>
      <c r="U20" s="340"/>
      <c r="V20" s="981">
        <f>ROUND($I$22,0)</f>
        <v>169</v>
      </c>
      <c r="W20" s="792">
        <f>ROUND($J$22,0)</f>
        <v>6643</v>
      </c>
      <c r="X20" s="792">
        <f>ROUND($C$22,0)</f>
        <v>157</v>
      </c>
      <c r="Y20" s="792">
        <f>ROUND($D$22,0)</f>
        <v>6195</v>
      </c>
      <c r="Z20" s="822">
        <f>ROUND($E$22,0)</f>
        <v>12</v>
      </c>
      <c r="AA20" s="822">
        <f>ROUND($F$22,0)</f>
        <v>447</v>
      </c>
      <c r="AB20" s="822">
        <f>ROUND($G$22,0)</f>
        <v>2</v>
      </c>
      <c r="AC20" s="822">
        <f>ROUND($H$22,0)</f>
        <v>69</v>
      </c>
      <c r="AD20" s="991">
        <f>ROUND($K$22,0)</f>
        <v>162</v>
      </c>
      <c r="AE20" s="991">
        <f>ROUND($L$22,0)</f>
        <v>6545</v>
      </c>
      <c r="AF20" s="822">
        <f>ROUND($M$22,0)</f>
        <v>171</v>
      </c>
      <c r="AG20" s="822">
        <f>ROUND($N$22,0)</f>
        <v>6712</v>
      </c>
      <c r="AH20" s="799"/>
      <c r="AI20" s="804"/>
      <c r="AK20" s="850" t="s">
        <v>1651</v>
      </c>
      <c r="AL20" s="339"/>
      <c r="AM20" s="951" t="s">
        <v>2025</v>
      </c>
      <c r="AN20" s="961" t="s">
        <v>1494</v>
      </c>
      <c r="AO20" s="961"/>
      <c r="AP20" s="961" t="str">
        <f t="shared" si="11"/>
        <v>157 - 6195</v>
      </c>
      <c r="AQ20" s="961"/>
      <c r="AR20" s="961" t="str">
        <f t="shared" si="12"/>
        <v>12 - 447</v>
      </c>
      <c r="AS20" s="961"/>
      <c r="AT20" s="961" t="str">
        <f t="shared" si="13"/>
        <v>2 - 69</v>
      </c>
      <c r="AU20" s="961"/>
      <c r="AV20" s="961" t="str">
        <f t="shared" si="14"/>
        <v>171 - 6712</v>
      </c>
      <c r="AX20" s="804"/>
      <c r="BF20" s="872" t="s">
        <v>1736</v>
      </c>
      <c r="BG20" s="869" t="s">
        <v>1734</v>
      </c>
      <c r="BH20" s="950" t="s">
        <v>2033</v>
      </c>
      <c r="BI20" s="951"/>
      <c r="BJ20" s="951"/>
      <c r="BK20" s="951"/>
      <c r="BL20" s="951"/>
      <c r="BM20" s="951"/>
      <c r="BN20" s="951"/>
      <c r="BO20" s="951"/>
      <c r="BP20" s="951"/>
      <c r="BQ20" s="951"/>
      <c r="BR20" s="951"/>
      <c r="BS20" s="951"/>
      <c r="BT20" s="804"/>
    </row>
    <row r="21" spans="2:72" ht="23.25" customHeight="1" x14ac:dyDescent="0.25">
      <c r="B21" s="800" t="s">
        <v>1508</v>
      </c>
      <c r="C21" s="791">
        <f>SUM('POSF Emiss by Zone'!$EE$94,'POSF Emiss by Zone'!$EG$94,'POSF Emiss by Zone'!$EI$94,'POSF Emiss by Zone'!$EK$94,'POSF Emiss by Zone'!$EM$94,'POSF Emiss by Zone'!$EO$94,'POSF Emiss by Zone'!$EQ$94,'POSF Emiss by Zone'!$ES$94,'POSF Emiss by Zone'!$EU$94,'POSF Emiss by Zone'!$EW$94,'POSF Emiss by Zone'!$EY$94,'POSF Emiss by Zone'!$FA$94,'POSF Emiss by Zone'!$FC$94,'POSF Emiss by Zone'!$FE$94,'POSF Emiss by Zone'!$FG$94)</f>
        <v>110</v>
      </c>
      <c r="D21" s="821">
        <f>SUM('POSF Emiss by Zone'!$EF$94,'POSF Emiss by Zone'!$EH$94,'POSF Emiss by Zone'!$EJ$94,'POSF Emiss by Zone'!$EL$94,'POSF Emiss by Zone'!$EN$94,'POSF Emiss by Zone'!$EP$94,'POSF Emiss by Zone'!$ER$94,'POSF Emiss by Zone'!$ET$94,'POSF Emiss by Zone'!$EV$94,'POSF Emiss by Zone'!$EX$94,'POSF Emiss by Zone'!$EZ$94,'POSF Emiss by Zone'!$FB$94,'POSF Emiss by Zone'!$FD$94,'POSF Emiss by Zone'!$FF$94,'POSF Emiss by Zone'!$FH$94)</f>
        <v>135.98750000000001</v>
      </c>
      <c r="E21" s="833">
        <f>SUM('POSF Emiss by Zone'!$EE$95,'POSF Emiss by Zone'!$EG$95,'POSF Emiss by Zone'!$EI$95,'POSF Emiss by Zone'!$EK$95,'POSF Emiss by Zone'!$EM$95,'POSF Emiss by Zone'!$EO$95,'POSF Emiss by Zone'!$EQ$95,'POSF Emiss by Zone'!$ES$95,'POSF Emiss by Zone'!$EU$95,'POSF Emiss by Zone'!$EW$95,'POSF Emiss by Zone'!$EY$95,'POSF Emiss by Zone'!$FA$95,'POSF Emiss by Zone'!$FC$95,'POSF Emiss by Zone'!$FE$95,'POSF Emiss by Zone'!$FG$95)</f>
        <v>337.46816000000007</v>
      </c>
      <c r="F21" s="821">
        <f>SUM('POSF Emiss by Zone'!$EF$95,'POSF Emiss by Zone'!$EH$95,'POSF Emiss by Zone'!$EJ$95,'POSF Emiss by Zone'!$EL$95,'POSF Emiss by Zone'!$EN$95,'POSF Emiss by Zone'!$EP$95,'POSF Emiss by Zone'!$ER$95,'POSF Emiss by Zone'!$ET$95,'POSF Emiss by Zone'!$EV$95,'POSF Emiss by Zone'!$EX$95,'POSF Emiss by Zone'!$EZ$95,'POSF Emiss by Zone'!$FB$95,'POSF Emiss by Zone'!$FD$95,'POSF Emiss by Zone'!$FF$95,'POSF Emiss by Zone'!$FH$95)</f>
        <v>417.19501280000009</v>
      </c>
      <c r="G21" s="833">
        <f>SUM('POSF Emiss by Zone'!$EE$96,'POSF Emiss by Zone'!$EG$96,'POSF Emiss by Zone'!$EI$96,'POSF Emiss by Zone'!$EK$96,'POSF Emiss by Zone'!$EM$96,'POSF Emiss by Zone'!$EO$96,'POSF Emiss by Zone'!$EQ$96,'POSF Emiss by Zone'!$ES$96,'POSF Emiss by Zone'!$EU$96,'POSF Emiss by Zone'!$EW$96,'POSF Emiss by Zone'!$EY$96,'POSF Emiss by Zone'!$FA$96,'POSF Emiss by Zone'!$FC$96,'POSF Emiss by Zone'!$FE$96,'POSF Emiss by Zone'!$FG$96)</f>
        <v>0</v>
      </c>
      <c r="H21" s="821">
        <f>SUM('POSF Emiss by Zone'!$EF$96,'POSF Emiss by Zone'!$EH$96,'POSF Emiss by Zone'!$EJ$96,'POSF Emiss by Zone'!$EL$96,'POSF Emiss by Zone'!$EN$96,'POSF Emiss by Zone'!$EP$96,'POSF Emiss by Zone'!$ER$96,'POSF Emiss by Zone'!$ET$96,'POSF Emiss by Zone'!$EV$96,'POSF Emiss by Zone'!$EX$96,'POSF Emiss by Zone'!$EZ$96,'POSF Emiss by Zone'!$FB$96,'POSF Emiss by Zone'!$FD$96,'POSF Emiss by Zone'!$FF$96,'POSF Emiss by Zone'!$FH$96)</f>
        <v>588.99845550000009</v>
      </c>
      <c r="I21" s="833">
        <f t="shared" si="15"/>
        <v>447.46816000000007</v>
      </c>
      <c r="J21" s="821">
        <f t="shared" si="16"/>
        <v>553.18251280000004</v>
      </c>
      <c r="K21" s="833">
        <f>SUM('POSF Emiss by Zone'!$EE$98,'POSF Emiss by Zone'!$EG$98,'POSF Emiss by Zone'!$EI$98,'POSF Emiss by Zone'!$EK$98,'POSF Emiss by Zone'!$EM$98,'POSF Emiss by Zone'!$EO$98,'POSF Emiss by Zone'!$EQ$98,'POSF Emiss by Zone'!$ES$98,'POSF Emiss by Zone'!$EU$98,'POSF Emiss by Zone'!$EW$98,'POSF Emiss by Zone'!$EY$98,'POSF Emiss by Zone'!$FA$98,'POSF Emiss by Zone'!$FC$98,'POSF Emiss by Zone'!$FE$98,'POSF Emiss by Zone'!$FG$98)</f>
        <v>296.96168</v>
      </c>
      <c r="L21" s="791">
        <f>SUM('POSF Emiss by Zone'!$EF$98,'POSF Emiss by Zone'!$EH$98,'POSF Emiss by Zone'!$EJ$98,'POSF Emiss by Zone'!$EL$98,'POSF Emiss by Zone'!$EN$98,'POSF Emiss by Zone'!$EP$98,'POSF Emiss by Zone'!$ER$98,'POSF Emiss by Zone'!$ET$98,'POSF Emiss by Zone'!$EV$98,'POSF Emiss by Zone'!$EX$98,'POSF Emiss by Zone'!$EZ$98,'POSF Emiss by Zone'!$FB$98,'POSF Emiss by Zone'!$FD$98,'POSF Emiss by Zone'!$FF$98,'POSF Emiss by Zone'!$FH$98)</f>
        <v>367.11887690000003</v>
      </c>
      <c r="M21" s="833">
        <f>SUM('POSF Emiss by Zone'!$EE$97,'POSF Emiss by Zone'!$EG$97,'POSF Emiss by Zone'!$EI$97,'POSF Emiss by Zone'!$EK$97,'POSF Emiss by Zone'!$EM$97,'POSF Emiss by Zone'!$EO$97,'POSF Emiss by Zone'!$EQ$97,'POSF Emiss by Zone'!$ES$97,'POSF Emiss by Zone'!$EU$97,'POSF Emiss by Zone'!$EW$97,'POSF Emiss by Zone'!$EY$97,'POSF Emiss by Zone'!$FA$97,'POSF Emiss by Zone'!$FC$97,'POSF Emiss by Zone'!$FE$97,'POSF Emiss by Zone'!$FG$97)</f>
        <v>447.46816000000001</v>
      </c>
      <c r="N21" s="791">
        <f>SUM('POSF Emiss by Zone'!$EF$97,'POSF Emiss by Zone'!$EH$97,'POSF Emiss by Zone'!$EJ$97,'POSF Emiss by Zone'!$EL$97,'POSF Emiss by Zone'!$EN$97,'POSF Emiss by Zone'!$EP$97,'POSF Emiss by Zone'!$ER$97,'POSF Emiss by Zone'!$ET$97,'POSF Emiss by Zone'!$EV$97,'POSF Emiss by Zone'!$EX$97,'POSF Emiss by Zone'!$EZ$97,'POSF Emiss by Zone'!$FB$97,'POSF Emiss by Zone'!$FD$97,'POSF Emiss by Zone'!$FF$97,'POSF Emiss by Zone'!$FH$97)</f>
        <v>1142.1809683000001</v>
      </c>
      <c r="O21" t="s">
        <v>1510</v>
      </c>
      <c r="Q21" s="339"/>
      <c r="R21" s="668" t="s">
        <v>1879</v>
      </c>
      <c r="S21" s="1000" t="s">
        <v>3</v>
      </c>
      <c r="T21" s="1000" t="s">
        <v>3</v>
      </c>
      <c r="U21" s="819"/>
      <c r="V21" s="981">
        <f>ROUND($I$21,0)</f>
        <v>447</v>
      </c>
      <c r="W21" s="981">
        <f>ROUND($J$21,0)</f>
        <v>553</v>
      </c>
      <c r="X21" s="981">
        <f>ROUND($C$21,0)</f>
        <v>110</v>
      </c>
      <c r="Y21" s="981">
        <f>ROUND($D$21,0)</f>
        <v>136</v>
      </c>
      <c r="Z21" s="981">
        <f>ROUND($E$21,0)</f>
        <v>337</v>
      </c>
      <c r="AA21" s="981">
        <f>ROUND($F$21,0)</f>
        <v>417</v>
      </c>
      <c r="AB21" s="981">
        <f>ROUND($G$21,0)</f>
        <v>0</v>
      </c>
      <c r="AC21" s="981">
        <f>ROUND($H$21,0)</f>
        <v>589</v>
      </c>
      <c r="AD21" s="1005">
        <f>ROUND($K$21,0)</f>
        <v>297</v>
      </c>
      <c r="AE21" s="1005">
        <f>ROUND($L$21,0)</f>
        <v>367</v>
      </c>
      <c r="AF21" s="981">
        <f>ROUND($M$21,0)</f>
        <v>447</v>
      </c>
      <c r="AG21" s="981">
        <f>ROUND($N$21,0)</f>
        <v>1142</v>
      </c>
      <c r="AH21" s="799"/>
      <c r="AI21" s="804"/>
      <c r="AL21" s="339"/>
      <c r="AM21" s="951" t="s">
        <v>1878</v>
      </c>
      <c r="AN21" s="1004" t="s">
        <v>3</v>
      </c>
      <c r="AO21" s="1004"/>
      <c r="AP21" s="1004" t="str">
        <f t="shared" si="11"/>
        <v>110 - 136</v>
      </c>
      <c r="AQ21" s="1004"/>
      <c r="AR21" s="1004" t="str">
        <f t="shared" si="12"/>
        <v>337 - 417</v>
      </c>
      <c r="AS21" s="1004"/>
      <c r="AT21" s="1004" t="str">
        <f t="shared" si="13"/>
        <v>0 - 589</v>
      </c>
      <c r="AU21" s="1004"/>
      <c r="AV21" s="1004" t="str">
        <f t="shared" si="14"/>
        <v>447 - 1142</v>
      </c>
      <c r="AX21" s="804"/>
      <c r="BF21" s="339"/>
      <c r="BG21" s="340"/>
      <c r="BH21" s="953"/>
      <c r="BI21" s="953"/>
      <c r="BJ21" s="953"/>
      <c r="BK21" s="953"/>
      <c r="BL21" s="953"/>
      <c r="BM21" s="953"/>
      <c r="BN21" s="953"/>
      <c r="BO21" s="953"/>
      <c r="BP21" s="953"/>
      <c r="BQ21" s="953"/>
      <c r="BR21" s="953"/>
      <c r="BS21" s="953"/>
      <c r="BT21" s="804"/>
    </row>
    <row r="22" spans="2:72" ht="23.25" customHeight="1" x14ac:dyDescent="0.3">
      <c r="B22" s="802" t="s">
        <v>1603</v>
      </c>
      <c r="C22" s="798">
        <f>SUM('POSF Emiss by Zone'!$DA$94,'POSF Emiss by Zone'!$DC$94,'POSF Emiss by Zone'!$DE$94,'POSF Emiss by Zone'!$DG$94,'POSF Emiss by Zone'!$DI$94,'POSF Emiss by Zone'!$DK$94,'POSF Emiss by Zone'!$DM$94,'POSF Emiss by Zone'!$DO$94,'POSF Emiss by Zone'!$DQ$94,'POSF Emiss by Zone'!$DS$94,'POSF Emiss by Zone'!$DU$94,'POSF Emiss by Zone'!$DW$94,'POSF Emiss by Zone'!$DY$94,'POSF Emiss by Zone'!$EA$94,'POSF Emiss by Zone'!$EC$94)</f>
        <v>156.56662794366605</v>
      </c>
      <c r="D22" s="827">
        <f>SUM('POSF Emiss by Zone'!$DB$94,'POSF Emiss by Zone'!$DD$94,'POSF Emiss by Zone'!$DF$94,'POSF Emiss by Zone'!$DH$94,'POSF Emiss by Zone'!$DJ$94,'POSF Emiss by Zone'!$DL$94,'POSF Emiss by Zone'!$DN$94,'POSF Emiss by Zone'!$DP$94,'POSF Emiss by Zone'!$DR$94,'POSF Emiss by Zone'!$DT$94,'POSF Emiss by Zone'!$DV$94,'POSF Emiss by Zone'!$DX$94,'POSF Emiss by Zone'!$DZ$94,'POSF Emiss by Zone'!$EB$94,'POSF Emiss by Zone'!$ED$94)</f>
        <v>6195.4078657648697</v>
      </c>
      <c r="E22" s="840">
        <f>SUM('POSF Emiss by Zone'!$DA$95,'POSF Emiss by Zone'!$DC$95,'POSF Emiss by Zone'!$DE$95,'POSF Emiss by Zone'!$DG$95,'POSF Emiss by Zone'!$DI$95,'POSF Emiss by Zone'!$DK$95,'POSF Emiss by Zone'!$DM$95,'POSF Emiss by Zone'!$DO$95,'POSF Emiss by Zone'!$DQ$95,'POSF Emiss by Zone'!$DS$95,'POSF Emiss by Zone'!$DU$95,'POSF Emiss by Zone'!$DW$95,'POSF Emiss by Zone'!$DY$95,'POSF Emiss by Zone'!$EA$95,'POSF Emiss by Zone'!$EC$95)</f>
        <v>11.935841164222174</v>
      </c>
      <c r="F22" s="827">
        <f>SUM('POSF Emiss by Zone'!$DB$95,'POSF Emiss by Zone'!$DD$95,'POSF Emiss by Zone'!$DF$95,'POSF Emiss by Zone'!$DH$95,'POSF Emiss by Zone'!$DJ$95,'POSF Emiss by Zone'!$DL$95,'POSF Emiss by Zone'!$DN$95,'POSF Emiss by Zone'!$DP$95,'POSF Emiss by Zone'!$DR$95,'POSF Emiss by Zone'!$DT$95,'POSF Emiss by Zone'!$DV$95,'POSF Emiss by Zone'!$DX$95,'POSF Emiss by Zone'!$DZ$95,'POSF Emiss by Zone'!$EB$95,'POSF Emiss by Zone'!$ED$95)</f>
        <v>447.18055591343887</v>
      </c>
      <c r="G22" s="840">
        <f>SUM('POSF Emiss by Zone'!$DA$96,'POSF Emiss by Zone'!$DC$96,'POSF Emiss by Zone'!$DE$96,'POSF Emiss by Zone'!$DG$96,'POSF Emiss by Zone'!$DI$96,'POSF Emiss by Zone'!$DK$96,'POSF Emiss by Zone'!$DM$96,'POSF Emiss by Zone'!$DO$96,'POSF Emiss by Zone'!$DQ$96,'POSF Emiss by Zone'!$DS$96,'POSF Emiss by Zone'!$DU$96,'POSF Emiss by Zone'!$DW$96,'POSF Emiss by Zone'!$DY$96,'POSF Emiss by Zone'!$EA$96,'POSF Emiss by Zone'!$EC$96)</f>
        <v>2.06244948868</v>
      </c>
      <c r="H22" s="827">
        <f>SUM('POSF Emiss by Zone'!$DB$96,'POSF Emiss by Zone'!$DD$96,'POSF Emiss by Zone'!$DF$96,'POSF Emiss by Zone'!$DH$96,'POSF Emiss by Zone'!$DJ$96,'POSF Emiss by Zone'!$DL$96,'POSF Emiss by Zone'!$DN$96,'POSF Emiss by Zone'!$DP$96,'POSF Emiss by Zone'!$DR$96,'POSF Emiss by Zone'!$DT$96,'POSF Emiss by Zone'!$DV$96,'POSF Emiss by Zone'!$DX$96,'POSF Emiss by Zone'!$DZ$96,'POSF Emiss by Zone'!$EB$96,'POSF Emiss by Zone'!$ED$96)</f>
        <v>69.157496879156866</v>
      </c>
      <c r="I22" s="840">
        <f t="shared" si="15"/>
        <v>168.50246910788823</v>
      </c>
      <c r="J22" s="827">
        <f t="shared" si="16"/>
        <v>6642.5884216783088</v>
      </c>
      <c r="K22" s="840">
        <f>SUM('POSF Emiss by Zone'!$DA$98,'POSF Emiss by Zone'!$DC$98,'POSF Emiss by Zone'!$DE$98,'POSF Emiss by Zone'!$DG$98,'POSF Emiss by Zone'!$DI$98,'POSF Emiss by Zone'!$DK$98,'POSF Emiss by Zone'!$DM$98,'POSF Emiss by Zone'!$DO$98,'POSF Emiss by Zone'!$DQ$98,'POSF Emiss by Zone'!$DS$98,'POSF Emiss by Zone'!$DU$98,'POSF Emiss by Zone'!$DW$98,'POSF Emiss by Zone'!$DY$98,'POSF Emiss by Zone'!$EA$98,'POSF Emiss by Zone'!$EC$98)</f>
        <v>161.84372532892476</v>
      </c>
      <c r="L22" s="798">
        <f>SUM('POSF Emiss by Zone'!$DB$98,'POSF Emiss by Zone'!$DD$98,'POSF Emiss by Zone'!$DF$98,'POSF Emiss by Zone'!$DH$98,'POSF Emiss by Zone'!$DJ$98,'POSF Emiss by Zone'!$DL$98,'POSF Emiss by Zone'!$DN$98,'POSF Emiss by Zone'!$DP$98,'POSF Emiss by Zone'!$DR$98,'POSF Emiss by Zone'!$DT$98,'POSF Emiss by Zone'!$DV$98,'POSF Emiss by Zone'!$DX$98,'POSF Emiss by Zone'!$DZ$98,'POSF Emiss by Zone'!$EB$98,'POSF Emiss by Zone'!$ED$98)</f>
        <v>6544.8639169271592</v>
      </c>
      <c r="M22" s="840">
        <f>SUM('POSF Emiss by Zone'!$DA$97,'POSF Emiss by Zone'!$DC$97,'POSF Emiss by Zone'!$DE$97,'POSF Emiss by Zone'!$DG$97,'POSF Emiss by Zone'!$DI$97,'POSF Emiss by Zone'!$DK$97,'POSF Emiss by Zone'!$DM$97,'POSF Emiss by Zone'!$DO$97,'POSF Emiss by Zone'!$DQ$97,'POSF Emiss by Zone'!$DS$97,'POSF Emiss by Zone'!$DU$97,'POSF Emiss by Zone'!$DW$97,'POSF Emiss by Zone'!$DY$97,'POSF Emiss by Zone'!$EA$97,'POSF Emiss by Zone'!$EC$97)</f>
        <v>170.56491859656825</v>
      </c>
      <c r="N22" s="798">
        <f>SUM('POSF Emiss by Zone'!$DB$97,'POSF Emiss by Zone'!$DD$97,'POSF Emiss by Zone'!$DF$97,'POSF Emiss by Zone'!$DH$97,'POSF Emiss by Zone'!$DJ$97,'POSF Emiss by Zone'!$DL$97,'POSF Emiss by Zone'!$DN$97,'POSF Emiss by Zone'!$DP$97,'POSF Emiss by Zone'!$DR$97,'POSF Emiss by Zone'!$DT$97,'POSF Emiss by Zone'!$DV$97,'POSF Emiss by Zone'!$DX$97,'POSF Emiss by Zone'!$DZ$97,'POSF Emiss by Zone'!$EB$97,'POSF Emiss by Zone'!$ED$97)</f>
        <v>6711.7459185574662</v>
      </c>
      <c r="O22" t="s">
        <v>1539</v>
      </c>
      <c r="P22" s="850" t="s">
        <v>1651</v>
      </c>
      <c r="Q22" s="339"/>
      <c r="R22" s="938" t="s">
        <v>0</v>
      </c>
      <c r="S22" s="999">
        <v>745</v>
      </c>
      <c r="T22" s="1000">
        <v>4051</v>
      </c>
      <c r="U22" s="392"/>
      <c r="V22" s="981">
        <f>SUM(V19:V21)</f>
        <v>744</v>
      </c>
      <c r="W22" s="981">
        <f t="shared" ref="W22:AG22" si="17">SUM(W19:W21)</f>
        <v>7714</v>
      </c>
      <c r="X22" s="981">
        <f t="shared" si="17"/>
        <v>390</v>
      </c>
      <c r="Y22" s="981">
        <f t="shared" si="17"/>
        <v>6830</v>
      </c>
      <c r="Z22" s="981">
        <f t="shared" si="17"/>
        <v>354</v>
      </c>
      <c r="AA22" s="981">
        <f t="shared" si="17"/>
        <v>883</v>
      </c>
      <c r="AB22" s="981">
        <f t="shared" si="17"/>
        <v>2</v>
      </c>
      <c r="AC22" s="981">
        <f t="shared" si="17"/>
        <v>665</v>
      </c>
      <c r="AD22" s="1005">
        <f t="shared" si="17"/>
        <v>585</v>
      </c>
      <c r="AE22" s="1005">
        <f t="shared" si="17"/>
        <v>7423</v>
      </c>
      <c r="AF22" s="981">
        <f t="shared" si="17"/>
        <v>746</v>
      </c>
      <c r="AG22" s="981">
        <f t="shared" si="17"/>
        <v>8379</v>
      </c>
      <c r="AH22" s="799"/>
      <c r="AI22" s="804"/>
      <c r="AK22" s="850" t="s">
        <v>1651</v>
      </c>
      <c r="AL22" s="339"/>
      <c r="AM22" s="956" t="s">
        <v>0</v>
      </c>
      <c r="AN22" s="961" t="str">
        <f>(681+64)&amp;" - "&amp;(905+3146)</f>
        <v>745 - 4051</v>
      </c>
      <c r="AO22" s="961"/>
      <c r="AP22" s="961" t="str">
        <f t="shared" si="11"/>
        <v>390 - 6830</v>
      </c>
      <c r="AQ22" s="961"/>
      <c r="AR22" s="961" t="str">
        <f t="shared" si="12"/>
        <v>354 - 883</v>
      </c>
      <c r="AS22" s="961"/>
      <c r="AT22" s="961" t="str">
        <f t="shared" si="13"/>
        <v>2 - 665</v>
      </c>
      <c r="AU22" s="961"/>
      <c r="AV22" s="961" t="str">
        <f>ROUND(AF22,0)&amp;" - "&amp;ROUND(AG22,0)</f>
        <v>746 - 8379</v>
      </c>
      <c r="AX22" s="804"/>
      <c r="BF22" s="339"/>
      <c r="BG22" s="340"/>
      <c r="BH22" s="951" t="s">
        <v>2034</v>
      </c>
      <c r="BI22" s="953" t="s">
        <v>1730</v>
      </c>
      <c r="BJ22" s="953"/>
      <c r="BK22" s="951"/>
      <c r="BL22" s="953" t="s">
        <v>1729</v>
      </c>
      <c r="BM22" s="953"/>
      <c r="BN22" s="951"/>
      <c r="BO22" s="953" t="s">
        <v>1728</v>
      </c>
      <c r="BP22" s="953"/>
      <c r="BQ22" s="951"/>
      <c r="BR22" s="953" t="s">
        <v>1727</v>
      </c>
      <c r="BS22" s="953"/>
      <c r="BT22" s="804"/>
    </row>
    <row r="23" spans="2:72" ht="21" x14ac:dyDescent="0.25">
      <c r="B23" s="801" t="s">
        <v>1541</v>
      </c>
      <c r="C23" s="796">
        <f t="shared" ref="C23:N23" si="18">SUM(C21:C22)</f>
        <v>266.56662794366605</v>
      </c>
      <c r="D23" s="826">
        <f t="shared" si="18"/>
        <v>6331.3953657648699</v>
      </c>
      <c r="E23" s="839">
        <f t="shared" si="18"/>
        <v>349.40400116422222</v>
      </c>
      <c r="F23" s="826">
        <f t="shared" si="18"/>
        <v>864.37556871343895</v>
      </c>
      <c r="G23" s="839">
        <f t="shared" si="18"/>
        <v>2.06244948868</v>
      </c>
      <c r="H23" s="826">
        <f t="shared" si="18"/>
        <v>658.15595237915693</v>
      </c>
      <c r="I23" s="839">
        <f t="shared" ref="I23" si="19">SUM(I21:I22)</f>
        <v>615.97062910788827</v>
      </c>
      <c r="J23" s="826">
        <f t="shared" ref="J23" si="20">SUM(J21:J22)</f>
        <v>7195.7709344783088</v>
      </c>
      <c r="K23" s="839">
        <f t="shared" ref="K23:L23" si="21">SUM(K21:K22)</f>
        <v>458.80540532892473</v>
      </c>
      <c r="L23" s="796">
        <f t="shared" si="21"/>
        <v>6911.9827938271592</v>
      </c>
      <c r="M23" s="839">
        <f t="shared" si="18"/>
        <v>618.0330785965682</v>
      </c>
      <c r="N23" s="796">
        <f t="shared" si="18"/>
        <v>7853.9268868574663</v>
      </c>
      <c r="Q23" s="339"/>
      <c r="R23" s="340"/>
      <c r="S23" s="987"/>
      <c r="T23" s="987"/>
      <c r="U23" s="340"/>
      <c r="V23" s="340"/>
      <c r="W23" s="340"/>
      <c r="X23" s="340"/>
      <c r="Y23" s="340"/>
      <c r="Z23" s="340"/>
      <c r="AA23" s="340"/>
      <c r="AB23" s="340"/>
      <c r="AC23" s="340"/>
      <c r="AD23" s="984"/>
      <c r="AE23" s="984"/>
      <c r="AF23" s="340"/>
      <c r="AG23" s="340"/>
      <c r="AH23" s="799"/>
      <c r="AI23" s="804"/>
      <c r="AL23" s="339"/>
      <c r="AM23" s="951"/>
      <c r="AN23" s="961"/>
      <c r="AO23" s="961"/>
      <c r="AP23" s="961"/>
      <c r="AQ23" s="961"/>
      <c r="AR23" s="961"/>
      <c r="AS23" s="961"/>
      <c r="AT23" s="961"/>
      <c r="AU23" s="961"/>
      <c r="AV23" s="961"/>
      <c r="AX23" s="804"/>
      <c r="BF23" s="872" t="s">
        <v>1735</v>
      </c>
      <c r="BG23" s="340"/>
      <c r="BH23" s="953"/>
      <c r="BI23" s="953" t="s">
        <v>41</v>
      </c>
      <c r="BJ23" s="953" t="s">
        <v>42</v>
      </c>
      <c r="BK23" s="953"/>
      <c r="BL23" s="953" t="s">
        <v>41</v>
      </c>
      <c r="BM23" s="953" t="s">
        <v>42</v>
      </c>
      <c r="BN23" s="953"/>
      <c r="BO23" s="953" t="s">
        <v>41</v>
      </c>
      <c r="BP23" s="953" t="s">
        <v>42</v>
      </c>
      <c r="BQ23" s="953"/>
      <c r="BR23" s="953" t="s">
        <v>41</v>
      </c>
      <c r="BS23" s="953" t="s">
        <v>42</v>
      </c>
      <c r="BT23" s="804"/>
    </row>
    <row r="24" spans="2:72" ht="23" x14ac:dyDescent="0.3">
      <c r="C24" s="587"/>
      <c r="D24" s="587"/>
      <c r="E24" s="835"/>
      <c r="F24" s="738"/>
      <c r="G24" s="835"/>
      <c r="H24" s="738"/>
      <c r="I24" s="835"/>
      <c r="J24" s="738"/>
      <c r="K24" s="835"/>
      <c r="L24" s="738"/>
      <c r="M24" s="835"/>
      <c r="N24" s="738"/>
      <c r="Q24" s="339"/>
      <c r="R24" s="459" t="s">
        <v>392</v>
      </c>
      <c r="S24" s="1001"/>
      <c r="T24" s="1001"/>
      <c r="U24" s="459"/>
      <c r="V24" s="799"/>
      <c r="W24" s="799"/>
      <c r="X24" s="799"/>
      <c r="Y24" s="799"/>
      <c r="Z24" s="799"/>
      <c r="AA24" s="799"/>
      <c r="AB24" s="799"/>
      <c r="AC24" s="799"/>
      <c r="AD24" s="987"/>
      <c r="AE24" s="987"/>
      <c r="AF24" s="799"/>
      <c r="AG24" s="799"/>
      <c r="AH24" s="799"/>
      <c r="AI24" s="804"/>
      <c r="AL24" s="339"/>
      <c r="AM24" s="950" t="s">
        <v>392</v>
      </c>
      <c r="AN24" s="961"/>
      <c r="AO24" s="961"/>
      <c r="AP24" s="961"/>
      <c r="AQ24" s="961"/>
      <c r="AR24" s="961"/>
      <c r="AS24" s="961"/>
      <c r="AT24" s="961"/>
      <c r="AU24" s="961"/>
      <c r="AV24" s="961"/>
      <c r="AX24" s="804"/>
      <c r="BF24" s="873" t="s">
        <v>119</v>
      </c>
      <c r="BG24" s="340"/>
      <c r="BH24" s="951" t="s">
        <v>1840</v>
      </c>
      <c r="BI24" s="954">
        <f>SUMIFS('POSF Inventory'!$IH$86:$NC$86,'POSF Inventory'!$IH$10:$NC$10,'Results Summary'!$BF24,'POSF Inventory'!$IH$2:$NC$2,'Results Summary'!$BG$20,'POSF Inventory'!$IH$3:$NC$3,'Results Summary'!BI$11)</f>
        <v>0.53615432873776259</v>
      </c>
      <c r="BJ24" s="954">
        <f>SUMIFS('POSF Inventory'!$IH$86:$NC$86,'POSF Inventory'!$IH$10:$NC$10,'Results Summary'!$BF24,'POSF Inventory'!$IH$2:$NC$2,'Results Summary'!$BG$20,'POSF Inventory'!$IH$3:$NC$3,'Results Summary'!BJ$11)</f>
        <v>414.35228422162504</v>
      </c>
      <c r="BK24" s="954"/>
      <c r="BL24" s="954">
        <f>SUMIFS('POSF Inventory'!$IH$87:$NC$87,'POSF Inventory'!$IH$10:$NC$10,'Results Summary'!$BF24,'POSF Inventory'!$IH$2:$NC$2,'Results Summary'!$BG$20,'POSF Inventory'!$IH$3:$NC$3,'Results Summary'!BL$11)</f>
        <v>0.48678534185527433</v>
      </c>
      <c r="BM24" s="954">
        <f>SUMIFS('POSF Inventory'!$IH$87:$NC$87,'POSF Inventory'!$IH$10:$NC$10,'Results Summary'!$BF24,'POSF Inventory'!$IH$2:$NC$2,'Results Summary'!$BG$20,'POSF Inventory'!$IH$3:$NC$3,'Results Summary'!BM$11)</f>
        <v>53.594649233583752</v>
      </c>
      <c r="BN24" s="954"/>
      <c r="BO24" s="954">
        <f>SUMIFS('POSF Inventory'!$IH$88:$NC$88,'POSF Inventory'!$IH$10:$NC$10,'Results Summary'!$BF24,'POSF Inventory'!$IH$2:$NC$2,'Results Summary'!$BG$20,'POSF Inventory'!$IH$3:$NC$3,'Results Summary'!BO$11)</f>
        <v>3.3560529081818752E-3</v>
      </c>
      <c r="BP24" s="954">
        <f>SUMIFS('POSF Inventory'!$IH$88:$NC$88,'POSF Inventory'!$IH$10:$NC$10,'Results Summary'!$BF24,'POSF Inventory'!$IH$2:$NC$2,'Results Summary'!$BG$20,'POSF Inventory'!$IH$3:$NC$3,'Results Summary'!BP$11)</f>
        <v>40.355367988462511</v>
      </c>
      <c r="BQ24" s="954"/>
      <c r="BR24" s="954">
        <f>SUMIFS('POSF Inventory'!$IH$89:$NC$89,'POSF Inventory'!$IH$10:$NC$10,'Results Summary'!$BF24,'POSF Inventory'!$IH$2:$NC$2,'Results Summary'!$BG$20,'POSF Inventory'!$IH$3:$NC$3,'Results Summary'!BR$11)</f>
        <v>1.0262957235012187</v>
      </c>
      <c r="BS24" s="954">
        <f>SUMIFS('POSF Inventory'!$IH$89:$NC$89,'POSF Inventory'!$IH$10:$NC$10,'Results Summary'!$BF24,'POSF Inventory'!$IH$2:$NC$2,'Results Summary'!$BG$20,'POSF Inventory'!$IH$3:$NC$3,'Results Summary'!BS$11)</f>
        <v>508.30230144367124</v>
      </c>
      <c r="BT24" s="804"/>
    </row>
    <row r="25" spans="2:72" ht="23.25" customHeight="1" x14ac:dyDescent="0.3">
      <c r="B25" s="341" t="s">
        <v>1094</v>
      </c>
      <c r="C25" s="587"/>
      <c r="D25" s="587"/>
      <c r="E25" s="835"/>
      <c r="F25" s="738"/>
      <c r="G25" s="835"/>
      <c r="H25" s="738"/>
      <c r="I25" s="835"/>
      <c r="J25" s="738"/>
      <c r="K25" s="835"/>
      <c r="L25" s="738"/>
      <c r="M25" s="835"/>
      <c r="N25" s="738"/>
      <c r="Q25" s="339"/>
      <c r="R25" s="804" t="s">
        <v>1474</v>
      </c>
      <c r="S25" s="1002">
        <v>0</v>
      </c>
      <c r="T25" s="987">
        <v>0</v>
      </c>
      <c r="U25" s="340"/>
      <c r="V25" s="982">
        <f>ROUND($I$14,0)</f>
        <v>676</v>
      </c>
      <c r="W25" s="941">
        <f>ROUND($J$14,0)</f>
        <v>678</v>
      </c>
      <c r="X25" s="941">
        <f>ROUND($C$14,0)</f>
        <v>652</v>
      </c>
      <c r="Y25" s="941">
        <f>ROUND($D$14,0)</f>
        <v>653</v>
      </c>
      <c r="Z25" s="941">
        <f>ROUND($E$14,0)</f>
        <v>24</v>
      </c>
      <c r="AA25" s="942">
        <f>ROUND($F$14,0)</f>
        <v>25</v>
      </c>
      <c r="AB25" s="942">
        <f>ROUND($G$14,0)</f>
        <v>2</v>
      </c>
      <c r="AC25" s="942">
        <f>ROUND($H$14,0)</f>
        <v>9</v>
      </c>
      <c r="AD25" s="992">
        <f>ROUND($K$14,0)</f>
        <v>667</v>
      </c>
      <c r="AE25" s="993">
        <f>ROUND($L$14,0)</f>
        <v>669</v>
      </c>
      <c r="AF25" s="945">
        <f>ROUND($M$14,0)</f>
        <v>678</v>
      </c>
      <c r="AG25" s="947">
        <f>ROUND($N$14,0)</f>
        <v>687</v>
      </c>
      <c r="AH25" s="340"/>
      <c r="AI25" s="804"/>
      <c r="AL25" s="339"/>
      <c r="AM25" s="957" t="s">
        <v>2165</v>
      </c>
      <c r="AN25" s="959" t="s">
        <v>3</v>
      </c>
      <c r="AO25" s="959"/>
      <c r="AP25" s="959" t="str">
        <f>ROUND(X25,0)&amp;" - "&amp;ROUND(Y25,0)</f>
        <v>652 - 653</v>
      </c>
      <c r="AQ25" s="959"/>
      <c r="AR25" s="960" t="str">
        <f>ROUND(Z25,0)&amp;" - "&amp;ROUND(AA25,0)</f>
        <v>24 - 25</v>
      </c>
      <c r="AS25" s="960"/>
      <c r="AT25" s="960" t="str">
        <f>ROUND(AB25,0)&amp;" - "&amp;ROUND(AC25,0)</f>
        <v>2 - 9</v>
      </c>
      <c r="AU25" s="960"/>
      <c r="AV25" s="960" t="str">
        <f>ROUND(AF25,0)&amp;" - "&amp;ROUND(AG25,0)</f>
        <v>678 - 687</v>
      </c>
      <c r="AX25" s="804"/>
      <c r="BF25" s="873" t="s">
        <v>30</v>
      </c>
      <c r="BG25" s="340"/>
      <c r="BH25" s="951" t="s">
        <v>1841</v>
      </c>
      <c r="BI25" s="954">
        <f>SUMIFS('POSF Inventory'!$IH$86:$NC$86,'POSF Inventory'!$IH$10:$NC$10,'Results Summary'!$BF25,'POSF Inventory'!$IH$2:$NC$2,'Results Summary'!$BG$20,'POSF Inventory'!$IH$3:$NC$3,'Results Summary'!BI$11)</f>
        <v>0.14622390783757161</v>
      </c>
      <c r="BJ25" s="954">
        <f>SUMIFS('POSF Inventory'!$IH$86:$NC$86,'POSF Inventory'!$IH$10:$NC$10,'Results Summary'!$BF25,'POSF Inventory'!$IH$2:$NC$2,'Results Summary'!$BG$20,'POSF Inventory'!$IH$3:$NC$3,'Results Summary'!BJ$11)</f>
        <v>207.17614211081252</v>
      </c>
      <c r="BK25" s="954"/>
      <c r="BL25" s="954">
        <f>SUMIFS('POSF Inventory'!$IH$87:$NC$87,'POSF Inventory'!$IH$10:$NC$10,'Results Summary'!$BF25,'POSF Inventory'!$IH$2:$NC$2,'Results Summary'!$BG$20,'POSF Inventory'!$IH$3:$NC$3,'Results Summary'!BL$11)</f>
        <v>0.13275963868780205</v>
      </c>
      <c r="BM25" s="954">
        <f>SUMIFS('POSF Inventory'!$IH$87:$NC$87,'POSF Inventory'!$IH$10:$NC$10,'Results Summary'!$BF25,'POSF Inventory'!$IH$2:$NC$2,'Results Summary'!$BG$20,'POSF Inventory'!$IH$3:$NC$3,'Results Summary'!BM$11)</f>
        <v>26.797324616791876</v>
      </c>
      <c r="BN25" s="954"/>
      <c r="BO25" s="954">
        <f>SUMIFS('POSF Inventory'!$IH$88:$NC$88,'POSF Inventory'!$IH$10:$NC$10,'Results Summary'!$BF25,'POSF Inventory'!$IH$2:$NC$2,'Results Summary'!$BG$20,'POSF Inventory'!$IH$3:$NC$3,'Results Summary'!BO$11)</f>
        <v>9.1528715677687499E-4</v>
      </c>
      <c r="BP25" s="954">
        <f>SUMIFS('POSF Inventory'!$IH$88:$NC$88,'POSF Inventory'!$IH$10:$NC$10,'Results Summary'!$BF25,'POSF Inventory'!$IH$2:$NC$2,'Results Summary'!$BG$20,'POSF Inventory'!$IH$3:$NC$3,'Results Summary'!BP$11)</f>
        <v>20.177683994231256</v>
      </c>
      <c r="BQ25" s="954"/>
      <c r="BR25" s="954">
        <f>SUMIFS('POSF Inventory'!$IH$89:$NC$89,'POSF Inventory'!$IH$10:$NC$10,'Results Summary'!$BF25,'POSF Inventory'!$IH$2:$NC$2,'Results Summary'!$BG$20,'POSF Inventory'!$IH$3:$NC$3,'Results Summary'!BR$11)</f>
        <v>0.27989883368215052</v>
      </c>
      <c r="BS25" s="954">
        <f>SUMIFS('POSF Inventory'!$IH$89:$NC$89,'POSF Inventory'!$IH$10:$NC$10,'Results Summary'!$BF25,'POSF Inventory'!$IH$2:$NC$2,'Results Summary'!$BG$20,'POSF Inventory'!$IH$3:$NC$3,'Results Summary'!BS$11)</f>
        <v>254.15115072183562</v>
      </c>
      <c r="BT25" s="804"/>
    </row>
    <row r="26" spans="2:72" ht="23" x14ac:dyDescent="0.3">
      <c r="B26" s="803" t="s">
        <v>1601</v>
      </c>
      <c r="C26" s="805">
        <f t="shared" ref="C26:N26" si="22">SUM(C15,C20)</f>
        <v>984.60705021168769</v>
      </c>
      <c r="D26" s="828">
        <f t="shared" si="22"/>
        <v>3403.3904159351259</v>
      </c>
      <c r="E26" s="841">
        <f t="shared" si="22"/>
        <v>74.791742979687498</v>
      </c>
      <c r="F26" s="828">
        <f t="shared" si="22"/>
        <v>657.20867584487485</v>
      </c>
      <c r="G26" s="841">
        <f t="shared" si="22"/>
        <v>7.7056076012499997</v>
      </c>
      <c r="H26" s="828">
        <f t="shared" si="22"/>
        <v>123.54580981049997</v>
      </c>
      <c r="I26" s="841">
        <f t="shared" ref="I26:L26" si="23">SUM(I15,I20)</f>
        <v>1059.3987931913753</v>
      </c>
      <c r="J26" s="828">
        <f t="shared" si="23"/>
        <v>4060.5990917800004</v>
      </c>
      <c r="K26" s="841">
        <f t="shared" si="23"/>
        <v>1037.5363023301252</v>
      </c>
      <c r="L26" s="805">
        <f t="shared" si="23"/>
        <v>3928.1816930125005</v>
      </c>
      <c r="M26" s="841">
        <f t="shared" si="22"/>
        <v>1067.104400792625</v>
      </c>
      <c r="N26" s="805">
        <f t="shared" si="22"/>
        <v>4184.1449015905009</v>
      </c>
      <c r="Q26" s="339"/>
      <c r="AH26" s="799"/>
      <c r="AI26" s="804"/>
      <c r="AL26" s="339"/>
      <c r="AX26" s="804"/>
      <c r="BF26" s="873" t="s">
        <v>31</v>
      </c>
      <c r="BG26" s="340"/>
      <c r="BH26" s="951" t="s">
        <v>1842</v>
      </c>
      <c r="BI26" s="954">
        <f>SUMIFS('POSF Inventory'!$IH$86:$NC$86,'POSF Inventory'!$IH$10:$NC$10,'Results Summary'!$BF26,'POSF Inventory'!$IH$2:$NC$2,'Results Summary'!$BG$20,'POSF Inventory'!$IH$3:$NC$3,'Results Summary'!BI$11)</f>
        <v>2.485806433238718</v>
      </c>
      <c r="BJ26" s="954">
        <f>SUMIFS('POSF Inventory'!$IH$86:$NC$86,'POSF Inventory'!$IH$10:$NC$10,'Results Summary'!$BF26,'POSF Inventory'!$IH$2:$NC$2,'Results Summary'!$BG$20,'POSF Inventory'!$IH$3:$NC$3,'Results Summary'!BJ$11)</f>
        <v>483.41099825856247</v>
      </c>
      <c r="BK26" s="954"/>
      <c r="BL26" s="954">
        <f>SUMIFS('POSF Inventory'!$IH$87:$NC$87,'POSF Inventory'!$IH$10:$NC$10,'Results Summary'!$BF26,'POSF Inventory'!$IH$2:$NC$2,'Results Summary'!$BG$20,'POSF Inventory'!$IH$3:$NC$3,'Results Summary'!BL$11)</f>
        <v>2.2569138576926355</v>
      </c>
      <c r="BM26" s="954">
        <f>SUMIFS('POSF Inventory'!$IH$87:$NC$87,'POSF Inventory'!$IH$10:$NC$10,'Results Summary'!$BF26,'POSF Inventory'!$IH$2:$NC$2,'Results Summary'!$BG$20,'POSF Inventory'!$IH$3:$NC$3,'Results Summary'!BM$11)</f>
        <v>62.527090772514377</v>
      </c>
      <c r="BN26" s="954"/>
      <c r="BO26" s="954">
        <f>SUMIFS('POSF Inventory'!$IH$88:$NC$88,'POSF Inventory'!$IH$10:$NC$10,'Results Summary'!$BF26,'POSF Inventory'!$IH$2:$NC$2,'Results Summary'!$BG$20,'POSF Inventory'!$IH$3:$NC$3,'Results Summary'!BO$11)</f>
        <v>1.5559881665206877E-2</v>
      </c>
      <c r="BP26" s="954">
        <f>SUMIFS('POSF Inventory'!$IH$88:$NC$88,'POSF Inventory'!$IH$10:$NC$10,'Results Summary'!$BF26,'POSF Inventory'!$IH$2:$NC$2,'Results Summary'!$BG$20,'POSF Inventory'!$IH$3:$NC$3,'Results Summary'!BP$11)</f>
        <v>47.081262653206267</v>
      </c>
      <c r="BQ26" s="954"/>
      <c r="BR26" s="954">
        <f>SUMIFS('POSF Inventory'!$IH$89:$NC$89,'POSF Inventory'!$IH$10:$NC$10,'Results Summary'!$BF26,'POSF Inventory'!$IH$2:$NC$2,'Results Summary'!$BG$20,'POSF Inventory'!$IH$3:$NC$3,'Results Summary'!BR$11)</f>
        <v>4.7582801725965602</v>
      </c>
      <c r="BS26" s="954">
        <f>SUMIFS('POSF Inventory'!$IH$89:$NC$89,'POSF Inventory'!$IH$10:$NC$10,'Results Summary'!$BF26,'POSF Inventory'!$IH$2:$NC$2,'Results Summary'!$BG$20,'POSF Inventory'!$IH$3:$NC$3,'Results Summary'!BS$11)</f>
        <v>593.01935168428315</v>
      </c>
      <c r="BT26" s="804"/>
    </row>
    <row r="27" spans="2:72" ht="23" x14ac:dyDescent="0.3">
      <c r="B27" s="801" t="s">
        <v>1602</v>
      </c>
      <c r="C27" s="797">
        <f t="shared" ref="C27:N27" si="24">SUM(C16,C23)</f>
        <v>389.93043134366604</v>
      </c>
      <c r="D27" s="829">
        <f t="shared" si="24"/>
        <v>6829.90681825312</v>
      </c>
      <c r="E27" s="842">
        <f t="shared" si="24"/>
        <v>354.05231860422225</v>
      </c>
      <c r="F27" s="829">
        <f t="shared" si="24"/>
        <v>883.41846820023898</v>
      </c>
      <c r="G27" s="842">
        <f t="shared" si="24"/>
        <v>2.4428958886799998</v>
      </c>
      <c r="H27" s="829">
        <f t="shared" si="24"/>
        <v>665.19098234315697</v>
      </c>
      <c r="I27" s="842">
        <f t="shared" ref="I27:L27" si="25">SUM(I16,I23)</f>
        <v>743.98274994788835</v>
      </c>
      <c r="J27" s="829">
        <f t="shared" si="25"/>
        <v>7713.3252864533588</v>
      </c>
      <c r="K27" s="842">
        <f t="shared" si="25"/>
        <v>585.13908616892479</v>
      </c>
      <c r="L27" s="797">
        <f t="shared" si="25"/>
        <v>7422.6400576022097</v>
      </c>
      <c r="M27" s="842">
        <f t="shared" si="24"/>
        <v>746.42564583656826</v>
      </c>
      <c r="N27" s="797">
        <f t="shared" si="24"/>
        <v>8378.5162687965167</v>
      </c>
      <c r="Q27" s="339"/>
      <c r="AH27" s="818"/>
      <c r="AI27" s="804"/>
      <c r="AL27" s="339"/>
      <c r="AM27" s="956" t="s">
        <v>2028</v>
      </c>
      <c r="AX27" s="804"/>
      <c r="BF27" s="873" t="s">
        <v>32</v>
      </c>
      <c r="BG27" s="340"/>
      <c r="BH27" s="951" t="s">
        <v>1843</v>
      </c>
      <c r="BI27" s="954">
        <f>SUMIFS('POSF Inventory'!$IH$86:$NC$86,'POSF Inventory'!$IH$10:$NC$10,'Results Summary'!$BF27,'POSF Inventory'!$IH$2:$NC$2,'Results Summary'!$BG$20,'POSF Inventory'!$IH$3:$NC$3,'Results Summary'!BI$11)</f>
        <v>3.9967868142269571</v>
      </c>
      <c r="BJ27" s="954">
        <f>SUMIFS('POSF Inventory'!$IH$86:$NC$86,'POSF Inventory'!$IH$10:$NC$10,'Results Summary'!$BF27,'POSF Inventory'!$IH$2:$NC$2,'Results Summary'!$BG$20,'POSF Inventory'!$IH$3:$NC$3,'Results Summary'!BJ$11)</f>
        <v>414.35228422162504</v>
      </c>
      <c r="BK27" s="954"/>
      <c r="BL27" s="954">
        <f>SUMIFS('POSF Inventory'!$IH$87:$NC$87,'POSF Inventory'!$IH$10:$NC$10,'Results Summary'!$BF27,'POSF Inventory'!$IH$2:$NC$2,'Results Summary'!$BG$20,'POSF Inventory'!$IH$3:$NC$3,'Results Summary'!BL$11)</f>
        <v>3.6287634574665892</v>
      </c>
      <c r="BM27" s="954">
        <f>SUMIFS('POSF Inventory'!$IH$87:$NC$87,'POSF Inventory'!$IH$10:$NC$10,'Results Summary'!$BF27,'POSF Inventory'!$IH$2:$NC$2,'Results Summary'!$BG$20,'POSF Inventory'!$IH$3:$NC$3,'Results Summary'!BM$11)</f>
        <v>53.594649233583752</v>
      </c>
      <c r="BN27" s="954"/>
      <c r="BO27" s="954">
        <f>SUMIFS('POSF Inventory'!$IH$88:$NC$88,'POSF Inventory'!$IH$10:$NC$10,'Results Summary'!$BF27,'POSF Inventory'!$IH$2:$NC$2,'Results Summary'!$BG$20,'POSF Inventory'!$IH$3:$NC$3,'Results Summary'!BO$11)</f>
        <v>2.5017848951901248E-2</v>
      </c>
      <c r="BP27" s="954">
        <f>SUMIFS('POSF Inventory'!$IH$88:$NC$88,'POSF Inventory'!$IH$10:$NC$10,'Results Summary'!$BF27,'POSF Inventory'!$IH$2:$NC$2,'Results Summary'!$BG$20,'POSF Inventory'!$IH$3:$NC$3,'Results Summary'!BP$11)</f>
        <v>40.355367988462511</v>
      </c>
      <c r="BQ27" s="954"/>
      <c r="BR27" s="954">
        <f>SUMIFS('POSF Inventory'!$IH$89:$NC$89,'POSF Inventory'!$IH$10:$NC$10,'Results Summary'!$BF27,'POSF Inventory'!$IH$2:$NC$2,'Results Summary'!$BG$20,'POSF Inventory'!$IH$3:$NC$3,'Results Summary'!BR$11)</f>
        <v>7.6505681206454481</v>
      </c>
      <c r="BS27" s="954">
        <f>SUMIFS('POSF Inventory'!$IH$89:$NC$89,'POSF Inventory'!$IH$10:$NC$10,'Results Summary'!$BF27,'POSF Inventory'!$IH$2:$NC$2,'Results Summary'!$BG$20,'POSF Inventory'!$IH$3:$NC$3,'Results Summary'!BS$11)</f>
        <v>508.30230144367124</v>
      </c>
      <c r="BT27" s="804"/>
    </row>
    <row r="28" spans="2:72" ht="23" x14ac:dyDescent="0.3">
      <c r="B28" s="806" t="s">
        <v>1604</v>
      </c>
      <c r="C28" s="792">
        <f t="shared" ref="C28:N28" si="26">SUM(C14)</f>
        <v>651.52861198749986</v>
      </c>
      <c r="D28" s="822">
        <f t="shared" si="26"/>
        <v>653.07069154249996</v>
      </c>
      <c r="E28" s="834">
        <f t="shared" si="26"/>
        <v>24.471187324999995</v>
      </c>
      <c r="F28" s="822">
        <f t="shared" si="26"/>
        <v>25.169845854999998</v>
      </c>
      <c r="G28" s="834">
        <f t="shared" si="26"/>
        <v>1.995083025</v>
      </c>
      <c r="H28" s="822">
        <f t="shared" si="26"/>
        <v>8.9991230174999988</v>
      </c>
      <c r="I28" s="834">
        <f t="shared" ref="I28:J28" si="27">SUM(I14)</f>
        <v>675.99979931249982</v>
      </c>
      <c r="J28" s="822">
        <f t="shared" si="27"/>
        <v>678.24053739749991</v>
      </c>
      <c r="K28" s="834">
        <f t="shared" ref="K28:L28" si="28">SUM(K14)</f>
        <v>667.1979624375</v>
      </c>
      <c r="L28" s="792">
        <f t="shared" si="28"/>
        <v>669.4178677724999</v>
      </c>
      <c r="M28" s="834">
        <f t="shared" si="26"/>
        <v>677.99488233750014</v>
      </c>
      <c r="N28" s="792">
        <f t="shared" si="26"/>
        <v>687.239660415</v>
      </c>
      <c r="Q28" s="339"/>
      <c r="AH28" s="340"/>
      <c r="AI28" s="804"/>
      <c r="AL28" s="849"/>
      <c r="AM28" s="438"/>
      <c r="AN28" s="438"/>
      <c r="AO28" s="438"/>
      <c r="AP28" s="438"/>
      <c r="AQ28" s="438"/>
      <c r="AR28" s="438"/>
      <c r="AS28" s="438"/>
      <c r="AT28" s="438"/>
      <c r="AU28" s="438"/>
      <c r="AV28" s="438"/>
      <c r="AW28" s="438"/>
      <c r="AX28" s="351"/>
      <c r="BF28" s="873" t="s">
        <v>33</v>
      </c>
      <c r="BG28" s="340"/>
      <c r="BH28" s="951" t="s">
        <v>1844</v>
      </c>
      <c r="BI28" s="954">
        <f>SUMIFS('POSF Inventory'!$IH$86:$NC$86,'POSF Inventory'!$IH$10:$NC$10,'Results Summary'!$BF28,'POSF Inventory'!$IH$2:$NC$2,'Results Summary'!$BG$20,'POSF Inventory'!$IH$3:$NC$3,'Results Summary'!BI$11)</f>
        <v>389.930420900191</v>
      </c>
      <c r="BJ28" s="954">
        <f>SUMIFS('POSF Inventory'!$IH$86:$NC$86,'POSF Inventory'!$IH$10:$NC$10,'Results Summary'!$BF28,'POSF Inventory'!$IH$2:$NC$2,'Results Summary'!$BG$20,'POSF Inventory'!$IH$3:$NC$3,'Results Summary'!BJ$11)</f>
        <v>6829.90681825312</v>
      </c>
      <c r="BK28" s="954"/>
      <c r="BL28" s="954">
        <f>SUMIFS('POSF Inventory'!$IH$87:$NC$87,'POSF Inventory'!$IH$10:$NC$10,'Results Summary'!$BF28,'POSF Inventory'!$IH$2:$NC$2,'Results Summary'!$BG$20,'POSF Inventory'!$IH$3:$NC$3,'Results Summary'!BL$11)</f>
        <v>354.02570316747216</v>
      </c>
      <c r="BM28" s="954">
        <f>SUMIFS('POSF Inventory'!$IH$87:$NC$87,'POSF Inventory'!$IH$10:$NC$10,'Results Summary'!$BF28,'POSF Inventory'!$IH$2:$NC$2,'Results Summary'!$BG$20,'POSF Inventory'!$IH$3:$NC$3,'Results Summary'!BM$11)</f>
        <v>883.41846820023898</v>
      </c>
      <c r="BN28" s="954"/>
      <c r="BO28" s="954">
        <f>SUMIFS('POSF Inventory'!$IH$88:$NC$88,'POSF Inventory'!$IH$10:$NC$10,'Results Summary'!$BF28,'POSF Inventory'!$IH$2:$NC$2,'Results Summary'!$BG$20,'POSF Inventory'!$IH$3:$NC$3,'Results Summary'!BO$11)</f>
        <v>2.4407657514049999</v>
      </c>
      <c r="BP28" s="954">
        <f>SUMIFS('POSF Inventory'!$IH$88:$NC$88,'POSF Inventory'!$IH$10:$NC$10,'Results Summary'!$BF28,'POSF Inventory'!$IH$2:$NC$2,'Results Summary'!$BG$20,'POSF Inventory'!$IH$3:$NC$3,'Results Summary'!BP$11)</f>
        <v>665.1909823431572</v>
      </c>
      <c r="BQ28" s="954"/>
      <c r="BR28" s="954">
        <f>SUMIFS('POSF Inventory'!$IH$89:$NC$89,'POSF Inventory'!$IH$10:$NC$10,'Results Summary'!$BF28,'POSF Inventory'!$IH$2:$NC$2,'Results Summary'!$BG$20,'POSF Inventory'!$IH$3:$NC$3,'Results Summary'!BR$11)</f>
        <v>746.39688981906818</v>
      </c>
      <c r="BS28" s="954">
        <f>SUMIFS('POSF Inventory'!$IH$89:$NC$89,'POSF Inventory'!$IH$10:$NC$10,'Results Summary'!$BF28,'POSF Inventory'!$IH$2:$NC$2,'Results Summary'!$BG$20,'POSF Inventory'!$IH$3:$NC$3,'Results Summary'!BS$11)</f>
        <v>8378.5162687965167</v>
      </c>
      <c r="BT28" s="804"/>
    </row>
    <row r="29" spans="2:72" ht="23" x14ac:dyDescent="0.3">
      <c r="Q29" s="339"/>
      <c r="R29" s="340"/>
      <c r="S29" s="340"/>
      <c r="T29" s="340"/>
      <c r="U29" s="340"/>
      <c r="V29" s="340"/>
      <c r="W29" s="340"/>
      <c r="X29" s="340"/>
      <c r="Y29" s="340"/>
      <c r="Z29" s="340"/>
      <c r="AA29" s="340"/>
      <c r="AB29" s="340"/>
      <c r="AC29" s="340"/>
      <c r="AD29" s="340"/>
      <c r="AE29" s="340"/>
      <c r="AF29" s="340"/>
      <c r="AG29" s="340"/>
      <c r="AH29" s="340"/>
      <c r="AI29" s="804"/>
      <c r="BF29" s="873" t="s">
        <v>34</v>
      </c>
      <c r="BG29" s="340"/>
      <c r="BH29" s="951" t="s">
        <v>1845</v>
      </c>
      <c r="BI29" s="954">
        <f>SUMIFS('POSF Inventory'!$IH$86:$NC$86,'POSF Inventory'!$IH$10:$NC$10,'Results Summary'!$BF29,'POSF Inventory'!$IH$2:$NC$2,'Results Summary'!$BG$20,'POSF Inventory'!$IH$3:$NC$3,'Results Summary'!BI$11)</f>
        <v>4.2404933272895766</v>
      </c>
      <c r="BJ29" s="954">
        <f>SUMIFS('POSF Inventory'!$IH$86:$NC$86,'POSF Inventory'!$IH$10:$NC$10,'Results Summary'!$BF29,'POSF Inventory'!$IH$2:$NC$2,'Results Summary'!$BG$20,'POSF Inventory'!$IH$3:$NC$3,'Results Summary'!BJ$11)</f>
        <v>69.058714036937502</v>
      </c>
      <c r="BK29" s="954"/>
      <c r="BL29" s="954">
        <f>SUMIFS('POSF Inventory'!$IH$87:$NC$87,'POSF Inventory'!$IH$10:$NC$10,'Results Summary'!$BF29,'POSF Inventory'!$IH$2:$NC$2,'Results Summary'!$BG$20,'POSF Inventory'!$IH$3:$NC$3,'Results Summary'!BL$11)</f>
        <v>3.8500295219462601</v>
      </c>
      <c r="BM29" s="954">
        <f>SUMIFS('POSF Inventory'!$IH$87:$NC$87,'POSF Inventory'!$IH$10:$NC$10,'Results Summary'!$BF29,'POSF Inventory'!$IH$2:$NC$2,'Results Summary'!$BG$20,'POSF Inventory'!$IH$3:$NC$3,'Results Summary'!BM$11)</f>
        <v>8.9324415389306253</v>
      </c>
      <c r="BN29" s="954"/>
      <c r="BO29" s="954">
        <f>SUMIFS('POSF Inventory'!$IH$88:$NC$88,'POSF Inventory'!$IH$10:$NC$10,'Results Summary'!$BF29,'POSF Inventory'!$IH$2:$NC$2,'Results Summary'!$BG$20,'POSF Inventory'!$IH$3:$NC$3,'Results Summary'!BO$11)</f>
        <v>2.6543327546529376E-2</v>
      </c>
      <c r="BP29" s="954">
        <f>SUMIFS('POSF Inventory'!$IH$88:$NC$88,'POSF Inventory'!$IH$10:$NC$10,'Results Summary'!$BF29,'POSF Inventory'!$IH$2:$NC$2,'Results Summary'!$BG$20,'POSF Inventory'!$IH$3:$NC$3,'Results Summary'!BP$11)</f>
        <v>6.7258946647437519</v>
      </c>
      <c r="BQ29" s="954"/>
      <c r="BR29" s="954">
        <f>SUMIFS('POSF Inventory'!$IH$89:$NC$89,'POSF Inventory'!$IH$10:$NC$10,'Results Summary'!$BF29,'POSF Inventory'!$IH$2:$NC$2,'Results Summary'!$BG$20,'POSF Inventory'!$IH$3:$NC$3,'Results Summary'!BR$11)</f>
        <v>8.117066176782366</v>
      </c>
      <c r="BS29" s="954">
        <f>SUMIFS('POSF Inventory'!$IH$89:$NC$89,'POSF Inventory'!$IH$10:$NC$10,'Results Summary'!$BF29,'POSF Inventory'!$IH$2:$NC$2,'Results Summary'!$BG$20,'POSF Inventory'!$IH$3:$NC$3,'Results Summary'!BS$11)</f>
        <v>84.717050240611883</v>
      </c>
      <c r="BT29" s="804"/>
    </row>
    <row r="30" spans="2:72" ht="23" x14ac:dyDescent="0.3">
      <c r="B30" s="905" t="s">
        <v>1771</v>
      </c>
      <c r="Q30" s="849"/>
      <c r="R30" s="438"/>
      <c r="S30" s="438"/>
      <c r="T30" s="438"/>
      <c r="U30" s="438"/>
      <c r="V30" s="438"/>
      <c r="W30" s="438"/>
      <c r="X30" s="438"/>
      <c r="Y30" s="438"/>
      <c r="Z30" s="438"/>
      <c r="AA30" s="438"/>
      <c r="AB30" s="438"/>
      <c r="AC30" s="438"/>
      <c r="AD30" s="438"/>
      <c r="AE30" s="438"/>
      <c r="AF30" s="438"/>
      <c r="AG30" s="438"/>
      <c r="AH30" s="438"/>
      <c r="AI30" s="351"/>
      <c r="BF30" s="873" t="s">
        <v>35</v>
      </c>
      <c r="BG30" s="340"/>
      <c r="BH30" s="953" t="s">
        <v>1846</v>
      </c>
      <c r="BI30" s="955">
        <f>SUMIFS('POSF Inventory'!$IH$86:$NC$86,'POSF Inventory'!$IH$10:$NC$10,'Results Summary'!$BF30,'POSF Inventory'!$IH$2:$NC$2,'Results Summary'!$BG$20,'POSF Inventory'!$IH$3:$NC$3,'Results Summary'!BI$11)</f>
        <v>0.48741302612523885</v>
      </c>
      <c r="BJ30" s="955">
        <f>SUMIFS('POSF Inventory'!$IH$86:$NC$86,'POSF Inventory'!$IH$10:$NC$10,'Results Summary'!$BF30,'POSF Inventory'!$IH$2:$NC$2,'Results Summary'!$BG$20,'POSF Inventory'!$IH$3:$NC$3,'Results Summary'!BJ$11)</f>
        <v>69.058714036937502</v>
      </c>
      <c r="BK30" s="955"/>
      <c r="BL30" s="955">
        <f>SUMIFS('POSF Inventory'!$IH$87:$NC$87,'POSF Inventory'!$IH$10:$NC$10,'Results Summary'!$BF30,'POSF Inventory'!$IH$2:$NC$2,'Results Summary'!$BG$20,'POSF Inventory'!$IH$3:$NC$3,'Results Summary'!BL$11)</f>
        <v>0.44253212895934024</v>
      </c>
      <c r="BM30" s="955">
        <f>SUMIFS('POSF Inventory'!$IH$87:$NC$87,'POSF Inventory'!$IH$10:$NC$10,'Results Summary'!$BF30,'POSF Inventory'!$IH$2:$NC$2,'Results Summary'!$BG$20,'POSF Inventory'!$IH$3:$NC$3,'Results Summary'!BM$11)</f>
        <v>8.9324415389306253</v>
      </c>
      <c r="BN30" s="955"/>
      <c r="BO30" s="955">
        <f>SUMIFS('POSF Inventory'!$IH$88:$NC$88,'POSF Inventory'!$IH$10:$NC$10,'Results Summary'!$BF30,'POSF Inventory'!$IH$2:$NC$2,'Results Summary'!$BG$20,'POSF Inventory'!$IH$3:$NC$3,'Results Summary'!BO$11)</f>
        <v>3.0509571892562504E-3</v>
      </c>
      <c r="BP30" s="955">
        <f>SUMIFS('POSF Inventory'!$IH$88:$NC$88,'POSF Inventory'!$IH$10:$NC$10,'Results Summary'!$BF30,'POSF Inventory'!$IH$2:$NC$2,'Results Summary'!$BG$20,'POSF Inventory'!$IH$3:$NC$3,'Results Summary'!BP$11)</f>
        <v>6.7258946647437519</v>
      </c>
      <c r="BQ30" s="955"/>
      <c r="BR30" s="955">
        <f>SUMIFS('POSF Inventory'!$IH$89:$NC$89,'POSF Inventory'!$IH$10:$NC$10,'Results Summary'!$BF30,'POSF Inventory'!$IH$2:$NC$2,'Results Summary'!$BG$20,'POSF Inventory'!$IH$3:$NC$3,'Results Summary'!BR$11)</f>
        <v>0.93299611227383528</v>
      </c>
      <c r="BS30" s="955">
        <f>SUMIFS('POSF Inventory'!$IH$89:$NC$89,'POSF Inventory'!$IH$10:$NC$10,'Results Summary'!$BF30,'POSF Inventory'!$IH$2:$NC$2,'Results Summary'!$BG$20,'POSF Inventory'!$IH$3:$NC$3,'Results Summary'!BS$11)</f>
        <v>84.717050240611883</v>
      </c>
      <c r="BT30" s="804"/>
    </row>
    <row r="31" spans="2:72" ht="22" thickBot="1" x14ac:dyDescent="0.3">
      <c r="E31" s="752"/>
      <c r="BF31" s="339"/>
      <c r="BG31" s="340"/>
      <c r="BH31" s="951"/>
      <c r="BI31" s="951"/>
      <c r="BJ31" s="951"/>
      <c r="BK31" s="951"/>
      <c r="BL31" s="951"/>
      <c r="BM31" s="951"/>
      <c r="BN31" s="951"/>
      <c r="BO31" s="951"/>
      <c r="BP31" s="951"/>
      <c r="BQ31" s="951"/>
      <c r="BR31" s="951"/>
      <c r="BS31" s="951"/>
      <c r="BT31" s="804"/>
    </row>
    <row r="32" spans="2:72" ht="22" customHeight="1" x14ac:dyDescent="0.25">
      <c r="B32" s="729" t="s">
        <v>1470</v>
      </c>
      <c r="C32" s="730" t="s">
        <v>1471</v>
      </c>
      <c r="D32" s="762" t="s">
        <v>1540</v>
      </c>
      <c r="E32" s="763" t="s">
        <v>1647</v>
      </c>
      <c r="F32" s="729" t="s">
        <v>1639</v>
      </c>
      <c r="BF32" s="872" t="s">
        <v>1736</v>
      </c>
      <c r="BG32" s="869" t="s">
        <v>1732</v>
      </c>
      <c r="BH32" s="950" t="s">
        <v>1737</v>
      </c>
      <c r="BI32" s="951"/>
      <c r="BJ32" s="951"/>
      <c r="BK32" s="951"/>
      <c r="BL32" s="951"/>
      <c r="BM32" s="951"/>
      <c r="BN32" s="951"/>
      <c r="BO32" s="951"/>
      <c r="BP32" s="951"/>
      <c r="BQ32" s="951"/>
      <c r="BR32" s="951"/>
      <c r="BS32" s="951"/>
      <c r="BT32" s="804"/>
    </row>
    <row r="33" spans="2:82" ht="21" x14ac:dyDescent="0.25">
      <c r="B33" s="731"/>
      <c r="C33" s="732" t="s">
        <v>1472</v>
      </c>
      <c r="D33" s="732" t="s">
        <v>1473</v>
      </c>
      <c r="E33" s="732" t="s">
        <v>1473</v>
      </c>
      <c r="F33" s="731"/>
      <c r="R33" s="574" t="s">
        <v>1866</v>
      </c>
      <c r="AM33" s="574" t="s">
        <v>1663</v>
      </c>
      <c r="BF33" s="339"/>
      <c r="BG33" s="340"/>
      <c r="BH33" s="953"/>
      <c r="BI33" s="953"/>
      <c r="BJ33" s="953"/>
      <c r="BK33" s="953"/>
      <c r="BL33" s="953"/>
      <c r="BM33" s="953"/>
      <c r="BN33" s="953"/>
      <c r="BO33" s="953"/>
      <c r="BP33" s="953"/>
      <c r="BQ33" s="953"/>
      <c r="BR33" s="953"/>
      <c r="BS33" s="953"/>
      <c r="BT33" s="804"/>
    </row>
    <row r="34" spans="2:82" ht="23" x14ac:dyDescent="0.3">
      <c r="B34" s="733" t="s">
        <v>40</v>
      </c>
      <c r="C34" s="728"/>
      <c r="D34" s="728"/>
      <c r="E34" s="764"/>
      <c r="F34" s="727"/>
      <c r="S34" s="1131"/>
      <c r="T34" s="1131"/>
      <c r="U34" s="1131"/>
      <c r="V34" s="689"/>
      <c r="W34" s="689"/>
      <c r="X34" s="689"/>
      <c r="AM34" t="s">
        <v>1665</v>
      </c>
      <c r="BF34" s="339"/>
      <c r="BG34" s="340"/>
      <c r="BH34" s="951" t="s">
        <v>1810</v>
      </c>
      <c r="BI34" s="953" t="s">
        <v>1730</v>
      </c>
      <c r="BJ34" s="953"/>
      <c r="BK34" s="951"/>
      <c r="BL34" s="953" t="s">
        <v>1729</v>
      </c>
      <c r="BM34" s="953"/>
      <c r="BN34" s="951"/>
      <c r="BO34" s="953" t="s">
        <v>1728</v>
      </c>
      <c r="BP34" s="953"/>
      <c r="BQ34" s="951"/>
      <c r="BR34" s="953" t="s">
        <v>1727</v>
      </c>
      <c r="BS34" s="953"/>
      <c r="BT34" s="804"/>
    </row>
    <row r="35" spans="2:82" ht="21" x14ac:dyDescent="0.25">
      <c r="B35" s="727" t="s">
        <v>1474</v>
      </c>
      <c r="C35" s="728" t="s">
        <v>1475</v>
      </c>
      <c r="D35" s="740" t="s">
        <v>1476</v>
      </c>
      <c r="E35" s="765" t="str">
        <f>ROUND(I15,0)&amp;" - "&amp;ROUND(J15,0)</f>
        <v>744 - 746</v>
      </c>
      <c r="F35" s="768" t="s">
        <v>1597</v>
      </c>
      <c r="K35" s="341" t="s">
        <v>1876</v>
      </c>
      <c r="S35" s="686" t="s">
        <v>45</v>
      </c>
      <c r="T35" s="686" t="s">
        <v>44</v>
      </c>
      <c r="U35" s="686" t="s">
        <v>1867</v>
      </c>
      <c r="V35" s="459"/>
      <c r="W35" s="459"/>
      <c r="X35" s="653"/>
      <c r="AM35" s="851" t="s">
        <v>1664</v>
      </c>
      <c r="BF35" s="872" t="s">
        <v>1735</v>
      </c>
      <c r="BG35" s="340"/>
      <c r="BH35" s="953"/>
      <c r="BI35" s="953" t="s">
        <v>41</v>
      </c>
      <c r="BJ35" s="953" t="s">
        <v>42</v>
      </c>
      <c r="BK35" s="953"/>
      <c r="BL35" s="953" t="s">
        <v>41</v>
      </c>
      <c r="BM35" s="953" t="s">
        <v>42</v>
      </c>
      <c r="BN35" s="953"/>
      <c r="BO35" s="953" t="s">
        <v>41</v>
      </c>
      <c r="BP35" s="953" t="s">
        <v>42</v>
      </c>
      <c r="BQ35" s="953"/>
      <c r="BR35" s="953" t="s">
        <v>41</v>
      </c>
      <c r="BS35" s="953" t="s">
        <v>42</v>
      </c>
      <c r="BT35" s="804"/>
    </row>
    <row r="36" spans="2:82" ht="23" x14ac:dyDescent="0.3">
      <c r="B36" s="727"/>
      <c r="C36" s="728"/>
      <c r="D36" s="728"/>
      <c r="E36" s="765"/>
      <c r="F36" s="768" t="s">
        <v>1477</v>
      </c>
      <c r="K36" s="346" t="s">
        <v>1874</v>
      </c>
      <c r="L36" s="774">
        <f>SUM('POSF Inventory'!DL86:DL87,'POSF Inventory'!DN86:DN87)</f>
        <v>3755.3301672500006</v>
      </c>
      <c r="Q36" t="s">
        <v>1499</v>
      </c>
      <c r="R36" s="686" t="s">
        <v>1868</v>
      </c>
      <c r="S36" s="774">
        <f>AE12</f>
        <v>737</v>
      </c>
      <c r="T36" s="774">
        <f>AD12</f>
        <v>734</v>
      </c>
      <c r="U36" s="774">
        <f>S36-T36</f>
        <v>3</v>
      </c>
      <c r="AM36" t="s">
        <v>2191</v>
      </c>
      <c r="BF36" s="873" t="s">
        <v>119</v>
      </c>
      <c r="BG36" s="340"/>
      <c r="BH36" s="951" t="s">
        <v>1854</v>
      </c>
      <c r="BI36" s="954">
        <f>SUMIFS('POSF Inventory'!$IH$86:$NC$86,'POSF Inventory'!$IH$10:$NC$10,'Results Summary'!$BF36,'POSF Inventory'!$IH$2:$NC$2,'Results Summary'!$BG$32,'POSF Inventory'!$IH$3:$NC$3,'Results Summary'!BI$11)</f>
        <v>8.4814375525000028</v>
      </c>
      <c r="BJ36" s="954">
        <f>SUMIFS('POSF Inventory'!$IH$86:$NC$86,'POSF Inventory'!$IH$10:$NC$10,'Results Summary'!$BF36,'POSF Inventory'!$IH$2:$NC$2,'Results Summary'!$BG$32,'POSF Inventory'!$IH$3:$NC$3,'Results Summary'!BJ$11)</f>
        <v>25.444312657499999</v>
      </c>
      <c r="BK36" s="954"/>
      <c r="BL36" s="954">
        <f>SUMIFS('POSF Inventory'!$IH$87:$NC$87,'POSF Inventory'!$IH$10:$NC$10,'Results Summary'!$BF36,'POSF Inventory'!$IH$2:$NC$2,'Results Summary'!$BG$32,'POSF Inventory'!$IH$3:$NC$3,'Results Summary'!BL$11)</f>
        <v>0.31855983500000007</v>
      </c>
      <c r="BM36" s="954">
        <f>SUMIFS('POSF Inventory'!$IH$87:$NC$87,'POSF Inventory'!$IH$10:$NC$10,'Results Summary'!$BF36,'POSF Inventory'!$IH$2:$NC$2,'Results Summary'!$BG$32,'POSF Inventory'!$IH$3:$NC$3,'Results Summary'!BM$11)</f>
        <v>0.98064334500000006</v>
      </c>
      <c r="BN36" s="954"/>
      <c r="BO36" s="954">
        <f>SUMIFS('POSF Inventory'!$IH$88:$NC$88,'POSF Inventory'!$IH$10:$NC$10,'Results Summary'!$BF36,'POSF Inventory'!$IH$2:$NC$2,'Results Summary'!$BG$32,'POSF Inventory'!$IH$3:$NC$3,'Results Summary'!BO$11)</f>
        <v>2.5971495000000004E-2</v>
      </c>
      <c r="BP36" s="954">
        <f>SUMIFS('POSF Inventory'!$IH$88:$NC$88,'POSF Inventory'!$IH$10:$NC$10,'Results Summary'!$BF36,'POSF Inventory'!$IH$2:$NC$2,'Results Summary'!$BG$32,'POSF Inventory'!$IH$3:$NC$3,'Results Summary'!BP$11)</f>
        <v>0.35061518249999996</v>
      </c>
      <c r="BQ36" s="954"/>
      <c r="BR36" s="954">
        <f>SUMIFS('POSF Inventory'!$IH$89:$NC$89,'POSF Inventory'!$IH$10:$NC$10,'Results Summary'!$BF36,'POSF Inventory'!$IH$2:$NC$2,'Results Summary'!$BG$32,'POSF Inventory'!$IH$3:$NC$3,'Results Summary'!BR$11)</f>
        <v>8.8259688825000033</v>
      </c>
      <c r="BS36" s="954">
        <f>SUMIFS('POSF Inventory'!$IH$89:$NC$89,'POSF Inventory'!$IH$10:$NC$10,'Results Summary'!$BF36,'POSF Inventory'!$IH$2:$NC$2,'Results Summary'!$BG$32,'POSF Inventory'!$IH$3:$NC$3,'Results Summary'!BS$11)</f>
        <v>26.775571185000004</v>
      </c>
      <c r="BT36" s="804"/>
    </row>
    <row r="37" spans="2:82" ht="23" x14ac:dyDescent="0.3">
      <c r="B37" s="727" t="s">
        <v>1478</v>
      </c>
      <c r="C37" s="728" t="s">
        <v>1479</v>
      </c>
      <c r="D37" s="740" t="s">
        <v>1480</v>
      </c>
      <c r="E37" s="765" t="str">
        <f>ROUND(I20,0)&amp;" - "&amp;ROUND(J20,0)</f>
        <v>316 - 3314</v>
      </c>
      <c r="F37" s="768" t="s">
        <v>1481</v>
      </c>
      <c r="K37" s="346" t="s">
        <v>1875</v>
      </c>
      <c r="L37" s="774">
        <f>SUM('POSF Inventory'!DM86:DM87,'POSF Inventory'!DO86:DO87)</f>
        <v>4113.5234472500006</v>
      </c>
      <c r="Q37" t="s">
        <v>1864</v>
      </c>
      <c r="R37" s="686" t="s">
        <v>1869</v>
      </c>
      <c r="S37" s="346">
        <f>T12</f>
        <v>299</v>
      </c>
      <c r="T37" s="346">
        <f>S12</f>
        <v>75</v>
      </c>
      <c r="U37" s="346">
        <f>S37-T37</f>
        <v>224</v>
      </c>
      <c r="AN37" s="341" t="s">
        <v>1411</v>
      </c>
      <c r="AO37" s="341" t="s">
        <v>1865</v>
      </c>
      <c r="AP37" s="341" t="s">
        <v>1652</v>
      </c>
      <c r="AQ37" s="341" t="s">
        <v>1653</v>
      </c>
      <c r="AR37" s="341" t="s">
        <v>1654</v>
      </c>
      <c r="AS37" s="341" t="s">
        <v>1655</v>
      </c>
      <c r="AT37" s="341" t="s">
        <v>1140</v>
      </c>
      <c r="AU37" s="341"/>
      <c r="BF37" s="873" t="s">
        <v>30</v>
      </c>
      <c r="BG37" s="340"/>
      <c r="BH37" s="951" t="s">
        <v>1855</v>
      </c>
      <c r="BI37" s="954">
        <f>SUMIFS('POSF Inventory'!$IH$86:$NC$86,'POSF Inventory'!$IH$10:$NC$10,'Results Summary'!$BF37,'POSF Inventory'!$IH$2:$NC$2,'Results Summary'!$BG$32,'POSF Inventory'!$IH$3:$NC$3,'Results Summary'!BI$11)</f>
        <v>6.9393579975000028</v>
      </c>
      <c r="BJ37" s="954">
        <f>SUMIFS('POSF Inventory'!$IH$86:$NC$86,'POSF Inventory'!$IH$10:$NC$10,'Results Summary'!$BF37,'POSF Inventory'!$IH$2:$NC$2,'Results Summary'!$BG$32,'POSF Inventory'!$IH$3:$NC$3,'Results Summary'!BJ$11)</f>
        <v>31.612630877500003</v>
      </c>
      <c r="BK37" s="954"/>
      <c r="BL37" s="954">
        <f>SUMIFS('POSF Inventory'!$IH$87:$NC$87,'POSF Inventory'!$IH$10:$NC$10,'Results Summary'!$BF37,'POSF Inventory'!$IH$2:$NC$2,'Results Summary'!$BG$32,'POSF Inventory'!$IH$3:$NC$3,'Results Summary'!BL$11)</f>
        <v>0.26063986500000003</v>
      </c>
      <c r="BM37" s="954">
        <f>SUMIFS('POSF Inventory'!$IH$87:$NC$87,'POSF Inventory'!$IH$10:$NC$10,'Results Summary'!$BF37,'POSF Inventory'!$IH$2:$NC$2,'Results Summary'!$BG$32,'POSF Inventory'!$IH$3:$NC$3,'Results Summary'!BM$11)</f>
        <v>1.2183750649999996</v>
      </c>
      <c r="BN37" s="954"/>
      <c r="BO37" s="954">
        <f>SUMIFS('POSF Inventory'!$IH$88:$NC$88,'POSF Inventory'!$IH$10:$NC$10,'Results Summary'!$BF37,'POSF Inventory'!$IH$2:$NC$2,'Results Summary'!$BG$32,'POSF Inventory'!$IH$3:$NC$3,'Results Summary'!BO$11)</f>
        <v>2.1249405000000006E-2</v>
      </c>
      <c r="BP37" s="954">
        <f>SUMIFS('POSF Inventory'!$IH$88:$NC$88,'POSF Inventory'!$IH$10:$NC$10,'Results Summary'!$BF37,'POSF Inventory'!$IH$2:$NC$2,'Results Summary'!$BG$32,'POSF Inventory'!$IH$3:$NC$3,'Results Summary'!BP$11)</f>
        <v>0.4356128024999999</v>
      </c>
      <c r="BQ37" s="954"/>
      <c r="BR37" s="954">
        <f>SUMIFS('POSF Inventory'!$IH$89:$NC$89,'POSF Inventory'!$IH$10:$NC$10,'Results Summary'!$BF37,'POSF Inventory'!$IH$2:$NC$2,'Results Summary'!$BG$32,'POSF Inventory'!$IH$3:$NC$3,'Results Summary'!BR$11)</f>
        <v>7.2212472675000026</v>
      </c>
      <c r="BS37" s="954">
        <f>SUMIFS('POSF Inventory'!$IH$89:$NC$89,'POSF Inventory'!$IH$10:$NC$10,'Results Summary'!$BF37,'POSF Inventory'!$IH$2:$NC$2,'Results Summary'!$BG$32,'POSF Inventory'!$IH$3:$NC$3,'Results Summary'!BS$11)</f>
        <v>33.266618745000002</v>
      </c>
      <c r="BT37" s="804"/>
    </row>
    <row r="38" spans="2:82" ht="23" x14ac:dyDescent="0.3">
      <c r="B38" s="727"/>
      <c r="C38" s="728"/>
      <c r="D38" s="728"/>
      <c r="E38" s="765"/>
      <c r="F38" s="768" t="s">
        <v>1877</v>
      </c>
      <c r="Q38" t="s">
        <v>1499</v>
      </c>
      <c r="R38" s="686" t="s">
        <v>1870</v>
      </c>
      <c r="S38" s="774">
        <f>AE13</f>
        <v>3192</v>
      </c>
      <c r="T38" s="774">
        <f>AD13</f>
        <v>304</v>
      </c>
      <c r="U38" s="774">
        <f t="shared" ref="U38" si="29">S38-T38</f>
        <v>2888</v>
      </c>
      <c r="AM38" s="780">
        <v>0</v>
      </c>
      <c r="AN38" s="602">
        <v>331.71852200000001</v>
      </c>
      <c r="AO38" s="602">
        <v>357.05076500000001</v>
      </c>
      <c r="AP38" s="602">
        <v>367.56592599999999</v>
      </c>
      <c r="AQ38" s="602">
        <v>392.60223400000001</v>
      </c>
      <c r="AR38" s="602">
        <v>35.847403999999997</v>
      </c>
      <c r="AS38" s="602">
        <v>25.036307999999998</v>
      </c>
      <c r="AT38" s="602" t="s">
        <v>1661</v>
      </c>
      <c r="BF38" s="873" t="s">
        <v>31</v>
      </c>
      <c r="BG38" s="340"/>
      <c r="BH38" s="951" t="s">
        <v>1856</v>
      </c>
      <c r="BI38" s="954">
        <f>SUMIFS('POSF Inventory'!$IH$86:$NC$86,'POSF Inventory'!$IH$10:$NC$10,'Results Summary'!$BF38,'POSF Inventory'!$IH$2:$NC$2,'Results Summary'!$BG$32,'POSF Inventory'!$IH$3:$NC$3,'Results Summary'!BI$11)</f>
        <v>13.878715995000006</v>
      </c>
      <c r="BJ38" s="954">
        <f>SUMIFS('POSF Inventory'!$IH$86:$NC$86,'POSF Inventory'!$IH$10:$NC$10,'Results Summary'!$BF38,'POSF Inventory'!$IH$2:$NC$2,'Results Summary'!$BG$32,'POSF Inventory'!$IH$3:$NC$3,'Results Summary'!BJ$11)</f>
        <v>40.094068430000007</v>
      </c>
      <c r="BK38" s="954"/>
      <c r="BL38" s="954">
        <f>SUMIFS('POSF Inventory'!$IH$87:$NC$87,'POSF Inventory'!$IH$10:$NC$10,'Results Summary'!$BF38,'POSF Inventory'!$IH$2:$NC$2,'Results Summary'!$BG$32,'POSF Inventory'!$IH$3:$NC$3,'Results Summary'!BL$11)</f>
        <v>0.52127973000000005</v>
      </c>
      <c r="BM38" s="954">
        <f>SUMIFS('POSF Inventory'!$IH$87:$NC$87,'POSF Inventory'!$IH$10:$NC$10,'Results Summary'!$BF38,'POSF Inventory'!$IH$2:$NC$2,'Results Summary'!$BG$32,'POSF Inventory'!$IH$3:$NC$3,'Results Summary'!BM$11)</f>
        <v>1.5452561800000002</v>
      </c>
      <c r="BN38" s="954"/>
      <c r="BO38" s="954">
        <f>SUMIFS('POSF Inventory'!$IH$88:$NC$88,'POSF Inventory'!$IH$10:$NC$10,'Results Summary'!$BF38,'POSF Inventory'!$IH$2:$NC$2,'Results Summary'!$BG$32,'POSF Inventory'!$IH$3:$NC$3,'Results Summary'!BO$11)</f>
        <v>4.2498810000000012E-2</v>
      </c>
      <c r="BP38" s="954">
        <f>SUMIFS('POSF Inventory'!$IH$88:$NC$88,'POSF Inventory'!$IH$10:$NC$10,'Results Summary'!$BF38,'POSF Inventory'!$IH$2:$NC$2,'Results Summary'!$BG$32,'POSF Inventory'!$IH$3:$NC$3,'Results Summary'!BP$11)</f>
        <v>0.55248453000000008</v>
      </c>
      <c r="BQ38" s="954"/>
      <c r="BR38" s="954">
        <f>SUMIFS('POSF Inventory'!$IH$89:$NC$89,'POSF Inventory'!$IH$10:$NC$10,'Results Summary'!$BF38,'POSF Inventory'!$IH$2:$NC$2,'Results Summary'!$BG$32,'POSF Inventory'!$IH$3:$NC$3,'Results Summary'!BR$11)</f>
        <v>14.442494535000005</v>
      </c>
      <c r="BS38" s="954">
        <f>SUMIFS('POSF Inventory'!$IH$89:$NC$89,'POSF Inventory'!$IH$10:$NC$10,'Results Summary'!$BF38,'POSF Inventory'!$IH$2:$NC$2,'Results Summary'!$BG$32,'POSF Inventory'!$IH$3:$NC$3,'Results Summary'!BS$11)</f>
        <v>42.191809140000011</v>
      </c>
      <c r="BT38" s="804"/>
    </row>
    <row r="39" spans="2:82" ht="23" x14ac:dyDescent="0.3">
      <c r="B39" s="727"/>
      <c r="C39" s="728"/>
      <c r="D39" s="728"/>
      <c r="E39" s="765"/>
      <c r="F39" s="768" t="s">
        <v>1640</v>
      </c>
      <c r="Q39" t="s">
        <v>1864</v>
      </c>
      <c r="R39" s="686" t="s">
        <v>1872</v>
      </c>
      <c r="S39" s="346">
        <f>T13</f>
        <v>2785</v>
      </c>
      <c r="T39" s="346">
        <f>S13</f>
        <v>275</v>
      </c>
      <c r="U39" s="346">
        <f>S39-T39</f>
        <v>2510</v>
      </c>
      <c r="AM39" s="780">
        <v>0</v>
      </c>
      <c r="AN39" s="602">
        <v>50.856358999999998</v>
      </c>
      <c r="AO39" s="602">
        <v>54.352330000000002</v>
      </c>
      <c r="AP39" s="602">
        <v>55.562033</v>
      </c>
      <c r="AQ39" s="602">
        <v>57.352508999999998</v>
      </c>
      <c r="AR39" s="602">
        <v>4.7056740000000001</v>
      </c>
      <c r="AS39" s="602">
        <v>1.790476</v>
      </c>
      <c r="AT39" s="602" t="s">
        <v>1660</v>
      </c>
      <c r="BF39" s="873" t="s">
        <v>32</v>
      </c>
      <c r="BG39" s="340"/>
      <c r="BH39" s="951" t="s">
        <v>1857</v>
      </c>
      <c r="BI39" s="954">
        <f>SUMIFS('POSF Inventory'!$IH$86:$NC$86,'POSF Inventory'!$IH$10:$NC$10,'Results Summary'!$BF39,'POSF Inventory'!$IH$2:$NC$2,'Results Summary'!$BG$32,'POSF Inventory'!$IH$3:$NC$3,'Results Summary'!BI$11)</f>
        <v>6.9393579975000028</v>
      </c>
      <c r="BJ39" s="954">
        <f>SUMIFS('POSF Inventory'!$IH$86:$NC$86,'POSF Inventory'!$IH$10:$NC$10,'Results Summary'!$BF39,'POSF Inventory'!$IH$2:$NC$2,'Results Summary'!$BG$32,'POSF Inventory'!$IH$3:$NC$3,'Results Summary'!BJ$11)</f>
        <v>31.612630877500003</v>
      </c>
      <c r="BK39" s="954"/>
      <c r="BL39" s="954">
        <f>SUMIFS('POSF Inventory'!$IH$87:$NC$87,'POSF Inventory'!$IH$10:$NC$10,'Results Summary'!$BF39,'POSF Inventory'!$IH$2:$NC$2,'Results Summary'!$BG$32,'POSF Inventory'!$IH$3:$NC$3,'Results Summary'!BL$11)</f>
        <v>0.26063986500000003</v>
      </c>
      <c r="BM39" s="954">
        <f>SUMIFS('POSF Inventory'!$IH$87:$NC$87,'POSF Inventory'!$IH$10:$NC$10,'Results Summary'!$BF39,'POSF Inventory'!$IH$2:$NC$2,'Results Summary'!$BG$32,'POSF Inventory'!$IH$3:$NC$3,'Results Summary'!BM$11)</f>
        <v>1.2183750649999996</v>
      </c>
      <c r="BN39" s="954"/>
      <c r="BO39" s="954">
        <f>SUMIFS('POSF Inventory'!$IH$88:$NC$88,'POSF Inventory'!$IH$10:$NC$10,'Results Summary'!$BF39,'POSF Inventory'!$IH$2:$NC$2,'Results Summary'!$BG$32,'POSF Inventory'!$IH$3:$NC$3,'Results Summary'!BO$11)</f>
        <v>2.1249405000000006E-2</v>
      </c>
      <c r="BP39" s="954">
        <f>SUMIFS('POSF Inventory'!$IH$88:$NC$88,'POSF Inventory'!$IH$10:$NC$10,'Results Summary'!$BF39,'POSF Inventory'!$IH$2:$NC$2,'Results Summary'!$BG$32,'POSF Inventory'!$IH$3:$NC$3,'Results Summary'!BP$11)</f>
        <v>0.4356128024999999</v>
      </c>
      <c r="BQ39" s="954"/>
      <c r="BR39" s="954">
        <f>SUMIFS('POSF Inventory'!$IH$89:$NC$89,'POSF Inventory'!$IH$10:$NC$10,'Results Summary'!$BF39,'POSF Inventory'!$IH$2:$NC$2,'Results Summary'!$BG$32,'POSF Inventory'!$IH$3:$NC$3,'Results Summary'!BR$11)</f>
        <v>7.2212472675000026</v>
      </c>
      <c r="BS39" s="954">
        <f>SUMIFS('POSF Inventory'!$IH$89:$NC$89,'POSF Inventory'!$IH$10:$NC$10,'Results Summary'!$BF39,'POSF Inventory'!$IH$2:$NC$2,'Results Summary'!$BG$32,'POSF Inventory'!$IH$3:$NC$3,'Results Summary'!BS$11)</f>
        <v>33.266618745000002</v>
      </c>
      <c r="BT39" s="804"/>
    </row>
    <row r="40" spans="2:82" ht="23" x14ac:dyDescent="0.3">
      <c r="B40" s="727" t="s">
        <v>1482</v>
      </c>
      <c r="C40" s="728" t="s">
        <v>1483</v>
      </c>
      <c r="D40" s="741" t="s">
        <v>1484</v>
      </c>
      <c r="E40" s="765" t="str">
        <f>ROUND(AO43,0)&amp;" - "&amp;ROUND(AO38,0)</f>
        <v>2 - 357</v>
      </c>
      <c r="F40" s="768" t="s">
        <v>1485</v>
      </c>
      <c r="Q40" t="s">
        <v>1499</v>
      </c>
      <c r="R40" s="686" t="s">
        <v>1871</v>
      </c>
      <c r="S40" s="346">
        <f>AE14</f>
        <v>357</v>
      </c>
      <c r="T40" s="346">
        <f>AD14</f>
        <v>2</v>
      </c>
      <c r="U40" s="774">
        <f>S40-T40</f>
        <v>355</v>
      </c>
      <c r="AM40" s="780">
        <v>0</v>
      </c>
      <c r="AN40" s="602">
        <v>48.538608000000004</v>
      </c>
      <c r="AO40" s="602">
        <v>55.979503999999999</v>
      </c>
      <c r="AP40" s="602">
        <v>62.348032000000003</v>
      </c>
      <c r="AQ40" s="602">
        <v>66.859927999999996</v>
      </c>
      <c r="AR40" s="602">
        <v>13.809424</v>
      </c>
      <c r="AS40" s="602">
        <v>4.5118970000000003</v>
      </c>
      <c r="AT40" s="602" t="s">
        <v>1659</v>
      </c>
      <c r="BF40" s="873" t="s">
        <v>33</v>
      </c>
      <c r="BG40" s="340"/>
      <c r="BH40" s="951" t="s">
        <v>1858</v>
      </c>
      <c r="BI40" s="954">
        <f>SUMIFS('POSF Inventory'!$IH$86:$NC$86,'POSF Inventory'!$IH$10:$NC$10,'Results Summary'!$BF40,'POSF Inventory'!$IH$2:$NC$2,'Results Summary'!$BG$32,'POSF Inventory'!$IH$3:$NC$3,'Results Summary'!BI$11)</f>
        <v>651.52861198749997</v>
      </c>
      <c r="BJ40" s="954">
        <f>SUMIFS('POSF Inventory'!$IH$86:$NC$86,'POSF Inventory'!$IH$10:$NC$10,'Results Summary'!$BF40,'POSF Inventory'!$IH$2:$NC$2,'Results Summary'!$BG$32,'POSF Inventory'!$IH$3:$NC$3,'Results Summary'!BJ$11)</f>
        <v>653.07069154249996</v>
      </c>
      <c r="BK40" s="954"/>
      <c r="BL40" s="954">
        <f>SUMIFS('POSF Inventory'!$IH$87:$NC$87,'POSF Inventory'!$IH$10:$NC$10,'Results Summary'!$BF40,'POSF Inventory'!$IH$2:$NC$2,'Results Summary'!$BG$32,'POSF Inventory'!$IH$3:$NC$3,'Results Summary'!BL$11)</f>
        <v>24.471187324999995</v>
      </c>
      <c r="BM40" s="954">
        <f>SUMIFS('POSF Inventory'!$IH$87:$NC$87,'POSF Inventory'!$IH$10:$NC$10,'Results Summary'!$BF40,'POSF Inventory'!$IH$2:$NC$2,'Results Summary'!$BG$32,'POSF Inventory'!$IH$3:$NC$3,'Results Summary'!BM$11)</f>
        <v>25.169845854999998</v>
      </c>
      <c r="BN40" s="954"/>
      <c r="BO40" s="954">
        <f>SUMIFS('POSF Inventory'!$IH$88:$NC$88,'POSF Inventory'!$IH$10:$NC$10,'Results Summary'!$BF40,'POSF Inventory'!$IH$2:$NC$2,'Results Summary'!$BG$32,'POSF Inventory'!$IH$3:$NC$3,'Results Summary'!BO$11)</f>
        <v>1.995083025</v>
      </c>
      <c r="BP40" s="954">
        <f>SUMIFS('POSF Inventory'!$IH$88:$NC$88,'POSF Inventory'!$IH$10:$NC$10,'Results Summary'!$BF40,'POSF Inventory'!$IH$2:$NC$2,'Results Summary'!$BG$32,'POSF Inventory'!$IH$3:$NC$3,'Results Summary'!BP$11)</f>
        <v>8.9991230174999988</v>
      </c>
      <c r="BQ40" s="954"/>
      <c r="BR40" s="954">
        <f>SUMIFS('POSF Inventory'!$IH$89:$NC$89,'POSF Inventory'!$IH$10:$NC$10,'Results Summary'!$BF40,'POSF Inventory'!$IH$2:$NC$2,'Results Summary'!$BG$32,'POSF Inventory'!$IH$3:$NC$3,'Results Summary'!BR$11)</f>
        <v>677.99488233749992</v>
      </c>
      <c r="BS40" s="954">
        <f>SUMIFS('POSF Inventory'!$IH$89:$NC$89,'POSF Inventory'!$IH$10:$NC$10,'Results Summary'!$BF40,'POSF Inventory'!$IH$2:$NC$2,'Results Summary'!$BG$32,'POSF Inventory'!$IH$3:$NC$3,'Results Summary'!BS$11)</f>
        <v>687.239660415</v>
      </c>
      <c r="BT40" s="804"/>
    </row>
    <row r="41" spans="2:82" ht="23" x14ac:dyDescent="0.3">
      <c r="B41" s="727"/>
      <c r="C41" s="728"/>
      <c r="D41" s="728"/>
      <c r="E41" s="765"/>
      <c r="F41" s="768" t="s">
        <v>1595</v>
      </c>
      <c r="Q41" t="s">
        <v>1864</v>
      </c>
      <c r="R41" s="686" t="s">
        <v>1873</v>
      </c>
      <c r="S41" s="346">
        <f>T14</f>
        <v>168</v>
      </c>
      <c r="T41" s="346">
        <f>S14</f>
        <v>3</v>
      </c>
      <c r="U41" s="346">
        <f>S41-T41</f>
        <v>165</v>
      </c>
      <c r="AM41" s="780">
        <v>0</v>
      </c>
      <c r="AN41" s="602">
        <v>6.8215399999999997</v>
      </c>
      <c r="AO41" s="602">
        <v>7.4541430000000002</v>
      </c>
      <c r="AP41" s="602">
        <v>8.0560729999999996</v>
      </c>
      <c r="AQ41" s="602">
        <v>8.2657570000000007</v>
      </c>
      <c r="AR41" s="602">
        <v>1.2345330000000001</v>
      </c>
      <c r="AS41" s="602">
        <v>0.20968400000000001</v>
      </c>
      <c r="AT41" s="602" t="s">
        <v>1657</v>
      </c>
      <c r="BF41" s="873" t="s">
        <v>34</v>
      </c>
      <c r="BG41" s="340"/>
      <c r="BH41" s="951" t="s">
        <v>1859</v>
      </c>
      <c r="BI41" s="954">
        <f>SUMIFS('POSF Inventory'!$IH$86:$NC$86,'POSF Inventory'!$IH$10:$NC$10,'Results Summary'!$BF41,'POSF Inventory'!$IH$2:$NC$2,'Results Summary'!$BG$32,'POSF Inventory'!$IH$3:$NC$3,'Results Summary'!BI$11)</f>
        <v>0.77103977749999975</v>
      </c>
      <c r="BJ41" s="954">
        <f>SUMIFS('POSF Inventory'!$IH$86:$NC$86,'POSF Inventory'!$IH$10:$NC$10,'Results Summary'!$BF41,'POSF Inventory'!$IH$2:$NC$2,'Results Summary'!$BG$32,'POSF Inventory'!$IH$3:$NC$3,'Results Summary'!BJ$11)</f>
        <v>7.7103977750000015</v>
      </c>
      <c r="BK41" s="954"/>
      <c r="BL41" s="954">
        <f>SUMIFS('POSF Inventory'!$IH$87:$NC$87,'POSF Inventory'!$IH$10:$NC$10,'Results Summary'!$BF41,'POSF Inventory'!$IH$2:$NC$2,'Results Summary'!$BG$32,'POSF Inventory'!$IH$3:$NC$3,'Results Summary'!BL$11)</f>
        <v>2.8959984999999997E-2</v>
      </c>
      <c r="BM41" s="954">
        <f>SUMIFS('POSF Inventory'!$IH$87:$NC$87,'POSF Inventory'!$IH$10:$NC$10,'Results Summary'!$BF41,'POSF Inventory'!$IH$2:$NC$2,'Results Summary'!$BG$32,'POSF Inventory'!$IH$3:$NC$3,'Results Summary'!BM$11)</f>
        <v>0.29716464999999997</v>
      </c>
      <c r="BN41" s="954"/>
      <c r="BO41" s="954">
        <f>SUMIFS('POSF Inventory'!$IH$88:$NC$88,'POSF Inventory'!$IH$10:$NC$10,'Results Summary'!$BF41,'POSF Inventory'!$IH$2:$NC$2,'Results Summary'!$BG$32,'POSF Inventory'!$IH$3:$NC$3,'Results Summary'!BO$11)</f>
        <v>2.3610450000000004E-3</v>
      </c>
      <c r="BP41" s="954">
        <f>SUMIFS('POSF Inventory'!$IH$88:$NC$88,'POSF Inventory'!$IH$10:$NC$10,'Results Summary'!$BF41,'POSF Inventory'!$IH$2:$NC$2,'Results Summary'!$BG$32,'POSF Inventory'!$IH$3:$NC$3,'Results Summary'!BP$11)</f>
        <v>0.10624702499999999</v>
      </c>
      <c r="BQ41" s="954"/>
      <c r="BR41" s="954">
        <f>SUMIFS('POSF Inventory'!$IH$89:$NC$89,'POSF Inventory'!$IH$10:$NC$10,'Results Summary'!$BF41,'POSF Inventory'!$IH$2:$NC$2,'Results Summary'!$BG$32,'POSF Inventory'!$IH$3:$NC$3,'Results Summary'!BR$11)</f>
        <v>0.80236080749999983</v>
      </c>
      <c r="BS41" s="954">
        <f>SUMIFS('POSF Inventory'!$IH$89:$NC$89,'POSF Inventory'!$IH$10:$NC$10,'Results Summary'!$BF41,'POSF Inventory'!$IH$2:$NC$2,'Results Summary'!$BG$32,'POSF Inventory'!$IH$3:$NC$3,'Results Summary'!BS$11)</f>
        <v>8.1138094500000015</v>
      </c>
      <c r="BT41" s="804"/>
    </row>
    <row r="42" spans="2:82" ht="23" x14ac:dyDescent="0.3">
      <c r="B42" s="727" t="s">
        <v>1486</v>
      </c>
      <c r="C42" s="728" t="s">
        <v>3</v>
      </c>
      <c r="D42" s="741">
        <v>780</v>
      </c>
      <c r="E42" s="765" t="str">
        <f>ROUND(AO53,0)&amp;" - "&amp;ROUND(AO48,0)</f>
        <v>164 - 502</v>
      </c>
      <c r="F42" s="768" t="s">
        <v>1594</v>
      </c>
      <c r="AM42" s="780">
        <v>0</v>
      </c>
      <c r="AN42" s="602">
        <v>20.891569</v>
      </c>
      <c r="AO42" s="602">
        <v>27.377141000000002</v>
      </c>
      <c r="AP42" s="602">
        <v>32.657772999999999</v>
      </c>
      <c r="AQ42" s="602">
        <v>36.852992</v>
      </c>
      <c r="AR42" s="602">
        <v>11.766204</v>
      </c>
      <c r="AS42" s="602">
        <v>4.1952189999999998</v>
      </c>
      <c r="AT42" s="602" t="s">
        <v>1658</v>
      </c>
      <c r="BF42" s="873" t="s">
        <v>35</v>
      </c>
      <c r="BG42" s="340"/>
      <c r="BH42" s="953" t="s">
        <v>1860</v>
      </c>
      <c r="BI42" s="955">
        <f>SUMIFS('POSF Inventory'!$IH$86:$NC$86,'POSF Inventory'!$IH$10:$NC$10,'Results Summary'!$BF42,'POSF Inventory'!$IH$2:$NC$2,'Results Summary'!$BG$32,'POSF Inventory'!$IH$3:$NC$3,'Results Summary'!BI$11)</f>
        <v>0.77103977749999975</v>
      </c>
      <c r="BJ42" s="955">
        <f>SUMIFS('POSF Inventory'!$IH$86:$NC$86,'POSF Inventory'!$IH$10:$NC$10,'Results Summary'!$BF42,'POSF Inventory'!$IH$2:$NC$2,'Results Summary'!$BG$32,'POSF Inventory'!$IH$3:$NC$3,'Results Summary'!BJ$11)</f>
        <v>7.7103977750000015</v>
      </c>
      <c r="BK42" s="955"/>
      <c r="BL42" s="955">
        <f>SUMIFS('POSF Inventory'!$IH$87:$NC$87,'POSF Inventory'!$IH$10:$NC$10,'Results Summary'!$BF42,'POSF Inventory'!$IH$2:$NC$2,'Results Summary'!$BG$32,'POSF Inventory'!$IH$3:$NC$3,'Results Summary'!BL$11)</f>
        <v>2.8959984999999997E-2</v>
      </c>
      <c r="BM42" s="955">
        <f>SUMIFS('POSF Inventory'!$IH$87:$NC$87,'POSF Inventory'!$IH$10:$NC$10,'Results Summary'!$BF42,'POSF Inventory'!$IH$2:$NC$2,'Results Summary'!$BG$32,'POSF Inventory'!$IH$3:$NC$3,'Results Summary'!BM$11)</f>
        <v>0.29716464999999997</v>
      </c>
      <c r="BN42" s="955"/>
      <c r="BO42" s="955">
        <f>SUMIFS('POSF Inventory'!$IH$88:$NC$88,'POSF Inventory'!$IH$10:$NC$10,'Results Summary'!$BF42,'POSF Inventory'!$IH$2:$NC$2,'Results Summary'!$BG$32,'POSF Inventory'!$IH$3:$NC$3,'Results Summary'!BO$11)</f>
        <v>2.3610450000000004E-3</v>
      </c>
      <c r="BP42" s="955">
        <f>SUMIFS('POSF Inventory'!$IH$88:$NC$88,'POSF Inventory'!$IH$10:$NC$10,'Results Summary'!$BF42,'POSF Inventory'!$IH$2:$NC$2,'Results Summary'!$BG$32,'POSF Inventory'!$IH$3:$NC$3,'Results Summary'!BP$11)</f>
        <v>0.10624702499999999</v>
      </c>
      <c r="BQ42" s="955"/>
      <c r="BR42" s="955">
        <f>SUMIFS('POSF Inventory'!$IH$89:$NC$89,'POSF Inventory'!$IH$10:$NC$10,'Results Summary'!$BF42,'POSF Inventory'!$IH$2:$NC$2,'Results Summary'!$BG$32,'POSF Inventory'!$IH$3:$NC$3,'Results Summary'!BR$11)</f>
        <v>0.80236080749999983</v>
      </c>
      <c r="BS42" s="955">
        <f>SUMIFS('POSF Inventory'!$IH$89:$NC$89,'POSF Inventory'!$IH$10:$NC$10,'Results Summary'!$BF42,'POSF Inventory'!$IH$2:$NC$2,'Results Summary'!$BG$32,'POSF Inventory'!$IH$3:$NC$3,'Results Summary'!BS$11)</f>
        <v>8.1138094500000015</v>
      </c>
      <c r="BT42" s="804"/>
    </row>
    <row r="43" spans="2:82" ht="18" x14ac:dyDescent="0.25">
      <c r="B43" s="728" t="s">
        <v>0</v>
      </c>
      <c r="C43" s="728" t="s">
        <v>1487</v>
      </c>
      <c r="D43" s="728" t="s">
        <v>1488</v>
      </c>
      <c r="E43" s="765"/>
      <c r="F43" s="727" t="s">
        <v>1489</v>
      </c>
      <c r="AM43" s="780">
        <v>0</v>
      </c>
      <c r="AN43" s="602">
        <v>1.9087350000000001</v>
      </c>
      <c r="AO43" s="602">
        <v>2.3585280000000002</v>
      </c>
      <c r="AP43" s="602">
        <v>2.730823</v>
      </c>
      <c r="AQ43" s="602">
        <v>2.900401</v>
      </c>
      <c r="AR43" s="602">
        <v>0.82208899999999996</v>
      </c>
      <c r="AS43" s="602">
        <v>0.16957700000000001</v>
      </c>
      <c r="AT43" s="602" t="s">
        <v>1656</v>
      </c>
      <c r="BF43" s="339"/>
      <c r="BG43" s="340"/>
      <c r="BH43" s="340"/>
      <c r="BI43" s="340"/>
      <c r="BJ43" s="340"/>
      <c r="BK43" s="340"/>
      <c r="BL43" s="340"/>
      <c r="BM43" s="340"/>
      <c r="BN43" s="340"/>
      <c r="BO43" s="340"/>
      <c r="BP43" s="340"/>
      <c r="BQ43" s="340"/>
      <c r="BR43" s="340"/>
      <c r="BS43" s="340"/>
      <c r="BT43" s="804"/>
    </row>
    <row r="44" spans="2:82" ht="18" x14ac:dyDescent="0.25">
      <c r="B44" s="727"/>
      <c r="C44" s="728"/>
      <c r="D44" s="728"/>
      <c r="E44" s="765"/>
      <c r="F44" s="727"/>
      <c r="AU44" s="455"/>
      <c r="BF44" s="849"/>
      <c r="BG44" s="438"/>
      <c r="BH44" s="438"/>
      <c r="BI44" s="438"/>
      <c r="BJ44" s="438"/>
      <c r="BK44" s="438"/>
      <c r="BL44" s="438"/>
      <c r="BM44" s="438"/>
      <c r="BN44" s="438"/>
      <c r="BO44" s="438"/>
      <c r="BP44" s="438"/>
      <c r="BQ44" s="438"/>
      <c r="BR44" s="438"/>
      <c r="BS44" s="438"/>
      <c r="BT44" s="351"/>
    </row>
    <row r="45" spans="2:82" ht="18" x14ac:dyDescent="0.25">
      <c r="B45" s="733" t="s">
        <v>393</v>
      </c>
      <c r="C45" s="728"/>
      <c r="D45" s="728"/>
      <c r="E45" s="765"/>
      <c r="F45" s="727"/>
      <c r="AM45" s="851" t="s">
        <v>1662</v>
      </c>
      <c r="AU45" s="455"/>
      <c r="BT45" s="340"/>
      <c r="BU45" s="340"/>
    </row>
    <row r="46" spans="2:82" ht="18" x14ac:dyDescent="0.25">
      <c r="B46" s="727" t="s">
        <v>1490</v>
      </c>
      <c r="C46" s="728" t="s">
        <v>1491</v>
      </c>
      <c r="D46" s="742" t="s">
        <v>1492</v>
      </c>
      <c r="E46" s="765" t="str">
        <f>ROUND(I16,0)&amp;" - "&amp;ROUND(J16,0)</f>
        <v>128 - 518</v>
      </c>
      <c r="F46" s="727" t="s">
        <v>1493</v>
      </c>
      <c r="AM46" t="s">
        <v>2192</v>
      </c>
      <c r="AU46" s="455"/>
      <c r="BT46" s="340"/>
      <c r="BU46" s="340"/>
      <c r="BV46" s="350"/>
      <c r="BW46" s="819"/>
      <c r="BX46" s="819"/>
      <c r="BY46" s="819"/>
      <c r="BZ46" s="819"/>
      <c r="CA46" s="819"/>
      <c r="CB46" s="819"/>
      <c r="CC46" s="819"/>
      <c r="CD46" s="348"/>
    </row>
    <row r="47" spans="2:82" ht="19" x14ac:dyDescent="0.25">
      <c r="B47" s="727" t="s">
        <v>1478</v>
      </c>
      <c r="C47" s="728" t="s">
        <v>1494</v>
      </c>
      <c r="D47" s="740" t="s">
        <v>1495</v>
      </c>
      <c r="E47" s="765" t="str">
        <f>ROUND(I22,0)&amp;" - "&amp;ROUND(J22,0)</f>
        <v>169 - 6643</v>
      </c>
      <c r="F47" s="769" t="s">
        <v>1496</v>
      </c>
      <c r="AN47" s="341" t="s">
        <v>1411</v>
      </c>
      <c r="AO47" s="341" t="s">
        <v>1865</v>
      </c>
      <c r="AP47" s="341" t="s">
        <v>1652</v>
      </c>
      <c r="AQ47" s="341" t="s">
        <v>1653</v>
      </c>
      <c r="AR47" s="341" t="s">
        <v>1654</v>
      </c>
      <c r="AS47" s="341" t="s">
        <v>1655</v>
      </c>
      <c r="AT47" s="341" t="s">
        <v>1140</v>
      </c>
      <c r="AU47" s="851"/>
      <c r="BT47" s="340"/>
      <c r="BU47" s="340"/>
      <c r="BV47" s="339"/>
      <c r="BW47" s="939" t="s">
        <v>2024</v>
      </c>
      <c r="BX47" s="340"/>
      <c r="BY47" s="340"/>
      <c r="BZ47" s="340"/>
      <c r="CA47" s="340"/>
      <c r="CB47" s="340"/>
      <c r="CC47" s="340"/>
      <c r="CD47" s="804"/>
    </row>
    <row r="48" spans="2:82" ht="18" x14ac:dyDescent="0.25">
      <c r="B48" s="727"/>
      <c r="C48" s="728"/>
      <c r="D48" s="728"/>
      <c r="E48" s="765"/>
      <c r="F48" s="779" t="s">
        <v>1497</v>
      </c>
      <c r="AM48" s="780">
        <v>0</v>
      </c>
      <c r="AN48" s="602">
        <v>490.46799800000002</v>
      </c>
      <c r="AO48" s="602">
        <v>501.97160700000001</v>
      </c>
      <c r="AP48" s="602">
        <v>507.91493300000002</v>
      </c>
      <c r="AQ48" s="602">
        <v>513.16450799999996</v>
      </c>
      <c r="AR48" s="602">
        <v>17.446935</v>
      </c>
      <c r="AS48" s="602">
        <v>5.2495750000000001</v>
      </c>
      <c r="AT48" s="602" t="s">
        <v>1661</v>
      </c>
      <c r="AU48" s="455"/>
      <c r="BT48" s="340"/>
      <c r="BU48" s="340"/>
      <c r="BV48" s="339"/>
      <c r="BW48" s="937" t="s">
        <v>2198</v>
      </c>
      <c r="BX48" s="340"/>
      <c r="BY48" s="340"/>
      <c r="BZ48" s="340"/>
      <c r="CA48" s="340"/>
      <c r="CB48" s="340"/>
      <c r="CC48" s="340"/>
      <c r="CD48" s="804"/>
    </row>
    <row r="49" spans="2:82" ht="18" x14ac:dyDescent="0.25">
      <c r="B49" s="727"/>
      <c r="C49" s="728"/>
      <c r="D49" s="728"/>
      <c r="E49" s="765"/>
      <c r="F49" s="768" t="s">
        <v>1548</v>
      </c>
      <c r="AM49" s="780">
        <v>0</v>
      </c>
      <c r="AN49" s="602">
        <v>159.92184800000001</v>
      </c>
      <c r="AO49" s="602">
        <v>164.23257100000001</v>
      </c>
      <c r="AP49" s="602">
        <v>166.32756900000001</v>
      </c>
      <c r="AQ49" s="602">
        <v>168.356346</v>
      </c>
      <c r="AR49" s="602">
        <v>6.4057209999999998</v>
      </c>
      <c r="AS49" s="602">
        <v>2.0287769999999998</v>
      </c>
      <c r="AT49" s="602" t="s">
        <v>1660</v>
      </c>
      <c r="AU49" s="455"/>
      <c r="BF49" s="340"/>
      <c r="BG49" s="340"/>
      <c r="BH49" s="340"/>
      <c r="BI49" s="340"/>
      <c r="BJ49" s="340"/>
      <c r="BK49" s="340"/>
      <c r="BL49" s="340"/>
      <c r="BM49" s="340"/>
      <c r="BN49" s="340"/>
      <c r="BO49" s="340"/>
      <c r="BP49" s="340"/>
      <c r="BQ49" s="340"/>
      <c r="BR49" s="340"/>
      <c r="BS49" s="340"/>
      <c r="BT49" s="340"/>
      <c r="BU49" s="340"/>
      <c r="BV49" s="339"/>
      <c r="BW49" s="340"/>
      <c r="BX49" s="1127" t="s">
        <v>40</v>
      </c>
      <c r="BY49" s="1141"/>
      <c r="BZ49" s="1127" t="s">
        <v>1197</v>
      </c>
      <c r="CA49" s="1127"/>
      <c r="CB49" s="1128" t="s">
        <v>401</v>
      </c>
      <c r="CC49" s="1127"/>
      <c r="CD49" s="804"/>
    </row>
    <row r="50" spans="2:82" ht="64" x14ac:dyDescent="0.25">
      <c r="B50" s="733" t="s">
        <v>392</v>
      </c>
      <c r="C50" s="728"/>
      <c r="D50" s="728"/>
      <c r="E50" s="765"/>
      <c r="F50" s="727"/>
      <c r="AM50" s="780">
        <v>0</v>
      </c>
      <c r="AN50" s="602">
        <v>489.61234000000002</v>
      </c>
      <c r="AO50" s="602">
        <v>500.61951199999999</v>
      </c>
      <c r="AP50" s="602">
        <v>506.28981099999999</v>
      </c>
      <c r="AQ50" s="602">
        <v>505.95945899999998</v>
      </c>
      <c r="AR50" s="602">
        <v>16.677471000000001</v>
      </c>
      <c r="AS50" s="602">
        <v>-0.33035100000000001</v>
      </c>
      <c r="AT50" s="602" t="s">
        <v>1659</v>
      </c>
      <c r="AU50" s="455"/>
      <c r="BF50" s="340"/>
      <c r="BG50" s="340"/>
      <c r="BH50" s="340"/>
      <c r="BI50" s="340"/>
      <c r="BJ50" s="340"/>
      <c r="BK50" s="340"/>
      <c r="BL50" s="340"/>
      <c r="BM50" s="340"/>
      <c r="BN50" s="340"/>
      <c r="BO50" s="340"/>
      <c r="BP50" s="340"/>
      <c r="BQ50" s="340"/>
      <c r="BR50" s="340"/>
      <c r="BS50" s="340"/>
      <c r="BT50" s="340"/>
      <c r="BU50" s="340"/>
      <c r="BV50" s="339"/>
      <c r="BW50" s="340"/>
      <c r="BX50" s="1024" t="s">
        <v>2208</v>
      </c>
      <c r="BY50" s="1025" t="s">
        <v>2207</v>
      </c>
      <c r="BZ50" s="1024" t="s">
        <v>2208</v>
      </c>
      <c r="CA50" s="1025" t="s">
        <v>2207</v>
      </c>
      <c r="CB50" s="1024" t="s">
        <v>2208</v>
      </c>
      <c r="CC50" s="1024" t="s">
        <v>2207</v>
      </c>
      <c r="CD50" s="804"/>
    </row>
    <row r="51" spans="2:82" ht="19" thickBot="1" x14ac:dyDescent="0.3">
      <c r="B51" s="734" t="s">
        <v>1474</v>
      </c>
      <c r="C51" s="735" t="s">
        <v>3</v>
      </c>
      <c r="D51" s="739">
        <v>780</v>
      </c>
      <c r="E51" s="766" t="str">
        <f>ROUND(I14,0)&amp;" - "&amp;ROUND(J14,0)</f>
        <v>676 - 678</v>
      </c>
      <c r="F51" s="734"/>
      <c r="AM51" s="780">
        <v>0</v>
      </c>
      <c r="AN51" s="602">
        <v>159.44698299999999</v>
      </c>
      <c r="AO51" s="602">
        <v>163.848411</v>
      </c>
      <c r="AP51" s="602">
        <v>165.46472399999999</v>
      </c>
      <c r="AQ51" s="602">
        <v>166.05418299999999</v>
      </c>
      <c r="AR51" s="602">
        <v>6.017741</v>
      </c>
      <c r="AS51" s="602">
        <v>0.58945999999999998</v>
      </c>
      <c r="AT51" s="602" t="s">
        <v>1657</v>
      </c>
      <c r="AU51" s="455"/>
      <c r="BF51" s="340"/>
      <c r="BG51" s="340"/>
      <c r="BH51" s="340"/>
      <c r="BI51" s="340"/>
      <c r="BJ51" s="340"/>
      <c r="BK51" s="340"/>
      <c r="BL51" s="340"/>
      <c r="BM51" s="340"/>
      <c r="BN51" s="340"/>
      <c r="BO51" s="340"/>
      <c r="BP51" s="340"/>
      <c r="BQ51" s="340"/>
      <c r="BR51" s="340"/>
      <c r="BS51" s="340"/>
      <c r="BT51" s="340"/>
      <c r="BV51" s="339"/>
      <c r="BW51" s="686" t="s">
        <v>903</v>
      </c>
      <c r="BX51" s="1020" t="str">
        <f>'Frequency Detection'!L6&amp;" ("&amp;'Frequency Detection'!N6&amp;")"</f>
        <v>38 (36)</v>
      </c>
      <c r="BY51" s="1022">
        <f>2/2</f>
        <v>1</v>
      </c>
      <c r="BZ51" s="1020" t="str">
        <f>'Frequency Detection'!L22&amp;" ("&amp;'Frequency Detection'!N22&amp;")"</f>
        <v>167 (82)</v>
      </c>
      <c r="CA51" s="1023">
        <f>77/85</f>
        <v>0.90588235294117647</v>
      </c>
      <c r="CB51" s="1021" t="str">
        <f>'Frequency Detection'!L43&amp;" ("&amp;'Frequency Detection'!N43&amp;")"</f>
        <v>194 (96)</v>
      </c>
      <c r="CC51" s="1023">
        <f>6/98</f>
        <v>6.1224489795918366E-2</v>
      </c>
      <c r="CD51" s="804"/>
    </row>
    <row r="52" spans="2:82" x14ac:dyDescent="0.2">
      <c r="AM52" s="780">
        <v>0</v>
      </c>
      <c r="AN52" s="602">
        <v>489.61234000000002</v>
      </c>
      <c r="AO52" s="602">
        <v>500.61951199999999</v>
      </c>
      <c r="AP52" s="602">
        <v>506.28981099999999</v>
      </c>
      <c r="AQ52" s="602">
        <v>505.95945899999998</v>
      </c>
      <c r="AR52" s="602">
        <v>16.677471000000001</v>
      </c>
      <c r="AS52" s="602">
        <v>-0.33035100000000001</v>
      </c>
      <c r="AT52" s="602" t="s">
        <v>1658</v>
      </c>
      <c r="AU52" s="455"/>
      <c r="BV52" s="339"/>
      <c r="BW52" s="686" t="s">
        <v>904</v>
      </c>
      <c r="BX52" s="1020" t="str">
        <f>'Frequency Detection'!L7&amp;" ("&amp;'Frequency Detection'!N7&amp;")"</f>
        <v>22 (17)</v>
      </c>
      <c r="BY52" s="1022">
        <f>3/5</f>
        <v>0.6</v>
      </c>
      <c r="BZ52" s="1020" t="str">
        <f>'Frequency Detection'!L23&amp;" ("&amp;'Frequency Detection'!N23&amp;")"</f>
        <v>13 (6)</v>
      </c>
      <c r="CA52" s="1023">
        <f>6/7</f>
        <v>0.8571428571428571</v>
      </c>
      <c r="CB52" s="1021" t="str">
        <f>'Frequency Detection'!L44&amp;" ("&amp;'Frequency Detection'!N44&amp;")"</f>
        <v>12 (6)</v>
      </c>
      <c r="CC52" s="1023">
        <f>0/6</f>
        <v>0</v>
      </c>
      <c r="CD52" s="804"/>
    </row>
    <row r="53" spans="2:82" x14ac:dyDescent="0.2">
      <c r="AM53" s="780">
        <v>0</v>
      </c>
      <c r="AN53" s="602">
        <v>159.44698299999999</v>
      </c>
      <c r="AO53" s="602">
        <v>163.848411</v>
      </c>
      <c r="AP53" s="602">
        <v>165.46472399999999</v>
      </c>
      <c r="AQ53" s="602">
        <v>166.05418299999999</v>
      </c>
      <c r="AR53" s="602">
        <v>6.017741</v>
      </c>
      <c r="AS53" s="602">
        <v>0.58945999999999998</v>
      </c>
      <c r="AT53" s="602" t="s">
        <v>1656</v>
      </c>
      <c r="AU53" s="455"/>
      <c r="BV53" s="339"/>
      <c r="BW53" s="686" t="s">
        <v>399</v>
      </c>
      <c r="BX53" s="1020" t="str">
        <f>'Frequency Detection'!L8&amp;" ("&amp;'Frequency Detection'!N8&amp;")"</f>
        <v>31 (16)</v>
      </c>
      <c r="BY53" s="1022">
        <f>11/15</f>
        <v>0.73333333333333328</v>
      </c>
      <c r="BZ53" s="1020" t="str">
        <f>'Frequency Detection'!L24&amp;" ("&amp;'Frequency Detection'!N24&amp;")"</f>
        <v>31 (4)</v>
      </c>
      <c r="CA53" s="1023">
        <f>22/27</f>
        <v>0.81481481481481477</v>
      </c>
      <c r="CB53" s="1021" t="str">
        <f>'Frequency Detection'!L45&amp;" ("&amp;'Frequency Detection'!N45&amp;")"</f>
        <v>31 (5)</v>
      </c>
      <c r="CC53" s="1023">
        <f>4/26</f>
        <v>0.15384615384615385</v>
      </c>
      <c r="CD53" s="804"/>
    </row>
    <row r="54" spans="2:82" x14ac:dyDescent="0.2">
      <c r="BV54" s="339"/>
      <c r="BW54" s="686" t="s">
        <v>400</v>
      </c>
      <c r="BX54" s="1020" t="str">
        <f>'Frequency Detection'!L9&amp;" ("&amp;'Frequency Detection'!N9&amp;")"</f>
        <v>48 (9)</v>
      </c>
      <c r="BY54" s="1022">
        <f>24/39</f>
        <v>0.61538461538461542</v>
      </c>
      <c r="BZ54" s="1020" t="str">
        <f>'Frequency Detection'!L25&amp;" ("&amp;'Frequency Detection'!N25&amp;")"</f>
        <v>8 (1)</v>
      </c>
      <c r="CA54" s="1023">
        <f>4/7</f>
        <v>0.5714285714285714</v>
      </c>
      <c r="CB54" s="1021" t="str">
        <f>'Frequency Detection'!L46&amp;" ("&amp;'Frequency Detection'!N46&amp;")"</f>
        <v>8 (1)</v>
      </c>
      <c r="CC54" s="1023">
        <f>0/7</f>
        <v>0</v>
      </c>
      <c r="CD54" s="804"/>
    </row>
    <row r="55" spans="2:82" x14ac:dyDescent="0.2">
      <c r="BV55" s="339"/>
      <c r="BW55" s="686" t="s">
        <v>905</v>
      </c>
      <c r="BX55" s="1020" t="str">
        <f>'Frequency Detection'!L10&amp;" ("&amp;'Frequency Detection'!N10&amp;")"</f>
        <v>43 (13)</v>
      </c>
      <c r="BY55" s="1022">
        <f>16/30</f>
        <v>0.53333333333333333</v>
      </c>
      <c r="BZ55" s="1020" t="str">
        <f>'Frequency Detection'!L26&amp;" ("&amp;'Frequency Detection'!N26&amp;")"</f>
        <v>11 (3)</v>
      </c>
      <c r="CA55" s="1023">
        <f>3/8</f>
        <v>0.375</v>
      </c>
      <c r="CB55" s="1021" t="str">
        <f>'Frequency Detection'!L47&amp;" ("&amp;'Frequency Detection'!N47&amp;")"</f>
        <v>11 (2)</v>
      </c>
      <c r="CC55" s="1023">
        <f>0/9</f>
        <v>0</v>
      </c>
      <c r="CD55" s="804"/>
    </row>
    <row r="56" spans="2:82" x14ac:dyDescent="0.2">
      <c r="BV56" s="339"/>
      <c r="BW56" s="686" t="s">
        <v>692</v>
      </c>
      <c r="BX56" s="1020" t="str">
        <f>'Frequency Detection'!L11&amp;" ("&amp;'Frequency Detection'!N11&amp;")"</f>
        <v>29 (13)</v>
      </c>
      <c r="BY56" s="1121">
        <f>7/16</f>
        <v>0.4375</v>
      </c>
      <c r="BZ56" s="1020" t="str">
        <f>'Frequency Detection'!L27&amp;" ("&amp;'Frequency Detection'!N27&amp;")"</f>
        <v>22 (9)</v>
      </c>
      <c r="CA56" s="1023">
        <f>3/13</f>
        <v>0.23076923076923078</v>
      </c>
      <c r="CB56" s="1021" t="str">
        <f>'Frequency Detection'!L48&amp;" ("&amp;'Frequency Detection'!N48&amp;")"</f>
        <v>22 (2)</v>
      </c>
      <c r="CC56" s="1023">
        <f>0/20</f>
        <v>0</v>
      </c>
      <c r="CD56" s="804"/>
    </row>
    <row r="57" spans="2:82" ht="21" x14ac:dyDescent="0.25">
      <c r="B57" s="856" t="s">
        <v>1649</v>
      </c>
      <c r="BV57" s="339"/>
      <c r="BW57" s="686" t="s">
        <v>906</v>
      </c>
      <c r="BX57" s="1020" t="str">
        <f>'Frequency Detection'!L12&amp;" ("&amp;'Frequency Detection'!N12&amp;")"</f>
        <v>27 (8)</v>
      </c>
      <c r="BY57" s="1022">
        <f>0/19</f>
        <v>0</v>
      </c>
      <c r="BZ57" s="1020" t="str">
        <f>'Frequency Detection'!L28&amp;" ("&amp;'Frequency Detection'!N28&amp;")"</f>
        <v>8 (6)</v>
      </c>
      <c r="CA57" s="1023">
        <f>0/2</f>
        <v>0</v>
      </c>
      <c r="CB57" s="1021" t="str">
        <f>'Frequency Detection'!L49&amp;" ("&amp;'Frequency Detection'!N49&amp;")"</f>
        <v>7 (4)</v>
      </c>
      <c r="CC57" s="1023">
        <f>0/3</f>
        <v>0</v>
      </c>
      <c r="CD57" s="804"/>
    </row>
    <row r="58" spans="2:82" x14ac:dyDescent="0.2">
      <c r="BV58" s="339"/>
      <c r="BW58" s="686" t="s">
        <v>907</v>
      </c>
      <c r="BX58" s="1020" t="str">
        <f>'Frequency Detection'!L13&amp;" ("&amp;'Frequency Detection'!N13&amp;")"</f>
        <v>18 (9)</v>
      </c>
      <c r="BY58" s="1022">
        <f>0/9</f>
        <v>0</v>
      </c>
      <c r="BZ58" s="1020" t="str">
        <f>'Frequency Detection'!L29&amp;" ("&amp;'Frequency Detection'!N29&amp;")"</f>
        <v>8 (5)</v>
      </c>
      <c r="CA58" s="1023">
        <f>3/3</f>
        <v>1</v>
      </c>
      <c r="CB58" s="1021" t="str">
        <f>'Frequency Detection'!L50&amp;" ("&amp;'Frequency Detection'!N50&amp;")"</f>
        <v>8 (5)</v>
      </c>
      <c r="CC58" s="1023">
        <f>0/3</f>
        <v>0</v>
      </c>
      <c r="CD58" s="804"/>
    </row>
    <row r="59" spans="2:82" x14ac:dyDescent="0.2">
      <c r="B59" s="686" t="s">
        <v>1521</v>
      </c>
      <c r="C59" s="686" t="s">
        <v>1519</v>
      </c>
      <c r="D59" s="686" t="s">
        <v>1499</v>
      </c>
      <c r="F59" s="686" t="s">
        <v>1521</v>
      </c>
      <c r="G59" s="686" t="s">
        <v>1519</v>
      </c>
      <c r="H59" s="686" t="s">
        <v>1499</v>
      </c>
      <c r="I59" s="459"/>
      <c r="J59" s="459"/>
      <c r="K59" s="459"/>
      <c r="L59" s="459"/>
      <c r="BV59" s="339"/>
      <c r="BW59" s="686" t="s">
        <v>908</v>
      </c>
      <c r="BX59" s="1020" t="str">
        <f>'Frequency Detection'!L14&amp;" ("&amp;'Frequency Detection'!N14&amp;")"</f>
        <v>24 (11)</v>
      </c>
      <c r="BY59" s="1023">
        <f>0/13</f>
        <v>0</v>
      </c>
      <c r="BZ59" s="1020" t="str">
        <f>'Frequency Detection'!L30&amp;" ("&amp;'Frequency Detection'!N30&amp;")"</f>
        <v>27 (8)</v>
      </c>
      <c r="CA59" s="1023">
        <f>17/19</f>
        <v>0.89473684210526316</v>
      </c>
      <c r="CB59" s="1020" t="str">
        <f>'Frequency Detection'!L51&amp;" ("&amp;'Frequency Detection'!N51&amp;")"</f>
        <v>25 (10)</v>
      </c>
      <c r="CC59" s="1023">
        <f>0/15</f>
        <v>0</v>
      </c>
      <c r="CD59" s="804"/>
    </row>
    <row r="60" spans="2:82" x14ac:dyDescent="0.2">
      <c r="B60" s="452" t="s">
        <v>702</v>
      </c>
      <c r="C60" s="452"/>
      <c r="D60" s="452"/>
      <c r="F60" s="341" t="s">
        <v>1563</v>
      </c>
      <c r="BV60" s="339"/>
      <c r="BW60" s="686" t="s">
        <v>909</v>
      </c>
      <c r="BX60" s="1020" t="str">
        <f>'Frequency Detection'!L15&amp;" ("&amp;'Frequency Detection'!N15&amp;")"</f>
        <v>0 (0)</v>
      </c>
      <c r="BY60" s="1020" t="s">
        <v>3</v>
      </c>
      <c r="BZ60" s="1020" t="str">
        <f>'Frequency Detection'!L31&amp;" ("&amp;'Frequency Detection'!N31&amp;")"</f>
        <v>0 (0)</v>
      </c>
      <c r="CA60" s="1020" t="s">
        <v>3</v>
      </c>
      <c r="CB60" s="1020" t="str">
        <f>'Frequency Detection'!L52&amp;" ("&amp;'Frequency Detection'!N52&amp;")"</f>
        <v>0 (0)</v>
      </c>
      <c r="CC60" s="1020" t="s">
        <v>3</v>
      </c>
      <c r="CD60" s="804"/>
    </row>
    <row r="61" spans="2:82" ht="176" x14ac:dyDescent="0.2">
      <c r="B61" s="928" t="s">
        <v>1543</v>
      </c>
      <c r="C61" s="929" t="s">
        <v>1573</v>
      </c>
      <c r="D61" s="930" t="s">
        <v>1576</v>
      </c>
      <c r="F61" s="932" t="s">
        <v>1578</v>
      </c>
      <c r="G61" s="932" t="s">
        <v>1606</v>
      </c>
      <c r="H61" s="932" t="s">
        <v>1605</v>
      </c>
      <c r="I61" s="844"/>
      <c r="J61" s="844"/>
      <c r="K61" s="844"/>
      <c r="L61" s="844"/>
      <c r="BV61" s="849"/>
      <c r="BW61" s="438"/>
      <c r="BX61" s="438"/>
      <c r="BY61" s="438"/>
      <c r="BZ61" s="438"/>
      <c r="CA61" s="438"/>
      <c r="CB61" s="438"/>
      <c r="CC61" s="438"/>
      <c r="CD61" s="351"/>
    </row>
    <row r="62" spans="2:82" ht="352" x14ac:dyDescent="0.2">
      <c r="B62" s="925" t="s">
        <v>1545</v>
      </c>
      <c r="C62" s="746" t="s">
        <v>1546</v>
      </c>
      <c r="D62" s="746" t="s">
        <v>1547</v>
      </c>
      <c r="F62" s="931" t="s">
        <v>1568</v>
      </c>
      <c r="G62" s="746" t="s">
        <v>1520</v>
      </c>
      <c r="H62" s="746" t="s">
        <v>1583</v>
      </c>
      <c r="I62" s="844"/>
      <c r="J62" s="844"/>
      <c r="K62" s="844"/>
      <c r="L62" s="844"/>
    </row>
    <row r="63" spans="2:82" ht="96" x14ac:dyDescent="0.2">
      <c r="B63" s="926" t="s">
        <v>1562</v>
      </c>
      <c r="C63" s="746" t="s">
        <v>1590</v>
      </c>
      <c r="D63" s="746" t="s">
        <v>1593</v>
      </c>
      <c r="F63" s="927" t="s">
        <v>1581</v>
      </c>
      <c r="G63" s="927" t="s">
        <v>1587</v>
      </c>
      <c r="H63" s="927" t="s">
        <v>1575</v>
      </c>
      <c r="I63" s="844"/>
      <c r="J63" s="844"/>
      <c r="K63" s="844"/>
      <c r="L63" s="844"/>
    </row>
    <row r="64" spans="2:82" ht="160" x14ac:dyDescent="0.2">
      <c r="B64" s="925" t="s">
        <v>1564</v>
      </c>
      <c r="C64" s="346" t="s">
        <v>1566</v>
      </c>
      <c r="D64" s="776" t="s">
        <v>1596</v>
      </c>
      <c r="F64" s="927" t="s">
        <v>1574</v>
      </c>
      <c r="G64" s="927" t="s">
        <v>1572</v>
      </c>
      <c r="H64" s="927" t="s">
        <v>1599</v>
      </c>
      <c r="I64" s="845"/>
      <c r="J64" s="845"/>
      <c r="K64" s="845"/>
      <c r="L64" s="845"/>
    </row>
    <row r="65" spans="2:12" ht="176" x14ac:dyDescent="0.2">
      <c r="B65" s="603" t="s">
        <v>1565</v>
      </c>
      <c r="C65" s="927" t="s">
        <v>1591</v>
      </c>
      <c r="D65" s="776" t="s">
        <v>1598</v>
      </c>
      <c r="F65" s="746" t="s">
        <v>1577</v>
      </c>
      <c r="G65" s="746" t="s">
        <v>1588</v>
      </c>
      <c r="H65" s="746" t="s">
        <v>1580</v>
      </c>
      <c r="I65" s="844"/>
      <c r="J65" s="844"/>
      <c r="K65" s="844"/>
      <c r="L65" s="844"/>
    </row>
    <row r="66" spans="2:12" ht="240" x14ac:dyDescent="0.2">
      <c r="B66" s="927" t="s">
        <v>1567</v>
      </c>
      <c r="C66" s="927" t="s">
        <v>1592</v>
      </c>
      <c r="D66" s="927" t="s">
        <v>1579</v>
      </c>
      <c r="F66" s="746" t="s">
        <v>1582</v>
      </c>
      <c r="G66" s="776" t="s">
        <v>1589</v>
      </c>
      <c r="H66" s="776" t="s">
        <v>1584</v>
      </c>
      <c r="I66" s="846"/>
      <c r="J66" s="846"/>
      <c r="K66" s="846"/>
      <c r="L66" s="846"/>
    </row>
    <row r="67" spans="2:12" ht="128" x14ac:dyDescent="0.2">
      <c r="B67" s="603" t="s">
        <v>1569</v>
      </c>
      <c r="C67" s="927" t="s">
        <v>1570</v>
      </c>
      <c r="D67" s="927" t="s">
        <v>1571</v>
      </c>
      <c r="F67" s="926" t="s">
        <v>1585</v>
      </c>
      <c r="G67" s="746" t="s">
        <v>1520</v>
      </c>
      <c r="H67" s="746" t="s">
        <v>1586</v>
      </c>
      <c r="I67" s="844"/>
      <c r="J67" s="844"/>
      <c r="K67" s="844"/>
      <c r="L67" s="844"/>
    </row>
    <row r="68" spans="2:12" x14ac:dyDescent="0.2">
      <c r="B68" s="346"/>
      <c r="C68" s="346"/>
      <c r="D68" s="346"/>
    </row>
    <row r="69" spans="2:12" x14ac:dyDescent="0.2">
      <c r="B69" s="346"/>
      <c r="C69" s="346"/>
      <c r="D69" s="346"/>
    </row>
    <row r="70" spans="2:12" x14ac:dyDescent="0.2">
      <c r="B70" s="346"/>
      <c r="C70" s="346"/>
      <c r="D70" s="346"/>
    </row>
    <row r="71" spans="2:12" x14ac:dyDescent="0.2">
      <c r="B71" s="346"/>
      <c r="C71" s="346"/>
      <c r="D71" s="346"/>
    </row>
    <row r="72" spans="2:12" x14ac:dyDescent="0.2">
      <c r="B72" s="346"/>
      <c r="C72" s="346"/>
      <c r="D72" s="346"/>
    </row>
  </sheetData>
  <mergeCells count="20">
    <mergeCell ref="Z10:AA10"/>
    <mergeCell ref="AB10:AC10"/>
    <mergeCell ref="AF10:AG10"/>
    <mergeCell ref="BX49:BY49"/>
    <mergeCell ref="BZ49:CA49"/>
    <mergeCell ref="CB49:CC49"/>
    <mergeCell ref="E6:F6"/>
    <mergeCell ref="C6:D6"/>
    <mergeCell ref="M6:N6"/>
    <mergeCell ref="G6:H6"/>
    <mergeCell ref="I6:J6"/>
    <mergeCell ref="S34:U34"/>
    <mergeCell ref="AP9:AV9"/>
    <mergeCell ref="K6:L6"/>
    <mergeCell ref="AD10:AE10"/>
    <mergeCell ref="S10:T10"/>
    <mergeCell ref="S8:T8"/>
    <mergeCell ref="V8:AG8"/>
    <mergeCell ref="V10:W10"/>
    <mergeCell ref="X10:Y10"/>
  </mergeCells>
  <pageMargins left="0.7" right="0.7" top="0.75" bottom="0.75" header="0.3" footer="0.3"/>
  <pageSetup paperSize="9" orientation="portrait" horizontalDpi="4294967292" verticalDpi="4294967292"/>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A193"/>
  <sheetViews>
    <sheetView showGridLines="0" zoomScale="50" zoomScaleNormal="50" zoomScalePageLayoutView="50" workbookViewId="0">
      <selection activeCell="H8" sqref="H8"/>
    </sheetView>
  </sheetViews>
  <sheetFormatPr baseColWidth="10" defaultColWidth="11" defaultRowHeight="16" x14ac:dyDescent="0.2"/>
  <cols>
    <col min="2" max="2" width="42.1640625" customWidth="1"/>
    <col min="3" max="3" width="21.1640625" customWidth="1"/>
    <col min="4" max="4" width="43.83203125" customWidth="1"/>
    <col min="5" max="5" width="30.83203125" customWidth="1"/>
    <col min="6" max="6" width="34.1640625" customWidth="1"/>
    <col min="10" max="10" width="51.1640625" customWidth="1"/>
    <col min="15" max="15" width="10.83203125" customWidth="1"/>
  </cols>
  <sheetData>
    <row r="3" spans="2:10" ht="21" x14ac:dyDescent="0.25">
      <c r="B3" s="596" t="s">
        <v>2163</v>
      </c>
    </row>
    <row r="5" spans="2:10" x14ac:dyDescent="0.2">
      <c r="J5" s="602" t="s">
        <v>1835</v>
      </c>
    </row>
    <row r="6" spans="2:10" ht="52" customHeight="1" x14ac:dyDescent="0.2">
      <c r="B6" s="965"/>
      <c r="C6" s="965"/>
      <c r="D6" s="966" t="s">
        <v>2038</v>
      </c>
      <c r="E6" s="967" t="s">
        <v>2203</v>
      </c>
      <c r="F6" s="967" t="s">
        <v>2202</v>
      </c>
      <c r="H6" s="1026"/>
    </row>
    <row r="7" spans="2:10" ht="43" customHeight="1" x14ac:dyDescent="0.2">
      <c r="B7" s="975" t="s">
        <v>1811</v>
      </c>
      <c r="C7" s="968" t="s">
        <v>1812</v>
      </c>
      <c r="D7" s="969" t="s">
        <v>1411</v>
      </c>
      <c r="E7" s="970" t="s">
        <v>1813</v>
      </c>
      <c r="F7" s="970" t="s">
        <v>1814</v>
      </c>
    </row>
    <row r="8" spans="2:10" ht="43" customHeight="1" x14ac:dyDescent="0.2">
      <c r="B8" s="975"/>
      <c r="C8" s="968" t="s">
        <v>1815</v>
      </c>
      <c r="D8" s="969" t="s">
        <v>1816</v>
      </c>
      <c r="E8" s="970" t="s">
        <v>1816</v>
      </c>
      <c r="F8" s="970" t="s">
        <v>1816</v>
      </c>
    </row>
    <row r="9" spans="2:10" ht="46" customHeight="1" x14ac:dyDescent="0.2">
      <c r="B9" s="975" t="s">
        <v>1817</v>
      </c>
      <c r="C9" s="968" t="s">
        <v>1812</v>
      </c>
      <c r="D9" s="971" t="s">
        <v>2032</v>
      </c>
      <c r="E9" s="972" t="s">
        <v>1818</v>
      </c>
      <c r="F9" s="972" t="s">
        <v>1819</v>
      </c>
      <c r="J9" s="602" t="s">
        <v>1836</v>
      </c>
    </row>
    <row r="10" spans="2:10" ht="51" customHeight="1" x14ac:dyDescent="0.2">
      <c r="B10" s="975"/>
      <c r="C10" s="968" t="s">
        <v>1815</v>
      </c>
      <c r="D10" s="971" t="s">
        <v>1820</v>
      </c>
      <c r="E10" s="970" t="s">
        <v>1821</v>
      </c>
      <c r="F10" s="972" t="s">
        <v>1837</v>
      </c>
    </row>
    <row r="11" spans="2:10" ht="43" customHeight="1" x14ac:dyDescent="0.2">
      <c r="B11" s="975" t="s">
        <v>1834</v>
      </c>
      <c r="C11" s="968" t="s">
        <v>392</v>
      </c>
      <c r="D11" s="969" t="s">
        <v>1822</v>
      </c>
      <c r="E11" s="970" t="s">
        <v>1823</v>
      </c>
      <c r="F11" s="970" t="s">
        <v>1823</v>
      </c>
    </row>
    <row r="12" spans="2:10" ht="43" customHeight="1" x14ac:dyDescent="0.2">
      <c r="B12" s="975"/>
      <c r="C12" s="968" t="s">
        <v>40</v>
      </c>
      <c r="D12" s="969" t="s">
        <v>2037</v>
      </c>
      <c r="E12" s="970" t="s">
        <v>1824</v>
      </c>
      <c r="F12" s="970" t="s">
        <v>1824</v>
      </c>
    </row>
    <row r="13" spans="2:10" ht="43" customHeight="1" x14ac:dyDescent="0.2">
      <c r="B13" s="975"/>
      <c r="C13" s="968" t="s">
        <v>2030</v>
      </c>
      <c r="D13" s="969" t="s">
        <v>2037</v>
      </c>
      <c r="E13" s="970" t="s">
        <v>1824</v>
      </c>
      <c r="F13" s="970" t="s">
        <v>1824</v>
      </c>
    </row>
    <row r="14" spans="2:10" ht="43" customHeight="1" x14ac:dyDescent="0.2">
      <c r="B14" s="975"/>
      <c r="C14" s="968" t="s">
        <v>1815</v>
      </c>
      <c r="D14" s="971" t="s">
        <v>1816</v>
      </c>
      <c r="E14" s="970" t="s">
        <v>1816</v>
      </c>
      <c r="F14" s="970" t="s">
        <v>1816</v>
      </c>
    </row>
    <row r="15" spans="2:10" ht="63" customHeight="1" x14ac:dyDescent="0.2">
      <c r="B15" s="975" t="s">
        <v>1839</v>
      </c>
      <c r="C15" s="968" t="s">
        <v>40</v>
      </c>
      <c r="D15" s="971" t="s">
        <v>2029</v>
      </c>
      <c r="E15" s="970" t="s">
        <v>1825</v>
      </c>
      <c r="F15" s="972" t="s">
        <v>2162</v>
      </c>
      <c r="J15" s="602" t="s">
        <v>1838</v>
      </c>
    </row>
    <row r="16" spans="2:10" ht="61" customHeight="1" x14ac:dyDescent="0.2">
      <c r="B16" s="975"/>
      <c r="C16" s="968" t="s">
        <v>2030</v>
      </c>
      <c r="D16" s="971" t="s">
        <v>1826</v>
      </c>
      <c r="E16" s="970" t="s">
        <v>1827</v>
      </c>
      <c r="F16" s="972" t="s">
        <v>1828</v>
      </c>
    </row>
    <row r="17" spans="2:6" ht="43" customHeight="1" x14ac:dyDescent="0.2">
      <c r="B17" s="975"/>
      <c r="C17" s="968" t="s">
        <v>1829</v>
      </c>
      <c r="D17" s="969" t="s">
        <v>1830</v>
      </c>
      <c r="E17" s="970" t="s">
        <v>1823</v>
      </c>
      <c r="F17" s="972" t="s">
        <v>1830</v>
      </c>
    </row>
    <row r="18" spans="2:6" ht="43" customHeight="1" x14ac:dyDescent="0.2">
      <c r="B18" s="975"/>
      <c r="C18" s="968" t="s">
        <v>1815</v>
      </c>
      <c r="D18" s="971" t="s">
        <v>1831</v>
      </c>
      <c r="E18" s="972" t="s">
        <v>1832</v>
      </c>
      <c r="F18" s="972" t="s">
        <v>1832</v>
      </c>
    </row>
    <row r="19" spans="2:6" ht="43" customHeight="1" x14ac:dyDescent="0.2">
      <c r="B19" s="973" t="s">
        <v>1833</v>
      </c>
      <c r="C19" s="973"/>
      <c r="D19" s="974" t="s">
        <v>1822</v>
      </c>
      <c r="E19" s="973" t="s">
        <v>2031</v>
      </c>
      <c r="F19" s="973" t="s">
        <v>2031</v>
      </c>
    </row>
    <row r="20" spans="2:6" ht="12" customHeight="1" x14ac:dyDescent="0.2">
      <c r="B20" s="964"/>
      <c r="C20" s="964"/>
      <c r="D20" s="964"/>
      <c r="E20" s="964"/>
      <c r="F20" s="964"/>
    </row>
    <row r="21" spans="2:6" x14ac:dyDescent="0.2">
      <c r="B21" s="819"/>
      <c r="C21" s="819"/>
      <c r="D21" s="819"/>
      <c r="E21" s="819"/>
      <c r="F21" s="819"/>
    </row>
    <row r="32" spans="2:6" ht="21" x14ac:dyDescent="0.25">
      <c r="B32" s="596" t="s">
        <v>1890</v>
      </c>
    </row>
    <row r="33" spans="2:8" x14ac:dyDescent="0.2">
      <c r="B33" s="341"/>
      <c r="C33" s="1142" t="s">
        <v>2</v>
      </c>
      <c r="D33" s="1142"/>
      <c r="E33" s="1142" t="s">
        <v>11</v>
      </c>
      <c r="F33" s="1142"/>
      <c r="G33" s="1143" t="s">
        <v>0</v>
      </c>
      <c r="H33" s="1144"/>
    </row>
    <row r="34" spans="2:8" x14ac:dyDescent="0.2">
      <c r="B34" s="686" t="s">
        <v>1</v>
      </c>
      <c r="C34" s="686" t="s">
        <v>1874</v>
      </c>
      <c r="D34" s="686" t="s">
        <v>1875</v>
      </c>
      <c r="E34" s="686" t="s">
        <v>1874</v>
      </c>
      <c r="F34" s="686" t="s">
        <v>1875</v>
      </c>
      <c r="G34" s="863" t="s">
        <v>41</v>
      </c>
      <c r="H34" s="863" t="s">
        <v>42</v>
      </c>
    </row>
    <row r="35" spans="2:8" x14ac:dyDescent="0.2">
      <c r="B35" s="1008">
        <v>1958</v>
      </c>
      <c r="C35" s="346">
        <f>'POSF Inventory'!B13</f>
        <v>26</v>
      </c>
      <c r="D35" s="346">
        <f>'POSF Inventory'!B13</f>
        <v>26</v>
      </c>
      <c r="E35" s="346">
        <f>'POSF Inventory'!D13</f>
        <v>0</v>
      </c>
      <c r="F35" s="346">
        <f>'POSF Inventory'!D13</f>
        <v>0</v>
      </c>
      <c r="G35" s="346">
        <f>SUM(C35,E35)</f>
        <v>26</v>
      </c>
      <c r="H35" s="346">
        <f>SUM(D35,F35)</f>
        <v>26</v>
      </c>
    </row>
    <row r="36" spans="2:8" x14ac:dyDescent="0.2">
      <c r="B36" s="1008">
        <v>1959</v>
      </c>
      <c r="C36" s="346">
        <f>'POSF Inventory'!B14</f>
        <v>53</v>
      </c>
      <c r="D36" s="346">
        <f>'POSF Inventory'!B14</f>
        <v>53</v>
      </c>
      <c r="E36" s="346">
        <f>'POSF Inventory'!D14</f>
        <v>0</v>
      </c>
      <c r="F36" s="346">
        <f>'POSF Inventory'!D14</f>
        <v>0</v>
      </c>
      <c r="G36" s="346">
        <f t="shared" ref="G36:G66" si="0">SUM(C36,E36)</f>
        <v>53</v>
      </c>
      <c r="H36" s="346">
        <f t="shared" ref="H36:H66" si="1">SUM(D36,F36)</f>
        <v>53</v>
      </c>
    </row>
    <row r="37" spans="2:8" x14ac:dyDescent="0.2">
      <c r="B37" s="1008">
        <v>1960</v>
      </c>
      <c r="C37" s="346">
        <f>'POSF Inventory'!B15</f>
        <v>79</v>
      </c>
      <c r="D37" s="346">
        <f>'POSF Inventory'!B15</f>
        <v>79</v>
      </c>
      <c r="E37" s="346">
        <f>'POSF Inventory'!D15</f>
        <v>0</v>
      </c>
      <c r="F37" s="346">
        <f>'POSF Inventory'!D15</f>
        <v>0</v>
      </c>
      <c r="G37" s="346">
        <f t="shared" si="0"/>
        <v>79</v>
      </c>
      <c r="H37" s="346">
        <f t="shared" si="1"/>
        <v>79</v>
      </c>
    </row>
    <row r="38" spans="2:8" x14ac:dyDescent="0.2">
      <c r="B38" s="1008">
        <v>1961</v>
      </c>
      <c r="C38" s="346">
        <f>'POSF Inventory'!B16</f>
        <v>106</v>
      </c>
      <c r="D38" s="346">
        <f>'POSF Inventory'!B16</f>
        <v>106</v>
      </c>
      <c r="E38" s="346">
        <f>'POSF Inventory'!D16</f>
        <v>0</v>
      </c>
      <c r="F38" s="346">
        <f>'POSF Inventory'!D16</f>
        <v>0</v>
      </c>
      <c r="G38" s="346">
        <f t="shared" si="0"/>
        <v>106</v>
      </c>
      <c r="H38" s="346">
        <f t="shared" si="1"/>
        <v>106</v>
      </c>
    </row>
    <row r="39" spans="2:8" x14ac:dyDescent="0.2">
      <c r="B39" s="1008">
        <v>1962</v>
      </c>
      <c r="C39" s="346">
        <f>'POSF Inventory'!B17</f>
        <v>132</v>
      </c>
      <c r="D39" s="346">
        <f>'POSF Inventory'!B17</f>
        <v>132</v>
      </c>
      <c r="E39" s="346">
        <f>'POSF Inventory'!D17</f>
        <v>0</v>
      </c>
      <c r="F39" s="346">
        <f>'POSF Inventory'!D17</f>
        <v>0</v>
      </c>
      <c r="G39" s="346">
        <f t="shared" si="0"/>
        <v>132</v>
      </c>
      <c r="H39" s="346">
        <f t="shared" si="1"/>
        <v>132</v>
      </c>
    </row>
    <row r="40" spans="2:8" x14ac:dyDescent="0.2">
      <c r="B40" s="1008">
        <v>1963</v>
      </c>
      <c r="C40" s="346">
        <f>'POSF Inventory'!B18</f>
        <v>159</v>
      </c>
      <c r="D40" s="346">
        <f>'POSF Inventory'!B18</f>
        <v>159</v>
      </c>
      <c r="E40" s="346">
        <f>'POSF Inventory'!D18</f>
        <v>0</v>
      </c>
      <c r="F40" s="346">
        <f>'POSF Inventory'!D18</f>
        <v>0</v>
      </c>
      <c r="G40" s="346">
        <f t="shared" si="0"/>
        <v>159</v>
      </c>
      <c r="H40" s="346">
        <f t="shared" si="1"/>
        <v>159</v>
      </c>
    </row>
    <row r="41" spans="2:8" x14ac:dyDescent="0.2">
      <c r="B41" s="1008">
        <v>1964</v>
      </c>
      <c r="C41" s="346">
        <f>'POSF Inventory'!B19</f>
        <v>185</v>
      </c>
      <c r="D41" s="346">
        <f>'POSF Inventory'!B19</f>
        <v>185</v>
      </c>
      <c r="E41" s="346">
        <f>'POSF Inventory'!D19</f>
        <v>0</v>
      </c>
      <c r="F41" s="346">
        <f>'POSF Inventory'!D19</f>
        <v>0</v>
      </c>
      <c r="G41" s="346">
        <f t="shared" si="0"/>
        <v>185</v>
      </c>
      <c r="H41" s="346">
        <f t="shared" si="1"/>
        <v>185</v>
      </c>
    </row>
    <row r="42" spans="2:8" x14ac:dyDescent="0.2">
      <c r="B42" s="1008">
        <v>1965</v>
      </c>
      <c r="C42" s="346">
        <f>'POSF Inventory'!B20</f>
        <v>212</v>
      </c>
      <c r="D42" s="346">
        <f>'POSF Inventory'!B20</f>
        <v>212</v>
      </c>
      <c r="E42" s="346">
        <f>'POSF Inventory'!D20</f>
        <v>0</v>
      </c>
      <c r="F42" s="346">
        <f>'POSF Inventory'!D20</f>
        <v>0</v>
      </c>
      <c r="G42" s="346">
        <f t="shared" si="0"/>
        <v>212</v>
      </c>
      <c r="H42" s="346">
        <f t="shared" si="1"/>
        <v>212</v>
      </c>
    </row>
    <row r="43" spans="2:8" x14ac:dyDescent="0.2">
      <c r="B43" s="1008">
        <v>1966</v>
      </c>
      <c r="C43" s="346">
        <f>'POSF Inventory'!B21</f>
        <v>238</v>
      </c>
      <c r="D43" s="346">
        <f>'POSF Inventory'!B21</f>
        <v>238</v>
      </c>
      <c r="E43" s="346">
        <f>'POSF Inventory'!D21</f>
        <v>0</v>
      </c>
      <c r="F43" s="346">
        <f>'POSF Inventory'!D21</f>
        <v>0</v>
      </c>
      <c r="G43" s="346">
        <f t="shared" si="0"/>
        <v>238</v>
      </c>
      <c r="H43" s="346">
        <f t="shared" si="1"/>
        <v>238</v>
      </c>
    </row>
    <row r="44" spans="2:8" x14ac:dyDescent="0.2">
      <c r="B44" s="1008">
        <v>1967</v>
      </c>
      <c r="C44" s="346">
        <f>'POSF Inventory'!B22</f>
        <v>265</v>
      </c>
      <c r="D44" s="346">
        <f>'POSF Inventory'!B22</f>
        <v>265</v>
      </c>
      <c r="E44" s="346">
        <f>'POSF Inventory'!D22</f>
        <v>0</v>
      </c>
      <c r="F44" s="346">
        <f>'POSF Inventory'!D22</f>
        <v>0</v>
      </c>
      <c r="G44" s="346">
        <f t="shared" si="0"/>
        <v>265</v>
      </c>
      <c r="H44" s="346">
        <f t="shared" si="1"/>
        <v>265</v>
      </c>
    </row>
    <row r="45" spans="2:8" x14ac:dyDescent="0.2">
      <c r="B45" s="1008">
        <v>1968</v>
      </c>
      <c r="C45" s="346">
        <f>'POSF Inventory'!B23</f>
        <v>291</v>
      </c>
      <c r="D45" s="346">
        <f>'POSF Inventory'!B23</f>
        <v>291</v>
      </c>
      <c r="E45" s="346">
        <f>'POSF Inventory'!D23</f>
        <v>0</v>
      </c>
      <c r="F45" s="346">
        <f>'POSF Inventory'!D23</f>
        <v>0</v>
      </c>
      <c r="G45" s="346">
        <f t="shared" si="0"/>
        <v>291</v>
      </c>
      <c r="H45" s="346">
        <f t="shared" si="1"/>
        <v>291</v>
      </c>
    </row>
    <row r="46" spans="2:8" x14ac:dyDescent="0.2">
      <c r="B46" s="1008">
        <v>1969</v>
      </c>
      <c r="C46" s="346">
        <f>'POSF Inventory'!B24</f>
        <v>318</v>
      </c>
      <c r="D46" s="346">
        <f>'POSF Inventory'!B24</f>
        <v>318</v>
      </c>
      <c r="E46" s="346">
        <f>'POSF Inventory'!D24</f>
        <v>0</v>
      </c>
      <c r="F46" s="346">
        <f>'POSF Inventory'!D24</f>
        <v>0</v>
      </c>
      <c r="G46" s="346">
        <f t="shared" si="0"/>
        <v>318</v>
      </c>
      <c r="H46" s="346">
        <f t="shared" si="1"/>
        <v>318</v>
      </c>
    </row>
    <row r="47" spans="2:8" x14ac:dyDescent="0.2">
      <c r="B47" s="1008">
        <v>1970</v>
      </c>
      <c r="C47" s="346">
        <f>'POSF Inventory'!B25</f>
        <v>344</v>
      </c>
      <c r="D47" s="346">
        <f>'POSF Inventory'!B25</f>
        <v>344</v>
      </c>
      <c r="E47" s="346">
        <f>'POSF Inventory'!D25</f>
        <v>0</v>
      </c>
      <c r="F47" s="346">
        <f>'POSF Inventory'!D25</f>
        <v>0</v>
      </c>
      <c r="G47" s="346">
        <f t="shared" si="0"/>
        <v>344</v>
      </c>
      <c r="H47" s="346">
        <f t="shared" si="1"/>
        <v>344</v>
      </c>
    </row>
    <row r="48" spans="2:8" x14ac:dyDescent="0.2">
      <c r="B48" s="1008">
        <v>1971</v>
      </c>
      <c r="C48" s="346">
        <f>'POSF Inventory'!B26</f>
        <v>370</v>
      </c>
      <c r="D48" s="346">
        <f>'POSF Inventory'!B26</f>
        <v>370</v>
      </c>
      <c r="E48" s="346">
        <f>'POSF Inventory'!D26</f>
        <v>0</v>
      </c>
      <c r="F48" s="346">
        <f>'POSF Inventory'!D26</f>
        <v>0</v>
      </c>
      <c r="G48" s="346">
        <f t="shared" si="0"/>
        <v>370</v>
      </c>
      <c r="H48" s="346">
        <f t="shared" si="1"/>
        <v>370</v>
      </c>
    </row>
    <row r="49" spans="2:8" x14ac:dyDescent="0.2">
      <c r="B49" s="1008">
        <v>1972</v>
      </c>
      <c r="C49" s="346">
        <f>'POSF Inventory'!B27</f>
        <v>397</v>
      </c>
      <c r="D49" s="346">
        <f>'POSF Inventory'!B27</f>
        <v>397</v>
      </c>
      <c r="E49" s="346">
        <f>'POSF Inventory'!D27</f>
        <v>0</v>
      </c>
      <c r="F49" s="346">
        <f>'POSF Inventory'!D27</f>
        <v>0</v>
      </c>
      <c r="G49" s="346">
        <f t="shared" si="0"/>
        <v>397</v>
      </c>
      <c r="H49" s="346">
        <f t="shared" si="1"/>
        <v>397</v>
      </c>
    </row>
    <row r="50" spans="2:8" x14ac:dyDescent="0.2">
      <c r="B50" s="1008">
        <v>1973</v>
      </c>
      <c r="C50" s="346">
        <f>'POSF Inventory'!B28</f>
        <v>423</v>
      </c>
      <c r="D50" s="346">
        <f>'POSF Inventory'!B28</f>
        <v>423</v>
      </c>
      <c r="E50" s="346">
        <f>'POSF Inventory'!D28</f>
        <v>0</v>
      </c>
      <c r="F50" s="346">
        <f>'POSF Inventory'!D28</f>
        <v>0</v>
      </c>
      <c r="G50" s="346">
        <f t="shared" si="0"/>
        <v>423</v>
      </c>
      <c r="H50" s="346">
        <f t="shared" si="1"/>
        <v>423</v>
      </c>
    </row>
    <row r="51" spans="2:8" x14ac:dyDescent="0.2">
      <c r="B51" s="1008">
        <v>1974</v>
      </c>
      <c r="C51" s="346">
        <f>'POSF Inventory'!B29</f>
        <v>450</v>
      </c>
      <c r="D51" s="346">
        <f>'POSF Inventory'!B29</f>
        <v>450</v>
      </c>
      <c r="E51" s="346">
        <f>'POSF Inventory'!D29</f>
        <v>0</v>
      </c>
      <c r="F51" s="346">
        <f>'POSF Inventory'!D29</f>
        <v>0</v>
      </c>
      <c r="G51" s="346">
        <f t="shared" si="0"/>
        <v>450</v>
      </c>
      <c r="H51" s="346">
        <f t="shared" si="1"/>
        <v>450</v>
      </c>
    </row>
    <row r="52" spans="2:8" x14ac:dyDescent="0.2">
      <c r="B52" s="1008">
        <v>1975</v>
      </c>
      <c r="C52" s="346">
        <f>'POSF Inventory'!B30</f>
        <v>476</v>
      </c>
      <c r="D52" s="346">
        <f>'POSF Inventory'!B30</f>
        <v>476</v>
      </c>
      <c r="E52" s="346">
        <f>'POSF Inventory'!D30</f>
        <v>0</v>
      </c>
      <c r="F52" s="346">
        <f>'POSF Inventory'!D30</f>
        <v>0</v>
      </c>
      <c r="G52" s="346">
        <f t="shared" si="0"/>
        <v>476</v>
      </c>
      <c r="H52" s="346">
        <f t="shared" si="1"/>
        <v>476</v>
      </c>
    </row>
    <row r="53" spans="2:8" x14ac:dyDescent="0.2">
      <c r="B53" s="1008">
        <v>1976</v>
      </c>
      <c r="C53" s="346">
        <f>'POSF Inventory'!B31</f>
        <v>667</v>
      </c>
      <c r="D53" s="346">
        <f>'POSF Inventory'!B31</f>
        <v>667</v>
      </c>
      <c r="E53" s="346">
        <f>'POSF Inventory'!D31</f>
        <v>0</v>
      </c>
      <c r="F53" s="346">
        <f>'POSF Inventory'!D31</f>
        <v>0</v>
      </c>
      <c r="G53" s="346">
        <f t="shared" si="0"/>
        <v>667</v>
      </c>
      <c r="H53" s="346">
        <f t="shared" si="1"/>
        <v>667</v>
      </c>
    </row>
    <row r="54" spans="2:8" x14ac:dyDescent="0.2">
      <c r="B54" s="1008">
        <v>1977</v>
      </c>
      <c r="C54" s="346">
        <f>'POSF Inventory'!B32</f>
        <v>857</v>
      </c>
      <c r="D54" s="346">
        <f>'POSF Inventory'!B32</f>
        <v>857</v>
      </c>
      <c r="E54" s="346">
        <f>'POSF Inventory'!D32</f>
        <v>0</v>
      </c>
      <c r="F54" s="346">
        <f>'POSF Inventory'!D32</f>
        <v>0</v>
      </c>
      <c r="G54" s="346">
        <f t="shared" si="0"/>
        <v>857</v>
      </c>
      <c r="H54" s="346">
        <f t="shared" si="1"/>
        <v>857</v>
      </c>
    </row>
    <row r="55" spans="2:8" x14ac:dyDescent="0.2">
      <c r="B55" s="1008">
        <v>1978</v>
      </c>
      <c r="C55" s="346">
        <f>'POSF Inventory'!B33</f>
        <v>1048</v>
      </c>
      <c r="D55" s="346">
        <f>'POSF Inventory'!B33</f>
        <v>1048</v>
      </c>
      <c r="E55" s="346">
        <f>'POSF Inventory'!D33</f>
        <v>0</v>
      </c>
      <c r="F55" s="346">
        <f>'POSF Inventory'!D33</f>
        <v>0</v>
      </c>
      <c r="G55" s="346">
        <f t="shared" si="0"/>
        <v>1048</v>
      </c>
      <c r="H55" s="346">
        <f t="shared" si="1"/>
        <v>1048</v>
      </c>
    </row>
    <row r="56" spans="2:8" x14ac:dyDescent="0.2">
      <c r="B56" s="1008">
        <v>1979</v>
      </c>
      <c r="C56" s="346">
        <f>'POSF Inventory'!B34</f>
        <v>1238</v>
      </c>
      <c r="D56" s="346">
        <f>'POSF Inventory'!B34</f>
        <v>1238</v>
      </c>
      <c r="E56" s="346">
        <f>'POSF Inventory'!D34</f>
        <v>0</v>
      </c>
      <c r="F56" s="346">
        <f>'POSF Inventory'!D34</f>
        <v>0</v>
      </c>
      <c r="G56" s="346">
        <f t="shared" si="0"/>
        <v>1238</v>
      </c>
      <c r="H56" s="346">
        <f t="shared" si="1"/>
        <v>1238</v>
      </c>
    </row>
    <row r="57" spans="2:8" x14ac:dyDescent="0.2">
      <c r="B57" s="1008">
        <v>1980</v>
      </c>
      <c r="C57" s="346">
        <f>'POSF Inventory'!B35</f>
        <v>1429</v>
      </c>
      <c r="D57" s="346">
        <f>'POSF Inventory'!B35</f>
        <v>1429</v>
      </c>
      <c r="E57" s="346">
        <f>'POSF Inventory'!D35</f>
        <v>0</v>
      </c>
      <c r="F57" s="346">
        <f>'POSF Inventory'!D35</f>
        <v>0</v>
      </c>
      <c r="G57" s="346">
        <f t="shared" si="0"/>
        <v>1429</v>
      </c>
      <c r="H57" s="346">
        <f t="shared" si="1"/>
        <v>1429</v>
      </c>
    </row>
    <row r="58" spans="2:8" x14ac:dyDescent="0.2">
      <c r="B58" s="1008">
        <v>1981</v>
      </c>
      <c r="C58" s="346">
        <f>'POSF Inventory'!B36</f>
        <v>1619</v>
      </c>
      <c r="D58" s="346">
        <f>'POSF Inventory'!B36</f>
        <v>1619</v>
      </c>
      <c r="E58" s="346">
        <f>'POSF Inventory'!D36</f>
        <v>0</v>
      </c>
      <c r="F58" s="346">
        <f>'POSF Inventory'!D36</f>
        <v>0</v>
      </c>
      <c r="G58" s="346">
        <f t="shared" si="0"/>
        <v>1619</v>
      </c>
      <c r="H58" s="346">
        <f t="shared" si="1"/>
        <v>1619</v>
      </c>
    </row>
    <row r="59" spans="2:8" x14ac:dyDescent="0.2">
      <c r="B59" s="1008">
        <v>1982</v>
      </c>
      <c r="C59" s="346">
        <f>'POSF Inventory'!B37</f>
        <v>1810</v>
      </c>
      <c r="D59" s="346">
        <f>'POSF Inventory'!B37</f>
        <v>1810</v>
      </c>
      <c r="E59" s="346">
        <f>'POSF Inventory'!D37</f>
        <v>0</v>
      </c>
      <c r="F59" s="346">
        <f>'POSF Inventory'!D37</f>
        <v>0</v>
      </c>
      <c r="G59" s="346">
        <f t="shared" si="0"/>
        <v>1810</v>
      </c>
      <c r="H59" s="346">
        <f t="shared" si="1"/>
        <v>1810</v>
      </c>
    </row>
    <row r="60" spans="2:8" x14ac:dyDescent="0.2">
      <c r="B60" s="1008">
        <v>1983</v>
      </c>
      <c r="C60" s="346">
        <f>'POSF Inventory'!B38</f>
        <v>2000</v>
      </c>
      <c r="D60" s="346">
        <f>'POSF Inventory'!B38</f>
        <v>2000</v>
      </c>
      <c r="E60" s="346">
        <f>'POSF Inventory'!D38</f>
        <v>0</v>
      </c>
      <c r="F60" s="346">
        <f>'POSF Inventory'!D38</f>
        <v>0</v>
      </c>
      <c r="G60" s="346">
        <f t="shared" si="0"/>
        <v>2000</v>
      </c>
      <c r="H60" s="346">
        <f t="shared" si="1"/>
        <v>2000</v>
      </c>
    </row>
    <row r="61" spans="2:8" x14ac:dyDescent="0.2">
      <c r="B61" s="1008">
        <v>1984</v>
      </c>
      <c r="C61" s="346">
        <f>'POSF Inventory'!B39</f>
        <v>2191</v>
      </c>
      <c r="D61" s="346">
        <f>'POSF Inventory'!B39</f>
        <v>2191</v>
      </c>
      <c r="E61" s="346">
        <f>'POSF Inventory'!D39</f>
        <v>0</v>
      </c>
      <c r="F61" s="346">
        <f>'POSF Inventory'!D39</f>
        <v>0</v>
      </c>
      <c r="G61" s="346">
        <f t="shared" si="0"/>
        <v>2191</v>
      </c>
      <c r="H61" s="346">
        <f t="shared" si="1"/>
        <v>2191</v>
      </c>
    </row>
    <row r="62" spans="2:8" x14ac:dyDescent="0.2">
      <c r="B62" s="1008">
        <v>1985</v>
      </c>
      <c r="C62" s="346">
        <f>'POSF Inventory'!B40</f>
        <v>2381</v>
      </c>
      <c r="D62" s="346">
        <f>'POSF Inventory'!B40</f>
        <v>2381</v>
      </c>
      <c r="E62" s="346">
        <f>'POSF Inventory'!D40</f>
        <v>0</v>
      </c>
      <c r="F62" s="346">
        <f>'POSF Inventory'!D40</f>
        <v>0</v>
      </c>
      <c r="G62" s="346">
        <f t="shared" si="0"/>
        <v>2381</v>
      </c>
      <c r="H62" s="346">
        <f t="shared" si="1"/>
        <v>2381</v>
      </c>
    </row>
    <row r="63" spans="2:8" x14ac:dyDescent="0.2">
      <c r="B63" s="1008">
        <v>1986</v>
      </c>
      <c r="C63" s="346">
        <f>'POSF Inventory'!B41</f>
        <v>2381</v>
      </c>
      <c r="D63" s="346">
        <f>'POSF Inventory'!B41</f>
        <v>2381</v>
      </c>
      <c r="E63" s="346">
        <f>'POSF Inventory'!D41</f>
        <v>0</v>
      </c>
      <c r="F63" s="346">
        <f>'POSF Inventory'!D41</f>
        <v>0</v>
      </c>
      <c r="G63" s="346">
        <f t="shared" si="0"/>
        <v>2381</v>
      </c>
      <c r="H63" s="346">
        <f t="shared" si="1"/>
        <v>2381</v>
      </c>
    </row>
    <row r="64" spans="2:8" x14ac:dyDescent="0.2">
      <c r="B64" s="1008">
        <v>1987</v>
      </c>
      <c r="C64" s="346">
        <f>'POSF Inventory'!B42</f>
        <v>2381</v>
      </c>
      <c r="D64" s="346">
        <f>'POSF Inventory'!B42</f>
        <v>2381</v>
      </c>
      <c r="E64" s="346">
        <f>'POSF Inventory'!D42</f>
        <v>0</v>
      </c>
      <c r="F64" s="346">
        <f>'POSF Inventory'!D42</f>
        <v>0</v>
      </c>
      <c r="G64" s="346">
        <f t="shared" si="0"/>
        <v>2381</v>
      </c>
      <c r="H64" s="346">
        <f t="shared" si="1"/>
        <v>2381</v>
      </c>
    </row>
    <row r="65" spans="2:8" x14ac:dyDescent="0.2">
      <c r="B65" s="1008">
        <v>1988</v>
      </c>
      <c r="C65" s="346">
        <f>'POSF Inventory'!B43</f>
        <v>2381</v>
      </c>
      <c r="D65" s="346">
        <f>'POSF Inventory'!B43</f>
        <v>2381</v>
      </c>
      <c r="E65" s="346">
        <f>'POSF Inventory'!D43</f>
        <v>0</v>
      </c>
      <c r="F65" s="346">
        <f>'POSF Inventory'!D43</f>
        <v>0</v>
      </c>
      <c r="G65" s="346">
        <f t="shared" si="0"/>
        <v>2381</v>
      </c>
      <c r="H65" s="346">
        <f t="shared" si="1"/>
        <v>2381</v>
      </c>
    </row>
    <row r="66" spans="2:8" x14ac:dyDescent="0.2">
      <c r="B66" s="1008">
        <v>1989</v>
      </c>
      <c r="C66" s="346">
        <f>'POSF Inventory'!B44</f>
        <v>2381</v>
      </c>
      <c r="D66" s="346">
        <f>'POSF Inventory'!B44</f>
        <v>2381</v>
      </c>
      <c r="E66" s="346">
        <f>'POSF Inventory'!D44</f>
        <v>0</v>
      </c>
      <c r="F66" s="346">
        <f>'POSF Inventory'!D44</f>
        <v>0</v>
      </c>
      <c r="G66" s="346">
        <f t="shared" si="0"/>
        <v>2381</v>
      </c>
      <c r="H66" s="346">
        <f t="shared" si="1"/>
        <v>2381</v>
      </c>
    </row>
    <row r="67" spans="2:8" x14ac:dyDescent="0.2">
      <c r="B67" s="1008">
        <v>1990</v>
      </c>
      <c r="C67" s="346">
        <f>'POSF Inventory'!B45</f>
        <v>2722</v>
      </c>
      <c r="D67" s="346">
        <f>'POSF Inventory'!B45</f>
        <v>2722</v>
      </c>
      <c r="E67" s="346">
        <f>'POSF Inventory'!D45</f>
        <v>0</v>
      </c>
      <c r="F67" s="346">
        <f>'POSF Inventory'!D45</f>
        <v>0</v>
      </c>
      <c r="G67" s="346">
        <f t="shared" ref="G67:G107" si="2">SUM(C67,E67)</f>
        <v>2722</v>
      </c>
      <c r="H67" s="346">
        <f t="shared" ref="H67:H107" si="3">SUM(D67,F67)</f>
        <v>2722</v>
      </c>
    </row>
    <row r="68" spans="2:8" x14ac:dyDescent="0.2">
      <c r="B68" s="1008">
        <v>1991</v>
      </c>
      <c r="C68" s="346">
        <f>'POSF Inventory'!B46</f>
        <v>2722</v>
      </c>
      <c r="D68" s="346">
        <f>'POSF Inventory'!B46</f>
        <v>2722</v>
      </c>
      <c r="E68" s="346">
        <f>'POSF Inventory'!D46</f>
        <v>0</v>
      </c>
      <c r="F68" s="346">
        <f>'POSF Inventory'!D46</f>
        <v>0</v>
      </c>
      <c r="G68" s="346">
        <f t="shared" si="2"/>
        <v>2722</v>
      </c>
      <c r="H68" s="346">
        <f t="shared" si="3"/>
        <v>2722</v>
      </c>
    </row>
    <row r="69" spans="2:8" x14ac:dyDescent="0.2">
      <c r="B69" s="1008">
        <v>1992</v>
      </c>
      <c r="C69" s="346">
        <f>'POSF Inventory'!B47</f>
        <v>2722</v>
      </c>
      <c r="D69" s="346">
        <f>'POSF Inventory'!B47</f>
        <v>2722</v>
      </c>
      <c r="E69" s="346">
        <f>'POSF Inventory'!D47</f>
        <v>0</v>
      </c>
      <c r="F69" s="346">
        <f>'POSF Inventory'!D47</f>
        <v>0</v>
      </c>
      <c r="G69" s="346">
        <f t="shared" si="2"/>
        <v>2722</v>
      </c>
      <c r="H69" s="346">
        <f t="shared" si="3"/>
        <v>2722</v>
      </c>
    </row>
    <row r="70" spans="2:8" x14ac:dyDescent="0.2">
      <c r="B70" s="1008">
        <v>1993</v>
      </c>
      <c r="C70" s="346">
        <f>'POSF Inventory'!B48</f>
        <v>2722</v>
      </c>
      <c r="D70" s="346">
        <f>'POSF Inventory'!B48</f>
        <v>2722</v>
      </c>
      <c r="E70" s="346">
        <f>'POSF Inventory'!D48</f>
        <v>0</v>
      </c>
      <c r="F70" s="346">
        <f>'POSF Inventory'!D48</f>
        <v>0</v>
      </c>
      <c r="G70" s="346">
        <f t="shared" si="2"/>
        <v>2722</v>
      </c>
      <c r="H70" s="346">
        <f t="shared" si="3"/>
        <v>2722</v>
      </c>
    </row>
    <row r="71" spans="2:8" x14ac:dyDescent="0.2">
      <c r="B71" s="1008">
        <v>1994</v>
      </c>
      <c r="C71" s="346">
        <f>'POSF Inventory'!B49</f>
        <v>2722</v>
      </c>
      <c r="D71" s="346">
        <f>'POSF Inventory'!B49</f>
        <v>2722</v>
      </c>
      <c r="E71" s="346">
        <f>'POSF Inventory'!D49</f>
        <v>0</v>
      </c>
      <c r="F71" s="346">
        <f>'POSF Inventory'!D49</f>
        <v>0</v>
      </c>
      <c r="G71" s="346">
        <f t="shared" si="2"/>
        <v>2722</v>
      </c>
      <c r="H71" s="346">
        <f t="shared" si="3"/>
        <v>2722</v>
      </c>
    </row>
    <row r="72" spans="2:8" x14ac:dyDescent="0.2">
      <c r="B72" s="1008">
        <v>1995</v>
      </c>
      <c r="C72" s="346">
        <f>'POSF Inventory'!B50</f>
        <v>3629</v>
      </c>
      <c r="D72" s="346">
        <f>'POSF Inventory'!B50</f>
        <v>3629</v>
      </c>
      <c r="E72" s="346">
        <f>'POSF Inventory'!D50</f>
        <v>0</v>
      </c>
      <c r="F72" s="346">
        <f>'POSF Inventory'!D50</f>
        <v>0</v>
      </c>
      <c r="G72" s="346">
        <f t="shared" si="2"/>
        <v>3629</v>
      </c>
      <c r="H72" s="346">
        <f t="shared" si="3"/>
        <v>3629</v>
      </c>
    </row>
    <row r="73" spans="2:8" x14ac:dyDescent="0.2">
      <c r="B73" s="1008">
        <v>1996</v>
      </c>
      <c r="C73" s="346">
        <f>'POSF Inventory'!B51</f>
        <v>3629</v>
      </c>
      <c r="D73" s="346">
        <f>'POSF Inventory'!B51</f>
        <v>3629</v>
      </c>
      <c r="E73" s="346">
        <f>'POSF Inventory'!D51</f>
        <v>0</v>
      </c>
      <c r="F73" s="346">
        <f>'POSF Inventory'!D51</f>
        <v>0</v>
      </c>
      <c r="G73" s="346">
        <f t="shared" si="2"/>
        <v>3629</v>
      </c>
      <c r="H73" s="346">
        <f t="shared" si="3"/>
        <v>3629</v>
      </c>
    </row>
    <row r="74" spans="2:8" x14ac:dyDescent="0.2">
      <c r="B74" s="1008">
        <v>1997</v>
      </c>
      <c r="C74" s="346">
        <f>'POSF Inventory'!B52</f>
        <v>3629</v>
      </c>
      <c r="D74" s="346">
        <f>'POSF Inventory'!B52</f>
        <v>3629</v>
      </c>
      <c r="E74" s="346">
        <f>'POSF Inventory'!D52</f>
        <v>0</v>
      </c>
      <c r="F74" s="346">
        <f>'POSF Inventory'!D52</f>
        <v>0</v>
      </c>
      <c r="G74" s="346">
        <f t="shared" si="2"/>
        <v>3629</v>
      </c>
      <c r="H74" s="346">
        <f t="shared" si="3"/>
        <v>3629</v>
      </c>
    </row>
    <row r="75" spans="2:8" x14ac:dyDescent="0.2">
      <c r="B75" s="1008">
        <v>1998</v>
      </c>
      <c r="C75" s="346">
        <f>'POSF Inventory'!B53</f>
        <v>3629</v>
      </c>
      <c r="D75" s="346">
        <f>'POSF Inventory'!B53</f>
        <v>3629</v>
      </c>
      <c r="E75" s="346">
        <f>'POSF Inventory'!D53</f>
        <v>0</v>
      </c>
      <c r="F75" s="346">
        <f>'POSF Inventory'!D53</f>
        <v>0</v>
      </c>
      <c r="G75" s="346">
        <f t="shared" si="2"/>
        <v>3629</v>
      </c>
      <c r="H75" s="346">
        <f t="shared" si="3"/>
        <v>3629</v>
      </c>
    </row>
    <row r="76" spans="2:8" x14ac:dyDescent="0.2">
      <c r="B76" s="1008">
        <v>1999</v>
      </c>
      <c r="C76" s="346">
        <f>'POSF Inventory'!B54</f>
        <v>3629</v>
      </c>
      <c r="D76" s="346">
        <f>'POSF Inventory'!B54</f>
        <v>3629</v>
      </c>
      <c r="E76" s="346">
        <f>'POSF Inventory'!D54</f>
        <v>0</v>
      </c>
      <c r="F76" s="346">
        <f>'POSF Inventory'!D54</f>
        <v>0</v>
      </c>
      <c r="G76" s="346">
        <f t="shared" si="2"/>
        <v>3629</v>
      </c>
      <c r="H76" s="346">
        <f t="shared" si="3"/>
        <v>3629</v>
      </c>
    </row>
    <row r="77" spans="2:8" x14ac:dyDescent="0.2">
      <c r="B77" s="1008">
        <v>2000</v>
      </c>
      <c r="C77" s="346">
        <f>'POSF Inventory'!B55</f>
        <v>4368</v>
      </c>
      <c r="D77" s="346">
        <f>'POSF Inventory'!B55</f>
        <v>4368</v>
      </c>
      <c r="E77" s="346">
        <f>'POSF Inventory'!D55</f>
        <v>0</v>
      </c>
      <c r="F77" s="346">
        <f>'POSF Inventory'!D55</f>
        <v>0</v>
      </c>
      <c r="G77" s="346">
        <f t="shared" si="2"/>
        <v>4368</v>
      </c>
      <c r="H77" s="346">
        <f t="shared" si="3"/>
        <v>4368</v>
      </c>
    </row>
    <row r="78" spans="2:8" x14ac:dyDescent="0.2">
      <c r="B78" s="1008">
        <v>2001</v>
      </c>
      <c r="C78" s="346">
        <f>'POSF Inventory'!B56</f>
        <v>218</v>
      </c>
      <c r="D78" s="346">
        <f>'POSF Inventory'!B56</f>
        <v>218</v>
      </c>
      <c r="E78" s="346">
        <f>'POSF Inventory'!D56</f>
        <v>0</v>
      </c>
      <c r="F78" s="346">
        <f>'POSF Inventory'!D56</f>
        <v>0</v>
      </c>
      <c r="G78" s="346">
        <f t="shared" si="2"/>
        <v>218</v>
      </c>
      <c r="H78" s="346">
        <f t="shared" si="3"/>
        <v>218</v>
      </c>
    </row>
    <row r="79" spans="2:8" x14ac:dyDescent="0.2">
      <c r="B79" s="1008">
        <v>2002</v>
      </c>
      <c r="C79" s="346">
        <f>'POSF Inventory'!B57</f>
        <v>151</v>
      </c>
      <c r="D79" s="346">
        <f>'POSF Inventory'!B57</f>
        <v>151</v>
      </c>
      <c r="E79" s="346">
        <f>'POSF Inventory'!D57</f>
        <v>30</v>
      </c>
      <c r="F79" s="346">
        <f>'POSF Inventory'!E57</f>
        <v>30</v>
      </c>
      <c r="G79" s="346">
        <f t="shared" si="2"/>
        <v>181</v>
      </c>
      <c r="H79" s="346">
        <f t="shared" si="3"/>
        <v>181</v>
      </c>
    </row>
    <row r="80" spans="2:8" x14ac:dyDescent="0.2">
      <c r="B80" s="1008">
        <v>2003</v>
      </c>
      <c r="C80" s="346">
        <f>'POSF Inventory'!B58</f>
        <v>50</v>
      </c>
      <c r="D80" s="346">
        <f>'POSF Inventory'!C58</f>
        <v>160</v>
      </c>
      <c r="E80" s="346">
        <f>'POSF Inventory'!D58</f>
        <v>50</v>
      </c>
      <c r="F80" s="346">
        <f>'POSF Inventory'!E58</f>
        <v>50</v>
      </c>
      <c r="G80" s="346">
        <f t="shared" si="2"/>
        <v>100</v>
      </c>
      <c r="H80" s="346">
        <f t="shared" si="3"/>
        <v>210</v>
      </c>
    </row>
    <row r="81" spans="2:8" x14ac:dyDescent="0.2">
      <c r="B81" s="1008">
        <v>2004</v>
      </c>
      <c r="C81" s="346">
        <f>'POSF Inventory'!B59</f>
        <v>50</v>
      </c>
      <c r="D81" s="346">
        <f>'POSF Inventory'!C59</f>
        <v>160</v>
      </c>
      <c r="E81" s="346">
        <f>'POSF Inventory'!D59</f>
        <v>100</v>
      </c>
      <c r="F81" s="346">
        <f>'POSF Inventory'!E59</f>
        <v>100</v>
      </c>
      <c r="G81" s="346">
        <f t="shared" si="2"/>
        <v>150</v>
      </c>
      <c r="H81" s="346">
        <f t="shared" si="3"/>
        <v>260</v>
      </c>
    </row>
    <row r="82" spans="2:8" x14ac:dyDescent="0.2">
      <c r="B82" s="1008">
        <v>2005</v>
      </c>
      <c r="C82" s="346">
        <f>'POSF Inventory'!B60</f>
        <v>73</v>
      </c>
      <c r="D82" s="346">
        <f>'POSF Inventory'!C60</f>
        <v>162</v>
      </c>
      <c r="E82" s="346">
        <f>'POSF Inventory'!D60</f>
        <v>170</v>
      </c>
      <c r="F82" s="346">
        <f>'POSF Inventory'!E60</f>
        <v>170</v>
      </c>
      <c r="G82" s="346">
        <f t="shared" si="2"/>
        <v>243</v>
      </c>
      <c r="H82" s="346">
        <f t="shared" si="3"/>
        <v>332</v>
      </c>
    </row>
    <row r="83" spans="2:8" x14ac:dyDescent="0.2">
      <c r="B83" s="1008">
        <v>2006</v>
      </c>
      <c r="C83" s="346">
        <f>'POSF Inventory'!B61</f>
        <v>50</v>
      </c>
      <c r="D83" s="346">
        <f>'POSF Inventory'!C61</f>
        <v>100</v>
      </c>
      <c r="E83" s="346">
        <f>'POSF Inventory'!D61</f>
        <v>250</v>
      </c>
      <c r="F83" s="346">
        <f>'POSF Inventory'!E61</f>
        <v>250</v>
      </c>
      <c r="G83" s="346">
        <f t="shared" si="2"/>
        <v>300</v>
      </c>
      <c r="H83" s="346">
        <f t="shared" si="3"/>
        <v>350</v>
      </c>
    </row>
    <row r="84" spans="2:8" x14ac:dyDescent="0.2">
      <c r="B84" s="1008">
        <v>2007</v>
      </c>
      <c r="C84" s="346">
        <f>'POSF Inventory'!B62</f>
        <v>25</v>
      </c>
      <c r="D84" s="346">
        <f>'POSF Inventory'!C62</f>
        <v>50</v>
      </c>
      <c r="E84" s="346">
        <f>'POSF Inventory'!D62</f>
        <v>250</v>
      </c>
      <c r="F84" s="346">
        <f>'POSF Inventory'!E62</f>
        <v>250</v>
      </c>
      <c r="G84" s="346">
        <f t="shared" si="2"/>
        <v>275</v>
      </c>
      <c r="H84" s="346">
        <f t="shared" si="3"/>
        <v>300</v>
      </c>
    </row>
    <row r="85" spans="2:8" x14ac:dyDescent="0.2">
      <c r="B85" s="1008">
        <v>2008</v>
      </c>
      <c r="C85" s="346">
        <f>'POSF Inventory'!B63</f>
        <v>0</v>
      </c>
      <c r="D85" s="346">
        <f>'POSF Inventory'!C63</f>
        <v>0</v>
      </c>
      <c r="E85" s="346">
        <f>'POSF Inventory'!D63</f>
        <v>250</v>
      </c>
      <c r="F85" s="346">
        <f>'POSF Inventory'!E63</f>
        <v>250</v>
      </c>
      <c r="G85" s="346">
        <f t="shared" si="2"/>
        <v>250</v>
      </c>
      <c r="H85" s="346">
        <f t="shared" si="3"/>
        <v>250</v>
      </c>
    </row>
    <row r="86" spans="2:8" x14ac:dyDescent="0.2">
      <c r="B86" s="1008">
        <v>2009</v>
      </c>
      <c r="C86" s="346">
        <f>'POSF Inventory'!B64</f>
        <v>0</v>
      </c>
      <c r="D86" s="346">
        <f>'POSF Inventory'!C64</f>
        <v>0</v>
      </c>
      <c r="E86" s="346">
        <f>'POSF Inventory'!D64</f>
        <v>130</v>
      </c>
      <c r="F86" s="346">
        <f>'POSF Inventory'!E64</f>
        <v>130</v>
      </c>
      <c r="G86" s="346">
        <f t="shared" si="2"/>
        <v>130</v>
      </c>
      <c r="H86" s="346">
        <f t="shared" si="3"/>
        <v>130</v>
      </c>
    </row>
    <row r="87" spans="2:8" x14ac:dyDescent="0.2">
      <c r="B87" s="1008">
        <v>2010</v>
      </c>
      <c r="C87" s="346">
        <f>'POSF Inventory'!B65</f>
        <v>0</v>
      </c>
      <c r="D87" s="346">
        <f>'POSF Inventory'!C65</f>
        <v>0</v>
      </c>
      <c r="E87" s="346">
        <f>'POSF Inventory'!D65</f>
        <v>100</v>
      </c>
      <c r="F87" s="346">
        <f>'POSF Inventory'!E65</f>
        <v>100</v>
      </c>
      <c r="G87" s="346">
        <f t="shared" si="2"/>
        <v>100</v>
      </c>
      <c r="H87" s="346">
        <f t="shared" si="3"/>
        <v>100</v>
      </c>
    </row>
    <row r="88" spans="2:8" x14ac:dyDescent="0.2">
      <c r="B88" s="1008">
        <v>2011</v>
      </c>
      <c r="C88" s="346">
        <f>'POSF Inventory'!B66</f>
        <v>0</v>
      </c>
      <c r="D88" s="346">
        <f>'POSF Inventory'!C66</f>
        <v>0</v>
      </c>
      <c r="E88" s="346">
        <f>'POSF Inventory'!D66</f>
        <v>130</v>
      </c>
      <c r="F88" s="346">
        <f>'POSF Inventory'!E66</f>
        <v>130</v>
      </c>
      <c r="G88" s="346">
        <f t="shared" si="2"/>
        <v>130</v>
      </c>
      <c r="H88" s="346">
        <f t="shared" si="3"/>
        <v>130</v>
      </c>
    </row>
    <row r="89" spans="2:8" x14ac:dyDescent="0.2">
      <c r="B89" s="1008">
        <v>2012</v>
      </c>
      <c r="C89" s="346">
        <f>'POSF Inventory'!B67</f>
        <v>0</v>
      </c>
      <c r="D89" s="346">
        <f>'POSF Inventory'!C67</f>
        <v>0</v>
      </c>
      <c r="E89" s="346">
        <f>'POSF Inventory'!D67</f>
        <v>130</v>
      </c>
      <c r="F89" s="346">
        <f>'POSF Inventory'!E67</f>
        <v>130</v>
      </c>
      <c r="G89" s="346">
        <f t="shared" si="2"/>
        <v>130</v>
      </c>
      <c r="H89" s="346">
        <f t="shared" si="3"/>
        <v>130</v>
      </c>
    </row>
    <row r="90" spans="2:8" x14ac:dyDescent="0.2">
      <c r="B90" s="1008">
        <v>2013</v>
      </c>
      <c r="C90" s="346">
        <f>'POSF Inventory'!B68</f>
        <v>0</v>
      </c>
      <c r="D90" s="346">
        <f>'POSF Inventory'!C68</f>
        <v>0</v>
      </c>
      <c r="E90" s="346">
        <f>'POSF Inventory'!D68</f>
        <v>150</v>
      </c>
      <c r="F90" s="346">
        <f>'POSF Inventory'!E68</f>
        <v>150</v>
      </c>
      <c r="G90" s="346">
        <f t="shared" si="2"/>
        <v>150</v>
      </c>
      <c r="H90" s="346">
        <f t="shared" si="3"/>
        <v>150</v>
      </c>
    </row>
    <row r="91" spans="2:8" x14ac:dyDescent="0.2">
      <c r="B91" s="1008">
        <v>2014</v>
      </c>
      <c r="C91" s="346">
        <f>'POSF Inventory'!B69</f>
        <v>0</v>
      </c>
      <c r="D91" s="346">
        <f>'POSF Inventory'!C69</f>
        <v>0</v>
      </c>
      <c r="E91" s="346">
        <f>'POSF Inventory'!D69</f>
        <v>170</v>
      </c>
      <c r="F91" s="346">
        <f>'POSF Inventory'!E69</f>
        <v>170</v>
      </c>
      <c r="G91" s="346">
        <f t="shared" si="2"/>
        <v>170</v>
      </c>
      <c r="H91" s="346">
        <f t="shared" si="3"/>
        <v>170</v>
      </c>
    </row>
    <row r="92" spans="2:8" x14ac:dyDescent="0.2">
      <c r="B92" s="1008">
        <v>2015</v>
      </c>
      <c r="C92" s="346">
        <f>'POSF Inventory'!B70</f>
        <v>0</v>
      </c>
      <c r="D92" s="346">
        <f>'POSF Inventory'!C70</f>
        <v>0</v>
      </c>
      <c r="E92" s="346">
        <f>'POSF Inventory'!D70</f>
        <v>170</v>
      </c>
      <c r="F92" s="346">
        <f>'POSF Inventory'!E70</f>
        <v>170</v>
      </c>
      <c r="G92" s="346">
        <f t="shared" si="2"/>
        <v>170</v>
      </c>
      <c r="H92" s="346">
        <f t="shared" si="3"/>
        <v>170</v>
      </c>
    </row>
    <row r="93" spans="2:8" x14ac:dyDescent="0.2">
      <c r="B93" s="1008">
        <v>2016</v>
      </c>
      <c r="C93" s="346">
        <f>'POSF Inventory'!B71</f>
        <v>0</v>
      </c>
      <c r="D93" s="346">
        <f>'POSF Inventory'!C71</f>
        <v>0</v>
      </c>
      <c r="E93" s="346">
        <f>'POSF Inventory'!D71</f>
        <v>113.33333333333334</v>
      </c>
      <c r="F93" s="346">
        <f>'POSF Inventory'!E71</f>
        <v>153</v>
      </c>
      <c r="G93" s="346">
        <f t="shared" si="2"/>
        <v>113.33333333333334</v>
      </c>
      <c r="H93" s="346">
        <f t="shared" si="3"/>
        <v>153</v>
      </c>
    </row>
    <row r="94" spans="2:8" x14ac:dyDescent="0.2">
      <c r="B94" s="1008">
        <v>2017</v>
      </c>
      <c r="C94" s="346">
        <f>'POSF Inventory'!B72</f>
        <v>0</v>
      </c>
      <c r="D94" s="346">
        <f>'POSF Inventory'!C72</f>
        <v>0</v>
      </c>
      <c r="E94" s="346">
        <f>'POSF Inventory'!D72</f>
        <v>56.666666666666679</v>
      </c>
      <c r="F94" s="346">
        <f>'POSF Inventory'!E72</f>
        <v>136</v>
      </c>
      <c r="G94" s="346">
        <f t="shared" si="2"/>
        <v>56.666666666666679</v>
      </c>
      <c r="H94" s="346">
        <f t="shared" si="3"/>
        <v>136</v>
      </c>
    </row>
    <row r="95" spans="2:8" x14ac:dyDescent="0.2">
      <c r="B95" s="1008">
        <v>2018</v>
      </c>
      <c r="C95" s="346">
        <f>'POSF Inventory'!B73</f>
        <v>0</v>
      </c>
      <c r="D95" s="346">
        <f>'POSF Inventory'!C73</f>
        <v>0</v>
      </c>
      <c r="E95" s="346">
        <f>'POSF Inventory'!D73</f>
        <v>0</v>
      </c>
      <c r="F95" s="346">
        <f>'POSF Inventory'!E73</f>
        <v>119</v>
      </c>
      <c r="G95" s="346">
        <f t="shared" si="2"/>
        <v>0</v>
      </c>
      <c r="H95" s="346">
        <f t="shared" si="3"/>
        <v>119</v>
      </c>
    </row>
    <row r="96" spans="2:8" x14ac:dyDescent="0.2">
      <c r="B96" s="1008">
        <v>2019</v>
      </c>
      <c r="C96" s="346">
        <f>'POSF Inventory'!B74</f>
        <v>0</v>
      </c>
      <c r="D96" s="346">
        <f>'POSF Inventory'!C74</f>
        <v>0</v>
      </c>
      <c r="E96" s="346">
        <f>'POSF Inventory'!D74</f>
        <v>0</v>
      </c>
      <c r="F96" s="346">
        <f>'POSF Inventory'!E74</f>
        <v>102</v>
      </c>
      <c r="G96" s="346">
        <f t="shared" si="2"/>
        <v>0</v>
      </c>
      <c r="H96" s="346">
        <f t="shared" si="3"/>
        <v>102</v>
      </c>
    </row>
    <row r="97" spans="2:8" x14ac:dyDescent="0.2">
      <c r="B97" s="1008">
        <v>2020</v>
      </c>
      <c r="C97" s="346">
        <f>'POSF Inventory'!B75</f>
        <v>0</v>
      </c>
      <c r="D97" s="346">
        <f>'POSF Inventory'!C75</f>
        <v>0</v>
      </c>
      <c r="E97" s="346">
        <f>'POSF Inventory'!D75</f>
        <v>0</v>
      </c>
      <c r="F97" s="346">
        <f>'POSF Inventory'!E75</f>
        <v>85</v>
      </c>
      <c r="G97" s="346">
        <f t="shared" si="2"/>
        <v>0</v>
      </c>
      <c r="H97" s="346">
        <f t="shared" si="3"/>
        <v>85</v>
      </c>
    </row>
    <row r="98" spans="2:8" x14ac:dyDescent="0.2">
      <c r="B98" s="1008">
        <v>2021</v>
      </c>
      <c r="C98" s="346">
        <f>'POSF Inventory'!B76</f>
        <v>0</v>
      </c>
      <c r="D98" s="346">
        <f>'POSF Inventory'!C76</f>
        <v>0</v>
      </c>
      <c r="E98" s="346">
        <f>'POSF Inventory'!D76</f>
        <v>0</v>
      </c>
      <c r="F98" s="346">
        <f>'POSF Inventory'!E76</f>
        <v>68</v>
      </c>
      <c r="G98" s="346">
        <f t="shared" si="2"/>
        <v>0</v>
      </c>
      <c r="H98" s="346">
        <f t="shared" si="3"/>
        <v>68</v>
      </c>
    </row>
    <row r="99" spans="2:8" x14ac:dyDescent="0.2">
      <c r="B99" s="1008">
        <v>2022</v>
      </c>
      <c r="C99" s="346">
        <f>'POSF Inventory'!B77</f>
        <v>0</v>
      </c>
      <c r="D99" s="346">
        <f>'POSF Inventory'!C77</f>
        <v>0</v>
      </c>
      <c r="E99" s="346">
        <f>'POSF Inventory'!D77</f>
        <v>0</v>
      </c>
      <c r="F99" s="346">
        <f>'POSF Inventory'!E77</f>
        <v>51</v>
      </c>
      <c r="G99" s="346">
        <f t="shared" si="2"/>
        <v>0</v>
      </c>
      <c r="H99" s="346">
        <f t="shared" si="3"/>
        <v>51</v>
      </c>
    </row>
    <row r="100" spans="2:8" x14ac:dyDescent="0.2">
      <c r="B100" s="1008">
        <v>2023</v>
      </c>
      <c r="C100" s="346">
        <f>'POSF Inventory'!B78</f>
        <v>0</v>
      </c>
      <c r="D100" s="346">
        <f>'POSF Inventory'!C78</f>
        <v>0</v>
      </c>
      <c r="E100" s="346">
        <f>'POSF Inventory'!D78</f>
        <v>0</v>
      </c>
      <c r="F100" s="346">
        <f>'POSF Inventory'!E78</f>
        <v>34</v>
      </c>
      <c r="G100" s="346">
        <f t="shared" si="2"/>
        <v>0</v>
      </c>
      <c r="H100" s="346">
        <f t="shared" si="3"/>
        <v>34</v>
      </c>
    </row>
    <row r="101" spans="2:8" x14ac:dyDescent="0.2">
      <c r="B101" s="1008">
        <v>2024</v>
      </c>
      <c r="C101" s="346">
        <f>'POSF Inventory'!B79</f>
        <v>0</v>
      </c>
      <c r="D101" s="346">
        <f>'POSF Inventory'!C79</f>
        <v>0</v>
      </c>
      <c r="E101" s="346">
        <f>'POSF Inventory'!D79</f>
        <v>0</v>
      </c>
      <c r="F101" s="346">
        <f>'POSF Inventory'!E79</f>
        <v>17</v>
      </c>
      <c r="G101" s="346">
        <f t="shared" si="2"/>
        <v>0</v>
      </c>
      <c r="H101" s="346">
        <f t="shared" si="3"/>
        <v>17</v>
      </c>
    </row>
    <row r="102" spans="2:8" x14ac:dyDescent="0.2">
      <c r="B102" s="1008">
        <v>2025</v>
      </c>
      <c r="C102" s="346">
        <f>'POSF Inventory'!B80</f>
        <v>0</v>
      </c>
      <c r="D102" s="346">
        <f>'POSF Inventory'!C80</f>
        <v>0</v>
      </c>
      <c r="E102" s="346">
        <f>'POSF Inventory'!D80</f>
        <v>0</v>
      </c>
      <c r="F102" s="346">
        <f>'POSF Inventory'!E80</f>
        <v>0</v>
      </c>
      <c r="G102" s="346">
        <f t="shared" si="2"/>
        <v>0</v>
      </c>
      <c r="H102" s="346">
        <f t="shared" si="3"/>
        <v>0</v>
      </c>
    </row>
    <row r="103" spans="2:8" x14ac:dyDescent="0.2">
      <c r="B103" s="1008">
        <v>2026</v>
      </c>
      <c r="C103" s="346">
        <f>'POSF Inventory'!B81</f>
        <v>0</v>
      </c>
      <c r="D103" s="346">
        <f>'POSF Inventory'!C81</f>
        <v>0</v>
      </c>
      <c r="E103" s="346">
        <f>'POSF Inventory'!D81</f>
        <v>0</v>
      </c>
      <c r="F103" s="346">
        <f>'POSF Inventory'!E81</f>
        <v>0</v>
      </c>
      <c r="G103" s="346">
        <f t="shared" si="2"/>
        <v>0</v>
      </c>
      <c r="H103" s="346">
        <f t="shared" si="3"/>
        <v>0</v>
      </c>
    </row>
    <row r="104" spans="2:8" x14ac:dyDescent="0.2">
      <c r="B104" s="1008">
        <v>2027</v>
      </c>
      <c r="C104" s="346">
        <f>'POSF Inventory'!B82</f>
        <v>0</v>
      </c>
      <c r="D104" s="346">
        <f>'POSF Inventory'!C82</f>
        <v>0</v>
      </c>
      <c r="E104" s="346">
        <f>'POSF Inventory'!D82</f>
        <v>0</v>
      </c>
      <c r="F104" s="346">
        <f>'POSF Inventory'!E82</f>
        <v>0</v>
      </c>
      <c r="G104" s="346">
        <f t="shared" si="2"/>
        <v>0</v>
      </c>
      <c r="H104" s="346">
        <f t="shared" si="3"/>
        <v>0</v>
      </c>
    </row>
    <row r="105" spans="2:8" x14ac:dyDescent="0.2">
      <c r="B105" s="1008">
        <v>2028</v>
      </c>
      <c r="C105" s="346">
        <f>'POSF Inventory'!B83</f>
        <v>0</v>
      </c>
      <c r="D105" s="346">
        <f>'POSF Inventory'!C83</f>
        <v>0</v>
      </c>
      <c r="E105" s="346">
        <f>'POSF Inventory'!D83</f>
        <v>0</v>
      </c>
      <c r="F105" s="346">
        <f>'POSF Inventory'!E83</f>
        <v>0</v>
      </c>
      <c r="G105" s="346">
        <f t="shared" si="2"/>
        <v>0</v>
      </c>
      <c r="H105" s="346">
        <f t="shared" si="3"/>
        <v>0</v>
      </c>
    </row>
    <row r="106" spans="2:8" x14ac:dyDescent="0.2">
      <c r="B106" s="1008">
        <v>2029</v>
      </c>
      <c r="C106" s="346">
        <f>'POSF Inventory'!B84</f>
        <v>0</v>
      </c>
      <c r="D106" s="346">
        <f>'POSF Inventory'!C84</f>
        <v>0</v>
      </c>
      <c r="E106" s="346">
        <f>'POSF Inventory'!D84</f>
        <v>0</v>
      </c>
      <c r="F106" s="346">
        <f>'POSF Inventory'!E84</f>
        <v>0</v>
      </c>
      <c r="G106" s="346">
        <f t="shared" si="2"/>
        <v>0</v>
      </c>
      <c r="H106" s="346">
        <f t="shared" si="3"/>
        <v>0</v>
      </c>
    </row>
    <row r="107" spans="2:8" x14ac:dyDescent="0.2">
      <c r="B107" s="1008">
        <v>2030</v>
      </c>
      <c r="C107" s="346">
        <f>'POSF Inventory'!B85</f>
        <v>0</v>
      </c>
      <c r="D107" s="346">
        <f>'POSF Inventory'!C85</f>
        <v>0</v>
      </c>
      <c r="E107" s="346">
        <f>'POSF Inventory'!D85</f>
        <v>0</v>
      </c>
      <c r="F107" s="346">
        <f>'POSF Inventory'!E85</f>
        <v>0</v>
      </c>
      <c r="G107" s="346">
        <f t="shared" si="2"/>
        <v>0</v>
      </c>
      <c r="H107" s="346">
        <f t="shared" si="3"/>
        <v>0</v>
      </c>
    </row>
    <row r="115" spans="2:10" ht="21" x14ac:dyDescent="0.25">
      <c r="B115" s="596" t="s">
        <v>1891</v>
      </c>
    </row>
    <row r="117" spans="2:10" x14ac:dyDescent="0.2">
      <c r="B117" t="s">
        <v>1892</v>
      </c>
      <c r="C117" s="807">
        <v>1</v>
      </c>
      <c r="D117" s="807">
        <v>1</v>
      </c>
      <c r="E117" s="807">
        <v>2</v>
      </c>
      <c r="F117" s="807">
        <v>2</v>
      </c>
      <c r="G117" s="807">
        <v>3</v>
      </c>
      <c r="H117" s="807">
        <v>3</v>
      </c>
      <c r="I117" s="807">
        <v>4</v>
      </c>
      <c r="J117" s="807">
        <v>4</v>
      </c>
    </row>
    <row r="118" spans="2:10" x14ac:dyDescent="0.2">
      <c r="C118" s="807"/>
      <c r="D118" s="807"/>
      <c r="E118" s="807"/>
      <c r="F118" s="807"/>
      <c r="G118" s="807"/>
      <c r="H118" s="807"/>
      <c r="I118" s="807"/>
      <c r="J118" s="807"/>
    </row>
    <row r="119" spans="2:10" x14ac:dyDescent="0.2">
      <c r="C119" s="1142" t="s">
        <v>392</v>
      </c>
      <c r="D119" s="1142"/>
      <c r="E119" s="1142" t="s">
        <v>40</v>
      </c>
      <c r="F119" s="1142"/>
      <c r="G119" s="1142" t="s">
        <v>1197</v>
      </c>
      <c r="H119" s="1142"/>
      <c r="I119" s="1142" t="s">
        <v>401</v>
      </c>
      <c r="J119" s="1142"/>
    </row>
    <row r="120" spans="2:10" x14ac:dyDescent="0.2">
      <c r="B120" s="936" t="s">
        <v>1</v>
      </c>
      <c r="C120" s="936" t="s">
        <v>44</v>
      </c>
      <c r="D120" s="936" t="s">
        <v>45</v>
      </c>
      <c r="E120" s="936" t="s">
        <v>44</v>
      </c>
      <c r="F120" s="936" t="s">
        <v>45</v>
      </c>
      <c r="G120" s="936" t="s">
        <v>44</v>
      </c>
      <c r="H120" s="936" t="s">
        <v>45</v>
      </c>
      <c r="I120" s="936" t="s">
        <v>44</v>
      </c>
      <c r="J120" s="936" t="s">
        <v>45</v>
      </c>
    </row>
    <row r="121" spans="2:10" x14ac:dyDescent="0.2">
      <c r="B121" s="772">
        <v>1958</v>
      </c>
      <c r="C121" s="772">
        <f>SUMIFS('POSF Emiss by Zone'!$FP21:$IO21,'POSF Emiss by Zone'!$FP$19:$IO$19,'Inventory Figures'!C$117,'POSF Emiss by Zone'!$FP$20:$IO$20,'Inventory Figures'!C$120)</f>
        <v>0.30513034499999997</v>
      </c>
      <c r="D121" s="772">
        <f>SUMIFS('POSF Emiss by Zone'!$FP21:$IO21,'POSF Emiss by Zone'!$FP$19:$IO$19,'Inventory Figures'!D$117,'POSF Emiss by Zone'!$FP$20:$IO$20,'Inventory Figures'!D$120)</f>
        <v>0.30585254699999997</v>
      </c>
      <c r="E121" s="772">
        <f>SUMIFS('POSF Emiss by Zone'!$FP21:$IO21,'POSF Emiss by Zone'!$FP$19:$IO$19,'Inventory Figures'!E$117,'POSF Emiss by Zone'!$FP$20:$IO$20,'Inventory Figures'!E$120)</f>
        <v>0.38242598020418328</v>
      </c>
      <c r="F121" s="772">
        <f>SUMIFS('POSF Emiss by Zone'!$FP21:$IO21,'POSF Emiss by Zone'!$FP$19:$IO$19,'Inventory Figures'!F$117,'POSF Emiss by Zone'!$FP$20:$IO$20,'Inventory Figures'!F$120)</f>
        <v>0.83882379257968109</v>
      </c>
      <c r="G121" s="772">
        <f>SUMIFS('POSF Emiss by Zone'!$FP21:$IO21,'POSF Emiss by Zone'!$FP$19:$IO$19,'Inventory Figures'!G$117,'POSF Emiss by Zone'!$FP$20:$IO$20,'Inventory Figures'!G$120)</f>
        <v>1.8385172236936652E-3</v>
      </c>
      <c r="H121" s="772">
        <f>SUMIFS('POSF Emiss by Zone'!$FP21:$IO21,'POSF Emiss by Zone'!$FP$19:$IO$19,'Inventory Figures'!H$117,'POSF Emiss by Zone'!$FP$20:$IO$20,'Inventory Figures'!H$120)</f>
        <v>2.6205949557737446E-2</v>
      </c>
      <c r="I121" s="772">
        <f>SUMIFS('POSF Emiss by Zone'!$FP21:$IO21,'POSF Emiss by Zone'!$FP$19:$IO$19,'Inventory Figures'!I$117,'POSF Emiss by Zone'!$FP$20:$IO$20,'Inventory Figures'!I$120)</f>
        <v>9.7710119219227148E-2</v>
      </c>
      <c r="J121" s="772">
        <f>SUMIFS('POSF Emiss by Zone'!$FP21:$IO21,'POSF Emiss by Zone'!$FP$19:$IO$19,'Inventory Figures'!J$117,'POSF Emiss by Zone'!$FP$20:$IO$20,'Inventory Figures'!J$120)</f>
        <v>1.3927454268800616</v>
      </c>
    </row>
    <row r="122" spans="2:10" x14ac:dyDescent="0.2">
      <c r="B122" s="772">
        <v>1959</v>
      </c>
      <c r="C122" s="772">
        <f>SUMIFS('POSF Emiss by Zone'!$FP22:$IO22,'POSF Emiss by Zone'!$FP$19:$IO$19,'Inventory Figures'!C$117,'POSF Emiss by Zone'!$FP$20:$IO$20,'Inventory Figures'!C$120)</f>
        <v>0.62199647250000001</v>
      </c>
      <c r="D122" s="772">
        <f>SUMIFS('POSF Emiss by Zone'!$FP22:$IO22,'POSF Emiss by Zone'!$FP$19:$IO$19,'Inventory Figures'!D$117,'POSF Emiss by Zone'!$FP$20:$IO$20,'Inventory Figures'!D$120)</f>
        <v>0.62346865349999991</v>
      </c>
      <c r="E122" s="772">
        <f>SUMIFS('POSF Emiss by Zone'!$FP22:$IO22,'POSF Emiss by Zone'!$FP$19:$IO$19,'Inventory Figures'!E$117,'POSF Emiss by Zone'!$FP$20:$IO$20,'Inventory Figures'!E$120)</f>
        <v>0.83005144291583677</v>
      </c>
      <c r="F122" s="772">
        <f>SUMIFS('POSF Emiss by Zone'!$FP22:$IO22,'POSF Emiss by Zone'!$FP$19:$IO$19,'Inventory Figures'!F$117,'POSF Emiss by Zone'!$FP$20:$IO$20,'Inventory Figures'!F$120)</f>
        <v>2.2160129966384461</v>
      </c>
      <c r="G122" s="772">
        <f>SUMIFS('POSF Emiss by Zone'!$FP22:$IO22,'POSF Emiss by Zone'!$FP$19:$IO$19,'Inventory Figures'!G$117,'POSF Emiss by Zone'!$FP$20:$IO$20,'Inventory Figures'!G$120)</f>
        <v>4.3808185174106177E-3</v>
      </c>
      <c r="H122" s="772">
        <f>SUMIFS('POSF Emiss by Zone'!$FP22:$IO22,'POSF Emiss by Zone'!$FP$19:$IO$19,'Inventory Figures'!H$117,'POSF Emiss by Zone'!$FP$20:$IO$20,'Inventory Figures'!H$120)</f>
        <v>7.4672323198414922E-2</v>
      </c>
      <c r="I122" s="772">
        <f>SUMIFS('POSF Emiss by Zone'!$FP22:$IO22,'POSF Emiss by Zone'!$FP$19:$IO$19,'Inventory Figures'!I$117,'POSF Emiss by Zone'!$FP$20:$IO$20,'Inventory Figures'!I$120)</f>
        <v>0.23282365489838422</v>
      </c>
      <c r="J122" s="772">
        <f>SUMIFS('POSF Emiss by Zone'!$FP22:$IO22,'POSF Emiss by Zone'!$FP$19:$IO$19,'Inventory Figures'!J$117,'POSF Emiss by Zone'!$FP$20:$IO$20,'Inventory Figures'!J$120)</f>
        <v>3.9685467767526821</v>
      </c>
    </row>
    <row r="123" spans="2:10" x14ac:dyDescent="0.2">
      <c r="B123" s="772">
        <v>1960</v>
      </c>
      <c r="C123" s="772">
        <f>SUMIFS('POSF Emiss by Zone'!$FP23:$IO23,'POSF Emiss by Zone'!$FP$19:$IO$19,'Inventory Figures'!C$117,'POSF Emiss by Zone'!$FP$20:$IO$20,'Inventory Figures'!C$120)</f>
        <v>0.92712681749999992</v>
      </c>
      <c r="D123" s="772">
        <f>SUMIFS('POSF Emiss by Zone'!$FP23:$IO23,'POSF Emiss by Zone'!$FP$19:$IO$19,'Inventory Figures'!D$117,'POSF Emiss by Zone'!$FP$20:$IO$20,'Inventory Figures'!D$120)</f>
        <v>0.92932120049999989</v>
      </c>
      <c r="E123" s="772">
        <f>SUMIFS('POSF Emiss by Zone'!$FP23:$IO23,'POSF Emiss by Zone'!$FP$19:$IO$19,'Inventory Figures'!E$117,'POSF Emiss by Zone'!$FP$20:$IO$20,'Inventory Figures'!E$120)</f>
        <v>1.2649101675796812</v>
      </c>
      <c r="F123" s="772">
        <f>SUMIFS('POSF Emiss by Zone'!$FP23:$IO23,'POSF Emiss by Zone'!$FP$19:$IO$19,'Inventory Figures'!F$117,'POSF Emiss by Zone'!$FP$20:$IO$20,'Inventory Figures'!F$120)</f>
        <v>3.5804052455179285</v>
      </c>
      <c r="G123" s="772">
        <f>SUMIFS('POSF Emiss by Zone'!$FP23:$IO23,'POSF Emiss by Zone'!$FP$19:$IO$19,'Inventory Figures'!G$117,'POSF Emiss by Zone'!$FP$20:$IO$20,'Inventory Figures'!G$120)</f>
        <v>6.8788345738587248E-3</v>
      </c>
      <c r="H123" s="772">
        <f>SUMIFS('POSF Emiss by Zone'!$FP23:$IO23,'POSF Emiss by Zone'!$FP$19:$IO$19,'Inventory Figures'!H$117,'POSF Emiss by Zone'!$FP$20:$IO$20,'Inventory Figures'!H$120)</f>
        <v>0.1242326715980249</v>
      </c>
      <c r="I123" s="772">
        <f>SUMIFS('POSF Emiss by Zone'!$FP23:$IO23,'POSF Emiss by Zone'!$FP$19:$IO$19,'Inventory Figures'!I$117,'POSF Emiss by Zone'!$FP$20:$IO$20,'Inventory Figures'!I$120)</f>
        <v>0.36558360054453792</v>
      </c>
      <c r="J123" s="772">
        <f>SUMIFS('POSF Emiss by Zone'!$FP23:$IO23,'POSF Emiss by Zone'!$FP$19:$IO$19,'Inventory Figures'!J$117,'POSF Emiss by Zone'!$FP$20:$IO$20,'Inventory Figures'!J$120)</f>
        <v>6.6024886774673375</v>
      </c>
    </row>
    <row r="124" spans="2:10" x14ac:dyDescent="0.2">
      <c r="B124" s="772">
        <v>1961</v>
      </c>
      <c r="C124" s="772">
        <f>SUMIFS('POSF Emiss by Zone'!$FP24:$IO24,'POSF Emiss by Zone'!$FP$19:$IO$19,'Inventory Figures'!C$117,'POSF Emiss by Zone'!$FP$20:$IO$20,'Inventory Figures'!C$120)</f>
        <v>1.243992945</v>
      </c>
      <c r="D124" s="772">
        <f>SUMIFS('POSF Emiss by Zone'!$FP24:$IO24,'POSF Emiss by Zone'!$FP$19:$IO$19,'Inventory Figures'!D$117,'POSF Emiss by Zone'!$FP$20:$IO$20,'Inventory Figures'!D$120)</f>
        <v>1.2469373069999998</v>
      </c>
      <c r="E124" s="772">
        <f>SUMIFS('POSF Emiss by Zone'!$FP24:$IO24,'POSF Emiss by Zone'!$FP$19:$IO$19,'Inventory Figures'!E$117,'POSF Emiss by Zone'!$FP$20:$IO$20,'Inventory Figures'!E$120)</f>
        <v>1.7125356302913348</v>
      </c>
      <c r="F124" s="772">
        <f>SUMIFS('POSF Emiss by Zone'!$FP24:$IO24,'POSF Emiss by Zone'!$FP$19:$IO$19,'Inventory Figures'!F$117,'POSF Emiss by Zone'!$FP$20:$IO$20,'Inventory Figures'!F$120)</f>
        <v>4.9575944495766935</v>
      </c>
      <c r="G124" s="772">
        <f>SUMIFS('POSF Emiss by Zone'!$FP24:$IO24,'POSF Emiss by Zone'!$FP$19:$IO$19,'Inventory Figures'!G$117,'POSF Emiss by Zone'!$FP$20:$IO$20,'Inventory Figures'!G$120)</f>
        <v>9.4253718836057945E-3</v>
      </c>
      <c r="H124" s="772">
        <f>SUMIFS('POSF Emiss by Zone'!$FP24:$IO24,'POSF Emiss by Zone'!$FP$19:$IO$19,'Inventory Figures'!H$117,'POSF Emiss by Zone'!$FP$20:$IO$20,'Inventory Figures'!H$120)</f>
        <v>0.17531743264732003</v>
      </c>
      <c r="I124" s="772">
        <f>SUMIFS('POSF Emiss by Zone'!$FP24:$IO24,'POSF Emiss by Zone'!$FP$19:$IO$19,'Inventory Figures'!I$117,'POSF Emiss by Zone'!$FP$20:$IO$20,'Inventory Figures'!I$120)</f>
        <v>0.50092226418332642</v>
      </c>
      <c r="J124" s="772">
        <f>SUMIFS('POSF Emiss by Zone'!$FP24:$IO24,'POSF Emiss by Zone'!$FP$19:$IO$19,'Inventory Figures'!J$117,'POSF Emiss by Zone'!$FP$20:$IO$20,'Inventory Figures'!J$120)</f>
        <v>9.3174472473871841</v>
      </c>
    </row>
    <row r="125" spans="2:10" x14ac:dyDescent="0.2">
      <c r="B125" s="772">
        <v>1962</v>
      </c>
      <c r="C125" s="772">
        <f>SUMIFS('POSF Emiss by Zone'!$FP25:$IO25,'POSF Emiss by Zone'!$FP$19:$IO$19,'Inventory Figures'!C$117,'POSF Emiss by Zone'!$FP$20:$IO$20,'Inventory Figures'!C$120)</f>
        <v>1.54912329</v>
      </c>
      <c r="D125" s="772">
        <f>SUMIFS('POSF Emiss by Zone'!$FP25:$IO25,'POSF Emiss by Zone'!$FP$19:$IO$19,'Inventory Figures'!D$117,'POSF Emiss by Zone'!$FP$20:$IO$20,'Inventory Figures'!D$120)</f>
        <v>1.5527898539999998</v>
      </c>
      <c r="E125" s="772">
        <f>SUMIFS('POSF Emiss by Zone'!$FP25:$IO25,'POSF Emiss by Zone'!$FP$19:$IO$19,'Inventory Figures'!E$117,'POSF Emiss by Zone'!$FP$20:$IO$20,'Inventory Figures'!E$120)</f>
        <v>2.1473943549551793</v>
      </c>
      <c r="F125" s="772">
        <f>SUMIFS('POSF Emiss by Zone'!$FP25:$IO25,'POSF Emiss by Zone'!$FP$19:$IO$19,'Inventory Figures'!F$117,'POSF Emiss by Zone'!$FP$20:$IO$20,'Inventory Figures'!F$120)</f>
        <v>6.3219866984561772</v>
      </c>
      <c r="G125" s="772">
        <f>SUMIFS('POSF Emiss by Zone'!$FP25:$IO25,'POSF Emiss by Zone'!$FP$19:$IO$19,'Inventory Figures'!G$117,'POSF Emiss by Zone'!$FP$20:$IO$20,'Inventory Figures'!G$120)</f>
        <v>1.1927623956084024E-2</v>
      </c>
      <c r="H125" s="772">
        <f>SUMIFS('POSF Emiss by Zone'!$FP25:$IO25,'POSF Emiss by Zone'!$FP$19:$IO$19,'Inventory Figures'!H$117,'POSF Emiss by Zone'!$FP$20:$IO$20,'Inventory Figures'!H$120)</f>
        <v>0.22749616845554763</v>
      </c>
      <c r="I125" s="772">
        <f>SUMIFS('POSF Emiss by Zone'!$FP25:$IO25,'POSF Emiss by Zone'!$FP$19:$IO$19,'Inventory Figures'!I$117,'POSF Emiss by Zone'!$FP$20:$IO$20,'Inventory Figures'!I$120)</f>
        <v>0.63390733778911157</v>
      </c>
      <c r="J125" s="772">
        <f>SUMIFS('POSF Emiss by Zone'!$FP25:$IO25,'POSF Emiss by Zone'!$FP$19:$IO$19,'Inventory Figures'!J$117,'POSF Emiss by Zone'!$FP$20:$IO$20,'Inventory Figures'!J$120)</f>
        <v>12.090546368149065</v>
      </c>
    </row>
    <row r="126" spans="2:10" x14ac:dyDescent="0.2">
      <c r="B126" s="772">
        <v>1963</v>
      </c>
      <c r="C126" s="772">
        <f>SUMIFS('POSF Emiss by Zone'!$FP26:$IO26,'POSF Emiss by Zone'!$FP$19:$IO$19,'Inventory Figures'!C$117,'POSF Emiss by Zone'!$FP$20:$IO$20,'Inventory Figures'!C$120)</f>
        <v>1.8659894175000002</v>
      </c>
      <c r="D126" s="772">
        <f>SUMIFS('POSF Emiss by Zone'!$FP26:$IO26,'POSF Emiss by Zone'!$FP$19:$IO$19,'Inventory Figures'!D$117,'POSF Emiss by Zone'!$FP$20:$IO$20,'Inventory Figures'!D$120)</f>
        <v>1.8704059605000003</v>
      </c>
      <c r="E126" s="772">
        <f>SUMIFS('POSF Emiss by Zone'!$FP26:$IO26,'POSF Emiss by Zone'!$FP$19:$IO$19,'Inventory Figures'!E$117,'POSF Emiss by Zone'!$FP$20:$IO$20,'Inventory Figures'!E$120)</f>
        <v>2.5950198176668327</v>
      </c>
      <c r="F126" s="772">
        <f>SUMIFS('POSF Emiss by Zone'!$FP26:$IO26,'POSF Emiss by Zone'!$FP$19:$IO$19,'Inventory Figures'!F$117,'POSF Emiss by Zone'!$FP$20:$IO$20,'Inventory Figures'!F$120)</f>
        <v>7.6991759025149396</v>
      </c>
      <c r="G126" s="772">
        <f>SUMIFS('POSF Emiss by Zone'!$FP26:$IO26,'POSF Emiss by Zone'!$FP$19:$IO$19,'Inventory Figures'!G$117,'POSF Emiss by Zone'!$FP$20:$IO$20,'Inventory Figures'!G$120)</f>
        <v>1.4478397281861217E-2</v>
      </c>
      <c r="H126" s="772">
        <f>SUMIFS('POSF Emiss by Zone'!$FP26:$IO26,'POSF Emiss by Zone'!$FP$19:$IO$19,'Inventory Figures'!H$117,'POSF Emiss by Zone'!$FP$20:$IO$20,'Inventory Figures'!H$120)</f>
        <v>0.2811993169134604</v>
      </c>
      <c r="I126" s="772">
        <f>SUMIFS('POSF Emiss by Zone'!$FP26:$IO26,'POSF Emiss by Zone'!$FP$19:$IO$19,'Inventory Figures'!I$117,'POSF Emiss by Zone'!$FP$20:$IO$20,'Inventory Figures'!I$120)</f>
        <v>0.76947112938753182</v>
      </c>
      <c r="J126" s="772">
        <f>SUMIFS('POSF Emiss by Zone'!$FP26:$IO26,'POSF Emiss by Zone'!$FP$19:$IO$19,'Inventory Figures'!J$117,'POSF Emiss by Zone'!$FP$20:$IO$20,'Inventory Figures'!J$120)</f>
        <v>14.944662158116136</v>
      </c>
    </row>
    <row r="127" spans="2:10" x14ac:dyDescent="0.2">
      <c r="B127" s="772">
        <v>1964</v>
      </c>
      <c r="C127" s="772">
        <f>SUMIFS('POSF Emiss by Zone'!$FP27:$IO27,'POSF Emiss by Zone'!$FP$19:$IO$19,'Inventory Figures'!C$117,'POSF Emiss by Zone'!$FP$20:$IO$20,'Inventory Figures'!C$120)</f>
        <v>2.1711197624999996</v>
      </c>
      <c r="D127" s="772">
        <f>SUMIFS('POSF Emiss by Zone'!$FP27:$IO27,'POSF Emiss by Zone'!$FP$19:$IO$19,'Inventory Figures'!D$117,'POSF Emiss by Zone'!$FP$20:$IO$20,'Inventory Figures'!D$120)</f>
        <v>2.1762585074999996</v>
      </c>
      <c r="E127" s="772">
        <f>SUMIFS('POSF Emiss by Zone'!$FP27:$IO27,'POSF Emiss by Zone'!$FP$19:$IO$19,'Inventory Figures'!E$117,'POSF Emiss by Zone'!$FP$20:$IO$20,'Inventory Figures'!E$120)</f>
        <v>3.0298785423306773</v>
      </c>
      <c r="F127" s="772">
        <f>SUMIFS('POSF Emiss by Zone'!$FP27:$IO27,'POSF Emiss by Zone'!$FP$19:$IO$19,'Inventory Figures'!F$117,'POSF Emiss by Zone'!$FP$20:$IO$20,'Inventory Figures'!F$120)</f>
        <v>9.0635681513944224</v>
      </c>
      <c r="G127" s="772">
        <f>SUMIFS('POSF Emiss by Zone'!$FP27:$IO27,'POSF Emiss by Zone'!$FP$19:$IO$19,'Inventory Figures'!G$117,'POSF Emiss by Zone'!$FP$20:$IO$20,'Inventory Figures'!G$120)</f>
        <v>1.698488537036956E-2</v>
      </c>
      <c r="H127" s="772">
        <f>SUMIFS('POSF Emiss by Zone'!$FP27:$IO27,'POSF Emiss by Zone'!$FP$19:$IO$19,'Inventory Figures'!H$117,'POSF Emiss by Zone'!$FP$20:$IO$20,'Inventory Figures'!H$120)</f>
        <v>0.3359964401303055</v>
      </c>
      <c r="I127" s="772">
        <f>SUMIFS('POSF Emiss by Zone'!$FP27:$IO27,'POSF Emiss by Zone'!$FP$19:$IO$19,'Inventory Figures'!I$117,'POSF Emiss by Zone'!$FP$20:$IO$20,'Inventory Figures'!I$120)</f>
        <v>0.90268133095294834</v>
      </c>
      <c r="J127" s="772">
        <f>SUMIFS('POSF Emiss by Zone'!$FP27:$IO27,'POSF Emiss by Zone'!$FP$19:$IO$19,'Inventory Figures'!J$117,'POSF Emiss by Zone'!$FP$20:$IO$20,'Inventory Figures'!J$120)</f>
        <v>17.856918498925239</v>
      </c>
    </row>
    <row r="128" spans="2:10" x14ac:dyDescent="0.2">
      <c r="B128" s="772">
        <v>1965</v>
      </c>
      <c r="C128" s="772">
        <f>SUMIFS('POSF Emiss by Zone'!$FP28:$IO28,'POSF Emiss by Zone'!$FP$19:$IO$19,'Inventory Figures'!C$117,'POSF Emiss by Zone'!$FP$20:$IO$20,'Inventory Figures'!C$120)</f>
        <v>2.48798589</v>
      </c>
      <c r="D128" s="772">
        <f>SUMIFS('POSF Emiss by Zone'!$FP28:$IO28,'POSF Emiss by Zone'!$FP$19:$IO$19,'Inventory Figures'!D$117,'POSF Emiss by Zone'!$FP$20:$IO$20,'Inventory Figures'!D$120)</f>
        <v>2.4938746139999997</v>
      </c>
      <c r="E128" s="772">
        <f>SUMIFS('POSF Emiss by Zone'!$FP28:$IO28,'POSF Emiss by Zone'!$FP$19:$IO$19,'Inventory Figures'!E$117,'POSF Emiss by Zone'!$FP$20:$IO$20,'Inventory Figures'!E$120)</f>
        <v>3.4775040050423307</v>
      </c>
      <c r="F128" s="772">
        <f>SUMIFS('POSF Emiss by Zone'!$FP28:$IO28,'POSF Emiss by Zone'!$FP$19:$IO$19,'Inventory Figures'!F$117,'POSF Emiss by Zone'!$FP$20:$IO$20,'Inventory Figures'!F$120)</f>
        <v>10.440757355453187</v>
      </c>
      <c r="G128" s="772">
        <f>SUMIFS('POSF Emiss by Zone'!$FP28:$IO28,'POSF Emiss by Zone'!$FP$19:$IO$19,'Inventory Figures'!G$117,'POSF Emiss by Zone'!$FP$20:$IO$20,'Inventory Figures'!G$120)</f>
        <v>1.9539894712176868E-2</v>
      </c>
      <c r="H128" s="772">
        <f>SUMIFS('POSF Emiss by Zone'!$FP28:$IO28,'POSF Emiss by Zone'!$FP$19:$IO$19,'Inventory Figures'!H$117,'POSF Emiss by Zone'!$FP$20:$IO$20,'Inventory Figures'!H$120)</f>
        <v>0.39231797599683599</v>
      </c>
      <c r="I128" s="772">
        <f>SUMIFS('POSF Emiss by Zone'!$FP28:$IO28,'POSF Emiss by Zone'!$FP$19:$IO$19,'Inventory Figures'!I$117,'POSF Emiss by Zone'!$FP$20:$IO$20,'Inventory Figures'!I$120)</f>
        <v>1.0384702505109999</v>
      </c>
      <c r="J128" s="772">
        <f>SUMIFS('POSF Emiss by Zone'!$FP28:$IO28,'POSF Emiss by Zone'!$FP$19:$IO$19,'Inventory Figures'!J$117,'POSF Emiss by Zone'!$FP$20:$IO$20,'Inventory Figures'!J$120)</f>
        <v>20.850191508939535</v>
      </c>
    </row>
    <row r="129" spans="2:10" x14ac:dyDescent="0.2">
      <c r="B129" s="772">
        <v>1966</v>
      </c>
      <c r="C129" s="772">
        <f>SUMIFS('POSF Emiss by Zone'!$FP29:$IO29,'POSF Emiss by Zone'!$FP$19:$IO$19,'Inventory Figures'!C$117,'POSF Emiss by Zone'!$FP$20:$IO$20,'Inventory Figures'!C$120)</f>
        <v>2.7931162350000003</v>
      </c>
      <c r="D129" s="772">
        <f>SUMIFS('POSF Emiss by Zone'!$FP29:$IO29,'POSF Emiss by Zone'!$FP$19:$IO$19,'Inventory Figures'!D$117,'POSF Emiss by Zone'!$FP$20:$IO$20,'Inventory Figures'!D$120)</f>
        <v>2.7997271609999999</v>
      </c>
      <c r="E129" s="772">
        <f>SUMIFS('POSF Emiss by Zone'!$FP29:$IO29,'POSF Emiss by Zone'!$FP$19:$IO$19,'Inventory Figures'!E$117,'POSF Emiss by Zone'!$FP$20:$IO$20,'Inventory Figures'!E$120)</f>
        <v>3.9123627297061754</v>
      </c>
      <c r="F129" s="772">
        <f>SUMIFS('POSF Emiss by Zone'!$FP29:$IO29,'POSF Emiss by Zone'!$FP$19:$IO$19,'Inventory Figures'!F$117,'POSF Emiss by Zone'!$FP$20:$IO$20,'Inventory Figures'!F$120)</f>
        <v>11.805149604332669</v>
      </c>
      <c r="G129" s="772">
        <f>SUMIFS('POSF Emiss by Zone'!$FP29:$IO29,'POSF Emiss by Zone'!$FP$19:$IO$19,'Inventory Figures'!G$117,'POSF Emiss by Zone'!$FP$20:$IO$20,'Inventory Figures'!G$120)</f>
        <v>2.2050618816715339E-2</v>
      </c>
      <c r="H129" s="772">
        <f>SUMIFS('POSF Emiss by Zone'!$FP29:$IO29,'POSF Emiss by Zone'!$FP$19:$IO$19,'Inventory Figures'!H$117,'POSF Emiss by Zone'!$FP$20:$IO$20,'Inventory Figures'!H$120)</f>
        <v>0.44973348662229873</v>
      </c>
      <c r="I129" s="772">
        <f>SUMIFS('POSF Emiss by Zone'!$FP29:$IO29,'POSF Emiss by Zone'!$FP$19:$IO$19,'Inventory Figures'!I$117,'POSF Emiss by Zone'!$FP$20:$IO$20,'Inventory Figures'!I$120)</f>
        <v>1.1719055800360483</v>
      </c>
      <c r="J129" s="772">
        <f>SUMIFS('POSF Emiss by Zone'!$FP29:$IO29,'POSF Emiss by Zone'!$FP$19:$IO$19,'Inventory Figures'!J$117,'POSF Emiss by Zone'!$FP$20:$IO$20,'Inventory Figures'!J$120)</f>
        <v>23.901605069795856</v>
      </c>
    </row>
    <row r="130" spans="2:10" x14ac:dyDescent="0.2">
      <c r="B130" s="772">
        <v>1967</v>
      </c>
      <c r="C130" s="772">
        <f>SUMIFS('POSF Emiss by Zone'!$FP30:$IO30,'POSF Emiss by Zone'!$FP$19:$IO$19,'Inventory Figures'!C$117,'POSF Emiss by Zone'!$FP$20:$IO$20,'Inventory Figures'!C$120)</f>
        <v>3.1099823624999994</v>
      </c>
      <c r="D130" s="772">
        <f>SUMIFS('POSF Emiss by Zone'!$FP30:$IO30,'POSF Emiss by Zone'!$FP$19:$IO$19,'Inventory Figures'!D$117,'POSF Emiss by Zone'!$FP$20:$IO$20,'Inventory Figures'!D$120)</f>
        <v>3.117343267499999</v>
      </c>
      <c r="E130" s="772">
        <f>SUMIFS('POSF Emiss by Zone'!$FP30:$IO30,'POSF Emiss by Zone'!$FP$19:$IO$19,'Inventory Figures'!E$117,'POSF Emiss by Zone'!$FP$20:$IO$20,'Inventory Figures'!E$120)</f>
        <v>4.3599881924178288</v>
      </c>
      <c r="F130" s="772">
        <f>SUMIFS('POSF Emiss by Zone'!$FP30:$IO30,'POSF Emiss by Zone'!$FP$19:$IO$19,'Inventory Figures'!F$117,'POSF Emiss by Zone'!$FP$20:$IO$20,'Inventory Figures'!F$120)</f>
        <v>13.182338808391435</v>
      </c>
      <c r="G130" s="772">
        <f>SUMIFS('POSF Emiss by Zone'!$FP30:$IO30,'POSF Emiss by Zone'!$FP$19:$IO$19,'Inventory Figures'!G$117,'POSF Emiss by Zone'!$FP$20:$IO$20,'Inventory Figures'!G$120)</f>
        <v>2.4609864174552767E-2</v>
      </c>
      <c r="H130" s="772">
        <f>SUMIFS('POSF Emiss by Zone'!$FP30:$IO30,'POSF Emiss by Zone'!$FP$19:$IO$19,'Inventory Figures'!H$117,'POSF Emiss by Zone'!$FP$20:$IO$20,'Inventory Figures'!H$120)</f>
        <v>0.5086734098974468</v>
      </c>
      <c r="I130" s="772">
        <f>SUMIFS('POSF Emiss by Zone'!$FP30:$IO30,'POSF Emiss by Zone'!$FP$19:$IO$19,'Inventory Figures'!I$117,'POSF Emiss by Zone'!$FP$20:$IO$20,'Inventory Figures'!I$120)</f>
        <v>1.3079196275537313</v>
      </c>
      <c r="J130" s="772">
        <f>SUMIFS('POSF Emiss by Zone'!$FP30:$IO30,'POSF Emiss by Zone'!$FP$19:$IO$19,'Inventory Figures'!J$117,'POSF Emiss by Zone'!$FP$20:$IO$20,'Inventory Figures'!J$120)</f>
        <v>27.034035299857386</v>
      </c>
    </row>
    <row r="131" spans="2:10" x14ac:dyDescent="0.2">
      <c r="B131" s="772">
        <v>1968</v>
      </c>
      <c r="C131" s="772">
        <f>SUMIFS('POSF Emiss by Zone'!$FP31:$IO31,'POSF Emiss by Zone'!$FP$19:$IO$19,'Inventory Figures'!C$117,'POSF Emiss by Zone'!$FP$20:$IO$20,'Inventory Figures'!C$120)</f>
        <v>3.4151127074999996</v>
      </c>
      <c r="D131" s="772">
        <f>SUMIFS('POSF Emiss by Zone'!$FP31:$IO31,'POSF Emiss by Zone'!$FP$19:$IO$19,'Inventory Figures'!D$117,'POSF Emiss by Zone'!$FP$20:$IO$20,'Inventory Figures'!D$120)</f>
        <v>3.4231958144999997</v>
      </c>
      <c r="E131" s="772">
        <f>SUMIFS('POSF Emiss by Zone'!$FP31:$IO31,'POSF Emiss by Zone'!$FP$19:$IO$19,'Inventory Figures'!E$117,'POSF Emiss by Zone'!$FP$20:$IO$20,'Inventory Figures'!E$120)</f>
        <v>4.7948469170816734</v>
      </c>
      <c r="F131" s="772">
        <f>SUMIFS('POSF Emiss by Zone'!$FP31:$IO31,'POSF Emiss by Zone'!$FP$19:$IO$19,'Inventory Figures'!F$117,'POSF Emiss by Zone'!$FP$20:$IO$20,'Inventory Figures'!F$120)</f>
        <v>14.546731057270915</v>
      </c>
      <c r="G131" s="772">
        <f>SUMIFS('POSF Emiss by Zone'!$FP31:$IO31,'POSF Emiss by Zone'!$FP$19:$IO$19,'Inventory Figures'!G$117,'POSF Emiss by Zone'!$FP$20:$IO$20,'Inventory Figures'!G$120)</f>
        <v>2.7122746249521674E-2</v>
      </c>
      <c r="H131" s="772">
        <f>SUMIFS('POSF Emiss by Zone'!$FP31:$IO31,'POSF Emiss by Zone'!$FP$19:$IO$19,'Inventory Figures'!H$117,'POSF Emiss by Zone'!$FP$20:$IO$20,'Inventory Figures'!H$120)</f>
        <v>0.56742281599522448</v>
      </c>
      <c r="I131" s="772">
        <f>SUMIFS('POSF Emiss by Zone'!$FP31:$IO31,'POSF Emiss by Zone'!$FP$19:$IO$19,'Inventory Figures'!I$117,'POSF Emiss by Zone'!$FP$20:$IO$20,'Inventory Figures'!I$120)</f>
        <v>1.4414696449072708</v>
      </c>
      <c r="J131" s="772">
        <f>SUMIFS('POSF Emiss by Zone'!$FP31:$IO31,'POSF Emiss by Zone'!$FP$19:$IO$19,'Inventory Figures'!J$117,'POSF Emiss by Zone'!$FP$20:$IO$20,'Inventory Figures'!J$120)</f>
        <v>30.156340274700039</v>
      </c>
    </row>
    <row r="132" spans="2:10" x14ac:dyDescent="0.2">
      <c r="B132" s="772">
        <v>1969</v>
      </c>
      <c r="C132" s="772">
        <f>SUMIFS('POSF Emiss by Zone'!$FP32:$IO32,'POSF Emiss by Zone'!$FP$19:$IO$19,'Inventory Figures'!C$117,'POSF Emiss by Zone'!$FP$20:$IO$20,'Inventory Figures'!C$120)</f>
        <v>3.7319788350000005</v>
      </c>
      <c r="D132" s="772">
        <f>SUMIFS('POSF Emiss by Zone'!$FP32:$IO32,'POSF Emiss by Zone'!$FP$19:$IO$19,'Inventory Figures'!D$117,'POSF Emiss by Zone'!$FP$20:$IO$20,'Inventory Figures'!D$120)</f>
        <v>3.7408119210000006</v>
      </c>
      <c r="E132" s="772">
        <f>SUMIFS('POSF Emiss by Zone'!$FP32:$IO32,'POSF Emiss by Zone'!$FP$19:$IO$19,'Inventory Figures'!E$117,'POSF Emiss by Zone'!$FP$20:$IO$20,'Inventory Figures'!E$120)</f>
        <v>5.2424723797933268</v>
      </c>
      <c r="F132" s="772">
        <f>SUMIFS('POSF Emiss by Zone'!$FP32:$IO32,'POSF Emiss by Zone'!$FP$19:$IO$19,'Inventory Figures'!F$117,'POSF Emiss by Zone'!$FP$20:$IO$20,'Inventory Figures'!F$120)</f>
        <v>15.923920261329682</v>
      </c>
      <c r="G132" s="772">
        <f>SUMIFS('POSF Emiss by Zone'!$FP32:$IO32,'POSF Emiss by Zone'!$FP$19:$IO$19,'Inventory Figures'!G$117,'POSF Emiss by Zone'!$FP$20:$IO$20,'Inventory Figures'!G$120)</f>
        <v>2.9681991607359109E-2</v>
      </c>
      <c r="H132" s="772">
        <f>SUMIFS('POSF Emiss by Zone'!$FP32:$IO32,'POSF Emiss by Zone'!$FP$19:$IO$19,'Inventory Figures'!H$117,'POSF Emiss by Zone'!$FP$20:$IO$20,'Inventory Figures'!H$120)</f>
        <v>0.62636273927037245</v>
      </c>
      <c r="I132" s="772">
        <f>SUMIFS('POSF Emiss by Zone'!$FP32:$IO32,'POSF Emiss by Zone'!$FP$19:$IO$19,'Inventory Figures'!I$117,'POSF Emiss by Zone'!$FP$20:$IO$20,'Inventory Figures'!I$120)</f>
        <v>1.5774836924249542</v>
      </c>
      <c r="J132" s="772">
        <f>SUMIFS('POSF Emiss by Zone'!$FP32:$IO32,'POSF Emiss by Zone'!$FP$19:$IO$19,'Inventory Figures'!J$117,'POSF Emiss by Zone'!$FP$20:$IO$20,'Inventory Figures'!J$120)</f>
        <v>33.288770504761558</v>
      </c>
    </row>
    <row r="133" spans="2:10" x14ac:dyDescent="0.2">
      <c r="B133" s="772">
        <v>1970</v>
      </c>
      <c r="C133" s="772">
        <f>SUMIFS('POSF Emiss by Zone'!$FP33:$IO33,'POSF Emiss by Zone'!$FP$19:$IO$19,'Inventory Figures'!C$117,'POSF Emiss by Zone'!$FP$20:$IO$20,'Inventory Figures'!C$120)</f>
        <v>4.0371091799999999</v>
      </c>
      <c r="D133" s="772">
        <f>SUMIFS('POSF Emiss by Zone'!$FP33:$IO33,'POSF Emiss by Zone'!$FP$19:$IO$19,'Inventory Figures'!D$117,'POSF Emiss by Zone'!$FP$20:$IO$20,'Inventory Figures'!D$120)</f>
        <v>4.0466644679999995</v>
      </c>
      <c r="E133" s="772">
        <f>SUMIFS('POSF Emiss by Zone'!$FP33:$IO33,'POSF Emiss by Zone'!$FP$19:$IO$19,'Inventory Figures'!E$117,'POSF Emiss by Zone'!$FP$20:$IO$20,'Inventory Figures'!E$120)</f>
        <v>5.6773311044571706</v>
      </c>
      <c r="F133" s="772">
        <f>SUMIFS('POSF Emiss by Zone'!$FP33:$IO33,'POSF Emiss by Zone'!$FP$19:$IO$19,'Inventory Figures'!F$117,'POSF Emiss by Zone'!$FP$20:$IO$20,'Inventory Figures'!F$120)</f>
        <v>17.288312510209163</v>
      </c>
      <c r="G133" s="772">
        <f>SUMIFS('POSF Emiss by Zone'!$FP33:$IO33,'POSF Emiss by Zone'!$FP$19:$IO$19,'Inventory Figures'!G$117,'POSF Emiss by Zone'!$FP$20:$IO$20,'Inventory Figures'!G$120)</f>
        <v>3.2194873682328012E-2</v>
      </c>
      <c r="H133" s="772">
        <f>SUMIFS('POSF Emiss by Zone'!$FP33:$IO33,'POSF Emiss by Zone'!$FP$19:$IO$19,'Inventory Figures'!H$117,'POSF Emiss by Zone'!$FP$20:$IO$20,'Inventory Figures'!H$120)</f>
        <v>0.68511214536815002</v>
      </c>
      <c r="I133" s="772">
        <f>SUMIFS('POSF Emiss by Zone'!$FP33:$IO33,'POSF Emiss by Zone'!$FP$19:$IO$19,'Inventory Figures'!I$117,'POSF Emiss by Zone'!$FP$20:$IO$20,'Inventory Figures'!I$120)</f>
        <v>1.711033709778494</v>
      </c>
      <c r="J133" s="772">
        <f>SUMIFS('POSF Emiss by Zone'!$FP33:$IO33,'POSF Emiss by Zone'!$FP$19:$IO$19,'Inventory Figures'!J$117,'POSF Emiss by Zone'!$FP$20:$IO$20,'Inventory Figures'!J$120)</f>
        <v>36.411075479604207</v>
      </c>
    </row>
    <row r="134" spans="2:10" x14ac:dyDescent="0.2">
      <c r="B134" s="772">
        <v>1971</v>
      </c>
      <c r="C134" s="772">
        <f>SUMIFS('POSF Emiss by Zone'!$FP34:$IO34,'POSF Emiss by Zone'!$FP$19:$IO$19,'Inventory Figures'!C$117,'POSF Emiss by Zone'!$FP$20:$IO$20,'Inventory Figures'!C$120)</f>
        <v>4.3422395249999992</v>
      </c>
      <c r="D134" s="772">
        <f>SUMIFS('POSF Emiss by Zone'!$FP34:$IO34,'POSF Emiss by Zone'!$FP$19:$IO$19,'Inventory Figures'!D$117,'POSF Emiss by Zone'!$FP$20:$IO$20,'Inventory Figures'!D$120)</f>
        <v>4.3525170149999992</v>
      </c>
      <c r="E134" s="772">
        <f>SUMIFS('POSF Emiss by Zone'!$FP34:$IO34,'POSF Emiss by Zone'!$FP$19:$IO$19,'Inventory Figures'!E$117,'POSF Emiss by Zone'!$FP$20:$IO$20,'Inventory Figures'!E$120)</f>
        <v>6.1102478756225089</v>
      </c>
      <c r="F134" s="772">
        <f>SUMIFS('POSF Emiss by Zone'!$FP34:$IO34,'POSF Emiss by Zone'!$FP$19:$IO$19,'Inventory Figures'!F$117,'POSF Emiss by Zone'!$FP$20:$IO$20,'Inventory Figures'!F$120)</f>
        <v>18.633239260707171</v>
      </c>
      <c r="G134" s="772">
        <f>SUMIFS('POSF Emiss by Zone'!$FP34:$IO34,'POSF Emiss by Zone'!$FP$19:$IO$19,'Inventory Figures'!G$117,'POSF Emiss by Zone'!$FP$20:$IO$20,'Inventory Figures'!G$120)</f>
        <v>3.4683406839254138E-2</v>
      </c>
      <c r="H134" s="772">
        <f>SUMIFS('POSF Emiss by Zone'!$FP34:$IO34,'POSF Emiss by Zone'!$FP$19:$IO$19,'Inventory Figures'!H$117,'POSF Emiss by Zone'!$FP$20:$IO$20,'Inventory Figures'!H$120)</f>
        <v>0.74304414750646164</v>
      </c>
      <c r="I134" s="772">
        <f>SUMIFS('POSF Emiss by Zone'!$FP34:$IO34,'POSF Emiss by Zone'!$FP$19:$IO$19,'Inventory Figures'!I$117,'POSF Emiss by Zone'!$FP$20:$IO$20,'Inventory Figures'!I$120)</f>
        <v>1.8432896757877451</v>
      </c>
      <c r="J134" s="772">
        <f>SUMIFS('POSF Emiss by Zone'!$FP34:$IO34,'POSF Emiss by Zone'!$FP$19:$IO$19,'Inventory Figures'!J$117,'POSF Emiss by Zone'!$FP$20:$IO$20,'Inventory Figures'!J$120)</f>
        <v>39.489938577862638</v>
      </c>
    </row>
    <row r="135" spans="2:10" x14ac:dyDescent="0.2">
      <c r="B135" s="772">
        <v>1972</v>
      </c>
      <c r="C135" s="772">
        <f>SUMIFS('POSF Emiss by Zone'!$FP35:$IO35,'POSF Emiss by Zone'!$FP$19:$IO$19,'Inventory Figures'!C$117,'POSF Emiss by Zone'!$FP$20:$IO$20,'Inventory Figures'!C$120)</f>
        <v>4.6591056525000001</v>
      </c>
      <c r="D135" s="772">
        <f>SUMIFS('POSF Emiss by Zone'!$FP35:$IO35,'POSF Emiss by Zone'!$FP$19:$IO$19,'Inventory Figures'!D$117,'POSF Emiss by Zone'!$FP$20:$IO$20,'Inventory Figures'!D$120)</f>
        <v>4.6701331214999993</v>
      </c>
      <c r="E135" s="772">
        <f>SUMIFS('POSF Emiss by Zone'!$FP35:$IO35,'POSF Emiss by Zone'!$FP$19:$IO$19,'Inventory Figures'!E$117,'POSF Emiss by Zone'!$FP$20:$IO$20,'Inventory Figures'!E$120)</f>
        <v>6.5578733383341632</v>
      </c>
      <c r="F135" s="772">
        <f>SUMIFS('POSF Emiss by Zone'!$FP35:$IO35,'POSF Emiss by Zone'!$FP$19:$IO$19,'Inventory Figures'!F$117,'POSF Emiss by Zone'!$FP$20:$IO$20,'Inventory Figures'!F$120)</f>
        <v>20.010428464765937</v>
      </c>
      <c r="G135" s="772">
        <f>SUMIFS('POSF Emiss by Zone'!$FP35:$IO35,'POSF Emiss by Zone'!$FP$19:$IO$19,'Inventory Figures'!G$117,'POSF Emiss by Zone'!$FP$20:$IO$20,'Inventory Figures'!G$120)</f>
        <v>3.724265219709158E-2</v>
      </c>
      <c r="H135" s="772">
        <f>SUMIFS('POSF Emiss by Zone'!$FP35:$IO35,'POSF Emiss by Zone'!$FP$19:$IO$19,'Inventory Figures'!H$117,'POSF Emiss by Zone'!$FP$20:$IO$20,'Inventory Figures'!H$120)</f>
        <v>0.80198407078160994</v>
      </c>
      <c r="I135" s="772">
        <f>SUMIFS('POSF Emiss by Zone'!$FP35:$IO35,'POSF Emiss by Zone'!$FP$19:$IO$19,'Inventory Figures'!I$117,'POSF Emiss by Zone'!$FP$20:$IO$20,'Inventory Figures'!I$120)</f>
        <v>1.979303723305428</v>
      </c>
      <c r="J135" s="772">
        <f>SUMIFS('POSF Emiss by Zone'!$FP35:$IO35,'POSF Emiss by Zone'!$FP$19:$IO$19,'Inventory Figures'!J$117,'POSF Emiss by Zone'!$FP$20:$IO$20,'Inventory Figures'!J$120)</f>
        <v>42.622368807924168</v>
      </c>
    </row>
    <row r="136" spans="2:10" x14ac:dyDescent="0.2">
      <c r="B136" s="772">
        <v>1973</v>
      </c>
      <c r="C136" s="772">
        <f>SUMIFS('POSF Emiss by Zone'!$FP36:$IO36,'POSF Emiss by Zone'!$FP$19:$IO$19,'Inventory Figures'!C$117,'POSF Emiss by Zone'!$FP$20:$IO$20,'Inventory Figures'!C$120)</f>
        <v>4.9642359974999994</v>
      </c>
      <c r="D136" s="772">
        <f>SUMIFS('POSF Emiss by Zone'!$FP36:$IO36,'POSF Emiss by Zone'!$FP$19:$IO$19,'Inventory Figures'!D$117,'POSF Emiss by Zone'!$FP$20:$IO$20,'Inventory Figures'!D$120)</f>
        <v>4.9759856684999999</v>
      </c>
      <c r="E136" s="772">
        <f>SUMIFS('POSF Emiss by Zone'!$FP36:$IO36,'POSF Emiss by Zone'!$FP$19:$IO$19,'Inventory Figures'!E$117,'POSF Emiss by Zone'!$FP$20:$IO$20,'Inventory Figures'!E$120)</f>
        <v>6.9927320629980079</v>
      </c>
      <c r="F136" s="772">
        <f>SUMIFS('POSF Emiss by Zone'!$FP36:$IO36,'POSF Emiss by Zone'!$FP$19:$IO$19,'Inventory Figures'!F$117,'POSF Emiss by Zone'!$FP$20:$IO$20,'Inventory Figures'!F$120)</f>
        <v>21.37482071364542</v>
      </c>
      <c r="G136" s="772">
        <f>SUMIFS('POSF Emiss by Zone'!$FP36:$IO36,'POSF Emiss by Zone'!$FP$19:$IO$19,'Inventory Figures'!G$117,'POSF Emiss by Zone'!$FP$20:$IO$20,'Inventory Figures'!G$120)</f>
        <v>3.9755454347229727E-2</v>
      </c>
      <c r="H136" s="772">
        <f>SUMIFS('POSF Emiss by Zone'!$FP36:$IO36,'POSF Emiss by Zone'!$FP$19:$IO$19,'Inventory Figures'!H$117,'POSF Emiss by Zone'!$FP$20:$IO$20,'Inventory Figures'!H$120)</f>
        <v>0.86068407334337604</v>
      </c>
      <c r="I136" s="772">
        <f>SUMIFS('POSF Emiss by Zone'!$FP36:$IO36,'POSF Emiss by Zone'!$FP$19:$IO$19,'Inventory Figures'!I$117,'POSF Emiss by Zone'!$FP$20:$IO$20,'Inventory Figures'!I$120)</f>
        <v>2.1128494929616162</v>
      </c>
      <c r="J136" s="772">
        <f>SUMIFS('POSF Emiss by Zone'!$FP36:$IO36,'POSF Emiss by Zone'!$FP$19:$IO$19,'Inventory Figures'!J$117,'POSF Emiss by Zone'!$FP$20:$IO$20,'Inventory Figures'!J$120)</f>
        <v>45.742048174841408</v>
      </c>
    </row>
    <row r="137" spans="2:10" x14ac:dyDescent="0.2">
      <c r="B137" s="772">
        <v>1974</v>
      </c>
      <c r="C137" s="772">
        <f>SUMIFS('POSF Emiss by Zone'!$FP37:$IO37,'POSF Emiss by Zone'!$FP$19:$IO$19,'Inventory Figures'!C$117,'POSF Emiss by Zone'!$FP$20:$IO$20,'Inventory Figures'!C$120)</f>
        <v>5.2811021250000003</v>
      </c>
      <c r="D137" s="772">
        <f>SUMIFS('POSF Emiss by Zone'!$FP37:$IO37,'POSF Emiss by Zone'!$FP$19:$IO$19,'Inventory Figures'!D$117,'POSF Emiss by Zone'!$FP$20:$IO$20,'Inventory Figures'!D$120)</f>
        <v>5.2936017749999991</v>
      </c>
      <c r="E137" s="772">
        <f>SUMIFS('POSF Emiss by Zone'!$FP37:$IO37,'POSF Emiss by Zone'!$FP$19:$IO$19,'Inventory Figures'!E$117,'POSF Emiss by Zone'!$FP$20:$IO$20,'Inventory Figures'!E$120)</f>
        <v>7.4403575257096621</v>
      </c>
      <c r="F137" s="772">
        <f>SUMIFS('POSF Emiss by Zone'!$FP37:$IO37,'POSF Emiss by Zone'!$FP$19:$IO$19,'Inventory Figures'!F$117,'POSF Emiss by Zone'!$FP$20:$IO$20,'Inventory Figures'!F$120)</f>
        <v>22.752009917704186</v>
      </c>
      <c r="G137" s="772">
        <f>SUMIFS('POSF Emiss by Zone'!$FP37:$IO37,'POSF Emiss by Zone'!$FP$19:$IO$19,'Inventory Figures'!G$117,'POSF Emiss by Zone'!$FP$20:$IO$20,'Inventory Figures'!G$120)</f>
        <v>4.2314699705067162E-2</v>
      </c>
      <c r="H137" s="772">
        <f>SUMIFS('POSF Emiss by Zone'!$FP37:$IO37,'POSF Emiss by Zone'!$FP$19:$IO$19,'Inventory Figures'!H$117,'POSF Emiss by Zone'!$FP$20:$IO$20,'Inventory Figures'!H$120)</f>
        <v>0.91962399661852356</v>
      </c>
      <c r="I137" s="772">
        <f>SUMIFS('POSF Emiss by Zone'!$FP37:$IO37,'POSF Emiss by Zone'!$FP$19:$IO$19,'Inventory Figures'!I$117,'POSF Emiss by Zone'!$FP$20:$IO$20,'Inventory Figures'!I$120)</f>
        <v>2.2488635404793</v>
      </c>
      <c r="J137" s="772">
        <f>SUMIFS('POSF Emiss by Zone'!$FP37:$IO37,'POSF Emiss by Zone'!$FP$19:$IO$19,'Inventory Figures'!J$117,'POSF Emiss by Zone'!$FP$20:$IO$20,'Inventory Figures'!J$120)</f>
        <v>48.874478404902924</v>
      </c>
    </row>
    <row r="138" spans="2:10" x14ac:dyDescent="0.2">
      <c r="B138" s="772">
        <v>1975</v>
      </c>
      <c r="C138" s="772">
        <f>SUMIFS('POSF Emiss by Zone'!$FP38:$IO38,'POSF Emiss by Zone'!$FP$19:$IO$19,'Inventory Figures'!C$117,'POSF Emiss by Zone'!$FP$20:$IO$20,'Inventory Figures'!C$120)</f>
        <v>5.5862324700000006</v>
      </c>
      <c r="D138" s="772">
        <f>SUMIFS('POSF Emiss by Zone'!$FP38:$IO38,'POSF Emiss by Zone'!$FP$19:$IO$19,'Inventory Figures'!D$117,'POSF Emiss by Zone'!$FP$20:$IO$20,'Inventory Figures'!D$120)</f>
        <v>5.5994543219999997</v>
      </c>
      <c r="E138" s="772">
        <f>SUMIFS('POSF Emiss by Zone'!$FP38:$IO38,'POSF Emiss by Zone'!$FP$19:$IO$19,'Inventory Figures'!E$117,'POSF Emiss by Zone'!$FP$20:$IO$20,'Inventory Figures'!E$120)</f>
        <v>7.8752162503735068</v>
      </c>
      <c r="F138" s="772">
        <f>SUMIFS('POSF Emiss by Zone'!$FP38:$IO38,'POSF Emiss by Zone'!$FP$19:$IO$19,'Inventory Figures'!F$117,'POSF Emiss by Zone'!$FP$20:$IO$20,'Inventory Figures'!F$120)</f>
        <v>24.116402166583665</v>
      </c>
      <c r="G138" s="772">
        <f>SUMIFS('POSF Emiss by Zone'!$FP38:$IO38,'POSF Emiss by Zone'!$FP$19:$IO$19,'Inventory Figures'!G$117,'POSF Emiss by Zone'!$FP$20:$IO$20,'Inventory Figures'!G$120)</f>
        <v>4.4827501855205294E-2</v>
      </c>
      <c r="H138" s="772">
        <f>SUMIFS('POSF Emiss by Zone'!$FP38:$IO38,'POSF Emiss by Zone'!$FP$19:$IO$19,'Inventory Figures'!H$117,'POSF Emiss by Zone'!$FP$20:$IO$20,'Inventory Figures'!H$120)</f>
        <v>0.97832399918028945</v>
      </c>
      <c r="I138" s="772">
        <f>SUMIFS('POSF Emiss by Zone'!$FP38:$IO38,'POSF Emiss by Zone'!$FP$19:$IO$19,'Inventory Figures'!I$117,'POSF Emiss by Zone'!$FP$20:$IO$20,'Inventory Figures'!I$120)</f>
        <v>2.3824093101354875</v>
      </c>
      <c r="J138" s="772">
        <f>SUMIFS('POSF Emiss by Zone'!$FP38:$IO38,'POSF Emiss by Zone'!$FP$19:$IO$19,'Inventory Figures'!J$117,'POSF Emiss by Zone'!$FP$20:$IO$20,'Inventory Figures'!J$120)</f>
        <v>51.994157771820156</v>
      </c>
    </row>
    <row r="139" spans="2:10" x14ac:dyDescent="0.2">
      <c r="B139" s="772">
        <v>1976</v>
      </c>
      <c r="C139" s="772">
        <f>SUMIFS('POSF Emiss by Zone'!$FP39:$IO39,'POSF Emiss by Zone'!$FP$19:$IO$19,'Inventory Figures'!C$117,'POSF Emiss by Zone'!$FP$20:$IO$20,'Inventory Figures'!C$120)</f>
        <v>7.8277669274999999</v>
      </c>
      <c r="D139" s="772">
        <f>SUMIFS('POSF Emiss by Zone'!$FP39:$IO39,'POSF Emiss by Zone'!$FP$19:$IO$19,'Inventory Figures'!D$117,'POSF Emiss by Zone'!$FP$20:$IO$20,'Inventory Figures'!D$120)</f>
        <v>7.8462941864999998</v>
      </c>
      <c r="E139" s="772">
        <f>SUMIFS('POSF Emiss by Zone'!$FP39:$IO39,'POSF Emiss by Zone'!$FP$19:$IO$19,'Inventory Figures'!E$117,'POSF Emiss by Zone'!$FP$20:$IO$20,'Inventory Figures'!E$120)</f>
        <v>10.735067126680779</v>
      </c>
      <c r="F139" s="772">
        <f>SUMIFS('POSF Emiss by Zone'!$FP39:$IO39,'POSF Emiss by Zone'!$FP$19:$IO$19,'Inventory Figures'!F$117,'POSF Emiss by Zone'!$FP$20:$IO$20,'Inventory Figures'!F$120)</f>
        <v>30.784633754606574</v>
      </c>
      <c r="G139" s="772">
        <f>SUMIFS('POSF Emiss by Zone'!$FP39:$IO39,'POSF Emiss by Zone'!$FP$19:$IO$19,'Inventory Figures'!G$117,'POSF Emiss by Zone'!$FP$20:$IO$20,'Inventory Figures'!G$120)</f>
        <v>5.8983548162495077E-2</v>
      </c>
      <c r="H139" s="772">
        <f>SUMIFS('POSF Emiss by Zone'!$FP39:$IO39,'POSF Emiss by Zone'!$FP$19:$IO$19,'Inventory Figures'!H$117,'POSF Emiss by Zone'!$FP$20:$IO$20,'Inventory Figures'!H$120)</f>
        <v>1.202562988896551</v>
      </c>
      <c r="I139" s="772">
        <f>SUMIFS('POSF Emiss by Zone'!$FP39:$IO39,'POSF Emiss by Zone'!$FP$19:$IO$19,'Inventory Figures'!I$117,'POSF Emiss by Zone'!$FP$20:$IO$20,'Inventory Figures'!I$120)</f>
        <v>3.1347487250359878</v>
      </c>
      <c r="J139" s="772">
        <f>SUMIFS('POSF Emiss by Zone'!$FP39:$IO39,'POSF Emiss by Zone'!$FP$19:$IO$19,'Inventory Figures'!J$117,'POSF Emiss by Zone'!$FP$20:$IO$20,'Inventory Figures'!J$120)</f>
        <v>63.911597617586693</v>
      </c>
    </row>
    <row r="140" spans="2:10" x14ac:dyDescent="0.2">
      <c r="B140" s="772">
        <v>1977</v>
      </c>
      <c r="C140" s="772">
        <f>SUMIFS('POSF Emiss by Zone'!$FP40:$IO40,'POSF Emiss by Zone'!$FP$19:$IO$19,'Inventory Figures'!C$117,'POSF Emiss by Zone'!$FP$20:$IO$20,'Inventory Figures'!C$120)</f>
        <v>10.057565602499999</v>
      </c>
      <c r="D140" s="772">
        <f>SUMIFS('POSF Emiss by Zone'!$FP40:$IO40,'POSF Emiss by Zone'!$FP$19:$IO$19,'Inventory Figures'!D$117,'POSF Emiss by Zone'!$FP$20:$IO$20,'Inventory Figures'!D$120)</f>
        <v>10.0813704915</v>
      </c>
      <c r="E140" s="772">
        <f>SUMIFS('POSF Emiss by Zone'!$FP40:$IO40,'POSF Emiss by Zone'!$FP$19:$IO$19,'Inventory Figures'!E$117,'POSF Emiss by Zone'!$FP$20:$IO$20,'Inventory Figures'!E$120)</f>
        <v>13.900631638695218</v>
      </c>
      <c r="F140" s="772">
        <f>SUMIFS('POSF Emiss by Zone'!$FP40:$IO40,'POSF Emiss by Zone'!$FP$19:$IO$19,'Inventory Figures'!F$117,'POSF Emiss by Zone'!$FP$20:$IO$20,'Inventory Figures'!F$120)</f>
        <v>40.63241012201194</v>
      </c>
      <c r="G140" s="772">
        <f>SUMIFS('POSF Emiss by Zone'!$FP40:$IO40,'POSF Emiss by Zone'!$FP$19:$IO$19,'Inventory Figures'!G$117,'POSF Emiss by Zone'!$FP$20:$IO$20,'Inventory Figures'!G$120)</f>
        <v>7.7086373821099688E-2</v>
      </c>
      <c r="H140" s="772">
        <f>SUMIFS('POSF Emiss by Zone'!$FP40:$IO40,'POSF Emiss by Zone'!$FP$19:$IO$19,'Inventory Figures'!H$117,'POSF Emiss by Zone'!$FP$20:$IO$20,'Inventory Figures'!H$120)</f>
        <v>1.5606163072517778</v>
      </c>
      <c r="I140" s="772">
        <f>SUMIFS('POSF Emiss by Zone'!$FP40:$IO40,'POSF Emiss by Zone'!$FP$19:$IO$19,'Inventory Figures'!I$117,'POSF Emiss by Zone'!$FP$20:$IO$20,'Inventory Figures'!I$120)</f>
        <v>4.0968442825382896</v>
      </c>
      <c r="J140" s="772">
        <f>SUMIFS('POSF Emiss by Zone'!$FP40:$IO40,'POSF Emiss by Zone'!$FP$19:$IO$19,'Inventory Figures'!J$117,'POSF Emiss by Zone'!$FP$20:$IO$20,'Inventory Figures'!J$120)</f>
        <v>82.940754360019469</v>
      </c>
    </row>
    <row r="141" spans="2:10" x14ac:dyDescent="0.2">
      <c r="B141" s="772">
        <v>1978</v>
      </c>
      <c r="C141" s="772">
        <f>SUMIFS('POSF Emiss by Zone'!$FP41:$IO41,'POSF Emiss by Zone'!$FP$19:$IO$19,'Inventory Figures'!C$117,'POSF Emiss by Zone'!$FP$20:$IO$20,'Inventory Figures'!C$120)</f>
        <v>12.299100059999997</v>
      </c>
      <c r="D141" s="772">
        <f>SUMIFS('POSF Emiss by Zone'!$FP41:$IO41,'POSF Emiss by Zone'!$FP$19:$IO$19,'Inventory Figures'!D$117,'POSF Emiss by Zone'!$FP$20:$IO$20,'Inventory Figures'!D$120)</f>
        <v>12.328210356</v>
      </c>
      <c r="E141" s="772">
        <f>SUMIFS('POSF Emiss by Zone'!$FP41:$IO41,'POSF Emiss by Zone'!$FP$19:$IO$19,'Inventory Figures'!E$117,'POSF Emiss by Zone'!$FP$20:$IO$20,'Inventory Figures'!E$120)</f>
        <v>17.07896288875747</v>
      </c>
      <c r="F141" s="772">
        <f>SUMIFS('POSF Emiss by Zone'!$FP41:$IO41,'POSF Emiss by Zone'!$FP$19:$IO$19,'Inventory Figures'!F$117,'POSF Emiss by Zone'!$FP$20:$IO$20,'Inventory Figures'!F$120)</f>
        <v>50.492983444596618</v>
      </c>
      <c r="G141" s="772">
        <f>SUMIFS('POSF Emiss by Zone'!$FP41:$IO41,'POSF Emiss by Zone'!$FP$19:$IO$19,'Inventory Figures'!G$117,'POSF Emiss by Zone'!$FP$20:$IO$20,'Inventory Figures'!G$120)</f>
        <v>9.5248750359647721E-2</v>
      </c>
      <c r="H141" s="772">
        <f>SUMIFS('POSF Emiss by Zone'!$FP41:$IO41,'POSF Emiss by Zone'!$FP$19:$IO$19,'Inventory Figures'!H$117,'POSF Emiss by Zone'!$FP$20:$IO$20,'Inventory Figures'!H$120)</f>
        <v>1.9270117262262985</v>
      </c>
      <c r="I141" s="772">
        <f>SUMIFS('POSF Emiss by Zone'!$FP41:$IO41,'POSF Emiss by Zone'!$FP$19:$IO$19,'Inventory Figures'!I$117,'POSF Emiss by Zone'!$FP$20:$IO$20,'Inventory Figures'!I$120)</f>
        <v>5.0621047402677384</v>
      </c>
      <c r="J141" s="772">
        <f>SUMIFS('POSF Emiss by Zone'!$FP41:$IO41,'POSF Emiss by Zone'!$FP$19:$IO$19,'Inventory Figures'!J$117,'POSF Emiss by Zone'!$FP$20:$IO$20,'Inventory Figures'!J$120)</f>
        <v>102.41326166536535</v>
      </c>
    </row>
    <row r="142" spans="2:10" x14ac:dyDescent="0.2">
      <c r="B142" s="772">
        <v>1979</v>
      </c>
      <c r="C142" s="772">
        <f>SUMIFS('POSF Emiss by Zone'!$FP42:$IO42,'POSF Emiss by Zone'!$FP$19:$IO$19,'Inventory Figures'!C$117,'POSF Emiss by Zone'!$FP$20:$IO$20,'Inventory Figures'!C$120)</f>
        <v>14.528898735000002</v>
      </c>
      <c r="D142" s="772">
        <f>SUMIFS('POSF Emiss by Zone'!$FP42:$IO42,'POSF Emiss by Zone'!$FP$19:$IO$19,'Inventory Figures'!D$117,'POSF Emiss by Zone'!$FP$20:$IO$20,'Inventory Figures'!D$120)</f>
        <v>14.563286661000001</v>
      </c>
      <c r="E142" s="772">
        <f>SUMIFS('POSF Emiss by Zone'!$FP42:$IO42,'POSF Emiss by Zone'!$FP$19:$IO$19,'Inventory Figures'!E$117,'POSF Emiss by Zone'!$FP$20:$IO$20,'Inventory Figures'!E$120)</f>
        <v>20.244527400771915</v>
      </c>
      <c r="F142" s="772">
        <f>SUMIFS('POSF Emiss by Zone'!$FP42:$IO42,'POSF Emiss by Zone'!$FP$19:$IO$19,'Inventory Figures'!F$117,'POSF Emiss by Zone'!$FP$20:$IO$20,'Inventory Figures'!F$120)</f>
        <v>60.340759812001991</v>
      </c>
      <c r="G142" s="772">
        <f>SUMIFS('POSF Emiss by Zone'!$FP42:$IO42,'POSF Emiss by Zone'!$FP$19:$IO$19,'Inventory Figures'!G$117,'POSF Emiss by Zone'!$FP$20:$IO$20,'Inventory Figures'!G$120)</f>
        <v>0.11337779136274059</v>
      </c>
      <c r="H142" s="772">
        <f>SUMIFS('POSF Emiss by Zone'!$FP42:$IO42,'POSF Emiss by Zone'!$FP$19:$IO$19,'Inventory Figures'!H$117,'POSF Emiss by Zone'!$FP$20:$IO$20,'Inventory Figures'!H$120)</f>
        <v>2.3012694043933482</v>
      </c>
      <c r="I142" s="772">
        <f>SUMIFS('POSF Emiss by Zone'!$FP42:$IO42,'POSF Emiss by Zone'!$FP$19:$IO$19,'Inventory Figures'!I$117,'POSF Emiss by Zone'!$FP$20:$IO$20,'Inventory Figures'!I$120)</f>
        <v>6.0255935425013432</v>
      </c>
      <c r="J142" s="772">
        <f>SUMIFS('POSF Emiss by Zone'!$FP42:$IO42,'POSF Emiss by Zone'!$FP$19:$IO$19,'Inventory Figures'!J$117,'POSF Emiss by Zone'!$FP$20:$IO$20,'Inventory Figures'!J$120)</f>
        <v>122.30361780733568</v>
      </c>
    </row>
    <row r="143" spans="2:10" x14ac:dyDescent="0.2">
      <c r="B143" s="772">
        <v>1980</v>
      </c>
      <c r="C143" s="772">
        <f>SUMIFS('POSF Emiss by Zone'!$FP43:$IO43,'POSF Emiss by Zone'!$FP$19:$IO$19,'Inventory Figures'!C$117,'POSF Emiss by Zone'!$FP$20:$IO$20,'Inventory Figures'!C$120)</f>
        <v>16.770433192499997</v>
      </c>
      <c r="D143" s="772">
        <f>SUMIFS('POSF Emiss by Zone'!$FP43:$IO43,'POSF Emiss by Zone'!$FP$19:$IO$19,'Inventory Figures'!D$117,'POSF Emiss by Zone'!$FP$20:$IO$20,'Inventory Figures'!D$120)</f>
        <v>16.810126525499999</v>
      </c>
      <c r="E143" s="772">
        <f>SUMIFS('POSF Emiss by Zone'!$FP43:$IO43,'POSF Emiss by Zone'!$FP$19:$IO$19,'Inventory Figures'!E$117,'POSF Emiss by Zone'!$FP$20:$IO$20,'Inventory Figures'!E$120)</f>
        <v>23.422858650834165</v>
      </c>
      <c r="F143" s="772">
        <f>SUMIFS('POSF Emiss by Zone'!$FP43:$IO43,'POSF Emiss by Zone'!$FP$19:$IO$19,'Inventory Figures'!F$117,'POSF Emiss by Zone'!$FP$20:$IO$20,'Inventory Figures'!F$120)</f>
        <v>70.201333134586662</v>
      </c>
      <c r="G143" s="772">
        <f>SUMIFS('POSF Emiss by Zone'!$FP43:$IO43,'POSF Emiss by Zone'!$FP$19:$IO$19,'Inventory Figures'!G$117,'POSF Emiss by Zone'!$FP$20:$IO$20,'Inventory Figures'!G$120)</f>
        <v>0.13156638324577694</v>
      </c>
      <c r="H143" s="772">
        <f>SUMIFS('POSF Emiss by Zone'!$FP43:$IO43,'POSF Emiss by Zone'!$FP$19:$IO$19,'Inventory Figures'!H$117,'POSF Emiss by Zone'!$FP$20:$IO$20,'Inventory Figures'!H$120)</f>
        <v>2.6838691831796915</v>
      </c>
      <c r="I143" s="772">
        <f>SUMIFS('POSF Emiss by Zone'!$FP43:$IO43,'POSF Emiss by Zone'!$FP$19:$IO$19,'Inventory Figures'!I$117,'POSF Emiss by Zone'!$FP$20:$IO$20,'Inventory Figures'!I$120)</f>
        <v>6.9922472449620976</v>
      </c>
      <c r="J143" s="772">
        <f>SUMIFS('POSF Emiss by Zone'!$FP43:$IO43,'POSF Emiss by Zone'!$FP$19:$IO$19,'Inventory Figures'!J$117,'POSF Emiss by Zone'!$FP$20:$IO$20,'Inventory Figures'!J$120)</f>
        <v>142.6373245122191</v>
      </c>
    </row>
    <row r="144" spans="2:10" x14ac:dyDescent="0.2">
      <c r="B144" s="772">
        <v>1981</v>
      </c>
      <c r="C144" s="772">
        <f>SUMIFS('POSF Emiss by Zone'!$FP44:$IO44,'POSF Emiss by Zone'!$FP$19:$IO$19,'Inventory Figures'!C$117,'POSF Emiss by Zone'!$FP$20:$IO$20,'Inventory Figures'!C$120)</f>
        <v>19.000231867499998</v>
      </c>
      <c r="D144" s="772">
        <f>SUMIFS('POSF Emiss by Zone'!$FP44:$IO44,'POSF Emiss by Zone'!$FP$19:$IO$19,'Inventory Figures'!D$117,'POSF Emiss by Zone'!$FP$20:$IO$20,'Inventory Figures'!D$120)</f>
        <v>19.045202830499996</v>
      </c>
      <c r="E144" s="772">
        <f>SUMIFS('POSF Emiss by Zone'!$FP44:$IO44,'POSF Emiss by Zone'!$FP$19:$IO$19,'Inventory Figures'!E$117,'POSF Emiss by Zone'!$FP$20:$IO$20,'Inventory Figures'!E$120)</f>
        <v>26.588423162848603</v>
      </c>
      <c r="F144" s="772">
        <f>SUMIFS('POSF Emiss by Zone'!$FP44:$IO44,'POSF Emiss by Zone'!$FP$19:$IO$19,'Inventory Figures'!F$117,'POSF Emiss by Zone'!$FP$20:$IO$20,'Inventory Figures'!F$120)</f>
        <v>80.049109501992021</v>
      </c>
      <c r="G144" s="772">
        <f>SUMIFS('POSF Emiss by Zone'!$FP44:$IO44,'POSF Emiss by Zone'!$FP$19:$IO$19,'Inventory Figures'!G$117,'POSF Emiss by Zone'!$FP$20:$IO$20,'Inventory Figures'!G$120)</f>
        <v>0.14972171951818886</v>
      </c>
      <c r="H144" s="772">
        <f>SUMIFS('POSF Emiss by Zone'!$FP44:$IO44,'POSF Emiss by Zone'!$FP$19:$IO$19,'Inventory Figures'!H$117,'POSF Emiss by Zone'!$FP$20:$IO$20,'Inventory Figures'!H$120)</f>
        <v>3.0743806246945744</v>
      </c>
      <c r="I144" s="772">
        <f>SUMIFS('POSF Emiss by Zone'!$FP44:$IO44,'POSF Emiss by Zone'!$FP$19:$IO$19,'Inventory Figures'!I$117,'POSF Emiss by Zone'!$FP$20:$IO$20,'Inventory Figures'!I$120)</f>
        <v>7.9571335396243601</v>
      </c>
      <c r="J144" s="772">
        <f>SUMIFS('POSF Emiss by Zone'!$FP44:$IO44,'POSF Emiss by Zone'!$FP$19:$IO$19,'Inventory Figures'!J$117,'POSF Emiss by Zone'!$FP$20:$IO$20,'Inventory Figures'!J$120)</f>
        <v>163.39150566165242</v>
      </c>
    </row>
    <row r="145" spans="2:10" x14ac:dyDescent="0.2">
      <c r="B145" s="772">
        <v>1982</v>
      </c>
      <c r="C145" s="772">
        <f>SUMIFS('POSF Emiss by Zone'!$FP45:$IO45,'POSF Emiss by Zone'!$FP$19:$IO$19,'Inventory Figures'!C$117,'POSF Emiss by Zone'!$FP$20:$IO$20,'Inventory Figures'!C$120)</f>
        <v>21.241766324999997</v>
      </c>
      <c r="D145" s="772">
        <f>SUMIFS('POSF Emiss by Zone'!$FP45:$IO45,'POSF Emiss by Zone'!$FP$19:$IO$19,'Inventory Figures'!D$117,'POSF Emiss by Zone'!$FP$20:$IO$20,'Inventory Figures'!D$120)</f>
        <v>21.292042694999999</v>
      </c>
      <c r="E145" s="772">
        <f>SUMIFS('POSF Emiss by Zone'!$FP45:$IO45,'POSF Emiss by Zone'!$FP$19:$IO$19,'Inventory Figures'!E$117,'POSF Emiss by Zone'!$FP$20:$IO$20,'Inventory Figures'!E$120)</f>
        <v>29.766754412910853</v>
      </c>
      <c r="F145" s="772">
        <f>SUMIFS('POSF Emiss by Zone'!$FP45:$IO45,'POSF Emiss by Zone'!$FP$19:$IO$19,'Inventory Figures'!F$117,'POSF Emiss by Zone'!$FP$20:$IO$20,'Inventory Figures'!F$120)</f>
        <v>89.909682824576691</v>
      </c>
      <c r="G145" s="772">
        <f>SUMIFS('POSF Emiss by Zone'!$FP45:$IO45,'POSF Emiss by Zone'!$FP$19:$IO$19,'Inventory Figures'!G$117,'POSF Emiss by Zone'!$FP$20:$IO$20,'Inventory Figures'!G$120)</f>
        <v>0.16793652674571344</v>
      </c>
      <c r="H145" s="772">
        <f>SUMIFS('POSF Emiss by Zone'!$FP45:$IO45,'POSF Emiss by Zone'!$FP$19:$IO$19,'Inventory Figures'!H$117,'POSF Emiss by Zone'!$FP$20:$IO$20,'Inventory Figures'!H$120)</f>
        <v>3.4731847632927395</v>
      </c>
      <c r="I145" s="772">
        <f>SUMIFS('POSF Emiss by Zone'!$FP45:$IO45,'POSF Emiss by Zone'!$FP$19:$IO$19,'Inventory Figures'!I$117,'POSF Emiss by Zone'!$FP$20:$IO$20,'Inventory Figures'!I$120)</f>
        <v>8.9251804868164157</v>
      </c>
      <c r="J145" s="772">
        <f>SUMIFS('POSF Emiss by Zone'!$FP45:$IO45,'POSF Emiss by Zone'!$FP$19:$IO$19,'Inventory Figures'!J$117,'POSF Emiss by Zone'!$FP$20:$IO$20,'Inventory Figures'!J$120)</f>
        <v>184.58641176607333</v>
      </c>
    </row>
    <row r="146" spans="2:10" x14ac:dyDescent="0.2">
      <c r="B146" s="772">
        <v>1983</v>
      </c>
      <c r="C146" s="772">
        <f>SUMIFS('POSF Emiss by Zone'!$FP46:$IO46,'POSF Emiss by Zone'!$FP$19:$IO$19,'Inventory Figures'!C$117,'POSF Emiss by Zone'!$FP$20:$IO$20,'Inventory Figures'!C$120)</f>
        <v>23.471564999999998</v>
      </c>
      <c r="D146" s="772">
        <f>SUMIFS('POSF Emiss by Zone'!$FP46:$IO46,'POSF Emiss by Zone'!$FP$19:$IO$19,'Inventory Figures'!D$117,'POSF Emiss by Zone'!$FP$20:$IO$20,'Inventory Figures'!D$120)</f>
        <v>23.527118999999999</v>
      </c>
      <c r="E146" s="772">
        <f>SUMIFS('POSF Emiss by Zone'!$FP46:$IO46,'POSF Emiss by Zone'!$FP$19:$IO$19,'Inventory Figures'!E$117,'POSF Emiss by Zone'!$FP$20:$IO$20,'Inventory Figures'!E$120)</f>
        <v>32.932318924925298</v>
      </c>
      <c r="F146" s="772">
        <f>SUMIFS('POSF Emiss by Zone'!$FP46:$IO46,'POSF Emiss by Zone'!$FP$19:$IO$19,'Inventory Figures'!F$117,'POSF Emiss by Zone'!$FP$20:$IO$20,'Inventory Figures'!F$120)</f>
        <v>99.757459191982122</v>
      </c>
      <c r="G146" s="772">
        <f>SUMIFS('POSF Emiss by Zone'!$FP46:$IO46,'POSF Emiss by Zone'!$FP$19:$IO$19,'Inventory Figures'!G$117,'POSF Emiss by Zone'!$FP$20:$IO$20,'Inventory Figures'!G$120)</f>
        <v>0.18611807836261368</v>
      </c>
      <c r="H146" s="772">
        <f>SUMIFS('POSF Emiss by Zone'!$FP46:$IO46,'POSF Emiss by Zone'!$FP$19:$IO$19,'Inventory Figures'!H$117,'POSF Emiss by Zone'!$FP$20:$IO$20,'Inventory Figures'!H$120)</f>
        <v>3.8799005646194455</v>
      </c>
      <c r="I146" s="772">
        <f>SUMIFS('POSF Emiss by Zone'!$FP46:$IO46,'POSF Emiss by Zone'!$FP$19:$IO$19,'Inventory Figures'!I$117,'POSF Emiss by Zone'!$FP$20:$IO$20,'Inventory Figures'!I$120)</f>
        <v>9.8914600262099839</v>
      </c>
      <c r="J146" s="772">
        <f>SUMIFS('POSF Emiss by Zone'!$FP46:$IO46,'POSF Emiss by Zone'!$FP$19:$IO$19,'Inventory Figures'!J$117,'POSF Emiss by Zone'!$FP$20:$IO$20,'Inventory Figures'!J$120)</f>
        <v>206.20179231504429</v>
      </c>
    </row>
    <row r="147" spans="2:10" x14ac:dyDescent="0.2">
      <c r="B147" s="772">
        <v>1984</v>
      </c>
      <c r="C147" s="772">
        <f>SUMIFS('POSF Emiss by Zone'!$FP47:$IO47,'POSF Emiss by Zone'!$FP$19:$IO$19,'Inventory Figures'!C$117,'POSF Emiss by Zone'!$FP$20:$IO$20,'Inventory Figures'!C$120)</f>
        <v>25.713099457499993</v>
      </c>
      <c r="D147" s="772">
        <f>SUMIFS('POSF Emiss by Zone'!$FP47:$IO47,'POSF Emiss by Zone'!$FP$19:$IO$19,'Inventory Figures'!D$117,'POSF Emiss by Zone'!$FP$20:$IO$20,'Inventory Figures'!D$120)</f>
        <v>25.773958864499996</v>
      </c>
      <c r="E147" s="772">
        <f>SUMIFS('POSF Emiss by Zone'!$FP47:$IO47,'POSF Emiss by Zone'!$FP$19:$IO$19,'Inventory Figures'!E$117,'POSF Emiss by Zone'!$FP$20:$IO$20,'Inventory Figures'!E$120)</f>
        <v>36.110650174987548</v>
      </c>
      <c r="F147" s="772">
        <f>SUMIFS('POSF Emiss by Zone'!$FP47:$IO47,'POSF Emiss by Zone'!$FP$19:$IO$19,'Inventory Figures'!F$117,'POSF Emiss by Zone'!$FP$20:$IO$20,'Inventory Figures'!F$120)</f>
        <v>109.61803251456672</v>
      </c>
      <c r="G147" s="772">
        <f>SUMIFS('POSF Emiss by Zone'!$FP47:$IO47,'POSF Emiss by Zone'!$FP$19:$IO$19,'Inventory Figures'!G$117,'POSF Emiss by Zone'!$FP$20:$IO$20,'Inventory Figures'!G$120)</f>
        <v>0.20435910093462656</v>
      </c>
      <c r="H147" s="772">
        <f>SUMIFS('POSF Emiss by Zone'!$FP47:$IO47,'POSF Emiss by Zone'!$FP$19:$IO$19,'Inventory Figures'!H$117,'POSF Emiss by Zone'!$FP$20:$IO$20,'Inventory Figures'!H$120)</f>
        <v>4.2949090630294329</v>
      </c>
      <c r="I147" s="772">
        <f>SUMIFS('POSF Emiss by Zone'!$FP47:$IO47,'POSF Emiss by Zone'!$FP$19:$IO$19,'Inventory Figures'!I$117,'POSF Emiss by Zone'!$FP$20:$IO$20,'Inventory Figures'!I$120)</f>
        <v>10.860900218133343</v>
      </c>
      <c r="J147" s="772">
        <f>SUMIFS('POSF Emiss by Zone'!$FP47:$IO47,'POSF Emiss by Zone'!$FP$19:$IO$19,'Inventory Figures'!J$117,'POSF Emiss by Zone'!$FP$20:$IO$20,'Inventory Figures'!J$120)</f>
        <v>228.25789781900264</v>
      </c>
    </row>
    <row r="148" spans="2:10" x14ac:dyDescent="0.2">
      <c r="B148" s="772">
        <v>1985</v>
      </c>
      <c r="C148" s="772">
        <f>SUMIFS('POSF Emiss by Zone'!$FP48:$IO48,'POSF Emiss by Zone'!$FP$19:$IO$19,'Inventory Figures'!C$117,'POSF Emiss by Zone'!$FP$20:$IO$20,'Inventory Figures'!C$120)</f>
        <v>27.942898132499998</v>
      </c>
      <c r="D148" s="772">
        <f>SUMIFS('POSF Emiss by Zone'!$FP48:$IO48,'POSF Emiss by Zone'!$FP$19:$IO$19,'Inventory Figures'!D$117,'POSF Emiss by Zone'!$FP$20:$IO$20,'Inventory Figures'!D$120)</f>
        <v>28.009035169499995</v>
      </c>
      <c r="E148" s="772">
        <f>SUMIFS('POSF Emiss by Zone'!$FP48:$IO48,'POSF Emiss by Zone'!$FP$19:$IO$19,'Inventory Figures'!E$117,'POSF Emiss by Zone'!$FP$20:$IO$20,'Inventory Figures'!E$120)</f>
        <v>39.276214687001989</v>
      </c>
      <c r="F148" s="772">
        <f>SUMIFS('POSF Emiss by Zone'!$FP48:$IO48,'POSF Emiss by Zone'!$FP$19:$IO$19,'Inventory Figures'!F$117,'POSF Emiss by Zone'!$FP$20:$IO$20,'Inventory Figures'!F$120)</f>
        <v>119.46580888197211</v>
      </c>
      <c r="G148" s="772">
        <f>SUMIFS('POSF Emiss by Zone'!$FP48:$IO48,'POSF Emiss by Zone'!$FP$19:$IO$19,'Inventory Figures'!G$117,'POSF Emiss by Zone'!$FP$20:$IO$20,'Inventory Figures'!G$120)</f>
        <v>0.22256686789601507</v>
      </c>
      <c r="H148" s="772">
        <f>SUMIFS('POSF Emiss by Zone'!$FP48:$IO48,'POSF Emiss by Zone'!$FP$19:$IO$19,'Inventory Figures'!H$117,'POSF Emiss by Zone'!$FP$20:$IO$20,'Inventory Figures'!H$120)</f>
        <v>4.7178292241679616</v>
      </c>
      <c r="I148" s="772">
        <f>SUMIFS('POSF Emiss by Zone'!$FP48:$IO48,'POSF Emiss by Zone'!$FP$19:$IO$19,'Inventory Figures'!I$117,'POSF Emiss by Zone'!$FP$20:$IO$20,'Inventory Figures'!I$120)</f>
        <v>11.828573002258215</v>
      </c>
      <c r="J148" s="772">
        <f>SUMIFS('POSF Emiss by Zone'!$FP48:$IO48,'POSF Emiss by Zone'!$FP$19:$IO$19,'Inventory Figures'!J$117,'POSF Emiss by Zone'!$FP$20:$IO$20,'Inventory Figures'!J$120)</f>
        <v>250.73447776751109</v>
      </c>
    </row>
    <row r="149" spans="2:10" x14ac:dyDescent="0.2">
      <c r="B149" s="772">
        <v>1986</v>
      </c>
      <c r="C149" s="772">
        <f>SUMIFS('POSF Emiss by Zone'!$FP49:$IO49,'POSF Emiss by Zone'!$FP$19:$IO$19,'Inventory Figures'!C$117,'POSF Emiss by Zone'!$FP$20:$IO$20,'Inventory Figures'!C$120)</f>
        <v>27.942898132499998</v>
      </c>
      <c r="D149" s="772">
        <f>SUMIFS('POSF Emiss by Zone'!$FP49:$IO49,'POSF Emiss by Zone'!$FP$19:$IO$19,'Inventory Figures'!D$117,'POSF Emiss by Zone'!$FP$20:$IO$20,'Inventory Figures'!D$120)</f>
        <v>28.009035169499995</v>
      </c>
      <c r="E149" s="772">
        <f>SUMIFS('POSF Emiss by Zone'!$FP49:$IO49,'POSF Emiss by Zone'!$FP$19:$IO$19,'Inventory Figures'!E$117,'POSF Emiss by Zone'!$FP$20:$IO$20,'Inventory Figures'!E$120)</f>
        <v>39.645185851718125</v>
      </c>
      <c r="F149" s="772">
        <f>SUMIFS('POSF Emiss by Zone'!$FP49:$IO49,'POSF Emiss by Zone'!$FP$19:$IO$19,'Inventory Figures'!F$117,'POSF Emiss by Zone'!$FP$20:$IO$20,'Inventory Figures'!F$120)</f>
        <v>123.1642535744522</v>
      </c>
      <c r="G149" s="772">
        <f>SUMIFS('POSF Emiss by Zone'!$FP49:$IO49,'POSF Emiss by Zone'!$FP$19:$IO$19,'Inventory Figures'!G$117,'POSF Emiss by Zone'!$FP$20:$IO$20,'Inventory Figures'!G$120)</f>
        <v>0.22731496776621482</v>
      </c>
      <c r="H149" s="772">
        <f>SUMIFS('POSF Emiss by Zone'!$FP49:$IO49,'POSF Emiss by Zone'!$FP$19:$IO$19,'Inventory Figures'!H$117,'POSF Emiss by Zone'!$FP$20:$IO$20,'Inventory Figures'!H$120)</f>
        <v>4.9484269653481743</v>
      </c>
      <c r="I149" s="772">
        <f>SUMIFS('POSF Emiss by Zone'!$FP49:$IO49,'POSF Emiss by Zone'!$FP$19:$IO$19,'Inventory Figures'!I$117,'POSF Emiss by Zone'!$FP$20:$IO$20,'Inventory Figures'!I$120)</f>
        <v>12.080916248436754</v>
      </c>
      <c r="J149" s="772">
        <f>SUMIFS('POSF Emiss by Zone'!$FP49:$IO49,'POSF Emiss by Zone'!$FP$19:$IO$19,'Inventory Figures'!J$117,'POSF Emiss by Zone'!$FP$20:$IO$20,'Inventory Figures'!J$120)</f>
        <v>262.98986079685022</v>
      </c>
    </row>
    <row r="150" spans="2:10" x14ac:dyDescent="0.2">
      <c r="B150" s="772">
        <v>1987</v>
      </c>
      <c r="C150" s="772">
        <f>SUMIFS('POSF Emiss by Zone'!$FP50:$IO50,'POSF Emiss by Zone'!$FP$19:$IO$19,'Inventory Figures'!C$117,'POSF Emiss by Zone'!$FP$20:$IO$20,'Inventory Figures'!C$120)</f>
        <v>27.942898132499998</v>
      </c>
      <c r="D150" s="772">
        <f>SUMIFS('POSF Emiss by Zone'!$FP50:$IO50,'POSF Emiss by Zone'!$FP$19:$IO$19,'Inventory Figures'!D$117,'POSF Emiss by Zone'!$FP$20:$IO$20,'Inventory Figures'!D$120)</f>
        <v>28.009035169499995</v>
      </c>
      <c r="E150" s="772">
        <f>SUMIFS('POSF Emiss by Zone'!$FP50:$IO50,'POSF Emiss by Zone'!$FP$19:$IO$19,'Inventory Figures'!E$117,'POSF Emiss by Zone'!$FP$20:$IO$20,'Inventory Figures'!E$120)</f>
        <v>39.645185851718125</v>
      </c>
      <c r="F150" s="772">
        <f>SUMIFS('POSF Emiss by Zone'!$FP50:$IO50,'POSF Emiss by Zone'!$FP$19:$IO$19,'Inventory Figures'!F$117,'POSF Emiss by Zone'!$FP$20:$IO$20,'Inventory Figures'!F$120)</f>
        <v>123.1642535744522</v>
      </c>
      <c r="G150" s="772">
        <f>SUMIFS('POSF Emiss by Zone'!$FP50:$IO50,'POSF Emiss by Zone'!$FP$19:$IO$19,'Inventory Figures'!G$117,'POSF Emiss by Zone'!$FP$20:$IO$20,'Inventory Figures'!G$120)</f>
        <v>0.22743677320828842</v>
      </c>
      <c r="H150" s="772">
        <f>SUMIFS('POSF Emiss by Zone'!$FP50:$IO50,'POSF Emiss by Zone'!$FP$19:$IO$19,'Inventory Figures'!H$117,'POSF Emiss by Zone'!$FP$20:$IO$20,'Inventory Figures'!H$120)</f>
        <v>5.0237179542299337</v>
      </c>
      <c r="I150" s="772">
        <f>SUMIFS('POSF Emiss by Zone'!$FP50:$IO50,'POSF Emiss by Zone'!$FP$19:$IO$19,'Inventory Figures'!I$117,'POSF Emiss by Zone'!$FP$20:$IO$20,'Inventory Figures'!I$120)</f>
        <v>12.087389739200496</v>
      </c>
      <c r="J150" s="772">
        <f>SUMIFS('POSF Emiss by Zone'!$FP50:$IO50,'POSF Emiss by Zone'!$FP$19:$IO$19,'Inventory Figures'!J$117,'POSF Emiss by Zone'!$FP$20:$IO$20,'Inventory Figures'!J$120)</f>
        <v>266.99128727518928</v>
      </c>
    </row>
    <row r="151" spans="2:10" x14ac:dyDescent="0.2">
      <c r="B151" s="772">
        <v>1988</v>
      </c>
      <c r="C151" s="772">
        <f>SUMIFS('POSF Emiss by Zone'!$FP51:$IO51,'POSF Emiss by Zone'!$FP$19:$IO$19,'Inventory Figures'!C$117,'POSF Emiss by Zone'!$FP$20:$IO$20,'Inventory Figures'!C$120)</f>
        <v>27.942898132499998</v>
      </c>
      <c r="D151" s="772">
        <f>SUMIFS('POSF Emiss by Zone'!$FP51:$IO51,'POSF Emiss by Zone'!$FP$19:$IO$19,'Inventory Figures'!D$117,'POSF Emiss by Zone'!$FP$20:$IO$20,'Inventory Figures'!D$120)</f>
        <v>28.009035169499995</v>
      </c>
      <c r="E151" s="772">
        <f>SUMIFS('POSF Emiss by Zone'!$FP51:$IO51,'POSF Emiss by Zone'!$FP$19:$IO$19,'Inventory Figures'!E$117,'POSF Emiss by Zone'!$FP$20:$IO$20,'Inventory Figures'!E$120)</f>
        <v>39.645185851718125</v>
      </c>
      <c r="F151" s="772">
        <f>SUMIFS('POSF Emiss by Zone'!$FP51:$IO51,'POSF Emiss by Zone'!$FP$19:$IO$19,'Inventory Figures'!F$117,'POSF Emiss by Zone'!$FP$20:$IO$20,'Inventory Figures'!F$120)</f>
        <v>123.1642535744522</v>
      </c>
      <c r="G151" s="772">
        <f>SUMIFS('POSF Emiss by Zone'!$FP51:$IO51,'POSF Emiss by Zone'!$FP$19:$IO$19,'Inventory Figures'!G$117,'POSF Emiss by Zone'!$FP$20:$IO$20,'Inventory Figures'!G$120)</f>
        <v>0.22754331300768746</v>
      </c>
      <c r="H151" s="772">
        <f>SUMIFS('POSF Emiss by Zone'!$FP51:$IO51,'POSF Emiss by Zone'!$FP$19:$IO$19,'Inventory Figures'!H$117,'POSF Emiss by Zone'!$FP$20:$IO$20,'Inventory Figures'!H$120)</f>
        <v>5.0895728677334668</v>
      </c>
      <c r="I151" s="772">
        <f>SUMIFS('POSF Emiss by Zone'!$FP51:$IO51,'POSF Emiss by Zone'!$FP$19:$IO$19,'Inventory Figures'!I$117,'POSF Emiss by Zone'!$FP$20:$IO$20,'Inventory Figures'!I$120)</f>
        <v>12.093051919770096</v>
      </c>
      <c r="J151" s="772">
        <f>SUMIFS('POSF Emiss by Zone'!$FP51:$IO51,'POSF Emiss by Zone'!$FP$19:$IO$19,'Inventory Figures'!J$117,'POSF Emiss by Zone'!$FP$20:$IO$20,'Inventory Figures'!J$120)</f>
        <v>270.49122263977324</v>
      </c>
    </row>
    <row r="152" spans="2:10" x14ac:dyDescent="0.2">
      <c r="B152" s="772">
        <v>1989</v>
      </c>
      <c r="C152" s="772">
        <f>SUMIFS('POSF Emiss by Zone'!$FP52:$IO52,'POSF Emiss by Zone'!$FP$19:$IO$19,'Inventory Figures'!C$117,'POSF Emiss by Zone'!$FP$20:$IO$20,'Inventory Figures'!C$120)</f>
        <v>27.942898132499998</v>
      </c>
      <c r="D152" s="772">
        <f>SUMIFS('POSF Emiss by Zone'!$FP52:$IO52,'POSF Emiss by Zone'!$FP$19:$IO$19,'Inventory Figures'!D$117,'POSF Emiss by Zone'!$FP$20:$IO$20,'Inventory Figures'!D$120)</f>
        <v>28.009035169499995</v>
      </c>
      <c r="E152" s="772">
        <f>SUMIFS('POSF Emiss by Zone'!$FP52:$IO52,'POSF Emiss by Zone'!$FP$19:$IO$19,'Inventory Figures'!E$117,'POSF Emiss by Zone'!$FP$20:$IO$20,'Inventory Figures'!E$120)</f>
        <v>39.645185851718125</v>
      </c>
      <c r="F152" s="772">
        <f>SUMIFS('POSF Emiss by Zone'!$FP52:$IO52,'POSF Emiss by Zone'!$FP$19:$IO$19,'Inventory Figures'!F$117,'POSF Emiss by Zone'!$FP$20:$IO$20,'Inventory Figures'!F$120)</f>
        <v>123.1642535744522</v>
      </c>
      <c r="G152" s="772">
        <f>SUMIFS('POSF Emiss by Zone'!$FP52:$IO52,'POSF Emiss by Zone'!$FP$19:$IO$19,'Inventory Figures'!G$117,'POSF Emiss by Zone'!$FP$20:$IO$20,'Inventory Figures'!G$120)</f>
        <v>0.22763466708924268</v>
      </c>
      <c r="H152" s="772">
        <f>SUMIFS('POSF Emiss by Zone'!$FP52:$IO52,'POSF Emiss by Zone'!$FP$19:$IO$19,'Inventory Figures'!H$117,'POSF Emiss by Zone'!$FP$20:$IO$20,'Inventory Figures'!H$120)</f>
        <v>5.1460411093947869</v>
      </c>
      <c r="I152" s="772">
        <f>SUMIFS('POSF Emiss by Zone'!$FP52:$IO52,'POSF Emiss by Zone'!$FP$19:$IO$19,'Inventory Figures'!I$117,'POSF Emiss by Zone'!$FP$20:$IO$20,'Inventory Figures'!I$120)</f>
        <v>12.097907037842903</v>
      </c>
      <c r="J152" s="772">
        <f>SUMIFS('POSF Emiss by Zone'!$FP52:$IO52,'POSF Emiss by Zone'!$FP$19:$IO$19,'Inventory Figures'!J$117,'POSF Emiss by Zone'!$FP$20:$IO$20,'Inventory Figures'!J$120)</f>
        <v>273.49229249852755</v>
      </c>
    </row>
    <row r="153" spans="2:10" x14ac:dyDescent="0.2">
      <c r="B153" s="772">
        <v>1990</v>
      </c>
      <c r="C153" s="772">
        <f>SUMIFS('POSF Emiss by Zone'!$FP53:$IO53,'POSF Emiss by Zone'!$FP$19:$IO$19,'Inventory Figures'!C$117,'POSF Emiss by Zone'!$FP$20:$IO$20,'Inventory Figures'!C$120)</f>
        <v>31.944799965000001</v>
      </c>
      <c r="D153" s="772">
        <f>SUMIFS('POSF Emiss by Zone'!$FP53:$IO53,'POSF Emiss by Zone'!$FP$19:$IO$19,'Inventory Figures'!D$117,'POSF Emiss by Zone'!$FP$20:$IO$20,'Inventory Figures'!D$120)</f>
        <v>32.020408959000001</v>
      </c>
      <c r="E153" s="772">
        <f>SUMIFS('POSF Emiss by Zone'!$FP53:$IO53,'POSF Emiss by Zone'!$FP$19:$IO$19,'Inventory Figures'!E$117,'POSF Emiss by Zone'!$FP$20:$IO$20,'Inventory Figures'!E$120)</f>
        <v>44.660849669011462</v>
      </c>
      <c r="F153" s="772">
        <f>SUMIFS('POSF Emiss by Zone'!$FP53:$IO53,'POSF Emiss by Zone'!$FP$19:$IO$19,'Inventory Figures'!F$117,'POSF Emiss by Zone'!$FP$20:$IO$20,'Inventory Figures'!F$120)</f>
        <v>134.16575023867034</v>
      </c>
      <c r="G153" s="772">
        <f>SUMIFS('POSF Emiss by Zone'!$FP53:$IO53,'POSF Emiss by Zone'!$FP$19:$IO$19,'Inventory Figures'!G$117,'POSF Emiss by Zone'!$FP$20:$IO$20,'Inventory Figures'!G$120)</f>
        <v>0.25182361603887488</v>
      </c>
      <c r="H153" s="772">
        <f>SUMIFS('POSF Emiss by Zone'!$FP53:$IO53,'POSF Emiss by Zone'!$FP$19:$IO$19,'Inventory Figures'!H$117,'POSF Emiss by Zone'!$FP$20:$IO$20,'Inventory Figures'!H$120)</f>
        <v>5.5367743833389751</v>
      </c>
      <c r="I153" s="772">
        <f>SUMIFS('POSF Emiss by Zone'!$FP53:$IO53,'POSF Emiss by Zone'!$FP$19:$IO$19,'Inventory Figures'!I$117,'POSF Emiss by Zone'!$FP$20:$IO$20,'Inventory Figures'!I$120)</f>
        <v>13.383456640096817</v>
      </c>
      <c r="J153" s="772">
        <f>SUMIFS('POSF Emiss by Zone'!$FP53:$IO53,'POSF Emiss by Zone'!$FP$19:$IO$19,'Inventory Figures'!J$117,'POSF Emiss by Zone'!$FP$20:$IO$20,'Inventory Figures'!J$120)</f>
        <v>294.25826318837682</v>
      </c>
    </row>
    <row r="154" spans="2:10" x14ac:dyDescent="0.2">
      <c r="B154" s="772">
        <v>1991</v>
      </c>
      <c r="C154" s="772">
        <f>SUMIFS('POSF Emiss by Zone'!$FP54:$IO54,'POSF Emiss by Zone'!$FP$19:$IO$19,'Inventory Figures'!C$117,'POSF Emiss by Zone'!$FP$20:$IO$20,'Inventory Figures'!C$120)</f>
        <v>31.944799965000001</v>
      </c>
      <c r="D154" s="772">
        <f>SUMIFS('POSF Emiss by Zone'!$FP54:$IO54,'POSF Emiss by Zone'!$FP$19:$IO$19,'Inventory Figures'!D$117,'POSF Emiss by Zone'!$FP$20:$IO$20,'Inventory Figures'!D$120)</f>
        <v>32.020408959000001</v>
      </c>
      <c r="E154" s="772">
        <f>SUMIFS('POSF Emiss by Zone'!$FP54:$IO54,'POSF Emiss by Zone'!$FP$19:$IO$19,'Inventory Figures'!E$117,'POSF Emiss by Zone'!$FP$20:$IO$20,'Inventory Figures'!E$120)</f>
        <v>45.323055812002004</v>
      </c>
      <c r="F154" s="772">
        <f>SUMIFS('POSF Emiss by Zone'!$FP54:$IO54,'POSF Emiss by Zone'!$FP$19:$IO$19,'Inventory Figures'!F$117,'POSF Emiss by Zone'!$FP$20:$IO$20,'Inventory Figures'!F$120)</f>
        <v>140.80348518675302</v>
      </c>
      <c r="G154" s="772">
        <f>SUMIFS('POSF Emiss by Zone'!$FP54:$IO54,'POSF Emiss by Zone'!$FP$19:$IO$19,'Inventory Figures'!G$117,'POSF Emiss by Zone'!$FP$20:$IO$20,'Inventory Figures'!G$120)</f>
        <v>0.26018749981249589</v>
      </c>
      <c r="H154" s="772">
        <f>SUMIFS('POSF Emiss by Zone'!$FP54:$IO54,'POSF Emiss by Zone'!$FP$19:$IO$19,'Inventory Figures'!H$117,'POSF Emiss by Zone'!$FP$20:$IO$20,'Inventory Figures'!H$120)</f>
        <v>5.8531546279576032</v>
      </c>
      <c r="I154" s="772">
        <f>SUMIFS('POSF Emiss by Zone'!$FP54:$IO54,'POSF Emiss by Zone'!$FP$19:$IO$19,'Inventory Figures'!I$117,'POSF Emiss by Zone'!$FP$20:$IO$20,'Inventory Figures'!I$120)</f>
        <v>13.827964893881028</v>
      </c>
      <c r="J154" s="772">
        <f>SUMIFS('POSF Emiss by Zone'!$FP54:$IO54,'POSF Emiss by Zone'!$FP$19:$IO$19,'Inventory Figures'!J$117,'POSF Emiss by Zone'!$FP$20:$IO$20,'Inventory Figures'!J$120)</f>
        <v>311.07265634276217</v>
      </c>
    </row>
    <row r="155" spans="2:10" x14ac:dyDescent="0.2">
      <c r="B155" s="772">
        <v>1992</v>
      </c>
      <c r="C155" s="772">
        <f>SUMIFS('POSF Emiss by Zone'!$FP55:$IO55,'POSF Emiss by Zone'!$FP$19:$IO$19,'Inventory Figures'!C$117,'POSF Emiss by Zone'!$FP$20:$IO$20,'Inventory Figures'!C$120)</f>
        <v>31.944799965000001</v>
      </c>
      <c r="D155" s="772">
        <f>SUMIFS('POSF Emiss by Zone'!$FP55:$IO55,'POSF Emiss by Zone'!$FP$19:$IO$19,'Inventory Figures'!D$117,'POSF Emiss by Zone'!$FP$20:$IO$20,'Inventory Figures'!D$120)</f>
        <v>32.020408959000001</v>
      </c>
      <c r="E155" s="772">
        <f>SUMIFS('POSF Emiss by Zone'!$FP55:$IO55,'POSF Emiss by Zone'!$FP$19:$IO$19,'Inventory Figures'!E$117,'POSF Emiss by Zone'!$FP$20:$IO$20,'Inventory Figures'!E$120)</f>
        <v>45.323055812002004</v>
      </c>
      <c r="F155" s="772">
        <f>SUMIFS('POSF Emiss by Zone'!$FP55:$IO55,'POSF Emiss by Zone'!$FP$19:$IO$19,'Inventory Figures'!F$117,'POSF Emiss by Zone'!$FP$20:$IO$20,'Inventory Figures'!F$120)</f>
        <v>140.80348518675302</v>
      </c>
      <c r="G155" s="772">
        <f>SUMIFS('POSF Emiss by Zone'!$FP55:$IO55,'POSF Emiss by Zone'!$FP$19:$IO$19,'Inventory Figures'!G$117,'POSF Emiss by Zone'!$FP$20:$IO$20,'Inventory Figures'!G$120)</f>
        <v>0.26026039125814626</v>
      </c>
      <c r="H155" s="772">
        <f>SUMIFS('POSF Emiss by Zone'!$FP55:$IO55,'POSF Emiss by Zone'!$FP$19:$IO$19,'Inventory Figures'!H$117,'POSF Emiss by Zone'!$FP$20:$IO$20,'Inventory Figures'!H$120)</f>
        <v>5.8982106528002305</v>
      </c>
      <c r="I155" s="772">
        <f>SUMIFS('POSF Emiss by Zone'!$FP55:$IO55,'POSF Emiss by Zone'!$FP$19:$IO$19,'Inventory Figures'!I$117,'POSF Emiss by Zone'!$FP$20:$IO$20,'Inventory Figures'!I$120)</f>
        <v>13.83183879386563</v>
      </c>
      <c r="J155" s="772">
        <f>SUMIFS('POSF Emiss by Zone'!$FP55:$IO55,'POSF Emiss by Zone'!$FP$19:$IO$19,'Inventory Figures'!J$117,'POSF Emiss by Zone'!$FP$20:$IO$20,'Inventory Figures'!J$120)</f>
        <v>313.4672107707446</v>
      </c>
    </row>
    <row r="156" spans="2:10" x14ac:dyDescent="0.2">
      <c r="B156" s="772">
        <v>1993</v>
      </c>
      <c r="C156" s="772">
        <f>SUMIFS('POSF Emiss by Zone'!$FP56:$IO56,'POSF Emiss by Zone'!$FP$19:$IO$19,'Inventory Figures'!C$117,'POSF Emiss by Zone'!$FP$20:$IO$20,'Inventory Figures'!C$120)</f>
        <v>31.944799965000001</v>
      </c>
      <c r="D156" s="772">
        <f>SUMIFS('POSF Emiss by Zone'!$FP56:$IO56,'POSF Emiss by Zone'!$FP$19:$IO$19,'Inventory Figures'!D$117,'POSF Emiss by Zone'!$FP$20:$IO$20,'Inventory Figures'!D$120)</f>
        <v>32.020408959000001</v>
      </c>
      <c r="E156" s="772">
        <f>SUMIFS('POSF Emiss by Zone'!$FP56:$IO56,'POSF Emiss by Zone'!$FP$19:$IO$19,'Inventory Figures'!E$117,'POSF Emiss by Zone'!$FP$20:$IO$20,'Inventory Figures'!E$120)</f>
        <v>45.31779560283865</v>
      </c>
      <c r="F156" s="772">
        <f>SUMIFS('POSF Emiss by Zone'!$FP56:$IO56,'POSF Emiss by Zone'!$FP$19:$IO$19,'Inventory Figures'!F$117,'POSF Emiss by Zone'!$FP$20:$IO$20,'Inventory Figures'!F$120)</f>
        <v>140.7507585931275</v>
      </c>
      <c r="G156" s="772">
        <f>SUMIFS('POSF Emiss by Zone'!$FP56:$IO56,'POSF Emiss by Zone'!$FP$19:$IO$19,'Inventory Figures'!G$117,'POSF Emiss by Zone'!$FP$20:$IO$20,'Inventory Figures'!G$120)</f>
        <v>2.3319652899839607</v>
      </c>
      <c r="H156" s="772">
        <f>SUMIFS('POSF Emiss by Zone'!$FP56:$IO56,'POSF Emiss by Zone'!$FP$19:$IO$19,'Inventory Figures'!H$117,'POSF Emiss by Zone'!$FP$20:$IO$20,'Inventory Figures'!H$120)</f>
        <v>8.4928212654620001</v>
      </c>
      <c r="I156" s="772">
        <f>SUMIFS('POSF Emiss by Zone'!$FP56:$IO56,'POSF Emiss by Zone'!$FP$19:$IO$19,'Inventory Figures'!I$117,'POSF Emiss by Zone'!$FP$20:$IO$20,'Inventory Figures'!I$120)</f>
        <v>13.831400408007825</v>
      </c>
      <c r="J156" s="772">
        <f>SUMIFS('POSF Emiss by Zone'!$FP56:$IO56,'POSF Emiss by Zone'!$FP$19:$IO$19,'Inventory Figures'!J$117,'POSF Emiss by Zone'!$FP$20:$IO$20,'Inventory Figures'!J$120)</f>
        <v>315.24522779320614</v>
      </c>
    </row>
    <row r="157" spans="2:10" x14ac:dyDescent="0.2">
      <c r="B157" s="772">
        <v>1994</v>
      </c>
      <c r="C157" s="772">
        <f>SUMIFS('POSF Emiss by Zone'!$FP57:$IO57,'POSF Emiss by Zone'!$FP$19:$IO$19,'Inventory Figures'!C$117,'POSF Emiss by Zone'!$FP$20:$IO$20,'Inventory Figures'!C$120)</f>
        <v>31.944799965000001</v>
      </c>
      <c r="D157" s="772">
        <f>SUMIFS('POSF Emiss by Zone'!$FP57:$IO57,'POSF Emiss by Zone'!$FP$19:$IO$19,'Inventory Figures'!D$117,'POSF Emiss by Zone'!$FP$20:$IO$20,'Inventory Figures'!D$120)</f>
        <v>32.020408959000001</v>
      </c>
      <c r="E157" s="772">
        <f>SUMIFS('POSF Emiss by Zone'!$FP57:$IO57,'POSF Emiss by Zone'!$FP$19:$IO$19,'Inventory Figures'!E$117,'POSF Emiss by Zone'!$FP$20:$IO$20,'Inventory Figures'!E$120)</f>
        <v>45.307275184511958</v>
      </c>
      <c r="F157" s="772">
        <f>SUMIFS('POSF Emiss by Zone'!$FP57:$IO57,'POSF Emiss by Zone'!$FP$19:$IO$19,'Inventory Figures'!F$117,'POSF Emiss by Zone'!$FP$20:$IO$20,'Inventory Figures'!F$120)</f>
        <v>140.64530540587651</v>
      </c>
      <c r="G157" s="772">
        <f>SUMIFS('POSF Emiss by Zone'!$FP57:$IO57,'POSF Emiss by Zone'!$FP$19:$IO$19,'Inventory Figures'!G$117,'POSF Emiss by Zone'!$FP$20:$IO$20,'Inventory Figures'!G$120)</f>
        <v>4.4035889686547502</v>
      </c>
      <c r="H157" s="772">
        <f>SUMIFS('POSF Emiss by Zone'!$FP57:$IO57,'POSF Emiss by Zone'!$FP$19:$IO$19,'Inventory Figures'!H$117,'POSF Emiss by Zone'!$FP$20:$IO$20,'Inventory Figures'!H$120)</f>
        <v>11.075781683920841</v>
      </c>
      <c r="I157" s="772">
        <f>SUMIFS('POSF Emiss by Zone'!$FP57:$IO57,'POSF Emiss by Zone'!$FP$19:$IO$19,'Inventory Figures'!I$117,'POSF Emiss by Zone'!$FP$20:$IO$20,'Inventory Figures'!I$120)</f>
        <v>13.826645488610254</v>
      </c>
      <c r="J157" s="772">
        <f>SUMIFS('POSF Emiss by Zone'!$FP57:$IO57,'POSF Emiss by Zone'!$FP$19:$IO$19,'Inventory Figures'!J$117,'POSF Emiss by Zone'!$FP$20:$IO$20,'Inventory Figures'!J$120)</f>
        <v>316.4040818022213</v>
      </c>
    </row>
    <row r="158" spans="2:10" x14ac:dyDescent="0.2">
      <c r="B158" s="772">
        <v>1995</v>
      </c>
      <c r="C158" s="772">
        <f>SUMIFS('POSF Emiss by Zone'!$FP58:$IO58,'POSF Emiss by Zone'!$FP$19:$IO$19,'Inventory Figures'!C$117,'POSF Emiss by Zone'!$FP$20:$IO$20,'Inventory Figures'!C$120)</f>
        <v>42.589154692500003</v>
      </c>
      <c r="D158" s="772">
        <f>SUMIFS('POSF Emiss by Zone'!$FP58:$IO58,'POSF Emiss by Zone'!$FP$19:$IO$19,'Inventory Figures'!D$117,'POSF Emiss by Zone'!$FP$20:$IO$20,'Inventory Figures'!D$120)</f>
        <v>42.689957425499998</v>
      </c>
      <c r="E158" s="772">
        <f>SUMIFS('POSF Emiss by Zone'!$FP58:$IO58,'POSF Emiss by Zone'!$FP$19:$IO$19,'Inventory Figures'!E$117,'POSF Emiss by Zone'!$FP$20:$IO$20,'Inventory Figures'!E$120)</f>
        <v>58.637537998692736</v>
      </c>
      <c r="F158" s="772">
        <f>SUMIFS('POSF Emiss by Zone'!$FP58:$IO58,'POSF Emiss by Zone'!$FP$19:$IO$19,'Inventory Figures'!F$117,'POSF Emiss by Zone'!$FP$20:$IO$20,'Inventory Figures'!F$120)</f>
        <v>169.8018975982321</v>
      </c>
      <c r="G158" s="772">
        <f>SUMIFS('POSF Emiss by Zone'!$FP58:$IO58,'POSF Emiss by Zone'!$FP$19:$IO$19,'Inventory Figures'!G$117,'POSF Emiss by Zone'!$FP$20:$IO$20,'Inventory Figures'!G$120)</f>
        <v>6.5393332113402165</v>
      </c>
      <c r="H158" s="772">
        <f>SUMIFS('POSF Emiss by Zone'!$FP58:$IO58,'POSF Emiss by Zone'!$FP$19:$IO$19,'Inventory Figures'!H$117,'POSF Emiss by Zone'!$FP$20:$IO$20,'Inventory Figures'!H$120)</f>
        <v>14.563406081279247</v>
      </c>
      <c r="I158" s="772">
        <f>SUMIFS('POSF Emiss by Zone'!$FP58:$IO58,'POSF Emiss by Zone'!$FP$19:$IO$19,'Inventory Figures'!I$117,'POSF Emiss by Zone'!$FP$20:$IO$20,'Inventory Figures'!I$120)</f>
        <v>17.229651929038852</v>
      </c>
      <c r="J158" s="772">
        <f>SUMIFS('POSF Emiss by Zone'!$FP58:$IO58,'POSF Emiss by Zone'!$FP$19:$IO$19,'Inventory Figures'!J$117,'POSF Emiss by Zone'!$FP$20:$IO$20,'Inventory Figures'!J$120)</f>
        <v>365.64234681290634</v>
      </c>
    </row>
    <row r="159" spans="2:10" x14ac:dyDescent="0.2">
      <c r="B159" s="772">
        <v>1996</v>
      </c>
      <c r="C159" s="772">
        <f>SUMIFS('POSF Emiss by Zone'!$FP59:$IO59,'POSF Emiss by Zone'!$FP$19:$IO$19,'Inventory Figures'!C$117,'POSF Emiss by Zone'!$FP$20:$IO$20,'Inventory Figures'!C$120)</f>
        <v>42.589154692500003</v>
      </c>
      <c r="D159" s="772">
        <f>SUMIFS('POSF Emiss by Zone'!$FP59:$IO59,'POSF Emiss by Zone'!$FP$19:$IO$19,'Inventory Figures'!D$117,'POSF Emiss by Zone'!$FP$20:$IO$20,'Inventory Figures'!D$120)</f>
        <v>42.689957425499998</v>
      </c>
      <c r="E159" s="772">
        <f>SUMIFS('POSF Emiss by Zone'!$FP59:$IO59,'POSF Emiss by Zone'!$FP$19:$IO$19,'Inventory Figures'!E$117,'POSF Emiss by Zone'!$FP$20:$IO$20,'Inventory Figures'!E$120)</f>
        <v>60.388369403510964</v>
      </c>
      <c r="F159" s="772">
        <f>SUMIFS('POSF Emiss by Zone'!$FP59:$IO59,'POSF Emiss by Zone'!$FP$19:$IO$19,'Inventory Figures'!F$117,'POSF Emiss by Zone'!$FP$20:$IO$20,'Inventory Figures'!F$120)</f>
        <v>187.35165144297812</v>
      </c>
      <c r="G159" s="772">
        <f>SUMIFS('POSF Emiss by Zone'!$FP59:$IO59,'POSF Emiss by Zone'!$FP$19:$IO$19,'Inventory Figures'!G$117,'POSF Emiss by Zone'!$FP$20:$IO$20,'Inventory Figures'!G$120)</f>
        <v>8.6330257399699057</v>
      </c>
      <c r="H159" s="772">
        <f>SUMIFS('POSF Emiss by Zone'!$FP59:$IO59,'POSF Emiss by Zone'!$FP$19:$IO$19,'Inventory Figures'!H$117,'POSF Emiss by Zone'!$FP$20:$IO$20,'Inventory Figures'!H$120)</f>
        <v>17.878097578394065</v>
      </c>
      <c r="I159" s="772">
        <f>SUMIFS('POSF Emiss by Zone'!$FP59:$IO59,'POSF Emiss by Zone'!$FP$19:$IO$19,'Inventory Figures'!I$117,'POSF Emiss by Zone'!$FP$20:$IO$20,'Inventory Figures'!I$120)</f>
        <v>18.397771504764656</v>
      </c>
      <c r="J159" s="772">
        <f>SUMIFS('POSF Emiss by Zone'!$FP59:$IO59,'POSF Emiss by Zone'!$FP$19:$IO$19,'Inventory Figures'!J$117,'POSF Emiss by Zone'!$FP$20:$IO$20,'Inventory Figures'!J$120)</f>
        <v>405.68989330218415</v>
      </c>
    </row>
    <row r="160" spans="2:10" x14ac:dyDescent="0.2">
      <c r="B160" s="772">
        <v>1997</v>
      </c>
      <c r="C160" s="772">
        <f>SUMIFS('POSF Emiss by Zone'!$FP60:$IO60,'POSF Emiss by Zone'!$FP$19:$IO$19,'Inventory Figures'!C$117,'POSF Emiss by Zone'!$FP$20:$IO$20,'Inventory Figures'!C$120)</f>
        <v>42.589154692500003</v>
      </c>
      <c r="D160" s="772">
        <f>SUMIFS('POSF Emiss by Zone'!$FP60:$IO60,'POSF Emiss by Zone'!$FP$19:$IO$19,'Inventory Figures'!D$117,'POSF Emiss by Zone'!$FP$20:$IO$20,'Inventory Figures'!D$120)</f>
        <v>42.689957425499998</v>
      </c>
      <c r="E160" s="772">
        <f>SUMIFS('POSF Emiss by Zone'!$FP60:$IO60,'POSF Emiss by Zone'!$FP$19:$IO$19,'Inventory Figures'!E$117,'POSF Emiss by Zone'!$FP$20:$IO$20,'Inventory Figures'!E$120)</f>
        <v>60.377848985184265</v>
      </c>
      <c r="F160" s="772">
        <f>SUMIFS('POSF Emiss by Zone'!$FP60:$IO60,'POSF Emiss by Zone'!$FP$19:$IO$19,'Inventory Figures'!F$117,'POSF Emiss by Zone'!$FP$20:$IO$20,'Inventory Figures'!F$120)</f>
        <v>187.24619825572711</v>
      </c>
      <c r="G160" s="772">
        <f>SUMIFS('POSF Emiss by Zone'!$FP60:$IO60,'POSF Emiss by Zone'!$FP$19:$IO$19,'Inventory Figures'!G$117,'POSF Emiss by Zone'!$FP$20:$IO$20,'Inventory Figures'!G$120)</f>
        <v>10.704706075262274</v>
      </c>
      <c r="H160" s="772">
        <f>SUMIFS('POSF Emiss by Zone'!$FP60:$IO60,'POSF Emiss by Zone'!$FP$19:$IO$19,'Inventory Figures'!H$117,'POSF Emiss by Zone'!$FP$20:$IO$20,'Inventory Figures'!H$120)</f>
        <v>20.496078871067684</v>
      </c>
      <c r="I160" s="772">
        <f>SUMIFS('POSF Emiss by Zone'!$FP60:$IO60,'POSF Emiss by Zone'!$FP$19:$IO$19,'Inventory Figures'!I$117,'POSF Emiss by Zone'!$FP$20:$IO$20,'Inventory Figures'!I$120)</f>
        <v>18.396027666894039</v>
      </c>
      <c r="J160" s="772">
        <f>SUMIFS('POSF Emiss by Zone'!$FP60:$IO60,'POSF Emiss by Zone'!$FP$19:$IO$19,'Inventory Figures'!J$117,'POSF Emiss by Zone'!$FP$20:$IO$20,'Inventory Figures'!J$120)</f>
        <v>408.70997208004468</v>
      </c>
    </row>
    <row r="161" spans="2:10" x14ac:dyDescent="0.2">
      <c r="B161" s="772">
        <v>1998</v>
      </c>
      <c r="C161" s="772">
        <f>SUMIFS('POSF Emiss by Zone'!$FP61:$IO61,'POSF Emiss by Zone'!$FP$19:$IO$19,'Inventory Figures'!C$117,'POSF Emiss by Zone'!$FP$20:$IO$20,'Inventory Figures'!C$120)</f>
        <v>6.0410148499999998</v>
      </c>
      <c r="D161" s="772">
        <f>SUMIFS('POSF Emiss by Zone'!$FP61:$IO61,'POSF Emiss by Zone'!$FP$19:$IO$19,'Inventory Figures'!D$117,'POSF Emiss by Zone'!$FP$20:$IO$20,'Inventory Figures'!D$120)</f>
        <v>6.0553131100000002</v>
      </c>
      <c r="E161" s="772">
        <f>SUMIFS('POSF Emiss by Zone'!$FP61:$IO61,'POSF Emiss by Zone'!$FP$19:$IO$19,'Inventory Figures'!E$117,'POSF Emiss by Zone'!$FP$20:$IO$20,'Inventory Figures'!E$120)</f>
        <v>22.234926562998012</v>
      </c>
      <c r="F161" s="772">
        <f>SUMIFS('POSF Emiss by Zone'!$FP61:$IO61,'POSF Emiss by Zone'!$FP$19:$IO$19,'Inventory Figures'!F$117,'POSF Emiss by Zone'!$FP$20:$IO$20,'Inventory Figures'!F$120)</f>
        <v>149.59659754880479</v>
      </c>
      <c r="G161" s="772">
        <f>SUMIFS('POSF Emiss by Zone'!$FP61:$IO61,'POSF Emiss by Zone'!$FP$19:$IO$19,'Inventory Figures'!G$117,'POSF Emiss by Zone'!$FP$20:$IO$20,'Inventory Figures'!G$120)</f>
        <v>12.627442447667475</v>
      </c>
      <c r="H161" s="772">
        <f>SUMIFS('POSF Emiss by Zone'!$FP61:$IO61,'POSF Emiss by Zone'!$FP$19:$IO$19,'Inventory Figures'!H$117,'POSF Emiss by Zone'!$FP$20:$IO$20,'Inventory Figures'!H$120)</f>
        <v>22.476901993932874</v>
      </c>
      <c r="I161" s="772">
        <f>SUMIFS('POSF Emiss by Zone'!$FP61:$IO61,'POSF Emiss by Zone'!$FP$19:$IO$19,'Inventory Figures'!I$117,'POSF Emiss by Zone'!$FP$20:$IO$20,'Inventory Figures'!I$120)</f>
        <v>10.478485062965969</v>
      </c>
      <c r="J161" s="772">
        <f>SUMIFS('POSF Emiss by Zone'!$FP61:$IO61,'POSF Emiss by Zone'!$FP$19:$IO$19,'Inventory Figures'!J$117,'POSF Emiss by Zone'!$FP$20:$IO$20,'Inventory Figures'!J$120)</f>
        <v>377.86754474093271</v>
      </c>
    </row>
    <row r="162" spans="2:10" x14ac:dyDescent="0.2">
      <c r="B162" s="772">
        <v>1999</v>
      </c>
      <c r="C162" s="772">
        <f>SUMIFS('POSF Emiss by Zone'!$FP62:$IO62,'POSF Emiss by Zone'!$FP$19:$IO$19,'Inventory Figures'!C$117,'POSF Emiss by Zone'!$FP$20:$IO$20,'Inventory Figures'!C$120)</f>
        <v>6.0410148499999998</v>
      </c>
      <c r="D162" s="772">
        <f>SUMIFS('POSF Emiss by Zone'!$FP62:$IO62,'POSF Emiss by Zone'!$FP$19:$IO$19,'Inventory Figures'!D$117,'POSF Emiss by Zone'!$FP$20:$IO$20,'Inventory Figures'!D$120)</f>
        <v>6.0553131100000002</v>
      </c>
      <c r="E162" s="772">
        <f>SUMIFS('POSF Emiss by Zone'!$FP62:$IO62,'POSF Emiss by Zone'!$FP$19:$IO$19,'Inventory Figures'!E$117,'POSF Emiss by Zone'!$FP$20:$IO$20,'Inventory Figures'!E$120)</f>
        <v>22.299617982943229</v>
      </c>
      <c r="F162" s="772">
        <f>SUMIFS('POSF Emiss by Zone'!$FP62:$IO62,'POSF Emiss by Zone'!$FP$19:$IO$19,'Inventory Figures'!F$117,'POSF Emiss by Zone'!$FP$20:$IO$20,'Inventory Figures'!F$120)</f>
        <v>150.24504290612552</v>
      </c>
      <c r="G162" s="772">
        <f>SUMIFS('POSF Emiss by Zone'!$FP62:$IO62,'POSF Emiss by Zone'!$FP$19:$IO$19,'Inventory Figures'!G$117,'POSF Emiss by Zone'!$FP$20:$IO$20,'Inventory Figures'!G$120)</f>
        <v>14.700065383307734</v>
      </c>
      <c r="H162" s="772">
        <f>SUMIFS('POSF Emiss by Zone'!$FP62:$IO62,'POSF Emiss by Zone'!$FP$19:$IO$19,'Inventory Figures'!H$117,'POSF Emiss by Zone'!$FP$20:$IO$20,'Inventory Figures'!H$120)</f>
        <v>25.126273692495918</v>
      </c>
      <c r="I162" s="772">
        <f>SUMIFS('POSF Emiss by Zone'!$FP62:$IO62,'POSF Emiss by Zone'!$FP$19:$IO$19,'Inventory Figures'!I$117,'POSF Emiss by Zone'!$FP$20:$IO$20,'Inventory Figures'!I$120)</f>
        <v>10.52683680819966</v>
      </c>
      <c r="J162" s="772">
        <f>SUMIFS('POSF Emiss by Zone'!$FP62:$IO62,'POSF Emiss by Zone'!$FP$19:$IO$19,'Inventory Figures'!J$117,'POSF Emiss by Zone'!$FP$20:$IO$20,'Inventory Figures'!J$120)</f>
        <v>382.55590285948574</v>
      </c>
    </row>
    <row r="163" spans="2:10" x14ac:dyDescent="0.2">
      <c r="B163" s="772">
        <v>2000</v>
      </c>
      <c r="C163" s="772">
        <f>SUMIFS('POSF Emiss by Zone'!$FP63:$IO63,'POSF Emiss by Zone'!$FP$19:$IO$19,'Inventory Figures'!C$117,'POSF Emiss by Zone'!$FP$20:$IO$20,'Inventory Figures'!C$120)</f>
        <v>7.2711911999999996</v>
      </c>
      <c r="D163" s="772">
        <f>SUMIFS('POSF Emiss by Zone'!$FP63:$IO63,'POSF Emiss by Zone'!$FP$19:$IO$19,'Inventory Figures'!D$117,'POSF Emiss by Zone'!$FP$20:$IO$20,'Inventory Figures'!D$120)</f>
        <v>7.2884011199999996</v>
      </c>
      <c r="E163" s="772">
        <f>SUMIFS('POSF Emiss by Zone'!$FP63:$IO63,'POSF Emiss by Zone'!$FP$19:$IO$19,'Inventory Figures'!E$117,'POSF Emiss by Zone'!$FP$20:$IO$20,'Inventory Figures'!E$120)</f>
        <v>25.393638726780377</v>
      </c>
      <c r="F163" s="772">
        <f>SUMIFS('POSF Emiss by Zone'!$FP63:$IO63,'POSF Emiss by Zone'!$FP$19:$IO$19,'Inventory Figures'!F$117,'POSF Emiss by Zone'!$FP$20:$IO$20,'Inventory Figures'!F$120)</f>
        <v>166.33615160321216</v>
      </c>
      <c r="G163" s="772">
        <f>SUMIFS('POSF Emiss by Zone'!$FP63:$IO63,'POSF Emiss by Zone'!$FP$19:$IO$19,'Inventory Figures'!G$117,'POSF Emiss by Zone'!$FP$20:$IO$20,'Inventory Figures'!G$120)</f>
        <v>16.793646714564186</v>
      </c>
      <c r="H163" s="772">
        <f>SUMIFS('POSF Emiss by Zone'!$FP63:$IO63,'POSF Emiss by Zone'!$FP$19:$IO$19,'Inventory Figures'!H$117,'POSF Emiss by Zone'!$FP$20:$IO$20,'Inventory Figures'!H$120)</f>
        <v>28.34405207644361</v>
      </c>
      <c r="I163" s="772">
        <f>SUMIFS('POSF Emiss by Zone'!$FP63:$IO63,'POSF Emiss by Zone'!$FP$19:$IO$19,'Inventory Figures'!I$117,'POSF Emiss by Zone'!$FP$20:$IO$20,'Inventory Figures'!I$120)</f>
        <v>11.689046671220165</v>
      </c>
      <c r="J163" s="772">
        <f>SUMIFS('POSF Emiss by Zone'!$FP63:$IO63,'POSF Emiss by Zone'!$FP$19:$IO$19,'Inventory Figures'!J$117,'POSF Emiss by Zone'!$FP$20:$IO$20,'Inventory Figures'!J$120)</f>
        <v>417.45289012667365</v>
      </c>
    </row>
    <row r="164" spans="2:10" x14ac:dyDescent="0.2">
      <c r="B164" s="772">
        <v>2001</v>
      </c>
      <c r="C164" s="772">
        <f>SUMIFS('POSF Emiss by Zone'!$FP64:$IO64,'POSF Emiss by Zone'!$FP$19:$IO$19,'Inventory Figures'!C$117,'POSF Emiss by Zone'!$FP$20:$IO$20,'Inventory Figures'!C$120)</f>
        <v>0.36289369999999999</v>
      </c>
      <c r="D164" s="772">
        <f>SUMIFS('POSF Emiss by Zone'!$FP64:$IO64,'POSF Emiss by Zone'!$FP$19:$IO$19,'Inventory Figures'!D$117,'POSF Emiss by Zone'!$FP$20:$IO$20,'Inventory Figures'!D$120)</f>
        <v>0.36375261999999997</v>
      </c>
      <c r="E164" s="772">
        <f>SUMIFS('POSF Emiss by Zone'!$FP64:$IO64,'POSF Emiss by Zone'!$FP$19:$IO$19,'Inventory Figures'!E$117,'POSF Emiss by Zone'!$FP$20:$IO$20,'Inventory Figures'!E$120)</f>
        <v>13.227020994023906</v>
      </c>
      <c r="F164" s="772">
        <f>SUMIFS('POSF Emiss by Zone'!$FP64:$IO64,'POSF Emiss by Zone'!$FP$19:$IO$19,'Inventory Figures'!F$117,'POSF Emiss by Zone'!$FP$20:$IO$20,'Inventory Figures'!F$120)</f>
        <v>128.18128913844623</v>
      </c>
      <c r="G164" s="772">
        <f>SUMIFS('POSF Emiss by Zone'!$FP64:$IO64,'POSF Emiss by Zone'!$FP$19:$IO$19,'Inventory Figures'!G$117,'POSF Emiss by Zone'!$FP$20:$IO$20,'Inventory Figures'!G$120)</f>
        <v>18.764047968323482</v>
      </c>
      <c r="H164" s="772">
        <f>SUMIFS('POSF Emiss by Zone'!$FP64:$IO64,'POSF Emiss by Zone'!$FP$19:$IO$19,'Inventory Figures'!H$117,'POSF Emiss by Zone'!$FP$20:$IO$20,'Inventory Figures'!H$120)</f>
        <v>28.213565712885746</v>
      </c>
      <c r="I164" s="772">
        <f>SUMIFS('POSF Emiss by Zone'!$FP64:$IO64,'POSF Emiss by Zone'!$FP$19:$IO$19,'Inventory Figures'!I$117,'POSF Emiss by Zone'!$FP$20:$IO$20,'Inventory Figures'!I$120)</f>
        <v>6.304709184795823</v>
      </c>
      <c r="J164" s="772">
        <f>SUMIFS('POSF Emiss by Zone'!$FP64:$IO64,'POSF Emiss by Zone'!$FP$19:$IO$19,'Inventory Figures'!J$117,'POSF Emiss by Zone'!$FP$20:$IO$20,'Inventory Figures'!J$120)</f>
        <v>274.4024840052781</v>
      </c>
    </row>
    <row r="165" spans="2:10" x14ac:dyDescent="0.2">
      <c r="B165" s="772">
        <v>2002</v>
      </c>
      <c r="C165" s="772">
        <f>SUMIFS('POSF Emiss by Zone'!$FP65:$IO65,'POSF Emiss by Zone'!$FP$19:$IO$19,'Inventory Figures'!C$117,'POSF Emiss by Zone'!$FP$20:$IO$20,'Inventory Figures'!C$120)</f>
        <v>0.60343562499999992</v>
      </c>
      <c r="D165" s="772">
        <f>SUMIFS('POSF Emiss by Zone'!$FP65:$IO65,'POSF Emiss by Zone'!$FP$19:$IO$19,'Inventory Figures'!D$117,'POSF Emiss by Zone'!$FP$20:$IO$20,'Inventory Figures'!D$120)</f>
        <v>0.60486387499999983</v>
      </c>
      <c r="E165" s="772">
        <f>SUMIFS('POSF Emiss by Zone'!$FP65:$IO65,'POSF Emiss by Zone'!$FP$19:$IO$19,'Inventory Figures'!E$117,'POSF Emiss by Zone'!$FP$20:$IO$20,'Inventory Figures'!E$120)</f>
        <v>9.1530194325821714</v>
      </c>
      <c r="F165" s="772">
        <f>SUMIFS('POSF Emiss by Zone'!$FP65:$IO65,'POSF Emiss by Zone'!$FP$19:$IO$19,'Inventory Figures'!F$117,'POSF Emiss by Zone'!$FP$20:$IO$20,'Inventory Figures'!F$120)</f>
        <v>85.24257362636952</v>
      </c>
      <c r="G165" s="772">
        <f>SUMIFS('POSF Emiss by Zone'!$FP65:$IO65,'POSF Emiss by Zone'!$FP$19:$IO$19,'Inventory Figures'!G$117,'POSF Emiss by Zone'!$FP$20:$IO$20,'Inventory Figures'!G$120)</f>
        <v>20.736652336661734</v>
      </c>
      <c r="H165" s="772">
        <f>SUMIFS('POSF Emiss by Zone'!$FP65:$IO65,'POSF Emiss by Zone'!$FP$19:$IO$19,'Inventory Figures'!H$117,'POSF Emiss by Zone'!$FP$20:$IO$20,'Inventory Figures'!H$120)</f>
        <v>27.485537880506428</v>
      </c>
      <c r="I165" s="772">
        <f>SUMIFS('POSF Emiss by Zone'!$FP65:$IO65,'POSF Emiss by Zone'!$FP$19:$IO$19,'Inventory Figures'!I$117,'POSF Emiss by Zone'!$FP$20:$IO$20,'Inventory Figures'!I$120)</f>
        <v>1.0374587647251698</v>
      </c>
      <c r="J165" s="772">
        <f>SUMIFS('POSF Emiss by Zone'!$FP65:$IO65,'POSF Emiss by Zone'!$FP$19:$IO$19,'Inventory Figures'!J$117,'POSF Emiss by Zone'!$FP$20:$IO$20,'Inventory Figures'!J$120)</f>
        <v>99.595047052441032</v>
      </c>
    </row>
    <row r="166" spans="2:10" x14ac:dyDescent="0.2">
      <c r="B166" s="772">
        <v>2003</v>
      </c>
      <c r="C166" s="772">
        <f>SUMIFS('POSF Emiss by Zone'!$FP66:$IO66,'POSF Emiss by Zone'!$FP$19:$IO$19,'Inventory Figures'!C$117,'POSF Emiss by Zone'!$FP$20:$IO$20,'Inventory Figures'!C$120)</f>
        <v>0.67002162499999995</v>
      </c>
      <c r="D166" s="772">
        <f>SUMIFS('POSF Emiss by Zone'!$FP66:$IO66,'POSF Emiss by Zone'!$FP$19:$IO$19,'Inventory Figures'!D$117,'POSF Emiss by Zone'!$FP$20:$IO$20,'Inventory Figures'!D$120)</f>
        <v>0.85515237499999985</v>
      </c>
      <c r="E166" s="772">
        <f>SUMIFS('POSF Emiss by Zone'!$FP66:$IO66,'POSF Emiss by Zone'!$FP$19:$IO$19,'Inventory Figures'!E$117,'POSF Emiss by Zone'!$FP$20:$IO$20,'Inventory Figures'!E$120)</f>
        <v>7.0374739292828687</v>
      </c>
      <c r="F166" s="772">
        <f>SUMIFS('POSF Emiss by Zone'!$FP66:$IO66,'POSF Emiss by Zone'!$FP$19:$IO$19,'Inventory Figures'!F$117,'POSF Emiss by Zone'!$FP$20:$IO$20,'Inventory Figures'!F$120)</f>
        <v>99.431679497011956</v>
      </c>
      <c r="G166" s="772">
        <f>SUMIFS('POSF Emiss by Zone'!$FP66:$IO66,'POSF Emiss by Zone'!$FP$19:$IO$19,'Inventory Figures'!G$117,'POSF Emiss by Zone'!$FP$20:$IO$20,'Inventory Figures'!G$120)</f>
        <v>22.800546263031016</v>
      </c>
      <c r="H166" s="772">
        <f>SUMIFS('POSF Emiss by Zone'!$FP66:$IO66,'POSF Emiss by Zone'!$FP$19:$IO$19,'Inventory Figures'!H$117,'POSF Emiss by Zone'!$FP$20:$IO$20,'Inventory Figures'!H$120)</f>
        <v>29.663298655269557</v>
      </c>
      <c r="I166" s="772">
        <f>SUMIFS('POSF Emiss by Zone'!$FP66:$IO66,'POSF Emiss by Zone'!$FP$19:$IO$19,'Inventory Figures'!I$117,'POSF Emiss by Zone'!$FP$20:$IO$20,'Inventory Figures'!I$120)</f>
        <v>0.62189724031903115</v>
      </c>
      <c r="J166" s="772">
        <f>SUMIFS('POSF Emiss by Zone'!$FP66:$IO66,'POSF Emiss by Zone'!$FP$19:$IO$19,'Inventory Figures'!J$117,'POSF Emiss by Zone'!$FP$20:$IO$20,'Inventory Figures'!J$120)</f>
        <v>79.219098459197127</v>
      </c>
    </row>
    <row r="167" spans="2:10" x14ac:dyDescent="0.2">
      <c r="B167" s="772">
        <v>2004</v>
      </c>
      <c r="C167" s="772">
        <f>SUMIFS('POSF Emiss by Zone'!$FP67:$IO67,'POSF Emiss by Zone'!$FP$19:$IO$19,'Inventory Figures'!C$117,'POSF Emiss by Zone'!$FP$20:$IO$20,'Inventory Figures'!C$120)</f>
        <v>1.2568107499999999</v>
      </c>
      <c r="D167" s="772">
        <f>SUMIFS('POSF Emiss by Zone'!$FP67:$IO67,'POSF Emiss by Zone'!$FP$19:$IO$19,'Inventory Figures'!D$117,'POSF Emiss by Zone'!$FP$20:$IO$20,'Inventory Figures'!D$120)</f>
        <v>1.4433303499999997</v>
      </c>
      <c r="E167" s="772">
        <f>SUMIFS('POSF Emiss by Zone'!$FP67:$IO67,'POSF Emiss by Zone'!$FP$19:$IO$19,'Inventory Figures'!E$117,'POSF Emiss by Zone'!$FP$20:$IO$20,'Inventory Figures'!E$120)</f>
        <v>5.7474899542455171</v>
      </c>
      <c r="F167" s="772">
        <f>SUMIFS('POSF Emiss by Zone'!$FP67:$IO67,'POSF Emiss by Zone'!$FP$19:$IO$19,'Inventory Figures'!F$117,'POSF Emiss by Zone'!$FP$20:$IO$20,'Inventory Figures'!F$120)</f>
        <v>108.2852153753735</v>
      </c>
      <c r="G167" s="772">
        <f>SUMIFS('POSF Emiss by Zone'!$FP67:$IO67,'POSF Emiss by Zone'!$FP$19:$IO$19,'Inventory Figures'!G$117,'POSF Emiss by Zone'!$FP$20:$IO$20,'Inventory Figures'!G$120)</f>
        <v>24.868968447183526</v>
      </c>
      <c r="H167" s="772">
        <f>SUMIFS('POSF Emiss by Zone'!$FP67:$IO67,'POSF Emiss by Zone'!$FP$19:$IO$19,'Inventory Figures'!H$117,'POSF Emiss by Zone'!$FP$20:$IO$20,'Inventory Figures'!H$120)</f>
        <v>31.931830302880819</v>
      </c>
      <c r="I167" s="772">
        <f>SUMIFS('POSF Emiss by Zone'!$FP67:$IO67,'POSF Emiss by Zone'!$FP$19:$IO$19,'Inventory Figures'!I$117,'POSF Emiss by Zone'!$FP$20:$IO$20,'Inventory Figures'!I$120)</f>
        <v>0.44699520071512605</v>
      </c>
      <c r="J167" s="772">
        <f>SUMIFS('POSF Emiss by Zone'!$FP67:$IO67,'POSF Emiss by Zone'!$FP$19:$IO$19,'Inventory Figures'!J$117,'POSF Emiss by Zone'!$FP$20:$IO$20,'Inventory Figures'!J$120)</f>
        <v>63.667272639089489</v>
      </c>
    </row>
    <row r="168" spans="2:10" x14ac:dyDescent="0.2">
      <c r="B168" s="772">
        <v>2005</v>
      </c>
      <c r="C168" s="772">
        <f>SUMIFS('POSF Emiss by Zone'!$FP68:$IO68,'POSF Emiss by Zone'!$FP$19:$IO$19,'Inventory Figures'!C$117,'POSF Emiss by Zone'!$FP$20:$IO$20,'Inventory Figures'!C$120)</f>
        <v>2.1166024749999997</v>
      </c>
      <c r="D168" s="772">
        <f>SUMIFS('POSF Emiss by Zone'!$FP68:$IO68,'POSF Emiss by Zone'!$FP$19:$IO$19,'Inventory Figures'!D$117,'POSF Emiss by Zone'!$FP$20:$IO$20,'Inventory Figures'!D$120)</f>
        <v>2.2701166949999996</v>
      </c>
      <c r="E168" s="772">
        <f>SUMIFS('POSF Emiss by Zone'!$FP68:$IO68,'POSF Emiss by Zone'!$FP$19:$IO$19,'Inventory Figures'!E$117,'POSF Emiss by Zone'!$FP$20:$IO$20,'Inventory Figures'!E$120)</f>
        <v>8.1709526895542819</v>
      </c>
      <c r="F168" s="772">
        <f>SUMIFS('POSF Emiss by Zone'!$FP68:$IO68,'POSF Emiss by Zone'!$FP$19:$IO$19,'Inventory Figures'!F$117,'POSF Emiss by Zone'!$FP$20:$IO$20,'Inventory Figures'!F$120)</f>
        <v>99.707122378486034</v>
      </c>
      <c r="G168" s="772">
        <f>SUMIFS('POSF Emiss by Zone'!$FP68:$IO68,'POSF Emiss by Zone'!$FP$19:$IO$19,'Inventory Figures'!G$117,'POSF Emiss by Zone'!$FP$20:$IO$20,'Inventory Figures'!G$120)</f>
        <v>24.901484509470393</v>
      </c>
      <c r="H168" s="772">
        <f>SUMIFS('POSF Emiss by Zone'!$FP68:$IO68,'POSF Emiss by Zone'!$FP$19:$IO$19,'Inventory Figures'!H$117,'POSF Emiss by Zone'!$FP$20:$IO$20,'Inventory Figures'!H$120)</f>
        <v>31.861849650819217</v>
      </c>
      <c r="I168" s="772">
        <f>SUMIFS('POSF Emiss by Zone'!$FP68:$IO68,'POSF Emiss by Zone'!$FP$19:$IO$19,'Inventory Figures'!I$117,'POSF Emiss by Zone'!$FP$20:$IO$20,'Inventory Figures'!I$120)</f>
        <v>0.70411494510162176</v>
      </c>
      <c r="J168" s="772">
        <f>SUMIFS('POSF Emiss by Zone'!$FP68:$IO68,'POSF Emiss by Zone'!$FP$19:$IO$19,'Inventory Figures'!J$117,'POSF Emiss by Zone'!$FP$20:$IO$20,'Inventory Figures'!J$120)</f>
        <v>58.129566286576754</v>
      </c>
    </row>
    <row r="169" spans="2:10" x14ac:dyDescent="0.2">
      <c r="B169" s="772">
        <v>2006</v>
      </c>
      <c r="C169" s="772">
        <f>SUMIFS('POSF Emiss by Zone'!$FP69:$IO69,'POSF Emiss by Zone'!$FP$19:$IO$19,'Inventory Figures'!C$117,'POSF Emiss by Zone'!$FP$20:$IO$20,'Inventory Figures'!C$120)</f>
        <v>3.0171781249999992</v>
      </c>
      <c r="D169" s="772">
        <f>SUMIFS('POSF Emiss by Zone'!$FP69:$IO69,'POSF Emiss by Zone'!$FP$19:$IO$19,'Inventory Figures'!D$117,'POSF Emiss by Zone'!$FP$20:$IO$20,'Inventory Figures'!D$120)</f>
        <v>3.1077488749999995</v>
      </c>
      <c r="E169" s="772">
        <f>SUMIFS('POSF Emiss by Zone'!$FP69:$IO69,'POSF Emiss by Zone'!$FP$19:$IO$19,'Inventory Figures'!E$117,'POSF Emiss by Zone'!$FP$20:$IO$20,'Inventory Figures'!E$120)</f>
        <v>9.8717912979332674</v>
      </c>
      <c r="F169" s="772">
        <f>SUMIFS('POSF Emiss by Zone'!$FP69:$IO69,'POSF Emiss by Zone'!$FP$19:$IO$19,'Inventory Figures'!F$117,'POSF Emiss by Zone'!$FP$20:$IO$20,'Inventory Figures'!F$120)</f>
        <v>80.376348141807753</v>
      </c>
      <c r="G169" s="772">
        <f>SUMIFS('POSF Emiss by Zone'!$FP69:$IO69,'POSF Emiss by Zone'!$FP$19:$IO$19,'Inventory Figures'!G$117,'POSF Emiss by Zone'!$FP$20:$IO$20,'Inventory Figures'!G$120)</f>
        <v>25.670502332158776</v>
      </c>
      <c r="H169" s="772">
        <f>SUMIFS('POSF Emiss by Zone'!$FP69:$IO69,'POSF Emiss by Zone'!$FP$19:$IO$19,'Inventory Figures'!H$117,'POSF Emiss by Zone'!$FP$20:$IO$20,'Inventory Figures'!H$120)</f>
        <v>32.713925362017875</v>
      </c>
      <c r="I169" s="772">
        <f>SUMIFS('POSF Emiss by Zone'!$FP69:$IO69,'POSF Emiss by Zone'!$FP$19:$IO$19,'Inventory Figures'!I$117,'POSF Emiss by Zone'!$FP$20:$IO$20,'Inventory Figures'!I$120)</f>
        <v>0.9858686433997832</v>
      </c>
      <c r="J169" s="772">
        <f>SUMIFS('POSF Emiss by Zone'!$FP69:$IO69,'POSF Emiss by Zone'!$FP$19:$IO$19,'Inventory Figures'!J$117,'POSF Emiss by Zone'!$FP$20:$IO$20,'Inventory Figures'!J$120)</f>
        <v>53.236473906575178</v>
      </c>
    </row>
    <row r="170" spans="2:10" x14ac:dyDescent="0.2">
      <c r="B170" s="772">
        <v>2007</v>
      </c>
      <c r="C170" s="772">
        <f>SUMIFS('POSF Emiss by Zone'!$FP70:$IO70,'POSF Emiss by Zone'!$FP$19:$IO$19,'Inventory Figures'!C$117,'POSF Emiss by Zone'!$FP$20:$IO$20,'Inventory Figures'!C$120)</f>
        <v>2.9755618749999995</v>
      </c>
      <c r="D170" s="772">
        <f>SUMIFS('POSF Emiss by Zone'!$FP70:$IO70,'POSF Emiss by Zone'!$FP$19:$IO$19,'Inventory Figures'!D$117,'POSF Emiss by Zone'!$FP$20:$IO$20,'Inventory Figures'!D$120)</f>
        <v>3.0243193749999993</v>
      </c>
      <c r="E170" s="772">
        <f>SUMIFS('POSF Emiss by Zone'!$FP70:$IO70,'POSF Emiss by Zone'!$FP$19:$IO$19,'Inventory Figures'!E$117,'POSF Emiss by Zone'!$FP$20:$IO$20,'Inventory Figures'!E$120)</f>
        <v>8.3191885925049807</v>
      </c>
      <c r="F170" s="772">
        <f>SUMIFS('POSF Emiss by Zone'!$FP70:$IO70,'POSF Emiss by Zone'!$FP$19:$IO$19,'Inventory Figures'!F$117,'POSF Emiss by Zone'!$FP$20:$IO$20,'Inventory Figures'!F$120)</f>
        <v>54.146916241284856</v>
      </c>
      <c r="G170" s="772">
        <f>SUMIFS('POSF Emiss by Zone'!$FP70:$IO70,'POSF Emiss by Zone'!$FP$19:$IO$19,'Inventory Figures'!G$117,'POSF Emiss by Zone'!$FP$20:$IO$20,'Inventory Figures'!G$120)</f>
        <v>25.695458455834</v>
      </c>
      <c r="H170" s="772">
        <f>SUMIFS('POSF Emiss by Zone'!$FP70:$IO70,'POSF Emiss by Zone'!$FP$19:$IO$19,'Inventory Figures'!H$117,'POSF Emiss by Zone'!$FP$20:$IO$20,'Inventory Figures'!H$120)</f>
        <v>32.575381933206209</v>
      </c>
      <c r="I170" s="772">
        <f>SUMIFS('POSF Emiss by Zone'!$FP70:$IO70,'POSF Emiss by Zone'!$FP$19:$IO$19,'Inventory Figures'!I$117,'POSF Emiss by Zone'!$FP$20:$IO$20,'Inventory Figures'!I$120)</f>
        <v>0.96452274320038922</v>
      </c>
      <c r="J170" s="772">
        <f>SUMIFS('POSF Emiss by Zone'!$FP70:$IO70,'POSF Emiss by Zone'!$FP$19:$IO$19,'Inventory Figures'!J$117,'POSF Emiss by Zone'!$FP$20:$IO$20,'Inventory Figures'!J$120)</f>
        <v>44.207369097485206</v>
      </c>
    </row>
    <row r="171" spans="2:10" x14ac:dyDescent="0.2">
      <c r="B171" s="772">
        <v>2008</v>
      </c>
      <c r="C171" s="772">
        <f>SUMIFS('POSF Emiss by Zone'!$FP71:$IO71,'POSF Emiss by Zone'!$FP$19:$IO$19,'Inventory Figures'!C$117,'POSF Emiss by Zone'!$FP$20:$IO$20,'Inventory Figures'!C$120)</f>
        <v>2.9339456249999998</v>
      </c>
      <c r="D171" s="772">
        <f>SUMIFS('POSF Emiss by Zone'!$FP71:$IO71,'POSF Emiss by Zone'!$FP$19:$IO$19,'Inventory Figures'!D$117,'POSF Emiss by Zone'!$FP$20:$IO$20,'Inventory Figures'!D$120)</f>
        <v>2.9408898749999999</v>
      </c>
      <c r="E171" s="772">
        <f>SUMIFS('POSF Emiss by Zone'!$FP71:$IO71,'POSF Emiss by Zone'!$FP$19:$IO$19,'Inventory Figures'!E$117,'POSF Emiss by Zone'!$FP$20:$IO$20,'Inventory Figures'!E$120)</f>
        <v>6.3055752645667322</v>
      </c>
      <c r="F171" s="772">
        <f>SUMIFS('POSF Emiss by Zone'!$FP71:$IO71,'POSF Emiss by Zone'!$FP$19:$IO$19,'Inventory Figures'!F$117,'POSF Emiss by Zone'!$FP$20:$IO$20,'Inventory Figures'!F$120)</f>
        <v>34.41184787724103</v>
      </c>
      <c r="G171" s="772">
        <f>SUMIFS('POSF Emiss by Zone'!$FP71:$IO71,'POSF Emiss by Zone'!$FP$19:$IO$19,'Inventory Figures'!G$117,'POSF Emiss by Zone'!$FP$20:$IO$20,'Inventory Figures'!G$120)</f>
        <v>24.907045593964263</v>
      </c>
      <c r="H171" s="772">
        <f>SUMIFS('POSF Emiss by Zone'!$FP71:$IO71,'POSF Emiss by Zone'!$FP$19:$IO$19,'Inventory Figures'!H$117,'POSF Emiss by Zone'!$FP$20:$IO$20,'Inventory Figures'!H$120)</f>
        <v>31.681793536497949</v>
      </c>
      <c r="I171" s="772">
        <f>SUMIFS('POSF Emiss by Zone'!$FP71:$IO71,'POSF Emiss by Zone'!$FP$19:$IO$19,'Inventory Figures'!I$117,'POSF Emiss by Zone'!$FP$20:$IO$20,'Inventory Figures'!I$120)</f>
        <v>2.4706491015467655</v>
      </c>
      <c r="J171" s="772">
        <f>SUMIFS('POSF Emiss by Zone'!$FP71:$IO71,'POSF Emiss by Zone'!$FP$19:$IO$19,'Inventory Figures'!J$117,'POSF Emiss by Zone'!$FP$20:$IO$20,'Inventory Figures'!J$120)</f>
        <v>50.378780185710838</v>
      </c>
    </row>
    <row r="172" spans="2:10" x14ac:dyDescent="0.2">
      <c r="B172" s="772">
        <v>2009</v>
      </c>
      <c r="C172" s="772">
        <f>SUMIFS('POSF Emiss by Zone'!$FP72:$IO72,'POSF Emiss by Zone'!$FP$19:$IO$19,'Inventory Figures'!C$117,'POSF Emiss by Zone'!$FP$20:$IO$20,'Inventory Figures'!C$120)</f>
        <v>1.5256517249999999</v>
      </c>
      <c r="D172" s="772">
        <f>SUMIFS('POSF Emiss by Zone'!$FP72:$IO72,'POSF Emiss by Zone'!$FP$19:$IO$19,'Inventory Figures'!D$117,'POSF Emiss by Zone'!$FP$20:$IO$20,'Inventory Figures'!D$120)</f>
        <v>1.5292627349999999</v>
      </c>
      <c r="E172" s="772">
        <f>SUMIFS('POSF Emiss by Zone'!$FP72:$IO72,'POSF Emiss by Zone'!$FP$19:$IO$19,'Inventory Figures'!E$117,'POSF Emiss by Zone'!$FP$20:$IO$20,'Inventory Figures'!E$120)</f>
        <v>3.9653391904257975</v>
      </c>
      <c r="F172" s="772">
        <f>SUMIFS('POSF Emiss by Zone'!$FP72:$IO72,'POSF Emiss by Zone'!$FP$19:$IO$19,'Inventory Figures'!F$117,'POSF Emiss by Zone'!$FP$20:$IO$20,'Inventory Figures'!F$120)</f>
        <v>24.774808526518925</v>
      </c>
      <c r="G172" s="772">
        <f>SUMIFS('POSF Emiss by Zone'!$FP72:$IO72,'POSF Emiss by Zone'!$FP$19:$IO$19,'Inventory Figures'!G$117,'POSF Emiss by Zone'!$FP$20:$IO$20,'Inventory Figures'!G$120)</f>
        <v>19.337455637732766</v>
      </c>
      <c r="H172" s="772">
        <f>SUMIFS('POSF Emiss by Zone'!$FP72:$IO72,'POSF Emiss by Zone'!$FP$19:$IO$19,'Inventory Figures'!H$117,'POSF Emiss by Zone'!$FP$20:$IO$20,'Inventory Figures'!H$120)</f>
        <v>24.505026554607007</v>
      </c>
      <c r="I172" s="772">
        <f>SUMIFS('POSF Emiss by Zone'!$FP72:$IO72,'POSF Emiss by Zone'!$FP$19:$IO$19,'Inventory Figures'!I$117,'POSF Emiss by Zone'!$FP$20:$IO$20,'Inventory Figures'!I$120)</f>
        <v>1.7441604436106179</v>
      </c>
      <c r="J172" s="772">
        <f>SUMIFS('POSF Emiss by Zone'!$FP72:$IO72,'POSF Emiss by Zone'!$FP$19:$IO$19,'Inventory Figures'!J$117,'POSF Emiss by Zone'!$FP$20:$IO$20,'Inventory Figures'!J$120)</f>
        <v>33.995920872838759</v>
      </c>
    </row>
    <row r="173" spans="2:10" x14ac:dyDescent="0.2">
      <c r="B173" s="772">
        <v>2010</v>
      </c>
      <c r="C173" s="772">
        <f>SUMIFS('POSF Emiss by Zone'!$FP73:$IO73,'POSF Emiss by Zone'!$FP$19:$IO$19,'Inventory Figures'!C$117,'POSF Emiss by Zone'!$FP$20:$IO$20,'Inventory Figures'!C$120)</f>
        <v>1.1735782499999998</v>
      </c>
      <c r="D173" s="772">
        <f>SUMIFS('POSF Emiss by Zone'!$FP73:$IO73,'POSF Emiss by Zone'!$FP$19:$IO$19,'Inventory Figures'!D$117,'POSF Emiss by Zone'!$FP$20:$IO$20,'Inventory Figures'!D$120)</f>
        <v>1.1763559499999998</v>
      </c>
      <c r="E173" s="772">
        <f>SUMIFS('POSF Emiss by Zone'!$FP73:$IO73,'POSF Emiss by Zone'!$FP$19:$IO$19,'Inventory Figures'!E$117,'POSF Emiss by Zone'!$FP$20:$IO$20,'Inventory Figures'!E$120)</f>
        <v>3.3005676855079682</v>
      </c>
      <c r="F173" s="772">
        <f>SUMIFS('POSF Emiss by Zone'!$FP73:$IO73,'POSF Emiss by Zone'!$FP$19:$IO$19,'Inventory Figures'!F$117,'POSF Emiss by Zone'!$FP$20:$IO$20,'Inventory Figures'!F$120)</f>
        <v>21.56653713894422</v>
      </c>
      <c r="G173" s="772">
        <f>SUMIFS('POSF Emiss by Zone'!$FP73:$IO73,'POSF Emiss by Zone'!$FP$19:$IO$19,'Inventory Figures'!G$117,'POSF Emiss by Zone'!$FP$20:$IO$20,'Inventory Figures'!G$120)</f>
        <v>25.654877681307916</v>
      </c>
      <c r="H173" s="772">
        <f>SUMIFS('POSF Emiss by Zone'!$FP73:$IO73,'POSF Emiss by Zone'!$FP$19:$IO$19,'Inventory Figures'!H$117,'POSF Emiss by Zone'!$FP$20:$IO$20,'Inventory Figures'!H$120)</f>
        <v>31.977203481734332</v>
      </c>
      <c r="I173" s="772">
        <f>SUMIFS('POSF Emiss by Zone'!$FP73:$IO73,'POSF Emiss by Zone'!$FP$19:$IO$19,'Inventory Figures'!I$117,'POSF Emiss by Zone'!$FP$20:$IO$20,'Inventory Figures'!I$120)</f>
        <v>1.1420066729772422</v>
      </c>
      <c r="J173" s="772">
        <f>SUMIFS('POSF Emiss by Zone'!$FP73:$IO73,'POSF Emiss by Zone'!$FP$19:$IO$19,'Inventory Figures'!J$117,'POSF Emiss by Zone'!$FP$20:$IO$20,'Inventory Figures'!J$120)</f>
        <v>15.302134912807961</v>
      </c>
    </row>
    <row r="174" spans="2:10" x14ac:dyDescent="0.2">
      <c r="B174" s="772">
        <v>2011</v>
      </c>
      <c r="C174" s="772">
        <f>SUMIFS('POSF Emiss by Zone'!$FP74:$IO74,'POSF Emiss by Zone'!$FP$19:$IO$19,'Inventory Figures'!C$117,'POSF Emiss by Zone'!$FP$20:$IO$20,'Inventory Figures'!C$120)</f>
        <v>1.5256517249999999</v>
      </c>
      <c r="D174" s="772">
        <f>SUMIFS('POSF Emiss by Zone'!$FP74:$IO74,'POSF Emiss by Zone'!$FP$19:$IO$19,'Inventory Figures'!D$117,'POSF Emiss by Zone'!$FP$20:$IO$20,'Inventory Figures'!D$120)</f>
        <v>1.5292627349999999</v>
      </c>
      <c r="E174" s="772">
        <f>SUMIFS('POSF Emiss by Zone'!$FP74:$IO74,'POSF Emiss by Zone'!$FP$19:$IO$19,'Inventory Figures'!E$117,'POSF Emiss by Zone'!$FP$20:$IO$20,'Inventory Figures'!E$120)</f>
        <v>3.5236211740537855</v>
      </c>
      <c r="F174" s="772">
        <f>SUMIFS('POSF Emiss by Zone'!$FP74:$IO74,'POSF Emiss by Zone'!$FP$19:$IO$19,'Inventory Figures'!F$117,'POSF Emiss by Zone'!$FP$20:$IO$20,'Inventory Figures'!F$120)</f>
        <v>20.347173498505974</v>
      </c>
      <c r="G174" s="772">
        <f>SUMIFS('POSF Emiss by Zone'!$FP74:$IO74,'POSF Emiss by Zone'!$FP$19:$IO$19,'Inventory Figures'!G$117,'POSF Emiss by Zone'!$FP$20:$IO$20,'Inventory Figures'!G$120)</f>
        <v>29.832882140899962</v>
      </c>
      <c r="H174" s="772">
        <f>SUMIFS('POSF Emiss by Zone'!$FP74:$IO74,'POSF Emiss by Zone'!$FP$19:$IO$19,'Inventory Figures'!H$117,'POSF Emiss by Zone'!$FP$20:$IO$20,'Inventory Figures'!H$120)</f>
        <v>37.218224376348203</v>
      </c>
      <c r="I174" s="772">
        <f>SUMIFS('POSF Emiss by Zone'!$FP74:$IO74,'POSF Emiss by Zone'!$FP$19:$IO$19,'Inventory Figures'!I$117,'POSF Emiss by Zone'!$FP$20:$IO$20,'Inventory Figures'!I$120)</f>
        <v>1.5439523806598769</v>
      </c>
      <c r="J174" s="772">
        <f>SUMIFS('POSF Emiss by Zone'!$FP74:$IO74,'POSF Emiss by Zone'!$FP$19:$IO$19,'Inventory Figures'!J$117,'POSF Emiss by Zone'!$FP$20:$IO$20,'Inventory Figures'!J$120)</f>
        <v>19.836175277707977</v>
      </c>
    </row>
    <row r="175" spans="2:10" x14ac:dyDescent="0.2">
      <c r="B175" s="772">
        <v>2012</v>
      </c>
      <c r="C175" s="772">
        <f>SUMIFS('POSF Emiss by Zone'!$FP75:$IO75,'POSF Emiss by Zone'!$FP$19:$IO$19,'Inventory Figures'!C$117,'POSF Emiss by Zone'!$FP$20:$IO$20,'Inventory Figures'!C$120)</f>
        <v>1.5256517249999999</v>
      </c>
      <c r="D175" s="772">
        <f>SUMIFS('POSF Emiss by Zone'!$FP75:$IO75,'POSF Emiss by Zone'!$FP$19:$IO$19,'Inventory Figures'!D$117,'POSF Emiss by Zone'!$FP$20:$IO$20,'Inventory Figures'!D$120)</f>
        <v>1.5292627349999999</v>
      </c>
      <c r="E175" s="772">
        <f>SUMIFS('POSF Emiss by Zone'!$FP75:$IO75,'POSF Emiss by Zone'!$FP$19:$IO$19,'Inventory Figures'!E$117,'POSF Emiss by Zone'!$FP$20:$IO$20,'Inventory Figures'!E$120)</f>
        <v>3.8663467355577699</v>
      </c>
      <c r="F175" s="772">
        <f>SUMIFS('POSF Emiss by Zone'!$FP75:$IO75,'POSF Emiss by Zone'!$FP$19:$IO$19,'Inventory Figures'!F$117,'POSF Emiss by Zone'!$FP$20:$IO$20,'Inventory Figures'!F$120)</f>
        <v>23.782540961155384</v>
      </c>
      <c r="G175" s="772">
        <f>SUMIFS('POSF Emiss by Zone'!$FP75:$IO75,'POSF Emiss by Zone'!$FP$19:$IO$19,'Inventory Figures'!G$117,'POSF Emiss by Zone'!$FP$20:$IO$20,'Inventory Figures'!G$120)</f>
        <v>26.356512219561402</v>
      </c>
      <c r="H175" s="772">
        <f>SUMIFS('POSF Emiss by Zone'!$FP75:$IO75,'POSF Emiss by Zone'!$FP$19:$IO$19,'Inventory Figures'!H$117,'POSF Emiss by Zone'!$FP$20:$IO$20,'Inventory Figures'!H$120)</f>
        <v>32.931493165490295</v>
      </c>
      <c r="I175" s="772">
        <f>SUMIFS('POSF Emiss by Zone'!$FP75:$IO75,'POSF Emiss by Zone'!$FP$19:$IO$19,'Inventory Figures'!I$117,'POSF Emiss by Zone'!$FP$20:$IO$20,'Inventory Figures'!I$120)</f>
        <v>1.6037364560950662</v>
      </c>
      <c r="J175" s="772">
        <f>SUMIFS('POSF Emiss by Zone'!$FP75:$IO75,'POSF Emiss by Zone'!$FP$19:$IO$19,'Inventory Figures'!J$117,'POSF Emiss by Zone'!$FP$20:$IO$20,'Inventory Figures'!J$120)</f>
        <v>20.491029496950127</v>
      </c>
    </row>
    <row r="176" spans="2:10" x14ac:dyDescent="0.2">
      <c r="B176" s="772">
        <v>2013</v>
      </c>
      <c r="C176" s="772">
        <f>SUMIFS('POSF Emiss by Zone'!$FP76:$IO76,'POSF Emiss by Zone'!$FP$19:$IO$19,'Inventory Figures'!C$117,'POSF Emiss by Zone'!$FP$20:$IO$20,'Inventory Figures'!C$120)</f>
        <v>1.760367375</v>
      </c>
      <c r="D176" s="772">
        <f>SUMIFS('POSF Emiss by Zone'!$FP76:$IO76,'POSF Emiss by Zone'!$FP$19:$IO$19,'Inventory Figures'!D$117,'POSF Emiss by Zone'!$FP$20:$IO$20,'Inventory Figures'!D$120)</f>
        <v>1.7645339249999998</v>
      </c>
      <c r="E176" s="772">
        <f>SUMIFS('POSF Emiss by Zone'!$FP76:$IO76,'POSF Emiss by Zone'!$FP$19:$IO$19,'Inventory Figures'!E$117,'POSF Emiss by Zone'!$FP$20:$IO$20,'Inventory Figures'!E$120)</f>
        <v>4.2991605328685258</v>
      </c>
      <c r="F176" s="772">
        <f>SUMIFS('POSF Emiss by Zone'!$FP76:$IO76,'POSF Emiss by Zone'!$FP$19:$IO$19,'Inventory Figures'!F$117,'POSF Emiss by Zone'!$FP$20:$IO$20,'Inventory Figures'!F$120)</f>
        <v>25.817471115537845</v>
      </c>
      <c r="G176" s="772">
        <f>SUMIFS('POSF Emiss by Zone'!$FP76:$IO76,'POSF Emiss by Zone'!$FP$19:$IO$19,'Inventory Figures'!G$117,'POSF Emiss by Zone'!$FP$20:$IO$20,'Inventory Figures'!G$120)</f>
        <v>33.647550806887402</v>
      </c>
      <c r="H176" s="772">
        <f>SUMIFS('POSF Emiss by Zone'!$FP76:$IO76,'POSF Emiss by Zone'!$FP$19:$IO$19,'Inventory Figures'!H$117,'POSF Emiss by Zone'!$FP$20:$IO$20,'Inventory Figures'!H$120)</f>
        <v>41.979280432144392</v>
      </c>
      <c r="I176" s="772">
        <f>SUMIFS('POSF Emiss by Zone'!$FP76:$IO76,'POSF Emiss by Zone'!$FP$19:$IO$19,'Inventory Figures'!I$117,'POSF Emiss by Zone'!$FP$20:$IO$20,'Inventory Figures'!I$120)</f>
        <v>1.794022008000332</v>
      </c>
      <c r="J176" s="772">
        <f>SUMIFS('POSF Emiss by Zone'!$FP76:$IO76,'POSF Emiss by Zone'!$FP$19:$IO$19,'Inventory Figures'!J$117,'POSF Emiss by Zone'!$FP$20:$IO$20,'Inventory Figures'!J$120)</f>
        <v>22.546037529852502</v>
      </c>
    </row>
    <row r="177" spans="2:27" x14ac:dyDescent="0.2">
      <c r="B177" s="772">
        <v>2014</v>
      </c>
      <c r="C177" s="772">
        <f>SUMIFS('POSF Emiss by Zone'!$FP77:$IO77,'POSF Emiss by Zone'!$FP$19:$IO$19,'Inventory Figures'!C$117,'POSF Emiss by Zone'!$FP$20:$IO$20,'Inventory Figures'!C$120)</f>
        <v>1.9950830249999996</v>
      </c>
      <c r="D177" s="772">
        <f>SUMIFS('POSF Emiss by Zone'!$FP77:$IO77,'POSF Emiss by Zone'!$FP$19:$IO$19,'Inventory Figures'!D$117,'POSF Emiss by Zone'!$FP$20:$IO$20,'Inventory Figures'!D$120)</f>
        <v>1.9998051149999996</v>
      </c>
      <c r="E177" s="772">
        <f>SUMIFS('POSF Emiss by Zone'!$FP77:$IO77,'POSF Emiss by Zone'!$FP$19:$IO$19,'Inventory Figures'!E$117,'POSF Emiss by Zone'!$FP$20:$IO$20,'Inventory Figures'!E$120)</f>
        <v>4.9199443276892421</v>
      </c>
      <c r="F177" s="772">
        <f>SUMIFS('POSF Emiss by Zone'!$FP77:$IO77,'POSF Emiss by Zone'!$FP$19:$IO$19,'Inventory Figures'!F$117,'POSF Emiss by Zone'!$FP$20:$IO$20,'Inventory Figures'!F$120)</f>
        <v>29.736550239043815</v>
      </c>
      <c r="G177" s="772">
        <f>SUMIFS('POSF Emiss by Zone'!$FP77:$IO77,'POSF Emiss by Zone'!$FP$19:$IO$19,'Inventory Figures'!G$117,'POSF Emiss by Zone'!$FP$20:$IO$20,'Inventory Figures'!G$120)</f>
        <v>33.297441885851256</v>
      </c>
      <c r="H177" s="772">
        <f>SUMIFS('POSF Emiss by Zone'!$FP77:$IO77,'POSF Emiss by Zone'!$FP$19:$IO$19,'Inventory Figures'!H$117,'POSF Emiss by Zone'!$FP$20:$IO$20,'Inventory Figures'!H$120)</f>
        <v>41.609059102661391</v>
      </c>
      <c r="I177" s="772">
        <f>SUMIFS('POSF Emiss by Zone'!$FP77:$IO77,'POSF Emiss by Zone'!$FP$19:$IO$19,'Inventory Figures'!I$117,'POSF Emiss by Zone'!$FP$20:$IO$20,'Inventory Figures'!I$120)</f>
        <v>2.1160878739176638</v>
      </c>
      <c r="J177" s="772">
        <f>SUMIFS('POSF Emiss by Zone'!$FP77:$IO77,'POSF Emiss by Zone'!$FP$19:$IO$19,'Inventory Figures'!J$117,'POSF Emiss by Zone'!$FP$20:$IO$20,'Inventory Figures'!J$120)</f>
        <v>26.271184487654946</v>
      </c>
    </row>
    <row r="178" spans="2:27" x14ac:dyDescent="0.2">
      <c r="B178" s="772">
        <v>2015</v>
      </c>
      <c r="C178" s="772">
        <f>SUMIFS('POSF Emiss by Zone'!$FP78:$IO78,'POSF Emiss by Zone'!$FP$19:$IO$19,'Inventory Figures'!C$117,'POSF Emiss by Zone'!$FP$20:$IO$20,'Inventory Figures'!C$120)</f>
        <v>1.9950830249999996</v>
      </c>
      <c r="D178" s="772">
        <f>SUMIFS('POSF Emiss by Zone'!$FP78:$IO78,'POSF Emiss by Zone'!$FP$19:$IO$19,'Inventory Figures'!D$117,'POSF Emiss by Zone'!$FP$20:$IO$20,'Inventory Figures'!D$120)</f>
        <v>1.9998051149999996</v>
      </c>
      <c r="E178" s="772">
        <f>SUMIFS('POSF Emiss by Zone'!$FP78:$IO78,'POSF Emiss by Zone'!$FP$19:$IO$19,'Inventory Figures'!E$117,'POSF Emiss by Zone'!$FP$20:$IO$20,'Inventory Figures'!E$120)</f>
        <v>5.1663165338645411</v>
      </c>
      <c r="F178" s="772">
        <f>SUMIFS('POSF Emiss by Zone'!$FP78:$IO78,'POSF Emiss by Zone'!$FP$19:$IO$19,'Inventory Figures'!F$117,'POSF Emiss by Zone'!$FP$20:$IO$20,'Inventory Figures'!F$120)</f>
        <v>32.206103595617513</v>
      </c>
      <c r="G178" s="772">
        <f>SUMIFS('POSF Emiss by Zone'!$FP78:$IO78,'POSF Emiss by Zone'!$FP$19:$IO$19,'Inventory Figures'!G$117,'POSF Emiss by Zone'!$FP$20:$IO$20,'Inventory Figures'!G$120)</f>
        <v>32.941462172499619</v>
      </c>
      <c r="H178" s="772">
        <f>SUMIFS('POSF Emiss by Zone'!$FP78:$IO78,'POSF Emiss by Zone'!$FP$19:$IO$19,'Inventory Figures'!H$117,'POSF Emiss by Zone'!$FP$20:$IO$20,'Inventory Figures'!H$120)</f>
        <v>41.164642594056815</v>
      </c>
      <c r="I178" s="772">
        <f>SUMIFS('POSF Emiss by Zone'!$FP78:$IO78,'POSF Emiss by Zone'!$FP$19:$IO$19,'Inventory Figures'!I$117,'POSF Emiss by Zone'!$FP$20:$IO$20,'Inventory Figures'!I$120)</f>
        <v>2.1217395648104262</v>
      </c>
      <c r="J178" s="772">
        <f>SUMIFS('POSF Emiss by Zone'!$FP78:$IO78,'POSF Emiss by Zone'!$FP$19:$IO$19,'Inventory Figures'!J$117,'POSF Emiss by Zone'!$FP$20:$IO$20,'Inventory Figures'!J$120)</f>
        <v>26.047698418907739</v>
      </c>
    </row>
    <row r="179" spans="2:27" x14ac:dyDescent="0.2">
      <c r="B179" s="772">
        <v>2016</v>
      </c>
      <c r="C179" s="772">
        <f>SUMIFS('POSF Emiss by Zone'!$FP79:$IO79,'POSF Emiss by Zone'!$FP$19:$IO$19,'Inventory Figures'!C$117,'POSF Emiss by Zone'!$FP$20:$IO$20,'Inventory Figures'!C$120)</f>
        <v>1.3300553499999999</v>
      </c>
      <c r="D179" s="772">
        <f>SUMIFS('POSF Emiss by Zone'!$FP79:$IO79,'POSF Emiss by Zone'!$FP$19:$IO$19,'Inventory Figures'!D$117,'POSF Emiss by Zone'!$FP$20:$IO$20,'Inventory Figures'!D$120)</f>
        <v>1.7998246034999994</v>
      </c>
      <c r="E179" s="772">
        <f>SUMIFS('POSF Emiss by Zone'!$FP79:$IO79,'POSF Emiss by Zone'!$FP$19:$IO$19,'Inventory Figures'!E$117,'POSF Emiss by Zone'!$FP$20:$IO$20,'Inventory Figures'!E$120)</f>
        <v>4.2822164172476755</v>
      </c>
      <c r="F179" s="772">
        <f>SUMIFS('POSF Emiss by Zone'!$FP79:$IO79,'POSF Emiss by Zone'!$FP$19:$IO$19,'Inventory Figures'!F$117,'POSF Emiss by Zone'!$FP$20:$IO$20,'Inventory Figures'!F$120)</f>
        <v>30.036260640687239</v>
      </c>
      <c r="G179" s="772">
        <f>SUMIFS('POSF Emiss by Zone'!$FP79:$IO79,'POSF Emiss by Zone'!$FP$19:$IO$19,'Inventory Figures'!G$117,'POSF Emiss by Zone'!$FP$20:$IO$20,'Inventory Figures'!G$120)</f>
        <v>3.3739839713614876E-2</v>
      </c>
      <c r="H179" s="772">
        <f>SUMIFS('POSF Emiss by Zone'!$FP79:$IO79,'POSF Emiss by Zone'!$FP$19:$IO$19,'Inventory Figures'!H$117,'POSF Emiss by Zone'!$FP$20:$IO$20,'Inventory Figures'!H$120)</f>
        <v>41.094911619248172</v>
      </c>
      <c r="I179" s="772">
        <f>SUMIFS('POSF Emiss by Zone'!$FP79:$IO79,'POSF Emiss by Zone'!$FP$19:$IO$19,'Inventory Figures'!I$117,'POSF Emiss by Zone'!$FP$20:$IO$20,'Inventory Figures'!I$120)</f>
        <v>1.7931427121643473</v>
      </c>
      <c r="J179" s="772">
        <f>SUMIFS('POSF Emiss by Zone'!$FP79:$IO79,'POSF Emiss by Zone'!$FP$19:$IO$19,'Inventory Figures'!J$117,'POSF Emiss by Zone'!$FP$20:$IO$20,'Inventory Figures'!J$120)</f>
        <v>22.341765303885232</v>
      </c>
      <c r="O179" s="1131" t="s">
        <v>392</v>
      </c>
      <c r="P179" s="1131"/>
      <c r="Q179" s="1131" t="s">
        <v>40</v>
      </c>
      <c r="R179" s="1131"/>
      <c r="S179" s="1131" t="s">
        <v>1197</v>
      </c>
      <c r="T179" s="1131"/>
      <c r="U179" s="1131" t="s">
        <v>401</v>
      </c>
      <c r="V179" s="1131"/>
      <c r="W179" s="1131" t="s">
        <v>1894</v>
      </c>
      <c r="X179" s="1131"/>
      <c r="Y179" s="1131" t="s">
        <v>1895</v>
      </c>
      <c r="Z179" s="1131"/>
    </row>
    <row r="180" spans="2:27" x14ac:dyDescent="0.2">
      <c r="B180" s="772">
        <v>2017</v>
      </c>
      <c r="C180" s="772">
        <f>SUMIFS('POSF Emiss by Zone'!$FP80:$IO80,'POSF Emiss by Zone'!$FP$19:$IO$19,'Inventory Figures'!C$117,'POSF Emiss by Zone'!$FP$20:$IO$20,'Inventory Figures'!C$120)</f>
        <v>0.66502767500000004</v>
      </c>
      <c r="D180" s="772">
        <f>SUMIFS('POSF Emiss by Zone'!$FP80:$IO80,'POSF Emiss by Zone'!$FP$19:$IO$19,'Inventory Figures'!D$117,'POSF Emiss by Zone'!$FP$20:$IO$20,'Inventory Figures'!D$120)</f>
        <v>1.5998440919999999</v>
      </c>
      <c r="E180" s="772">
        <f>SUMIFS('POSF Emiss by Zone'!$FP80:$IO80,'POSF Emiss by Zone'!$FP$19:$IO$19,'Inventory Figures'!E$117,'POSF Emiss by Zone'!$FP$20:$IO$20,'Inventory Figures'!E$120)</f>
        <v>2.725380786437583</v>
      </c>
      <c r="F180" s="772">
        <f>SUMIFS('POSF Emiss by Zone'!$FP80:$IO80,'POSF Emiss by Zone'!$FP$19:$IO$19,'Inventory Figures'!F$117,'POSF Emiss by Zone'!$FP$20:$IO$20,'Inventory Figures'!F$120)</f>
        <v>25.805371205926285</v>
      </c>
      <c r="G180" s="772">
        <f>SUMIFS('POSF Emiss by Zone'!$FP80:$IO80,'POSF Emiss by Zone'!$FP$19:$IO$19,'Inventory Figures'!G$117,'POSF Emiss by Zone'!$FP$20:$IO$20,'Inventory Figures'!G$120)</f>
        <v>1.6869955589715806E-2</v>
      </c>
      <c r="H180" s="772">
        <f>SUMIFS('POSF Emiss by Zone'!$FP80:$IO80,'POSF Emiss by Zone'!$FP$19:$IO$19,'Inventory Figures'!H$117,'POSF Emiss by Zone'!$FP$20:$IO$20,'Inventory Figures'!H$120)</f>
        <v>41.025182015938235</v>
      </c>
      <c r="I180" s="772">
        <f>SUMIFS('POSF Emiss by Zone'!$FP80:$IO80,'POSF Emiss by Zone'!$FP$19:$IO$19,'Inventory Figures'!I$117,'POSF Emiss by Zone'!$FP$20:$IO$20,'Inventory Figures'!I$120)</f>
        <v>0.89657325514881914</v>
      </c>
      <c r="J180" s="772">
        <f>SUMIFS('POSF Emiss by Zone'!$FP80:$IO80,'POSF Emiss by Zone'!$FP$19:$IO$19,'Inventory Figures'!J$117,'POSF Emiss by Zone'!$FP$20:$IO$20,'Inventory Figures'!J$120)</f>
        <v>18.635905078743939</v>
      </c>
      <c r="N180" s="686" t="s">
        <v>1</v>
      </c>
      <c r="O180" s="686" t="s">
        <v>44</v>
      </c>
      <c r="P180" s="686" t="s">
        <v>45</v>
      </c>
      <c r="Q180" s="686" t="s">
        <v>44</v>
      </c>
      <c r="R180" s="686" t="s">
        <v>45</v>
      </c>
      <c r="S180" s="686" t="s">
        <v>44</v>
      </c>
      <c r="T180" s="686" t="s">
        <v>45</v>
      </c>
      <c r="U180" s="686" t="s">
        <v>44</v>
      </c>
      <c r="V180" s="686" t="s">
        <v>45</v>
      </c>
      <c r="W180" s="686" t="s">
        <v>44</v>
      </c>
      <c r="X180" s="686" t="s">
        <v>45</v>
      </c>
      <c r="Y180" s="686" t="s">
        <v>44</v>
      </c>
      <c r="Z180" s="686" t="s">
        <v>45</v>
      </c>
    </row>
    <row r="181" spans="2:27" x14ac:dyDescent="0.2">
      <c r="B181" s="772">
        <v>2018</v>
      </c>
      <c r="C181" s="772">
        <f>SUMIFS('POSF Emiss by Zone'!$FP81:$IO81,'POSF Emiss by Zone'!$FP$19:$IO$19,'Inventory Figures'!C$117,'POSF Emiss by Zone'!$FP$20:$IO$20,'Inventory Figures'!C$120)</f>
        <v>0</v>
      </c>
      <c r="D181" s="772">
        <f>SUMIFS('POSF Emiss by Zone'!$FP81:$IO81,'POSF Emiss by Zone'!$FP$19:$IO$19,'Inventory Figures'!D$117,'POSF Emiss by Zone'!$FP$20:$IO$20,'Inventory Figures'!D$120)</f>
        <v>1.3998635804999999</v>
      </c>
      <c r="E181" s="772">
        <f>SUMIFS('POSF Emiss by Zone'!$FP81:$IO81,'POSF Emiss by Zone'!$FP$19:$IO$19,'Inventory Figures'!E$117,'POSF Emiss by Zone'!$FP$20:$IO$20,'Inventory Figures'!E$120)</f>
        <v>0.66731076568725112</v>
      </c>
      <c r="F181" s="772">
        <f>SUMIFS('POSF Emiss by Zone'!$FP81:$IO81,'POSF Emiss by Zone'!$FP$19:$IO$19,'Inventory Figures'!F$117,'POSF Emiss by Zone'!$FP$20:$IO$20,'Inventory Figures'!F$120)</f>
        <v>21.574481771165338</v>
      </c>
      <c r="G181" s="772">
        <f>SUMIFS('POSF Emiss by Zone'!$FP81:$IO81,'POSF Emiss by Zone'!$FP$19:$IO$19,'Inventory Figures'!G$117,'POSF Emiss by Zone'!$FP$20:$IO$20,'Inventory Figures'!G$120)</f>
        <v>0</v>
      </c>
      <c r="H181" s="772">
        <f>SUMIFS('POSF Emiss by Zone'!$FP81:$IO81,'POSF Emiss by Zone'!$FP$19:$IO$19,'Inventory Figures'!H$117,'POSF Emiss by Zone'!$FP$20:$IO$20,'Inventory Figures'!H$120)</f>
        <v>40.955408237820322</v>
      </c>
      <c r="I181" s="772">
        <f>SUMIFS('POSF Emiss by Zone'!$FP81:$IO81,'POSF Emiss by Zone'!$FP$19:$IO$19,'Inventory Figures'!I$117,'POSF Emiss by Zone'!$FP$20:$IO$20,'Inventory Figures'!I$120)</f>
        <v>0</v>
      </c>
      <c r="J181" s="772">
        <f>SUMIFS('POSF Emiss by Zone'!$FP81:$IO81,'POSF Emiss by Zone'!$FP$19:$IO$19,'Inventory Figures'!J$117,'POSF Emiss by Zone'!$FP$20:$IO$20,'Inventory Figures'!J$120)</f>
        <v>14.927697132462232</v>
      </c>
      <c r="N181" s="686" t="s">
        <v>1654</v>
      </c>
      <c r="O181" s="346">
        <f>SUM(C166:C178)</f>
        <v>24.471187324999999</v>
      </c>
      <c r="P181" s="346">
        <f t="shared" ref="P181:V181" si="4">SUM(D166:D178)</f>
        <v>25.169845854999998</v>
      </c>
      <c r="Q181" s="346">
        <f t="shared" si="4"/>
        <v>74.493767908055275</v>
      </c>
      <c r="R181" s="346">
        <f t="shared" si="4"/>
        <v>654.59031458652873</v>
      </c>
      <c r="S181" s="346">
        <f t="shared" si="4"/>
        <v>349.91218814638228</v>
      </c>
      <c r="T181" s="346">
        <f t="shared" si="4"/>
        <v>441.81300914773408</v>
      </c>
      <c r="U181" s="346">
        <f t="shared" si="4"/>
        <v>18.259753274353944</v>
      </c>
      <c r="V181" s="346">
        <f t="shared" si="4"/>
        <v>513.32874157135461</v>
      </c>
      <c r="W181" s="346">
        <f t="shared" ref="W181:X183" si="5">SUM(O181,Q181)</f>
        <v>98.964955233055278</v>
      </c>
      <c r="X181" s="346">
        <f t="shared" si="5"/>
        <v>679.76016044152868</v>
      </c>
      <c r="Y181" s="346">
        <f t="shared" ref="Y181:Z183" si="6">SUM(S181,U181)</f>
        <v>368.17194142073623</v>
      </c>
      <c r="Z181" s="346">
        <f t="shared" si="6"/>
        <v>955.14175071908869</v>
      </c>
    </row>
    <row r="182" spans="2:27" x14ac:dyDescent="0.2">
      <c r="B182" s="772">
        <v>2019</v>
      </c>
      <c r="C182" s="772">
        <f>SUMIFS('POSF Emiss by Zone'!$FP82:$IO82,'POSF Emiss by Zone'!$FP$19:$IO$19,'Inventory Figures'!C$117,'POSF Emiss by Zone'!$FP$20:$IO$20,'Inventory Figures'!C$120)</f>
        <v>0</v>
      </c>
      <c r="D182" s="772">
        <f>SUMIFS('POSF Emiss by Zone'!$FP82:$IO82,'POSF Emiss by Zone'!$FP$19:$IO$19,'Inventory Figures'!D$117,'POSF Emiss by Zone'!$FP$20:$IO$20,'Inventory Figures'!D$120)</f>
        <v>1.199883069</v>
      </c>
      <c r="E182" s="772">
        <f>SUMIFS('POSF Emiss by Zone'!$FP82:$IO82,'POSF Emiss by Zone'!$FP$19:$IO$19,'Inventory Figures'!E$117,'POSF Emiss by Zone'!$FP$20:$IO$20,'Inventory Figures'!E$120)</f>
        <v>0</v>
      </c>
      <c r="F182" s="772">
        <f>SUMIFS('POSF Emiss by Zone'!$FP82:$IO82,'POSF Emiss by Zone'!$FP$19:$IO$19,'Inventory Figures'!F$117,'POSF Emiss by Zone'!$FP$20:$IO$20,'Inventory Figures'!F$120)</f>
        <v>17.343592336404377</v>
      </c>
      <c r="G182" s="772">
        <f>SUMIFS('POSF Emiss by Zone'!$FP82:$IO82,'POSF Emiss by Zone'!$FP$19:$IO$19,'Inventory Figures'!G$117,'POSF Emiss by Zone'!$FP$20:$IO$20,'Inventory Figures'!G$120)</f>
        <v>0</v>
      </c>
      <c r="H182" s="772">
        <f>SUMIFS('POSF Emiss by Zone'!$FP82:$IO82,'POSF Emiss by Zone'!$FP$19:$IO$19,'Inventory Figures'!H$117,'POSF Emiss by Zone'!$FP$20:$IO$20,'Inventory Figures'!H$120)</f>
        <v>40.894741872203042</v>
      </c>
      <c r="I182" s="772">
        <f>SUMIFS('POSF Emiss by Zone'!$FP82:$IO82,'POSF Emiss by Zone'!$FP$19:$IO$19,'Inventory Figures'!I$117,'POSF Emiss by Zone'!$FP$20:$IO$20,'Inventory Figures'!I$120)</f>
        <v>0</v>
      </c>
      <c r="J182" s="772">
        <f>SUMIFS('POSF Emiss by Zone'!$FP82:$IO82,'POSF Emiss by Zone'!$FP$19:$IO$19,'Inventory Figures'!J$117,'POSF Emiss by Zone'!$FP$20:$IO$20,'Inventory Figures'!J$120)</f>
        <v>11.703513132078989</v>
      </c>
      <c r="N182" s="686" t="s">
        <v>1893</v>
      </c>
      <c r="O182" s="346">
        <f>SUM(C166:C193)</f>
        <v>26.466270349999999</v>
      </c>
      <c r="P182" s="346">
        <f t="shared" ref="P182:V182" si="7">SUM(D166:D193)</f>
        <v>34.168968872499995</v>
      </c>
      <c r="Q182" s="346">
        <f t="shared" si="7"/>
        <v>82.168675877427788</v>
      </c>
      <c r="R182" s="346">
        <f t="shared" si="7"/>
        <v>777.64391001531362</v>
      </c>
      <c r="S182" s="346">
        <f t="shared" si="7"/>
        <v>349.96279794168561</v>
      </c>
      <c r="T182" s="346">
        <f t="shared" si="7"/>
        <v>1053.5094217755609</v>
      </c>
      <c r="U182" s="346">
        <f t="shared" si="7"/>
        <v>20.94946924166711</v>
      </c>
      <c r="V182" s="346">
        <f t="shared" si="7"/>
        <v>597.21944562862484</v>
      </c>
      <c r="W182" s="346">
        <f t="shared" si="5"/>
        <v>108.63494622742779</v>
      </c>
      <c r="X182" s="346">
        <f t="shared" si="5"/>
        <v>811.81287888781367</v>
      </c>
      <c r="Y182" s="346">
        <f t="shared" si="6"/>
        <v>370.9122671833527</v>
      </c>
      <c r="Z182" s="346">
        <f t="shared" si="6"/>
        <v>1650.7288674041856</v>
      </c>
    </row>
    <row r="183" spans="2:27" x14ac:dyDescent="0.2">
      <c r="B183" s="772">
        <v>2020</v>
      </c>
      <c r="C183" s="772">
        <f>SUMIFS('POSF Emiss by Zone'!$FP83:$IO83,'POSF Emiss by Zone'!$FP$19:$IO$19,'Inventory Figures'!C$117,'POSF Emiss by Zone'!$FP$20:$IO$20,'Inventory Figures'!C$120)</f>
        <v>0</v>
      </c>
      <c r="D183" s="772">
        <f>SUMIFS('POSF Emiss by Zone'!$FP83:$IO83,'POSF Emiss by Zone'!$FP$19:$IO$19,'Inventory Figures'!D$117,'POSF Emiss by Zone'!$FP$20:$IO$20,'Inventory Figures'!D$120)</f>
        <v>0.99990255749999979</v>
      </c>
      <c r="E183" s="772">
        <f>SUMIFS('POSF Emiss by Zone'!$FP83:$IO83,'POSF Emiss by Zone'!$FP$19:$IO$19,'Inventory Figures'!E$117,'POSF Emiss by Zone'!$FP$20:$IO$20,'Inventory Figures'!E$120)</f>
        <v>0</v>
      </c>
      <c r="F183" s="772">
        <f>SUMIFS('POSF Emiss by Zone'!$FP83:$IO83,'POSF Emiss by Zone'!$FP$19:$IO$19,'Inventory Figures'!F$117,'POSF Emiss by Zone'!$FP$20:$IO$20,'Inventory Figures'!F$120)</f>
        <v>13.11270290164342</v>
      </c>
      <c r="G183" s="772">
        <f>SUMIFS('POSF Emiss by Zone'!$FP83:$IO83,'POSF Emiss by Zone'!$FP$19:$IO$19,'Inventory Figures'!G$117,'POSF Emiss by Zone'!$FP$20:$IO$20,'Inventory Figures'!G$120)</f>
        <v>0</v>
      </c>
      <c r="H183" s="772">
        <f>SUMIFS('POSF Emiss by Zone'!$FP83:$IO83,'POSF Emiss by Zone'!$FP$19:$IO$19,'Inventory Figures'!H$117,'POSF Emiss by Zone'!$FP$20:$IO$20,'Inventory Figures'!H$120)</f>
        <v>40.834075506585762</v>
      </c>
      <c r="I183" s="772">
        <f>SUMIFS('POSF Emiss by Zone'!$FP83:$IO83,'POSF Emiss by Zone'!$FP$19:$IO$19,'Inventory Figures'!I$117,'POSF Emiss by Zone'!$FP$20:$IO$20,'Inventory Figures'!I$120)</f>
        <v>0</v>
      </c>
      <c r="J183" s="772">
        <f>SUMIFS('POSF Emiss by Zone'!$FP83:$IO83,'POSF Emiss by Zone'!$FP$19:$IO$19,'Inventory Figures'!J$117,'POSF Emiss by Zone'!$FP$20:$IO$20,'Inventory Figures'!J$120)</f>
        <v>8.4793291316957493</v>
      </c>
      <c r="N183" s="863" t="s">
        <v>1814</v>
      </c>
      <c r="O183" s="346">
        <f>SUM(C121:C165)</f>
        <v>651.52861198749986</v>
      </c>
      <c r="P183" s="346">
        <f t="shared" ref="P183:V183" si="8">SUM(D121:D165)</f>
        <v>653.07069154250007</v>
      </c>
      <c r="Q183" s="346">
        <f t="shared" si="8"/>
        <v>980.68431295984817</v>
      </c>
      <c r="R183" s="346">
        <f t="shared" si="8"/>
        <v>3389.8310915688498</v>
      </c>
      <c r="S183" s="346">
        <f t="shared" si="8"/>
        <v>119.74357865731898</v>
      </c>
      <c r="T183" s="346">
        <f t="shared" si="8"/>
        <v>279.54235241002482</v>
      </c>
      <c r="U183" s="346">
        <f t="shared" si="8"/>
        <v>308.21344225551996</v>
      </c>
      <c r="V183" s="346">
        <f t="shared" si="8"/>
        <v>7370.2451904080945</v>
      </c>
      <c r="W183" s="346">
        <f t="shared" si="5"/>
        <v>1632.212924947348</v>
      </c>
      <c r="X183" s="346">
        <f t="shared" si="5"/>
        <v>4042.9017831113497</v>
      </c>
      <c r="Y183" s="346">
        <f t="shared" si="6"/>
        <v>427.95702091283897</v>
      </c>
      <c r="Z183" s="346">
        <f t="shared" si="6"/>
        <v>7649.7875428181196</v>
      </c>
    </row>
    <row r="184" spans="2:27" x14ac:dyDescent="0.2">
      <c r="B184" s="772">
        <v>2021</v>
      </c>
      <c r="C184" s="772">
        <f>SUMIFS('POSF Emiss by Zone'!$FP84:$IO84,'POSF Emiss by Zone'!$FP$19:$IO$19,'Inventory Figures'!C$117,'POSF Emiss by Zone'!$FP$20:$IO$20,'Inventory Figures'!C$120)</f>
        <v>0</v>
      </c>
      <c r="D184" s="772">
        <f>SUMIFS('POSF Emiss by Zone'!$FP84:$IO84,'POSF Emiss by Zone'!$FP$19:$IO$19,'Inventory Figures'!D$117,'POSF Emiss by Zone'!$FP$20:$IO$20,'Inventory Figures'!D$120)</f>
        <v>0.79992204599999994</v>
      </c>
      <c r="E184" s="772">
        <f>SUMIFS('POSF Emiss by Zone'!$FP84:$IO84,'POSF Emiss by Zone'!$FP$19:$IO$19,'Inventory Figures'!E$117,'POSF Emiss by Zone'!$FP$20:$IO$20,'Inventory Figures'!E$120)</f>
        <v>0</v>
      </c>
      <c r="F184" s="772">
        <f>SUMIFS('POSF Emiss by Zone'!$FP84:$IO84,'POSF Emiss by Zone'!$FP$19:$IO$19,'Inventory Figures'!F$117,'POSF Emiss by Zone'!$FP$20:$IO$20,'Inventory Figures'!F$120)</f>
        <v>8.881813466882468</v>
      </c>
      <c r="G184" s="772">
        <f>SUMIFS('POSF Emiss by Zone'!$FP84:$IO84,'POSF Emiss by Zone'!$FP$19:$IO$19,'Inventory Figures'!G$117,'POSF Emiss by Zone'!$FP$20:$IO$20,'Inventory Figures'!G$120)</f>
        <v>0</v>
      </c>
      <c r="H184" s="772">
        <f>SUMIFS('POSF Emiss by Zone'!$FP84:$IO84,'POSF Emiss by Zone'!$FP$19:$IO$19,'Inventory Figures'!H$117,'POSF Emiss by Zone'!$FP$20:$IO$20,'Inventory Figures'!H$120)</f>
        <v>40.773409140968468</v>
      </c>
      <c r="I184" s="772">
        <f>SUMIFS('POSF Emiss by Zone'!$FP84:$IO84,'POSF Emiss by Zone'!$FP$19:$IO$19,'Inventory Figures'!I$117,'POSF Emiss by Zone'!$FP$20:$IO$20,'Inventory Figures'!I$120)</f>
        <v>0</v>
      </c>
      <c r="J184" s="772">
        <f>SUMIFS('POSF Emiss by Zone'!$FP84:$IO84,'POSF Emiss by Zone'!$FP$19:$IO$19,'Inventory Figures'!J$117,'POSF Emiss by Zone'!$FP$20:$IO$20,'Inventory Figures'!J$120)</f>
        <v>5.2551451313125144</v>
      </c>
    </row>
    <row r="185" spans="2:27" x14ac:dyDescent="0.2">
      <c r="B185" s="772">
        <v>2022</v>
      </c>
      <c r="C185" s="772">
        <f>SUMIFS('POSF Emiss by Zone'!$FP85:$IO85,'POSF Emiss by Zone'!$FP$19:$IO$19,'Inventory Figures'!C$117,'POSF Emiss by Zone'!$FP$20:$IO$20,'Inventory Figures'!C$120)</f>
        <v>0</v>
      </c>
      <c r="D185" s="772">
        <f>SUMIFS('POSF Emiss by Zone'!$FP85:$IO85,'POSF Emiss by Zone'!$FP$19:$IO$19,'Inventory Figures'!D$117,'POSF Emiss by Zone'!$FP$20:$IO$20,'Inventory Figures'!D$120)</f>
        <v>0.59994153449999998</v>
      </c>
      <c r="E185" s="772">
        <f>SUMIFS('POSF Emiss by Zone'!$FP85:$IO85,'POSF Emiss by Zone'!$FP$19:$IO$19,'Inventory Figures'!E$117,'POSF Emiss by Zone'!$FP$20:$IO$20,'Inventory Figures'!E$120)</f>
        <v>0</v>
      </c>
      <c r="F185" s="772">
        <f>SUMIFS('POSF Emiss by Zone'!$FP85:$IO85,'POSF Emiss by Zone'!$FP$19:$IO$19,'Inventory Figures'!F$117,'POSF Emiss by Zone'!$FP$20:$IO$20,'Inventory Figures'!F$120)</f>
        <v>4.6509240321215124</v>
      </c>
      <c r="G185" s="772">
        <f>SUMIFS('POSF Emiss by Zone'!$FP85:$IO85,'POSF Emiss by Zone'!$FP$19:$IO$19,'Inventory Figures'!G$117,'POSF Emiss by Zone'!$FP$20:$IO$20,'Inventory Figures'!G$120)</f>
        <v>0</v>
      </c>
      <c r="H185" s="772">
        <f>SUMIFS('POSF Emiss by Zone'!$FP85:$IO85,'POSF Emiss by Zone'!$FP$19:$IO$19,'Inventory Figures'!H$117,'POSF Emiss by Zone'!$FP$20:$IO$20,'Inventory Figures'!H$120)</f>
        <v>40.712742775351188</v>
      </c>
      <c r="I185" s="772">
        <f>SUMIFS('POSF Emiss by Zone'!$FP85:$IO85,'POSF Emiss by Zone'!$FP$19:$IO$19,'Inventory Figures'!I$117,'POSF Emiss by Zone'!$FP$20:$IO$20,'Inventory Figures'!I$120)</f>
        <v>0</v>
      </c>
      <c r="J185" s="772">
        <f>SUMIFS('POSF Emiss by Zone'!$FP85:$IO85,'POSF Emiss by Zone'!$FP$19:$IO$19,'Inventory Figures'!J$117,'POSF Emiss by Zone'!$FP$20:$IO$20,'Inventory Figures'!J$120)</f>
        <v>2.0309611309292737</v>
      </c>
    </row>
    <row r="186" spans="2:27" x14ac:dyDescent="0.2">
      <c r="B186" s="772">
        <v>2023</v>
      </c>
      <c r="C186" s="772">
        <f>SUMIFS('POSF Emiss by Zone'!$FP86:$IO86,'POSF Emiss by Zone'!$FP$19:$IO$19,'Inventory Figures'!C$117,'POSF Emiss by Zone'!$FP$20:$IO$20,'Inventory Figures'!C$120)</f>
        <v>0</v>
      </c>
      <c r="D186" s="772">
        <f>SUMIFS('POSF Emiss by Zone'!$FP86:$IO86,'POSF Emiss by Zone'!$FP$19:$IO$19,'Inventory Figures'!D$117,'POSF Emiss by Zone'!$FP$20:$IO$20,'Inventory Figures'!D$120)</f>
        <v>0.39996102299999997</v>
      </c>
      <c r="E186" s="772">
        <f>SUMIFS('POSF Emiss by Zone'!$FP86:$IO86,'POSF Emiss by Zone'!$FP$19:$IO$19,'Inventory Figures'!E$117,'POSF Emiss by Zone'!$FP$20:$IO$20,'Inventory Figures'!E$120)</f>
        <v>0</v>
      </c>
      <c r="F186" s="772">
        <f>SUMIFS('POSF Emiss by Zone'!$FP86:$IO86,'POSF Emiss by Zone'!$FP$19:$IO$19,'Inventory Figures'!F$117,'POSF Emiss by Zone'!$FP$20:$IO$20,'Inventory Figures'!F$120)</f>
        <v>1.4309008359063733</v>
      </c>
      <c r="G186" s="772">
        <f>SUMIFS('POSF Emiss by Zone'!$FP86:$IO86,'POSF Emiss by Zone'!$FP$19:$IO$19,'Inventory Figures'!G$117,'POSF Emiss by Zone'!$FP$20:$IO$20,'Inventory Figures'!G$120)</f>
        <v>0</v>
      </c>
      <c r="H186" s="772">
        <f>SUMIFS('POSF Emiss by Zone'!$FP86:$IO86,'POSF Emiss by Zone'!$FP$19:$IO$19,'Inventory Figures'!H$117,'POSF Emiss by Zone'!$FP$20:$IO$20,'Inventory Figures'!H$120)</f>
        <v>40.68100571948878</v>
      </c>
      <c r="I186" s="772">
        <f>SUMIFS('POSF Emiss by Zone'!$FP86:$IO86,'POSF Emiss by Zone'!$FP$19:$IO$19,'Inventory Figures'!I$117,'POSF Emiss by Zone'!$FP$20:$IO$20,'Inventory Figures'!I$120)</f>
        <v>0</v>
      </c>
      <c r="J186" s="772">
        <f>SUMIFS('POSF Emiss by Zone'!$FP86:$IO86,'POSF Emiss by Zone'!$FP$19:$IO$19,'Inventory Figures'!J$117,'POSF Emiss by Zone'!$FP$20:$IO$20,'Inventory Figures'!J$120)</f>
        <v>0.34425867744152994</v>
      </c>
      <c r="N186" s="341" t="s">
        <v>1901</v>
      </c>
    </row>
    <row r="187" spans="2:27" ht="64" customHeight="1" x14ac:dyDescent="0.2">
      <c r="B187" s="772">
        <v>2024</v>
      </c>
      <c r="C187" s="772">
        <f>SUMIFS('POSF Emiss by Zone'!$FP87:$IO87,'POSF Emiss by Zone'!$FP$19:$IO$19,'Inventory Figures'!C$117,'POSF Emiss by Zone'!$FP$20:$IO$20,'Inventory Figures'!C$120)</f>
        <v>0</v>
      </c>
      <c r="D187" s="772">
        <f>SUMIFS('POSF Emiss by Zone'!$FP87:$IO87,'POSF Emiss by Zone'!$FP$19:$IO$19,'Inventory Figures'!D$117,'POSF Emiss by Zone'!$FP$20:$IO$20,'Inventory Figures'!D$120)</f>
        <v>0.19998051149999999</v>
      </c>
      <c r="E187" s="772">
        <f>SUMIFS('POSF Emiss by Zone'!$FP87:$IO87,'POSF Emiss by Zone'!$FP$19:$IO$19,'Inventory Figures'!E$117,'POSF Emiss by Zone'!$FP$20:$IO$20,'Inventory Figures'!E$120)</f>
        <v>0</v>
      </c>
      <c r="F187" s="772">
        <f>SUMIFS('POSF Emiss by Zone'!$FP87:$IO87,'POSF Emiss by Zone'!$FP$19:$IO$19,'Inventory Figures'!F$117,'POSF Emiss by Zone'!$FP$20:$IO$20,'Inventory Figures'!F$120)</f>
        <v>0.21754823804780876</v>
      </c>
      <c r="G187" s="772">
        <f>SUMIFS('POSF Emiss by Zone'!$FP87:$IO87,'POSF Emiss by Zone'!$FP$19:$IO$19,'Inventory Figures'!G$117,'POSF Emiss by Zone'!$FP$20:$IO$20,'Inventory Figures'!G$120)</f>
        <v>0</v>
      </c>
      <c r="H187" s="772">
        <f>SUMIFS('POSF Emiss by Zone'!$FP87:$IO87,'POSF Emiss by Zone'!$FP$19:$IO$19,'Inventory Figures'!H$117,'POSF Emiss by Zone'!$FP$20:$IO$20,'Inventory Figures'!H$120)</f>
        <v>40.677766927473478</v>
      </c>
      <c r="I187" s="772">
        <f>SUMIFS('POSF Emiss by Zone'!$FP87:$IO87,'POSF Emiss by Zone'!$FP$19:$IO$19,'Inventory Figures'!I$117,'POSF Emiss by Zone'!$FP$20:$IO$20,'Inventory Figures'!I$120)</f>
        <v>0</v>
      </c>
      <c r="J187" s="772">
        <f>SUMIFS('POSF Emiss by Zone'!$FP87:$IO87,'POSF Emiss by Zone'!$FP$19:$IO$19,'Inventory Figures'!J$117,'POSF Emiss by Zone'!$FP$20:$IO$20,'Inventory Figures'!J$120)</f>
        <v>0.17212933872076497</v>
      </c>
      <c r="O187" s="861" t="s">
        <v>1897</v>
      </c>
      <c r="P187" s="1145" t="s">
        <v>1898</v>
      </c>
      <c r="Q187" s="1145"/>
      <c r="R187" s="1145" t="s">
        <v>1899</v>
      </c>
      <c r="S187" s="1145"/>
      <c r="T187" s="1146" t="s">
        <v>1900</v>
      </c>
      <c r="U187" s="1147"/>
      <c r="V187" s="1146" t="s">
        <v>1902</v>
      </c>
      <c r="W187" s="1147"/>
      <c r="X187" s="1143" t="s">
        <v>1906</v>
      </c>
      <c r="Y187" s="1144"/>
      <c r="Z187" s="1143" t="s">
        <v>1907</v>
      </c>
      <c r="AA187" s="1144"/>
    </row>
    <row r="188" spans="2:27" x14ac:dyDescent="0.2">
      <c r="B188" s="772">
        <v>2025</v>
      </c>
      <c r="C188" s="772">
        <f>SUMIFS('POSF Emiss by Zone'!$FP88:$IO88,'POSF Emiss by Zone'!$FP$19:$IO$19,'Inventory Figures'!C$117,'POSF Emiss by Zone'!$FP$20:$IO$20,'Inventory Figures'!C$120)</f>
        <v>0</v>
      </c>
      <c r="D188" s="772">
        <f>SUMIFS('POSF Emiss by Zone'!$FP88:$IO88,'POSF Emiss by Zone'!$FP$19:$IO$19,'Inventory Figures'!D$117,'POSF Emiss by Zone'!$FP$20:$IO$20,'Inventory Figures'!D$120)</f>
        <v>0</v>
      </c>
      <c r="E188" s="772">
        <f>SUMIFS('POSF Emiss by Zone'!$FP88:$IO88,'POSF Emiss by Zone'!$FP$19:$IO$19,'Inventory Figures'!E$117,'POSF Emiss by Zone'!$FP$20:$IO$20,'Inventory Figures'!E$120)</f>
        <v>0</v>
      </c>
      <c r="F188" s="772">
        <f>SUMIFS('POSF Emiss by Zone'!$FP88:$IO88,'POSF Emiss by Zone'!$FP$19:$IO$19,'Inventory Figures'!F$117,'POSF Emiss by Zone'!$FP$20:$IO$20,'Inventory Figures'!F$120)</f>
        <v>0</v>
      </c>
      <c r="G188" s="772">
        <f>SUMIFS('POSF Emiss by Zone'!$FP88:$IO88,'POSF Emiss by Zone'!$FP$19:$IO$19,'Inventory Figures'!G$117,'POSF Emiss by Zone'!$FP$20:$IO$20,'Inventory Figures'!G$120)</f>
        <v>0</v>
      </c>
      <c r="H188" s="772">
        <f>SUMIFS('POSF Emiss by Zone'!$FP88:$IO88,'POSF Emiss by Zone'!$FP$19:$IO$19,'Inventory Figures'!H$117,'POSF Emiss by Zone'!$FP$20:$IO$20,'Inventory Figures'!H$120)</f>
        <v>40.674528135458175</v>
      </c>
      <c r="I188" s="772">
        <f>SUMIFS('POSF Emiss by Zone'!$FP88:$IO88,'POSF Emiss by Zone'!$FP$19:$IO$19,'Inventory Figures'!I$117,'POSF Emiss by Zone'!$FP$20:$IO$20,'Inventory Figures'!I$120)</f>
        <v>0</v>
      </c>
      <c r="J188" s="772">
        <f>SUMIFS('POSF Emiss by Zone'!$FP88:$IO88,'POSF Emiss by Zone'!$FP$19:$IO$19,'Inventory Figures'!J$117,'POSF Emiss by Zone'!$FP$20:$IO$20,'Inventory Figures'!J$120)</f>
        <v>0</v>
      </c>
      <c r="N188" s="686" t="s">
        <v>1</v>
      </c>
      <c r="O188" s="346"/>
      <c r="P188" s="346" t="s">
        <v>44</v>
      </c>
      <c r="Q188" s="346" t="s">
        <v>45</v>
      </c>
      <c r="R188" s="346" t="s">
        <v>44</v>
      </c>
      <c r="S188" s="346" t="s">
        <v>45</v>
      </c>
      <c r="T188" s="597" t="s">
        <v>44</v>
      </c>
      <c r="U188" s="597" t="s">
        <v>45</v>
      </c>
      <c r="V188" s="597" t="s">
        <v>44</v>
      </c>
      <c r="W188" s="597" t="s">
        <v>45</v>
      </c>
      <c r="X188" s="597" t="s">
        <v>44</v>
      </c>
      <c r="Y188" s="597" t="s">
        <v>45</v>
      </c>
      <c r="Z188" s="597" t="s">
        <v>44</v>
      </c>
      <c r="AA188" s="597" t="s">
        <v>45</v>
      </c>
    </row>
    <row r="189" spans="2:27" x14ac:dyDescent="0.2">
      <c r="B189" s="772">
        <v>2026</v>
      </c>
      <c r="C189" s="772">
        <f>SUMIFS('POSF Emiss by Zone'!$FP89:$IO89,'POSF Emiss by Zone'!$FP$19:$IO$19,'Inventory Figures'!C$117,'POSF Emiss by Zone'!$FP$20:$IO$20,'Inventory Figures'!C$120)</f>
        <v>0</v>
      </c>
      <c r="D189" s="772">
        <f>SUMIFS('POSF Emiss by Zone'!$FP89:$IO89,'POSF Emiss by Zone'!$FP$19:$IO$19,'Inventory Figures'!D$117,'POSF Emiss by Zone'!$FP$20:$IO$20,'Inventory Figures'!D$120)</f>
        <v>0</v>
      </c>
      <c r="E189" s="772">
        <f>SUMIFS('POSF Emiss by Zone'!$FP89:$IO89,'POSF Emiss by Zone'!$FP$19:$IO$19,'Inventory Figures'!E$117,'POSF Emiss by Zone'!$FP$20:$IO$20,'Inventory Figures'!E$120)</f>
        <v>0</v>
      </c>
      <c r="F189" s="772">
        <f>SUMIFS('POSF Emiss by Zone'!$FP89:$IO89,'POSF Emiss by Zone'!$FP$19:$IO$19,'Inventory Figures'!F$117,'POSF Emiss by Zone'!$FP$20:$IO$20,'Inventory Figures'!F$120)</f>
        <v>0</v>
      </c>
      <c r="G189" s="772">
        <f>SUMIFS('POSF Emiss by Zone'!$FP89:$IO89,'POSF Emiss by Zone'!$FP$19:$IO$19,'Inventory Figures'!G$117,'POSF Emiss by Zone'!$FP$20:$IO$20,'Inventory Figures'!G$120)</f>
        <v>0</v>
      </c>
      <c r="H189" s="772">
        <f>SUMIFS('POSF Emiss by Zone'!$FP89:$IO89,'POSF Emiss by Zone'!$FP$19:$IO$19,'Inventory Figures'!H$117,'POSF Emiss by Zone'!$FP$20:$IO$20,'Inventory Figures'!H$120)</f>
        <v>40.674528135458175</v>
      </c>
      <c r="I189" s="772">
        <f>SUMIFS('POSF Emiss by Zone'!$FP89:$IO89,'POSF Emiss by Zone'!$FP$19:$IO$19,'Inventory Figures'!I$117,'POSF Emiss by Zone'!$FP$20:$IO$20,'Inventory Figures'!I$120)</f>
        <v>0</v>
      </c>
      <c r="J189" s="772">
        <f>SUMIFS('POSF Emiss by Zone'!$FP89:$IO89,'POSF Emiss by Zone'!$FP$19:$IO$19,'Inventory Figures'!J$117,'POSF Emiss by Zone'!$FP$20:$IO$20,'Inventory Figures'!J$120)</f>
        <v>0</v>
      </c>
      <c r="N189" s="686" t="s">
        <v>1814</v>
      </c>
      <c r="O189" s="346">
        <v>600</v>
      </c>
      <c r="P189" s="346">
        <v>74</v>
      </c>
      <c r="Q189" s="346">
        <v>295</v>
      </c>
      <c r="R189" s="346">
        <v>204</v>
      </c>
      <c r="S189" s="346">
        <v>2043</v>
      </c>
      <c r="T189" s="346">
        <v>3.16</v>
      </c>
      <c r="U189" s="346">
        <v>63.1</v>
      </c>
      <c r="V189" s="346">
        <v>63.2</v>
      </c>
      <c r="W189" s="346">
        <v>3156</v>
      </c>
      <c r="X189" s="346">
        <f>SUM(P189,R189,T189)</f>
        <v>281.16000000000003</v>
      </c>
      <c r="Y189" s="346">
        <f>SUM(Q189,S189,U189)</f>
        <v>2401.1</v>
      </c>
      <c r="Z189" s="346">
        <f>SUM(O189,P189,V189)</f>
        <v>737.2</v>
      </c>
      <c r="AA189" s="346">
        <f>SUM(O189,Q189,W189)</f>
        <v>4051</v>
      </c>
    </row>
    <row r="190" spans="2:27" x14ac:dyDescent="0.2">
      <c r="B190" s="772">
        <v>2027</v>
      </c>
      <c r="C190" s="772">
        <f>SUMIFS('POSF Emiss by Zone'!$FP90:$IO90,'POSF Emiss by Zone'!$FP$19:$IO$19,'Inventory Figures'!C$117,'POSF Emiss by Zone'!$FP$20:$IO$20,'Inventory Figures'!C$120)</f>
        <v>0</v>
      </c>
      <c r="D190" s="772">
        <f>SUMIFS('POSF Emiss by Zone'!$FP90:$IO90,'POSF Emiss by Zone'!$FP$19:$IO$19,'Inventory Figures'!D$117,'POSF Emiss by Zone'!$FP$20:$IO$20,'Inventory Figures'!D$120)</f>
        <v>0</v>
      </c>
      <c r="E190" s="772">
        <f>SUMIFS('POSF Emiss by Zone'!$FP90:$IO90,'POSF Emiss by Zone'!$FP$19:$IO$19,'Inventory Figures'!E$117,'POSF Emiss by Zone'!$FP$20:$IO$20,'Inventory Figures'!E$120)</f>
        <v>0</v>
      </c>
      <c r="F190" s="772">
        <f>SUMIFS('POSF Emiss by Zone'!$FP90:$IO90,'POSF Emiss by Zone'!$FP$19:$IO$19,'Inventory Figures'!F$117,'POSF Emiss by Zone'!$FP$20:$IO$20,'Inventory Figures'!F$120)</f>
        <v>0</v>
      </c>
      <c r="G190" s="772">
        <f>SUMIFS('POSF Emiss by Zone'!$FP90:$IO90,'POSF Emiss by Zone'!$FP$19:$IO$19,'Inventory Figures'!G$117,'POSF Emiss by Zone'!$FP$20:$IO$20,'Inventory Figures'!G$120)</f>
        <v>0</v>
      </c>
      <c r="H190" s="772">
        <f>SUMIFS('POSF Emiss by Zone'!$FP90:$IO90,'POSF Emiss by Zone'!$FP$19:$IO$19,'Inventory Figures'!H$117,'POSF Emiss by Zone'!$FP$20:$IO$20,'Inventory Figures'!H$120)</f>
        <v>40.674528135458175</v>
      </c>
      <c r="I190" s="772">
        <f>SUMIFS('POSF Emiss by Zone'!$FP90:$IO90,'POSF Emiss by Zone'!$FP$19:$IO$19,'Inventory Figures'!I$117,'POSF Emiss by Zone'!$FP$20:$IO$20,'Inventory Figures'!I$120)</f>
        <v>0</v>
      </c>
      <c r="J190" s="772">
        <f>SUMIFS('POSF Emiss by Zone'!$FP90:$IO90,'POSF Emiss by Zone'!$FP$19:$IO$19,'Inventory Figures'!J$117,'POSF Emiss by Zone'!$FP$20:$IO$20,'Inventory Figures'!J$120)</f>
        <v>0</v>
      </c>
    </row>
    <row r="191" spans="2:27" x14ac:dyDescent="0.2">
      <c r="B191" s="772">
        <v>2028</v>
      </c>
      <c r="C191" s="772">
        <f>SUMIFS('POSF Emiss by Zone'!$FP91:$IO91,'POSF Emiss by Zone'!$FP$19:$IO$19,'Inventory Figures'!C$117,'POSF Emiss by Zone'!$FP$20:$IO$20,'Inventory Figures'!C$120)</f>
        <v>0</v>
      </c>
      <c r="D191" s="772">
        <f>SUMIFS('POSF Emiss by Zone'!$FP91:$IO91,'POSF Emiss by Zone'!$FP$19:$IO$19,'Inventory Figures'!D$117,'POSF Emiss by Zone'!$FP$20:$IO$20,'Inventory Figures'!D$120)</f>
        <v>0</v>
      </c>
      <c r="E191" s="772">
        <f>SUMIFS('POSF Emiss by Zone'!$FP91:$IO91,'POSF Emiss by Zone'!$FP$19:$IO$19,'Inventory Figures'!E$117,'POSF Emiss by Zone'!$FP$20:$IO$20,'Inventory Figures'!E$120)</f>
        <v>0</v>
      </c>
      <c r="F191" s="772">
        <f>SUMIFS('POSF Emiss by Zone'!$FP91:$IO91,'POSF Emiss by Zone'!$FP$19:$IO$19,'Inventory Figures'!F$117,'POSF Emiss by Zone'!$FP$20:$IO$20,'Inventory Figures'!F$120)</f>
        <v>0</v>
      </c>
      <c r="G191" s="772">
        <f>SUMIFS('POSF Emiss by Zone'!$FP91:$IO91,'POSF Emiss by Zone'!$FP$19:$IO$19,'Inventory Figures'!G$117,'POSF Emiss by Zone'!$FP$20:$IO$20,'Inventory Figures'!G$120)</f>
        <v>0</v>
      </c>
      <c r="H191" s="772">
        <f>SUMIFS('POSF Emiss by Zone'!$FP91:$IO91,'POSF Emiss by Zone'!$FP$19:$IO$19,'Inventory Figures'!H$117,'POSF Emiss by Zone'!$FP$20:$IO$20,'Inventory Figures'!H$120)</f>
        <v>40.674528135458175</v>
      </c>
      <c r="I191" s="772">
        <f>SUMIFS('POSF Emiss by Zone'!$FP91:$IO91,'POSF Emiss by Zone'!$FP$19:$IO$19,'Inventory Figures'!I$117,'POSF Emiss by Zone'!$FP$20:$IO$20,'Inventory Figures'!I$120)</f>
        <v>0</v>
      </c>
      <c r="J191" s="772">
        <f>SUMIFS('POSF Emiss by Zone'!$FP91:$IO91,'POSF Emiss by Zone'!$FP$19:$IO$19,'Inventory Figures'!J$117,'POSF Emiss by Zone'!$FP$20:$IO$20,'Inventory Figures'!J$120)</f>
        <v>0</v>
      </c>
      <c r="N191" s="653" t="s">
        <v>1903</v>
      </c>
    </row>
    <row r="192" spans="2:27" x14ac:dyDescent="0.2">
      <c r="B192" s="772">
        <v>2029</v>
      </c>
      <c r="C192" s="772">
        <f>SUMIFS('POSF Emiss by Zone'!$FP92:$IO92,'POSF Emiss by Zone'!$FP$19:$IO$19,'Inventory Figures'!C$117,'POSF Emiss by Zone'!$FP$20:$IO$20,'Inventory Figures'!C$120)</f>
        <v>0</v>
      </c>
      <c r="D192" s="772">
        <f>SUMIFS('POSF Emiss by Zone'!$FP92:$IO92,'POSF Emiss by Zone'!$FP$19:$IO$19,'Inventory Figures'!D$117,'POSF Emiss by Zone'!$FP$20:$IO$20,'Inventory Figures'!D$120)</f>
        <v>0</v>
      </c>
      <c r="E192" s="772">
        <f>SUMIFS('POSF Emiss by Zone'!$FP92:$IO92,'POSF Emiss by Zone'!$FP$19:$IO$19,'Inventory Figures'!E$117,'POSF Emiss by Zone'!$FP$20:$IO$20,'Inventory Figures'!E$120)</f>
        <v>0</v>
      </c>
      <c r="F192" s="772">
        <f>SUMIFS('POSF Emiss by Zone'!$FP92:$IO92,'POSF Emiss by Zone'!$FP$19:$IO$19,'Inventory Figures'!F$117,'POSF Emiss by Zone'!$FP$20:$IO$20,'Inventory Figures'!F$120)</f>
        <v>0</v>
      </c>
      <c r="G192" s="772">
        <f>SUMIFS('POSF Emiss by Zone'!$FP92:$IO92,'POSF Emiss by Zone'!$FP$19:$IO$19,'Inventory Figures'!G$117,'POSF Emiss by Zone'!$FP$20:$IO$20,'Inventory Figures'!G$120)</f>
        <v>0</v>
      </c>
      <c r="H192" s="772">
        <f>SUMIFS('POSF Emiss by Zone'!$FP92:$IO92,'POSF Emiss by Zone'!$FP$19:$IO$19,'Inventory Figures'!H$117,'POSF Emiss by Zone'!$FP$20:$IO$20,'Inventory Figures'!H$120)</f>
        <v>40.674528135458175</v>
      </c>
      <c r="I192" s="772">
        <f>SUMIFS('POSF Emiss by Zone'!$FP92:$IO92,'POSF Emiss by Zone'!$FP$19:$IO$19,'Inventory Figures'!I$117,'POSF Emiss by Zone'!$FP$20:$IO$20,'Inventory Figures'!I$120)</f>
        <v>0</v>
      </c>
      <c r="J192" s="772">
        <f>SUMIFS('POSF Emiss by Zone'!$FP92:$IO92,'POSF Emiss by Zone'!$FP$19:$IO$19,'Inventory Figures'!J$117,'POSF Emiss by Zone'!$FP$20:$IO$20,'Inventory Figures'!J$120)</f>
        <v>0</v>
      </c>
      <c r="O192" s="686" t="s">
        <v>401</v>
      </c>
      <c r="P192" s="686" t="s">
        <v>40</v>
      </c>
    </row>
    <row r="193" spans="2:16" x14ac:dyDescent="0.2">
      <c r="B193" s="772">
        <v>2030</v>
      </c>
      <c r="C193" s="772">
        <f>SUMIFS('POSF Emiss by Zone'!$FP93:$IO93,'POSF Emiss by Zone'!$FP$19:$IO$19,'Inventory Figures'!C$117,'POSF Emiss by Zone'!$FP$20:$IO$20,'Inventory Figures'!C$120)</f>
        <v>0</v>
      </c>
      <c r="D193" s="772">
        <f>SUMIFS('POSF Emiss by Zone'!$FP93:$IO93,'POSF Emiss by Zone'!$FP$19:$IO$19,'Inventory Figures'!D$117,'POSF Emiss by Zone'!$FP$20:$IO$20,'Inventory Figures'!D$120)</f>
        <v>0</v>
      </c>
      <c r="E193" s="772">
        <f>SUMIFS('POSF Emiss by Zone'!$FP93:$IO93,'POSF Emiss by Zone'!$FP$19:$IO$19,'Inventory Figures'!E$117,'POSF Emiss by Zone'!$FP$20:$IO$20,'Inventory Figures'!E$120)</f>
        <v>0</v>
      </c>
      <c r="F193" s="772">
        <f>SUMIFS('POSF Emiss by Zone'!$FP93:$IO93,'POSF Emiss by Zone'!$FP$19:$IO$19,'Inventory Figures'!F$117,'POSF Emiss by Zone'!$FP$20:$IO$20,'Inventory Figures'!F$120)</f>
        <v>0</v>
      </c>
      <c r="G193" s="772">
        <f>SUMIFS('POSF Emiss by Zone'!$FP93:$IO93,'POSF Emiss by Zone'!$FP$19:$IO$19,'Inventory Figures'!G$117,'POSF Emiss by Zone'!$FP$20:$IO$20,'Inventory Figures'!G$120)</f>
        <v>0</v>
      </c>
      <c r="H193" s="772">
        <f>SUMIFS('POSF Emiss by Zone'!$FP93:$IO93,'POSF Emiss by Zone'!$FP$19:$IO$19,'Inventory Figures'!H$117,'POSF Emiss by Zone'!$FP$20:$IO$20,'Inventory Figures'!H$120)</f>
        <v>40.674528135458175</v>
      </c>
      <c r="I193" s="772">
        <f>SUMIFS('POSF Emiss by Zone'!$FP93:$IO93,'POSF Emiss by Zone'!$FP$19:$IO$19,'Inventory Figures'!I$117,'POSF Emiss by Zone'!$FP$20:$IO$20,'Inventory Figures'!I$120)</f>
        <v>0</v>
      </c>
      <c r="J193" s="772">
        <f>SUMIFS('POSF Emiss by Zone'!$FP93:$IO93,'POSF Emiss by Zone'!$FP$19:$IO$19,'Inventory Figures'!J$117,'POSF Emiss by Zone'!$FP$20:$IO$20,'Inventory Figures'!J$120)</f>
        <v>0</v>
      </c>
      <c r="N193" s="863" t="s">
        <v>1896</v>
      </c>
      <c r="O193" s="346" t="s">
        <v>1904</v>
      </c>
      <c r="P193" s="346" t="s">
        <v>1905</v>
      </c>
    </row>
  </sheetData>
  <mergeCells count="19">
    <mergeCell ref="Y179:Z179"/>
    <mergeCell ref="P187:Q187"/>
    <mergeCell ref="R187:S187"/>
    <mergeCell ref="T187:U187"/>
    <mergeCell ref="V187:W187"/>
    <mergeCell ref="X187:Y187"/>
    <mergeCell ref="Z187:AA187"/>
    <mergeCell ref="O179:P179"/>
    <mergeCell ref="Q179:R179"/>
    <mergeCell ref="S179:T179"/>
    <mergeCell ref="U179:V179"/>
    <mergeCell ref="W179:X179"/>
    <mergeCell ref="I119:J119"/>
    <mergeCell ref="C33:D33"/>
    <mergeCell ref="E33:F33"/>
    <mergeCell ref="G33:H33"/>
    <mergeCell ref="C119:D119"/>
    <mergeCell ref="E119:F119"/>
    <mergeCell ref="G119:H11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L169"/>
  <sheetViews>
    <sheetView workbookViewId="0">
      <pane xSplit="1" ySplit="12" topLeftCell="BD13" activePane="bottomRight" state="frozen"/>
      <selection pane="topRight" activeCell="B1" sqref="B1"/>
      <selection pane="bottomLeft" activeCell="A11" sqref="A11"/>
      <selection pane="bottomRight" activeCell="CT20" sqref="CT20"/>
    </sheetView>
  </sheetViews>
  <sheetFormatPr baseColWidth="10" defaultColWidth="10.83203125" defaultRowHeight="18" x14ac:dyDescent="0.25"/>
  <cols>
    <col min="1" max="1" width="12.5" style="1" bestFit="1" customWidth="1"/>
    <col min="2" max="5" width="12.5" style="1" customWidth="1"/>
    <col min="6" max="16" width="10.83203125" style="1"/>
    <col min="17" max="17" width="12.83203125" style="1" customWidth="1"/>
    <col min="18" max="25" width="12" style="1" customWidth="1"/>
    <col min="26" max="47" width="13.1640625" style="1" customWidth="1"/>
    <col min="48" max="65" width="10.83203125" style="1" customWidth="1"/>
    <col min="66" max="83" width="10.83203125" style="5"/>
    <col min="84" max="84" width="10.1640625" style="5" customWidth="1"/>
    <col min="85" max="85" width="12.83203125" style="5" customWidth="1"/>
    <col min="86" max="86" width="13.5" style="5" customWidth="1"/>
    <col min="87" max="87" width="10.6640625" style="5" customWidth="1"/>
    <col min="88" max="89" width="13.5" style="5" customWidth="1"/>
    <col min="90" max="90" width="10.83203125" style="5"/>
    <col min="91" max="94" width="12.1640625" style="5" customWidth="1"/>
    <col min="95" max="96" width="12.1640625" style="1" customWidth="1"/>
    <col min="97" max="100" width="15.6640625" style="1" customWidth="1"/>
    <col min="101" max="112" width="16" style="1" customWidth="1"/>
    <col min="113" max="124" width="10.83203125" style="1"/>
    <col min="125" max="125" width="16.6640625" style="1" customWidth="1"/>
    <col min="126" max="126" width="13.6640625" style="1" customWidth="1"/>
    <col min="127" max="130" width="13.5" style="1" customWidth="1"/>
    <col min="131" max="144" width="25" style="1" customWidth="1"/>
    <col min="145" max="145" width="10.83203125" style="1"/>
    <col min="146" max="166" width="10.83203125" style="1" customWidth="1"/>
    <col min="167" max="167" width="18.83203125" style="1" customWidth="1"/>
    <col min="168" max="168" width="18.6640625" style="1" customWidth="1"/>
    <col min="169" max="174" width="10.83203125" style="1" customWidth="1"/>
    <col min="175" max="176" width="13.1640625" style="1" customWidth="1"/>
    <col min="177" max="177" width="13.33203125" style="1" customWidth="1"/>
    <col min="178" max="178" width="13.6640625" style="1" customWidth="1"/>
    <col min="179" max="179" width="10.83203125" style="1" customWidth="1"/>
    <col min="180" max="198" width="14.1640625" style="1" customWidth="1"/>
    <col min="199" max="199" width="12.33203125" style="1" customWidth="1"/>
    <col min="200" max="200" width="12.1640625" style="1" customWidth="1"/>
    <col min="201" max="201" width="12.6640625" style="1" customWidth="1"/>
    <col min="202" max="202" width="13.1640625" style="1" customWidth="1"/>
    <col min="203" max="203" width="14" style="1" customWidth="1"/>
    <col min="204" max="204" width="11.5" style="1" customWidth="1"/>
    <col min="205" max="206" width="10.83203125" style="1" customWidth="1"/>
    <col min="207" max="207" width="13.83203125" style="1" customWidth="1"/>
    <col min="208" max="208" width="10.83203125" style="1" customWidth="1"/>
    <col min="209" max="209" width="13.5" style="1" customWidth="1"/>
    <col min="210" max="212" width="10.83203125" style="1" customWidth="1"/>
    <col min="213" max="232" width="10.83203125" style="176" customWidth="1"/>
    <col min="233" max="233" width="17.1640625" style="176" customWidth="1"/>
    <col min="234" max="240" width="10.83203125" style="176" customWidth="1"/>
    <col min="241" max="241" width="13.6640625" style="176" customWidth="1"/>
    <col min="242" max="375" width="10.83203125" style="176" customWidth="1"/>
    <col min="376" max="376" width="10.83203125" style="1" customWidth="1"/>
    <col min="377" max="16384" width="10.83203125" style="1"/>
  </cols>
  <sheetData>
    <row r="1" spans="1:375" x14ac:dyDescent="0.25">
      <c r="AX1" s="506"/>
      <c r="AY1" s="506"/>
      <c r="AZ1" s="506"/>
      <c r="BA1" s="506"/>
      <c r="BB1" s="506"/>
      <c r="BC1" s="506"/>
      <c r="BD1" s="506"/>
      <c r="BE1" s="506"/>
      <c r="BF1" s="506"/>
      <c r="BG1" s="506"/>
      <c r="BH1" s="506"/>
      <c r="BI1" s="506"/>
      <c r="IG1" s="176" t="s">
        <v>1731</v>
      </c>
    </row>
    <row r="2" spans="1:375" s="6" customFormat="1" ht="32" x14ac:dyDescent="0.4">
      <c r="B2" s="860" t="s">
        <v>1670</v>
      </c>
      <c r="F2" s="6" t="s">
        <v>10</v>
      </c>
      <c r="L2" s="1148"/>
      <c r="M2" s="1148"/>
      <c r="N2" s="491"/>
      <c r="O2" s="491"/>
      <c r="P2" s="491"/>
      <c r="Q2" s="491"/>
      <c r="V2" s="6">
        <v>4.0000000000000003E-5</v>
      </c>
      <c r="BN2" s="46"/>
      <c r="BO2" s="46"/>
      <c r="BP2" s="46"/>
      <c r="BQ2" s="46"/>
      <c r="BR2" s="46"/>
      <c r="BS2" s="46"/>
      <c r="BT2" s="46"/>
      <c r="BU2" s="46"/>
      <c r="BV2" s="46"/>
      <c r="BW2" s="46"/>
      <c r="BX2" s="46"/>
      <c r="BY2" s="46"/>
      <c r="BZ2" s="46"/>
      <c r="CA2" s="46"/>
      <c r="CB2" s="46"/>
      <c r="CC2" s="46"/>
      <c r="CD2" s="46"/>
      <c r="CE2" s="46"/>
      <c r="CL2" s="506"/>
      <c r="CM2" s="506"/>
      <c r="CN2" s="506"/>
      <c r="CO2" s="506"/>
      <c r="CP2" s="506"/>
      <c r="CQ2" s="506"/>
      <c r="CR2" s="506"/>
      <c r="CS2" s="506"/>
      <c r="CT2" s="506"/>
      <c r="DH2" s="1118"/>
      <c r="HE2" s="176"/>
      <c r="HF2" s="176"/>
      <c r="HG2" s="176"/>
      <c r="HH2" s="176"/>
      <c r="HI2" s="176"/>
      <c r="HJ2" s="176"/>
      <c r="HK2" s="176"/>
      <c r="HL2" s="176"/>
      <c r="HM2" s="176"/>
      <c r="HN2" s="176"/>
      <c r="HO2" s="176"/>
      <c r="HP2" s="176"/>
      <c r="HQ2" s="176"/>
      <c r="HR2" s="176"/>
      <c r="HS2" s="176"/>
      <c r="HT2" s="176"/>
      <c r="HU2" s="176"/>
      <c r="HV2" s="176"/>
      <c r="HW2" s="176"/>
      <c r="HX2" s="176"/>
      <c r="HY2" s="176"/>
      <c r="HZ2" s="176"/>
      <c r="IA2" s="176"/>
      <c r="IB2" s="176"/>
      <c r="IC2" s="176"/>
      <c r="ID2" s="176"/>
      <c r="IE2" s="176"/>
      <c r="IF2" s="176"/>
      <c r="IH2" s="176" t="s">
        <v>1732</v>
      </c>
      <c r="II2" s="176" t="s">
        <v>1732</v>
      </c>
      <c r="IJ2" s="176" t="s">
        <v>1732</v>
      </c>
      <c r="IK2" s="176" t="s">
        <v>1732</v>
      </c>
      <c r="IL2" s="176" t="s">
        <v>1732</v>
      </c>
      <c r="IM2" s="176" t="s">
        <v>1732</v>
      </c>
      <c r="IN2" s="176" t="s">
        <v>1732</v>
      </c>
      <c r="IO2" s="176" t="s">
        <v>1732</v>
      </c>
      <c r="IP2" s="176" t="s">
        <v>1732</v>
      </c>
      <c r="IQ2" s="176" t="s">
        <v>1732</v>
      </c>
      <c r="IR2" s="176" t="s">
        <v>1732</v>
      </c>
      <c r="IS2" s="176" t="s">
        <v>1732</v>
      </c>
      <c r="IT2" s="176" t="s">
        <v>1732</v>
      </c>
      <c r="IU2" s="176" t="s">
        <v>1732</v>
      </c>
      <c r="IV2" s="176" t="s">
        <v>1732</v>
      </c>
      <c r="IW2" s="176" t="s">
        <v>1732</v>
      </c>
      <c r="IX2" s="176" t="s">
        <v>1732</v>
      </c>
      <c r="IY2" s="176" t="s">
        <v>1732</v>
      </c>
      <c r="IZ2" s="176" t="s">
        <v>1732</v>
      </c>
      <c r="JA2" s="176" t="s">
        <v>1732</v>
      </c>
      <c r="JB2" s="176" t="s">
        <v>1732</v>
      </c>
      <c r="JC2" s="176" t="s">
        <v>1732</v>
      </c>
      <c r="JD2" s="176" t="s">
        <v>1732</v>
      </c>
      <c r="JE2" s="176" t="s">
        <v>1732</v>
      </c>
      <c r="JF2" s="176" t="s">
        <v>1732</v>
      </c>
      <c r="JG2" s="176" t="s">
        <v>1732</v>
      </c>
      <c r="JH2" s="176" t="s">
        <v>1732</v>
      </c>
      <c r="JI2" s="176" t="s">
        <v>1732</v>
      </c>
      <c r="JJ2" s="176" t="s">
        <v>1732</v>
      </c>
      <c r="JK2" s="176" t="s">
        <v>1732</v>
      </c>
      <c r="JL2" s="176" t="s">
        <v>1732</v>
      </c>
      <c r="JM2" s="176" t="s">
        <v>1732</v>
      </c>
      <c r="JN2" s="176" t="s">
        <v>1732</v>
      </c>
      <c r="JO2" s="176" t="s">
        <v>1732</v>
      </c>
      <c r="JP2" s="176" t="s">
        <v>1732</v>
      </c>
      <c r="JQ2" s="176" t="s">
        <v>1732</v>
      </c>
      <c r="JR2" s="176" t="s">
        <v>1732</v>
      </c>
      <c r="JS2" s="176" t="s">
        <v>1732</v>
      </c>
      <c r="JT2" s="176" t="s">
        <v>1732</v>
      </c>
      <c r="JU2" s="176" t="s">
        <v>1732</v>
      </c>
      <c r="JV2" s="176" t="s">
        <v>1732</v>
      </c>
      <c r="JW2" s="176" t="s">
        <v>1732</v>
      </c>
      <c r="JX2" s="176" t="s">
        <v>1733</v>
      </c>
      <c r="JY2" s="176" t="s">
        <v>1733</v>
      </c>
      <c r="JZ2" s="176" t="s">
        <v>1733</v>
      </c>
      <c r="KA2" s="176" t="s">
        <v>1733</v>
      </c>
      <c r="KB2" s="176" t="s">
        <v>1733</v>
      </c>
      <c r="KC2" s="176" t="s">
        <v>1733</v>
      </c>
      <c r="KD2" s="176" t="s">
        <v>1733</v>
      </c>
      <c r="KE2" s="176" t="s">
        <v>1733</v>
      </c>
      <c r="KF2" s="176" t="s">
        <v>1733</v>
      </c>
      <c r="KG2" s="176" t="s">
        <v>1733</v>
      </c>
      <c r="KH2" s="176" t="s">
        <v>1733</v>
      </c>
      <c r="KI2" s="176" t="s">
        <v>1733</v>
      </c>
      <c r="KJ2" s="176" t="s">
        <v>1733</v>
      </c>
      <c r="KK2" s="176" t="s">
        <v>1733</v>
      </c>
      <c r="KL2" s="176" t="s">
        <v>1733</v>
      </c>
      <c r="KM2" s="176" t="s">
        <v>1733</v>
      </c>
      <c r="KN2" s="176" t="s">
        <v>1733</v>
      </c>
      <c r="KO2" s="176" t="s">
        <v>1733</v>
      </c>
      <c r="KP2" s="176" t="s">
        <v>1733</v>
      </c>
      <c r="KQ2" s="176" t="s">
        <v>1733</v>
      </c>
      <c r="KR2" s="176" t="s">
        <v>1733</v>
      </c>
      <c r="KS2" s="176" t="s">
        <v>1733</v>
      </c>
      <c r="KT2" s="176" t="s">
        <v>1733</v>
      </c>
      <c r="KU2" s="176" t="s">
        <v>1733</v>
      </c>
      <c r="KV2" s="176" t="s">
        <v>1733</v>
      </c>
      <c r="KW2" s="176" t="s">
        <v>1733</v>
      </c>
      <c r="KX2" s="176" t="s">
        <v>1733</v>
      </c>
      <c r="KY2" s="176" t="s">
        <v>1733</v>
      </c>
      <c r="KZ2" s="176" t="s">
        <v>1733</v>
      </c>
      <c r="LA2" s="176" t="s">
        <v>1733</v>
      </c>
      <c r="LB2" s="176" t="s">
        <v>1733</v>
      </c>
      <c r="LC2" s="176" t="s">
        <v>1733</v>
      </c>
      <c r="LD2" s="176" t="s">
        <v>1733</v>
      </c>
      <c r="LE2" s="176" t="s">
        <v>1733</v>
      </c>
      <c r="LF2" s="176" t="s">
        <v>1733</v>
      </c>
      <c r="LG2" s="176" t="s">
        <v>1733</v>
      </c>
      <c r="LH2" s="176" t="s">
        <v>1733</v>
      </c>
      <c r="LI2" s="176" t="s">
        <v>1733</v>
      </c>
      <c r="LJ2" s="176" t="s">
        <v>1733</v>
      </c>
      <c r="LK2" s="176" t="s">
        <v>1733</v>
      </c>
      <c r="LL2" s="176" t="s">
        <v>1733</v>
      </c>
      <c r="LM2" s="176" t="s">
        <v>1733</v>
      </c>
      <c r="LN2" s="176" t="s">
        <v>1734</v>
      </c>
      <c r="LO2" s="176" t="s">
        <v>1734</v>
      </c>
      <c r="LP2" s="176" t="s">
        <v>1734</v>
      </c>
      <c r="LQ2" s="176" t="s">
        <v>1734</v>
      </c>
      <c r="LR2" s="176" t="s">
        <v>1734</v>
      </c>
      <c r="LS2" s="176" t="s">
        <v>1734</v>
      </c>
      <c r="LT2" s="176" t="s">
        <v>1734</v>
      </c>
      <c r="LU2" s="176" t="s">
        <v>1734</v>
      </c>
      <c r="LV2" s="176" t="s">
        <v>1734</v>
      </c>
      <c r="LW2" s="176" t="s">
        <v>1734</v>
      </c>
      <c r="LX2" s="176" t="s">
        <v>1734</v>
      </c>
      <c r="LY2" s="176" t="s">
        <v>1734</v>
      </c>
      <c r="LZ2" s="176" t="s">
        <v>1734</v>
      </c>
      <c r="MA2" s="176" t="s">
        <v>1734</v>
      </c>
      <c r="MB2" s="176" t="s">
        <v>1734</v>
      </c>
      <c r="MC2" s="176" t="s">
        <v>1734</v>
      </c>
      <c r="MD2" s="176" t="s">
        <v>1734</v>
      </c>
      <c r="ME2" s="176" t="s">
        <v>1734</v>
      </c>
      <c r="MF2" s="176" t="s">
        <v>1734</v>
      </c>
      <c r="MG2" s="176" t="s">
        <v>1734</v>
      </c>
      <c r="MH2" s="176" t="s">
        <v>1734</v>
      </c>
      <c r="MI2" s="176" t="s">
        <v>1734</v>
      </c>
      <c r="MJ2" s="176" t="s">
        <v>1734</v>
      </c>
      <c r="MK2" s="176" t="s">
        <v>1734</v>
      </c>
      <c r="ML2" s="176" t="s">
        <v>1734</v>
      </c>
      <c r="MM2" s="176" t="s">
        <v>1734</v>
      </c>
      <c r="MN2" s="176" t="s">
        <v>1734</v>
      </c>
      <c r="MO2" s="176" t="s">
        <v>1734</v>
      </c>
      <c r="MP2" s="176" t="s">
        <v>1734</v>
      </c>
      <c r="MQ2" s="176" t="s">
        <v>1734</v>
      </c>
      <c r="MR2" s="176" t="s">
        <v>1734</v>
      </c>
      <c r="MS2" s="176" t="s">
        <v>1734</v>
      </c>
      <c r="MT2" s="176" t="s">
        <v>1734</v>
      </c>
      <c r="MU2" s="176" t="s">
        <v>1734</v>
      </c>
      <c r="MV2" s="176" t="s">
        <v>1734</v>
      </c>
      <c r="MW2" s="176" t="s">
        <v>1734</v>
      </c>
      <c r="MX2" s="176" t="s">
        <v>1734</v>
      </c>
      <c r="MY2" s="176" t="s">
        <v>1734</v>
      </c>
      <c r="MZ2" s="176" t="s">
        <v>1734</v>
      </c>
      <c r="NA2" s="176" t="s">
        <v>1734</v>
      </c>
      <c r="NB2" s="176" t="s">
        <v>1734</v>
      </c>
      <c r="NC2" s="176" t="s">
        <v>1734</v>
      </c>
      <c r="ND2" s="176"/>
      <c r="NE2" s="176"/>
      <c r="NF2" s="176"/>
      <c r="NG2" s="176"/>
      <c r="NH2" s="176"/>
      <c r="NI2" s="176"/>
      <c r="NJ2" s="176"/>
      <c r="NK2" s="176"/>
    </row>
    <row r="3" spans="1:375" x14ac:dyDescent="0.25">
      <c r="F3" s="6" t="s">
        <v>12</v>
      </c>
      <c r="AE3" s="1151" t="s">
        <v>1102</v>
      </c>
      <c r="AF3" s="1151"/>
      <c r="AG3" s="1151"/>
      <c r="AH3" s="1151"/>
      <c r="AI3" s="1151"/>
      <c r="AJ3" s="1151"/>
      <c r="AK3" s="1151"/>
      <c r="AL3" s="1151"/>
      <c r="AM3" s="1151"/>
      <c r="AN3" s="1151"/>
      <c r="AO3" s="1151"/>
      <c r="AP3" s="1148"/>
      <c r="AQ3" s="1148"/>
      <c r="AR3" s="1148"/>
      <c r="AS3" s="1148"/>
      <c r="AT3" s="1148"/>
      <c r="AU3" s="1148"/>
      <c r="AV3" s="1151" t="s">
        <v>1101</v>
      </c>
      <c r="AW3" s="1151"/>
      <c r="AX3" s="1151"/>
      <c r="AY3" s="1151"/>
      <c r="AZ3" s="1151"/>
      <c r="BA3" s="1151"/>
      <c r="BB3" s="1151"/>
      <c r="BC3" s="1151"/>
      <c r="BD3" s="1151"/>
      <c r="BE3" s="1151"/>
      <c r="BF3" s="1151"/>
      <c r="BG3" s="1151"/>
      <c r="BH3" s="1148"/>
      <c r="BI3" s="1148"/>
      <c r="BJ3" s="1148"/>
      <c r="BK3" s="1148"/>
      <c r="BL3" s="1148"/>
      <c r="BM3" s="1148"/>
      <c r="BN3" s="1182"/>
      <c r="BO3" s="1182"/>
      <c r="BP3" s="1182"/>
      <c r="BQ3" s="1182"/>
      <c r="BR3" s="1182"/>
      <c r="BS3" s="1182"/>
      <c r="BT3" s="1182"/>
      <c r="BU3" s="1182"/>
      <c r="BV3" s="1182"/>
      <c r="BW3" s="1182"/>
      <c r="BX3" s="1182"/>
      <c r="BY3" s="1182"/>
      <c r="BZ3" s="1148"/>
      <c r="CA3" s="1148"/>
      <c r="CB3" s="1148"/>
      <c r="CC3" s="1148"/>
      <c r="CD3" s="1148"/>
      <c r="CE3" s="1148"/>
      <c r="CF3" s="1151" t="s">
        <v>1100</v>
      </c>
      <c r="CG3" s="1151"/>
      <c r="CH3" s="1151"/>
      <c r="CI3" s="1151"/>
      <c r="CJ3" s="1151"/>
      <c r="CK3" s="1151"/>
      <c r="CQ3" s="1148"/>
      <c r="CR3" s="1148"/>
      <c r="CS3" s="491"/>
      <c r="CT3" s="491"/>
      <c r="CU3" s="491"/>
      <c r="CV3" s="491"/>
      <c r="DE3" s="491"/>
      <c r="DF3" s="491"/>
      <c r="DG3" s="491"/>
      <c r="DH3" s="491"/>
      <c r="DJ3" s="499"/>
      <c r="DK3" s="499"/>
      <c r="DP3" s="491"/>
      <c r="DQ3" s="491"/>
      <c r="DR3" s="491"/>
      <c r="DS3" s="491"/>
      <c r="DT3" s="491"/>
      <c r="DU3" s="491"/>
      <c r="DV3" s="491"/>
      <c r="DW3" s="491"/>
      <c r="DX3" s="491"/>
      <c r="DY3" s="491"/>
      <c r="DZ3" s="491"/>
      <c r="EA3" s="1151" t="s">
        <v>1099</v>
      </c>
      <c r="EB3" s="1151"/>
      <c r="EC3" s="1151"/>
      <c r="ED3" s="1151"/>
      <c r="EE3" s="1151"/>
      <c r="EF3" s="1151"/>
      <c r="EG3" s="1151"/>
      <c r="EH3" s="1151"/>
      <c r="EI3" s="1151"/>
      <c r="EJ3" s="1151"/>
      <c r="EK3" s="1151"/>
      <c r="EL3" s="1151"/>
      <c r="EM3" s="1148"/>
      <c r="EN3" s="1148"/>
      <c r="FJ3" s="491"/>
      <c r="FK3" s="491"/>
      <c r="FL3" s="491"/>
      <c r="GC3" s="1151" t="s">
        <v>1098</v>
      </c>
      <c r="GD3" s="1151"/>
      <c r="GE3" s="1151"/>
      <c r="GF3" s="1151"/>
      <c r="GG3" s="1151"/>
      <c r="GH3" s="1151"/>
      <c r="GI3" s="1151"/>
      <c r="GJ3" s="1151"/>
      <c r="GK3" s="1151"/>
      <c r="GL3" s="1151"/>
      <c r="GM3" s="1151"/>
      <c r="GN3" s="1151"/>
      <c r="GO3" s="505"/>
      <c r="GP3" s="505"/>
      <c r="GQ3" s="1151" t="s">
        <v>1098</v>
      </c>
      <c r="GR3" s="1151"/>
      <c r="GS3" s="1151"/>
      <c r="GT3" s="1151"/>
      <c r="GU3" s="1151"/>
      <c r="GV3" s="1151"/>
      <c r="GW3" s="1151"/>
      <c r="GX3" s="1151"/>
      <c r="GY3" s="1151"/>
      <c r="GZ3" s="1151"/>
      <c r="HA3" s="1151"/>
      <c r="HB3" s="1151"/>
      <c r="HC3" s="1148"/>
      <c r="HD3" s="1148"/>
      <c r="IH3" s="176" t="s">
        <v>41</v>
      </c>
      <c r="II3" s="176" t="s">
        <v>41</v>
      </c>
      <c r="IJ3" s="176" t="s">
        <v>41</v>
      </c>
      <c r="IK3" s="176" t="s">
        <v>41</v>
      </c>
      <c r="IL3" s="176" t="s">
        <v>41</v>
      </c>
      <c r="IM3" s="176" t="s">
        <v>41</v>
      </c>
      <c r="IN3" s="176" t="s">
        <v>41</v>
      </c>
      <c r="IO3" s="176" t="s">
        <v>42</v>
      </c>
      <c r="IP3" s="176" t="s">
        <v>42</v>
      </c>
      <c r="IQ3" s="176" t="s">
        <v>42</v>
      </c>
      <c r="IR3" s="176" t="s">
        <v>42</v>
      </c>
      <c r="IS3" s="176" t="s">
        <v>42</v>
      </c>
      <c r="IT3" s="176" t="s">
        <v>42</v>
      </c>
      <c r="IU3" s="176" t="s">
        <v>42</v>
      </c>
      <c r="IV3" s="176" t="s">
        <v>41</v>
      </c>
      <c r="IW3" s="176" t="s">
        <v>41</v>
      </c>
      <c r="IX3" s="176" t="s">
        <v>41</v>
      </c>
      <c r="IY3" s="176" t="s">
        <v>41</v>
      </c>
      <c r="IZ3" s="176" t="s">
        <v>41</v>
      </c>
      <c r="JA3" s="176" t="s">
        <v>41</v>
      </c>
      <c r="JB3" s="176" t="s">
        <v>41</v>
      </c>
      <c r="JC3" s="176" t="s">
        <v>42</v>
      </c>
      <c r="JD3" s="176" t="s">
        <v>42</v>
      </c>
      <c r="JE3" s="176" t="s">
        <v>42</v>
      </c>
      <c r="JF3" s="176" t="s">
        <v>42</v>
      </c>
      <c r="JG3" s="176" t="s">
        <v>42</v>
      </c>
      <c r="JH3" s="176" t="s">
        <v>42</v>
      </c>
      <c r="JI3" s="176" t="s">
        <v>42</v>
      </c>
      <c r="JJ3" s="176" t="s">
        <v>41</v>
      </c>
      <c r="JK3" s="176" t="s">
        <v>41</v>
      </c>
      <c r="JL3" s="176" t="s">
        <v>41</v>
      </c>
      <c r="JM3" s="176" t="s">
        <v>41</v>
      </c>
      <c r="JN3" s="176" t="s">
        <v>41</v>
      </c>
      <c r="JO3" s="176" t="s">
        <v>41</v>
      </c>
      <c r="JP3" s="176" t="s">
        <v>41</v>
      </c>
      <c r="JQ3" s="176" t="s">
        <v>42</v>
      </c>
      <c r="JR3" s="176" t="s">
        <v>42</v>
      </c>
      <c r="JS3" s="176" t="s">
        <v>42</v>
      </c>
      <c r="JT3" s="176" t="s">
        <v>42</v>
      </c>
      <c r="JU3" s="176" t="s">
        <v>42</v>
      </c>
      <c r="JV3" s="176" t="s">
        <v>42</v>
      </c>
      <c r="JW3" s="176" t="s">
        <v>42</v>
      </c>
      <c r="JX3" s="176" t="s">
        <v>41</v>
      </c>
      <c r="JY3" s="176" t="s">
        <v>41</v>
      </c>
      <c r="JZ3" s="176" t="s">
        <v>41</v>
      </c>
      <c r="KA3" s="176" t="s">
        <v>41</v>
      </c>
      <c r="KB3" s="176" t="s">
        <v>41</v>
      </c>
      <c r="KC3" s="176" t="s">
        <v>41</v>
      </c>
      <c r="KD3" s="176" t="s">
        <v>41</v>
      </c>
      <c r="KE3" s="176" t="s">
        <v>42</v>
      </c>
      <c r="KF3" s="176" t="s">
        <v>42</v>
      </c>
      <c r="KG3" s="176" t="s">
        <v>42</v>
      </c>
      <c r="KH3" s="176" t="s">
        <v>42</v>
      </c>
      <c r="KI3" s="176" t="s">
        <v>42</v>
      </c>
      <c r="KJ3" s="176" t="s">
        <v>42</v>
      </c>
      <c r="KK3" s="176" t="s">
        <v>42</v>
      </c>
      <c r="KL3" s="176" t="s">
        <v>41</v>
      </c>
      <c r="KM3" s="176" t="s">
        <v>41</v>
      </c>
      <c r="KN3" s="176" t="s">
        <v>41</v>
      </c>
      <c r="KO3" s="176" t="s">
        <v>41</v>
      </c>
      <c r="KP3" s="176" t="s">
        <v>41</v>
      </c>
      <c r="KQ3" s="176" t="s">
        <v>41</v>
      </c>
      <c r="KR3" s="176" t="s">
        <v>41</v>
      </c>
      <c r="KS3" s="176" t="s">
        <v>42</v>
      </c>
      <c r="KT3" s="176" t="s">
        <v>42</v>
      </c>
      <c r="KU3" s="176" t="s">
        <v>42</v>
      </c>
      <c r="KV3" s="176" t="s">
        <v>42</v>
      </c>
      <c r="KW3" s="176" t="s">
        <v>42</v>
      </c>
      <c r="KX3" s="176" t="s">
        <v>42</v>
      </c>
      <c r="KY3" s="176" t="s">
        <v>42</v>
      </c>
      <c r="KZ3" s="176" t="s">
        <v>41</v>
      </c>
      <c r="LA3" s="176" t="s">
        <v>41</v>
      </c>
      <c r="LB3" s="176" t="s">
        <v>41</v>
      </c>
      <c r="LC3" s="176" t="s">
        <v>41</v>
      </c>
      <c r="LD3" s="176" t="s">
        <v>41</v>
      </c>
      <c r="LE3" s="176" t="s">
        <v>41</v>
      </c>
      <c r="LF3" s="176" t="s">
        <v>41</v>
      </c>
      <c r="LG3" s="176" t="s">
        <v>42</v>
      </c>
      <c r="LH3" s="176" t="s">
        <v>42</v>
      </c>
      <c r="LI3" s="176" t="s">
        <v>42</v>
      </c>
      <c r="LJ3" s="176" t="s">
        <v>42</v>
      </c>
      <c r="LK3" s="176" t="s">
        <v>42</v>
      </c>
      <c r="LL3" s="176" t="s">
        <v>42</v>
      </c>
      <c r="LM3" s="176" t="s">
        <v>42</v>
      </c>
      <c r="LN3" s="176" t="s">
        <v>41</v>
      </c>
      <c r="LO3" s="176" t="s">
        <v>41</v>
      </c>
      <c r="LP3" s="176" t="s">
        <v>41</v>
      </c>
      <c r="LQ3" s="176" t="s">
        <v>41</v>
      </c>
      <c r="LR3" s="176" t="s">
        <v>41</v>
      </c>
      <c r="LS3" s="176" t="s">
        <v>41</v>
      </c>
      <c r="LT3" s="176" t="s">
        <v>41</v>
      </c>
      <c r="LU3" s="176" t="s">
        <v>42</v>
      </c>
      <c r="LV3" s="176" t="s">
        <v>42</v>
      </c>
      <c r="LW3" s="176" t="s">
        <v>42</v>
      </c>
      <c r="LX3" s="176" t="s">
        <v>42</v>
      </c>
      <c r="LY3" s="176" t="s">
        <v>42</v>
      </c>
      <c r="LZ3" s="176" t="s">
        <v>42</v>
      </c>
      <c r="MA3" s="176" t="s">
        <v>42</v>
      </c>
      <c r="MB3" s="176" t="s">
        <v>41</v>
      </c>
      <c r="MC3" s="176" t="s">
        <v>41</v>
      </c>
      <c r="MD3" s="176" t="s">
        <v>41</v>
      </c>
      <c r="ME3" s="176" t="s">
        <v>41</v>
      </c>
      <c r="MF3" s="176" t="s">
        <v>41</v>
      </c>
      <c r="MG3" s="176" t="s">
        <v>41</v>
      </c>
      <c r="MH3" s="176" t="s">
        <v>41</v>
      </c>
      <c r="MI3" s="176" t="s">
        <v>42</v>
      </c>
      <c r="MJ3" s="176" t="s">
        <v>42</v>
      </c>
      <c r="MK3" s="176" t="s">
        <v>42</v>
      </c>
      <c r="ML3" s="176" t="s">
        <v>42</v>
      </c>
      <c r="MM3" s="176" t="s">
        <v>42</v>
      </c>
      <c r="MN3" s="176" t="s">
        <v>42</v>
      </c>
      <c r="MO3" s="176" t="s">
        <v>42</v>
      </c>
      <c r="MP3" s="176" t="s">
        <v>41</v>
      </c>
      <c r="MQ3" s="176" t="s">
        <v>41</v>
      </c>
      <c r="MR3" s="176" t="s">
        <v>41</v>
      </c>
      <c r="MS3" s="176" t="s">
        <v>41</v>
      </c>
      <c r="MT3" s="176" t="s">
        <v>41</v>
      </c>
      <c r="MU3" s="176" t="s">
        <v>41</v>
      </c>
      <c r="MV3" s="176" t="s">
        <v>41</v>
      </c>
      <c r="MW3" s="176" t="s">
        <v>42</v>
      </c>
      <c r="MX3" s="176" t="s">
        <v>42</v>
      </c>
      <c r="MY3" s="176" t="s">
        <v>42</v>
      </c>
      <c r="MZ3" s="176" t="s">
        <v>42</v>
      </c>
      <c r="NA3" s="176" t="s">
        <v>42</v>
      </c>
      <c r="NB3" s="176" t="s">
        <v>42</v>
      </c>
      <c r="NC3" s="176" t="s">
        <v>42</v>
      </c>
    </row>
    <row r="5" spans="1:375" s="222" customFormat="1" ht="20" x14ac:dyDescent="0.25">
      <c r="A5" s="230" t="s">
        <v>37</v>
      </c>
      <c r="B5" s="230" t="s">
        <v>694</v>
      </c>
      <c r="C5" s="230"/>
      <c r="D5" s="230"/>
      <c r="E5" s="230"/>
      <c r="F5" s="230"/>
      <c r="G5" s="230"/>
      <c r="H5" s="230"/>
      <c r="I5" s="230"/>
      <c r="J5" s="230"/>
      <c r="K5" s="230"/>
      <c r="L5" s="230"/>
      <c r="M5" s="230"/>
      <c r="N5" s="231" t="s">
        <v>695</v>
      </c>
      <c r="O5" s="1229" t="s">
        <v>693</v>
      </c>
      <c r="P5" s="1229"/>
      <c r="Q5" s="1229"/>
      <c r="R5" s="1229"/>
      <c r="S5" s="1229"/>
      <c r="T5" s="1229"/>
      <c r="U5" s="1229"/>
      <c r="V5" s="1229"/>
      <c r="W5" s="1229"/>
      <c r="X5" s="1229"/>
      <c r="Y5" s="1229"/>
      <c r="Z5" s="1229"/>
      <c r="AA5" s="1229"/>
      <c r="AB5" s="1229"/>
      <c r="AC5" s="1229"/>
      <c r="AD5" s="231" t="s">
        <v>6</v>
      </c>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t="s">
        <v>1077</v>
      </c>
      <c r="BE5" s="230"/>
      <c r="BF5" s="230"/>
      <c r="BG5" s="230"/>
      <c r="BH5" s="230"/>
      <c r="BI5" s="230"/>
      <c r="BJ5" s="230"/>
      <c r="BK5" s="230"/>
      <c r="BL5" s="230"/>
      <c r="BM5" s="230"/>
      <c r="BN5" s="230"/>
      <c r="BO5" s="230"/>
      <c r="BP5" s="230"/>
      <c r="BQ5" s="230"/>
      <c r="BR5" s="230"/>
      <c r="BS5" s="230"/>
      <c r="BT5" s="230"/>
      <c r="BU5" s="230"/>
      <c r="BV5" s="230"/>
      <c r="BW5" s="230"/>
      <c r="BX5" s="230"/>
      <c r="BY5" s="230"/>
      <c r="BZ5" s="230"/>
      <c r="CA5" s="230"/>
      <c r="CB5" s="230"/>
      <c r="CC5" s="230"/>
      <c r="CD5" s="230"/>
      <c r="CE5" s="230"/>
      <c r="CF5" s="230"/>
      <c r="CG5" s="230"/>
      <c r="CH5" s="230"/>
      <c r="CI5" s="230"/>
      <c r="CJ5" s="230"/>
      <c r="CK5" s="230"/>
      <c r="CL5" s="232" t="s">
        <v>7</v>
      </c>
      <c r="CM5" s="230" t="s">
        <v>20</v>
      </c>
      <c r="CN5" s="230"/>
      <c r="CO5" s="230"/>
      <c r="CP5" s="230"/>
      <c r="CQ5" s="230"/>
      <c r="CR5" s="230"/>
      <c r="CS5" s="1196" t="s">
        <v>8</v>
      </c>
      <c r="CT5" s="1196"/>
      <c r="CU5" s="230" t="s">
        <v>21</v>
      </c>
      <c r="CV5" s="230"/>
      <c r="CW5" s="230"/>
      <c r="CX5" s="230"/>
      <c r="CY5" s="230"/>
      <c r="CZ5" s="230"/>
      <c r="DA5" s="230"/>
      <c r="DB5" s="230"/>
      <c r="DC5" s="230"/>
      <c r="DD5" s="230"/>
      <c r="DE5" s="230"/>
      <c r="DF5" s="230"/>
      <c r="DG5" s="230"/>
      <c r="DH5" s="230"/>
      <c r="DJ5" s="230" t="s">
        <v>698</v>
      </c>
      <c r="DK5" s="230"/>
      <c r="DL5" s="230"/>
      <c r="DM5" s="230"/>
      <c r="DN5" s="230"/>
      <c r="DO5" s="230"/>
      <c r="DP5" s="230"/>
      <c r="DQ5" s="230"/>
      <c r="DR5" s="230"/>
      <c r="DS5" s="230"/>
      <c r="DT5" s="230"/>
      <c r="DU5" s="230"/>
      <c r="DV5" s="230"/>
      <c r="DW5" s="230"/>
      <c r="DX5" s="230"/>
      <c r="DY5" s="230"/>
      <c r="DZ5" s="230"/>
      <c r="EA5" s="230"/>
      <c r="EB5" s="230"/>
      <c r="EC5" s="230"/>
      <c r="ED5" s="230"/>
      <c r="EE5" s="230"/>
      <c r="EF5" s="230"/>
      <c r="EG5" s="230"/>
      <c r="EH5" s="230"/>
      <c r="EI5" s="230"/>
      <c r="EJ5" s="230"/>
      <c r="EK5" s="230"/>
      <c r="EL5" s="230"/>
      <c r="EM5" s="230"/>
      <c r="EN5" s="230"/>
      <c r="EP5" s="230" t="s">
        <v>710</v>
      </c>
      <c r="EQ5" s="230"/>
      <c r="ER5" s="230"/>
      <c r="ES5" s="230"/>
      <c r="ET5" s="230"/>
      <c r="EU5" s="230"/>
      <c r="EV5" s="230"/>
      <c r="EW5" s="230"/>
      <c r="EX5" s="230"/>
      <c r="EY5" s="230"/>
      <c r="EZ5" s="230"/>
      <c r="FA5" s="230"/>
      <c r="FB5" s="230"/>
      <c r="FC5" s="230"/>
      <c r="FD5" s="230"/>
      <c r="FE5" s="230"/>
      <c r="FF5" s="230"/>
      <c r="FG5" s="230"/>
      <c r="FH5" s="230"/>
      <c r="FI5" s="230"/>
      <c r="FJ5" s="230"/>
      <c r="FK5" s="230"/>
      <c r="FL5" s="230"/>
      <c r="FM5" s="230"/>
      <c r="FN5" s="230"/>
      <c r="FO5" s="230"/>
      <c r="FP5" s="230"/>
      <c r="FQ5" s="230"/>
      <c r="FR5" s="230"/>
      <c r="FS5" s="230"/>
      <c r="FT5" s="230"/>
      <c r="FU5" s="230"/>
      <c r="FV5" s="230"/>
      <c r="FW5" s="230"/>
      <c r="FX5" s="230"/>
      <c r="FY5" s="230"/>
      <c r="FZ5" s="230"/>
      <c r="GA5" s="230"/>
      <c r="GB5" s="230"/>
      <c r="GC5" s="230"/>
      <c r="GD5" s="230"/>
      <c r="GE5" s="230"/>
      <c r="GF5" s="230"/>
      <c r="GG5" s="230"/>
      <c r="GH5" s="230"/>
      <c r="GI5" s="230"/>
      <c r="GJ5" s="230"/>
      <c r="GK5" s="230"/>
      <c r="GL5" s="230"/>
      <c r="GM5" s="230"/>
      <c r="GN5" s="230"/>
      <c r="GO5" s="230"/>
      <c r="GP5" s="230"/>
      <c r="GQ5" s="230"/>
      <c r="GR5" s="230"/>
      <c r="GS5" s="230"/>
      <c r="GT5" s="230"/>
      <c r="GU5" s="230"/>
      <c r="GV5" s="230"/>
      <c r="GW5" s="230"/>
      <c r="GX5" s="230"/>
      <c r="GY5" s="230"/>
      <c r="GZ5" s="230"/>
      <c r="HA5" s="230"/>
      <c r="HB5" s="230"/>
      <c r="HC5" s="230"/>
      <c r="HD5" s="230"/>
      <c r="HE5" s="223"/>
      <c r="HF5" s="230" t="s">
        <v>1094</v>
      </c>
      <c r="HG5" s="230"/>
      <c r="HH5" s="230"/>
      <c r="HI5" s="230"/>
      <c r="HJ5" s="230"/>
      <c r="HK5" s="230"/>
      <c r="HL5" s="230"/>
      <c r="HM5" s="230"/>
      <c r="HN5" s="230"/>
      <c r="HO5" s="230"/>
      <c r="HP5" s="230"/>
      <c r="HQ5" s="230"/>
      <c r="HR5" s="230"/>
      <c r="HS5" s="230"/>
      <c r="HT5" s="230"/>
      <c r="HU5" s="230"/>
      <c r="HV5" s="230"/>
      <c r="HW5" s="230"/>
      <c r="HX5" s="223"/>
      <c r="HY5" s="230" t="s">
        <v>1108</v>
      </c>
      <c r="HZ5" s="230"/>
      <c r="IA5" s="230"/>
      <c r="IB5" s="230"/>
      <c r="IC5" s="230"/>
      <c r="ID5" s="230"/>
      <c r="IE5" s="230"/>
      <c r="IF5" s="230"/>
      <c r="IG5" s="230"/>
      <c r="IH5" s="230"/>
      <c r="II5" s="230"/>
      <c r="IJ5" s="230"/>
      <c r="IK5" s="230"/>
      <c r="IL5" s="230"/>
      <c r="IM5" s="230"/>
      <c r="IN5" s="230"/>
      <c r="IO5" s="230"/>
      <c r="IP5" s="230"/>
      <c r="IQ5" s="230"/>
      <c r="IR5" s="230"/>
      <c r="IS5" s="230"/>
      <c r="IT5" s="230"/>
      <c r="IU5" s="230"/>
      <c r="IV5" s="230"/>
      <c r="IW5" s="230"/>
      <c r="IX5" s="230"/>
      <c r="IY5" s="230"/>
      <c r="IZ5" s="230"/>
      <c r="JA5" s="230"/>
      <c r="JB5" s="230"/>
      <c r="JC5" s="230"/>
      <c r="JD5" s="230"/>
      <c r="JE5" s="230"/>
      <c r="JF5" s="230"/>
      <c r="JG5" s="230"/>
      <c r="JH5" s="230"/>
      <c r="JI5" s="230"/>
      <c r="JJ5" s="230"/>
      <c r="JK5" s="230"/>
      <c r="JL5" s="230"/>
      <c r="JM5" s="230"/>
      <c r="JN5" s="230"/>
      <c r="JO5" s="230"/>
      <c r="JP5" s="230"/>
      <c r="JQ5" s="230"/>
      <c r="JR5" s="230"/>
      <c r="JS5" s="230"/>
      <c r="JT5" s="230"/>
      <c r="JU5" s="230"/>
      <c r="JV5" s="230"/>
      <c r="JW5" s="230"/>
      <c r="JX5" s="230"/>
      <c r="JY5" s="230"/>
      <c r="JZ5" s="230"/>
      <c r="KA5" s="230"/>
      <c r="KB5" s="230"/>
      <c r="KC5" s="230"/>
      <c r="KD5" s="230"/>
      <c r="KE5" s="230"/>
      <c r="KF5" s="230"/>
      <c r="KG5" s="230"/>
      <c r="KH5" s="230"/>
      <c r="KI5" s="230"/>
      <c r="KJ5" s="230"/>
      <c r="KK5" s="230"/>
      <c r="KL5" s="230"/>
      <c r="KM5" s="230"/>
      <c r="KN5" s="230"/>
      <c r="KO5" s="230"/>
      <c r="KP5" s="230"/>
      <c r="KQ5" s="230"/>
      <c r="KR5" s="230"/>
      <c r="KS5" s="230"/>
      <c r="KT5" s="230"/>
      <c r="KU5" s="230"/>
      <c r="KV5" s="230"/>
      <c r="KW5" s="230"/>
      <c r="KX5" s="230"/>
      <c r="KY5" s="230"/>
      <c r="KZ5" s="230"/>
      <c r="LA5" s="230"/>
      <c r="LB5" s="230"/>
      <c r="LC5" s="230"/>
      <c r="LD5" s="230"/>
      <c r="LE5" s="230"/>
      <c r="LF5" s="230"/>
      <c r="LG5" s="230"/>
      <c r="LH5" s="230"/>
      <c r="LI5" s="230"/>
      <c r="LJ5" s="230"/>
      <c r="LK5" s="230"/>
      <c r="LL5" s="230"/>
      <c r="LM5" s="230"/>
      <c r="LN5" s="230"/>
      <c r="LO5" s="230"/>
      <c r="LP5" s="230"/>
      <c r="LQ5" s="230"/>
      <c r="LR5" s="230"/>
      <c r="LS5" s="230"/>
      <c r="LT5" s="230"/>
      <c r="LU5" s="230"/>
      <c r="LV5" s="230"/>
      <c r="LW5" s="230"/>
      <c r="LX5" s="230"/>
      <c r="LY5" s="230"/>
      <c r="LZ5" s="230"/>
      <c r="MA5" s="230"/>
      <c r="MB5" s="230"/>
      <c r="MC5" s="230"/>
      <c r="MD5" s="230"/>
      <c r="ME5" s="230"/>
      <c r="MF5" s="230"/>
      <c r="MG5" s="230"/>
      <c r="MH5" s="230"/>
      <c r="MI5" s="230"/>
      <c r="MJ5" s="230"/>
      <c r="MK5" s="230"/>
      <c r="ML5" s="230"/>
      <c r="MM5" s="230"/>
      <c r="MN5" s="230"/>
      <c r="MO5" s="230"/>
      <c r="MP5" s="230"/>
      <c r="MQ5" s="230"/>
      <c r="MR5" s="230"/>
      <c r="MS5" s="230"/>
      <c r="MT5" s="230"/>
      <c r="MU5" s="230"/>
      <c r="MV5" s="230"/>
      <c r="MW5" s="230"/>
      <c r="MX5" s="230"/>
      <c r="MY5" s="230"/>
      <c r="MZ5" s="230"/>
      <c r="NA5" s="230"/>
      <c r="NB5" s="230"/>
      <c r="NC5" s="230"/>
      <c r="ND5" s="223"/>
      <c r="NE5" s="223"/>
      <c r="NF5" s="223"/>
      <c r="NG5" s="223"/>
      <c r="NH5" s="223"/>
      <c r="NI5" s="223"/>
      <c r="NJ5" s="223"/>
      <c r="NK5" s="223"/>
    </row>
    <row r="6" spans="1:375" ht="19" thickBot="1" x14ac:dyDescent="0.3">
      <c r="HF6" s="1"/>
      <c r="HG6" s="1"/>
      <c r="HH6" s="1"/>
      <c r="HI6" s="1"/>
      <c r="HJ6" s="1"/>
      <c r="HK6" s="1"/>
      <c r="HL6" s="1"/>
      <c r="HM6" s="1"/>
      <c r="HN6" s="1"/>
      <c r="HO6" s="1"/>
      <c r="HP6" s="1"/>
      <c r="HQ6" s="1"/>
      <c r="HR6" s="1"/>
      <c r="HS6" s="1"/>
      <c r="HT6" s="1"/>
      <c r="HU6" s="1"/>
      <c r="HV6" s="1"/>
      <c r="HW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row>
    <row r="7" spans="1:375" s="225" customFormat="1" ht="44" customHeight="1" x14ac:dyDescent="0.3">
      <c r="A7" s="1274" t="s">
        <v>1</v>
      </c>
      <c r="B7" s="1155" t="s">
        <v>13</v>
      </c>
      <c r="C7" s="1156"/>
      <c r="D7" s="1156"/>
      <c r="E7" s="1156"/>
      <c r="F7" s="1156"/>
      <c r="G7" s="1156"/>
      <c r="H7" s="1156"/>
      <c r="I7" s="1156"/>
      <c r="J7" s="1156"/>
      <c r="K7" s="1156"/>
      <c r="L7" s="1156"/>
      <c r="M7" s="1157"/>
      <c r="N7" s="1155" t="s">
        <v>1642</v>
      </c>
      <c r="O7" s="1156"/>
      <c r="P7" s="1156"/>
      <c r="Q7" s="1156"/>
      <c r="R7" s="1156"/>
      <c r="S7" s="1156"/>
      <c r="T7" s="1156"/>
      <c r="U7" s="1156"/>
      <c r="V7" s="1156"/>
      <c r="W7" s="1156"/>
      <c r="X7" s="1156"/>
      <c r="Y7" s="1156"/>
      <c r="Z7" s="1156"/>
      <c r="AA7" s="1156"/>
      <c r="AB7" s="1156"/>
      <c r="AC7" s="1207"/>
      <c r="AD7" s="1276" t="s">
        <v>395</v>
      </c>
      <c r="AE7" s="1277"/>
      <c r="AF7" s="1277"/>
      <c r="AG7" s="1277"/>
      <c r="AH7" s="1277"/>
      <c r="AI7" s="1277"/>
      <c r="AJ7" s="1277"/>
      <c r="AK7" s="1277"/>
      <c r="AL7" s="1277"/>
      <c r="AM7" s="1277"/>
      <c r="AN7" s="1277"/>
      <c r="AO7" s="1277"/>
      <c r="AP7" s="1277"/>
      <c r="AQ7" s="1277"/>
      <c r="AR7" s="1277"/>
      <c r="AS7" s="1277"/>
      <c r="AT7" s="1277"/>
      <c r="AU7" s="1278"/>
      <c r="AV7" s="1195" t="s">
        <v>51</v>
      </c>
      <c r="AW7" s="1156"/>
      <c r="AX7" s="1156"/>
      <c r="AY7" s="1156"/>
      <c r="AZ7" s="1156"/>
      <c r="BA7" s="1156"/>
      <c r="BB7" s="1156"/>
      <c r="BC7" s="1156"/>
      <c r="BD7" s="1156"/>
      <c r="BE7" s="1156"/>
      <c r="BF7" s="1156"/>
      <c r="BG7" s="1156"/>
      <c r="BH7" s="1156"/>
      <c r="BI7" s="1156"/>
      <c r="BJ7" s="1156"/>
      <c r="BK7" s="1156"/>
      <c r="BL7" s="1156"/>
      <c r="BM7" s="1156"/>
      <c r="BN7" s="1195" t="s">
        <v>52</v>
      </c>
      <c r="BO7" s="1156"/>
      <c r="BP7" s="1156"/>
      <c r="BQ7" s="1156"/>
      <c r="BR7" s="1156"/>
      <c r="BS7" s="1156"/>
      <c r="BT7" s="1156"/>
      <c r="BU7" s="1156"/>
      <c r="BV7" s="1156"/>
      <c r="BW7" s="1156"/>
      <c r="BX7" s="1156"/>
      <c r="BY7" s="1156"/>
      <c r="BZ7" s="1156"/>
      <c r="CA7" s="1156"/>
      <c r="CB7" s="1156"/>
      <c r="CC7" s="1156"/>
      <c r="CD7" s="1156"/>
      <c r="CE7" s="1156"/>
      <c r="CF7" s="1183" t="s">
        <v>1087</v>
      </c>
      <c r="CG7" s="1183"/>
      <c r="CH7" s="1183"/>
      <c r="CI7" s="1183"/>
      <c r="CJ7" s="1183"/>
      <c r="CK7" s="1183"/>
      <c r="CL7" s="224"/>
      <c r="CM7" s="1155" t="s">
        <v>707</v>
      </c>
      <c r="CN7" s="1156"/>
      <c r="CO7" s="1156"/>
      <c r="CP7" s="1156"/>
      <c r="CQ7" s="1156"/>
      <c r="CR7" s="1157"/>
      <c r="CS7" s="1201" t="s">
        <v>17</v>
      </c>
      <c r="CT7" s="1202"/>
      <c r="CU7" s="1202"/>
      <c r="CV7" s="1203"/>
      <c r="CW7" s="1195" t="s">
        <v>2111</v>
      </c>
      <c r="CX7" s="1156"/>
      <c r="CY7" s="1156"/>
      <c r="CZ7" s="1156"/>
      <c r="DA7" s="1156"/>
      <c r="DB7" s="1156"/>
      <c r="DC7" s="1156"/>
      <c r="DD7" s="1156"/>
      <c r="DE7" s="1156"/>
      <c r="DF7" s="1156"/>
      <c r="DG7" s="1156"/>
      <c r="DH7" s="1157"/>
      <c r="DJ7" s="1155" t="s">
        <v>1078</v>
      </c>
      <c r="DK7" s="1156"/>
      <c r="DL7" s="1156"/>
      <c r="DM7" s="1156"/>
      <c r="DN7" s="1156"/>
      <c r="DO7" s="1157"/>
      <c r="DP7" s="1155" t="s">
        <v>22</v>
      </c>
      <c r="DQ7" s="1156"/>
      <c r="DR7" s="1156"/>
      <c r="DS7" s="1156"/>
      <c r="DT7" s="1157"/>
      <c r="DU7" s="1152" t="s">
        <v>1080</v>
      </c>
      <c r="DV7" s="1153"/>
      <c r="DW7" s="1153"/>
      <c r="DX7" s="1153"/>
      <c r="DY7" s="1153"/>
      <c r="DZ7" s="1154"/>
      <c r="EA7" s="1156" t="s">
        <v>1090</v>
      </c>
      <c r="EB7" s="1156"/>
      <c r="EC7" s="1156"/>
      <c r="ED7" s="1156"/>
      <c r="EE7" s="1156"/>
      <c r="EF7" s="1156"/>
      <c r="EG7" s="1156"/>
      <c r="EH7" s="1156"/>
      <c r="EI7" s="1156"/>
      <c r="EJ7" s="1156"/>
      <c r="EK7" s="1156"/>
      <c r="EL7" s="1156"/>
      <c r="EM7" s="1156"/>
      <c r="EN7" s="1157"/>
      <c r="EP7" s="1155" t="s">
        <v>708</v>
      </c>
      <c r="EQ7" s="1156"/>
      <c r="ER7" s="1156"/>
      <c r="ES7" s="1156"/>
      <c r="ET7" s="1156"/>
      <c r="EU7" s="1156"/>
      <c r="EV7" s="1156"/>
      <c r="EW7" s="1156"/>
      <c r="EX7" s="1156"/>
      <c r="EY7" s="1156"/>
      <c r="EZ7" s="1156"/>
      <c r="FA7" s="1156"/>
      <c r="FB7" s="1195" t="s">
        <v>709</v>
      </c>
      <c r="FC7" s="1156"/>
      <c r="FD7" s="1156"/>
      <c r="FE7" s="1156"/>
      <c r="FF7" s="1156"/>
      <c r="FG7" s="1156"/>
      <c r="FH7" s="1156"/>
      <c r="FI7" s="1156"/>
      <c r="FJ7" s="1160" t="s">
        <v>39</v>
      </c>
      <c r="FK7" s="1161"/>
      <c r="FL7" s="1161"/>
      <c r="FM7" s="1161"/>
      <c r="FN7" s="1161"/>
      <c r="FO7" s="1161"/>
      <c r="FP7" s="1161"/>
      <c r="FQ7" s="1161"/>
      <c r="FR7" s="1162"/>
      <c r="FS7" s="1152" t="s">
        <v>1403</v>
      </c>
      <c r="FT7" s="1154"/>
      <c r="FU7" s="1155" t="s">
        <v>28</v>
      </c>
      <c r="FV7" s="1156"/>
      <c r="FW7" s="1156"/>
      <c r="FX7" s="1156"/>
      <c r="FY7" s="1156"/>
      <c r="FZ7" s="1156"/>
      <c r="GA7" s="1156"/>
      <c r="GB7" s="1157"/>
      <c r="GC7" s="1155" t="s">
        <v>1091</v>
      </c>
      <c r="GD7" s="1156"/>
      <c r="GE7" s="1156"/>
      <c r="GF7" s="1156"/>
      <c r="GG7" s="1156"/>
      <c r="GH7" s="1156"/>
      <c r="GI7" s="1156"/>
      <c r="GJ7" s="1156"/>
      <c r="GK7" s="1156"/>
      <c r="GL7" s="1156"/>
      <c r="GM7" s="1156"/>
      <c r="GN7" s="1200"/>
      <c r="GO7" s="359"/>
      <c r="GP7" s="359"/>
      <c r="GQ7" s="1155" t="s">
        <v>1092</v>
      </c>
      <c r="GR7" s="1156"/>
      <c r="GS7" s="1156"/>
      <c r="GT7" s="1156"/>
      <c r="GU7" s="1156"/>
      <c r="GV7" s="1156"/>
      <c r="GW7" s="1156"/>
      <c r="GX7" s="1156"/>
      <c r="GY7" s="1156"/>
      <c r="GZ7" s="1156"/>
      <c r="HA7" s="1156"/>
      <c r="HB7" s="1156"/>
      <c r="HC7" s="1156"/>
      <c r="HD7" s="1157"/>
      <c r="HE7" s="226"/>
      <c r="HF7" s="1155" t="s">
        <v>1095</v>
      </c>
      <c r="HG7" s="1156"/>
      <c r="HH7" s="1156"/>
      <c r="HI7" s="1156"/>
      <c r="HJ7" s="1156"/>
      <c r="HK7" s="1177"/>
      <c r="HL7" s="1178" t="s">
        <v>1096</v>
      </c>
      <c r="HM7" s="1156"/>
      <c r="HN7" s="1156"/>
      <c r="HO7" s="1156"/>
      <c r="HP7" s="1156"/>
      <c r="HQ7" s="1177"/>
      <c r="HR7" s="1178" t="s">
        <v>1097</v>
      </c>
      <c r="HS7" s="1156"/>
      <c r="HT7" s="1156"/>
      <c r="HU7" s="1156"/>
      <c r="HV7" s="1156"/>
      <c r="HW7" s="1156"/>
      <c r="HX7" s="226"/>
      <c r="HY7" s="1155" t="s">
        <v>1103</v>
      </c>
      <c r="HZ7" s="1156"/>
      <c r="IA7" s="1156"/>
      <c r="IB7" s="1156"/>
      <c r="IC7" s="1156"/>
      <c r="ID7" s="1156"/>
      <c r="IE7" s="1156"/>
      <c r="IF7" s="1177"/>
      <c r="IG7" s="226"/>
      <c r="IH7" s="882"/>
      <c r="II7" s="882"/>
      <c r="IJ7" s="1156" t="s">
        <v>1114</v>
      </c>
      <c r="IK7" s="1156"/>
      <c r="IL7" s="1156"/>
      <c r="IM7" s="1156"/>
      <c r="IN7" s="1156"/>
      <c r="IO7" s="1156"/>
      <c r="IP7" s="1156"/>
      <c r="IQ7" s="1156"/>
      <c r="IR7" s="1156"/>
      <c r="IS7" s="1156"/>
      <c r="IT7" s="1156"/>
      <c r="IU7" s="1156"/>
      <c r="IV7" s="1156"/>
      <c r="IW7" s="1156"/>
      <c r="IX7" s="1156"/>
      <c r="IY7" s="1156"/>
      <c r="IZ7" s="1156"/>
      <c r="JA7" s="1156"/>
      <c r="JB7" s="1156"/>
      <c r="JC7" s="1156"/>
      <c r="JD7" s="1156"/>
      <c r="JE7" s="1156"/>
      <c r="JF7" s="1156"/>
      <c r="JG7" s="1156"/>
      <c r="JH7" s="1156"/>
      <c r="JI7" s="1156"/>
      <c r="JJ7" s="1156"/>
      <c r="JK7" s="1156"/>
      <c r="JL7" s="1156"/>
      <c r="JM7" s="1156"/>
      <c r="JN7" s="1156"/>
      <c r="JO7" s="1156"/>
      <c r="JP7" s="1156"/>
      <c r="JQ7" s="1156"/>
      <c r="JR7" s="1156"/>
      <c r="JS7" s="1156"/>
      <c r="JT7" s="1156"/>
      <c r="JU7" s="1156"/>
      <c r="JV7" s="1156"/>
      <c r="JW7" s="1157"/>
      <c r="JX7" s="881"/>
      <c r="JY7" s="1030"/>
      <c r="JZ7" s="1156" t="s">
        <v>1109</v>
      </c>
      <c r="KA7" s="1156"/>
      <c r="KB7" s="1156"/>
      <c r="KC7" s="1156"/>
      <c r="KD7" s="1156"/>
      <c r="KE7" s="1156"/>
      <c r="KF7" s="1156"/>
      <c r="KG7" s="1156"/>
      <c r="KH7" s="1156"/>
      <c r="KI7" s="1156"/>
      <c r="KJ7" s="1156"/>
      <c r="KK7" s="1156"/>
      <c r="KL7" s="1156"/>
      <c r="KM7" s="1156"/>
      <c r="KN7" s="1156"/>
      <c r="KO7" s="1156"/>
      <c r="KP7" s="1156"/>
      <c r="KQ7" s="1156"/>
      <c r="KR7" s="1156"/>
      <c r="KS7" s="1156"/>
      <c r="KT7" s="1156"/>
      <c r="KU7" s="1156"/>
      <c r="KV7" s="1156"/>
      <c r="KW7" s="1156"/>
      <c r="KX7" s="1156"/>
      <c r="KY7" s="1156"/>
      <c r="KZ7" s="1156"/>
      <c r="LA7" s="1156"/>
      <c r="LB7" s="1156"/>
      <c r="LC7" s="1156"/>
      <c r="LD7" s="1156"/>
      <c r="LE7" s="1156"/>
      <c r="LF7" s="1156"/>
      <c r="LG7" s="1156"/>
      <c r="LH7" s="1156"/>
      <c r="LI7" s="1156"/>
      <c r="LJ7" s="1156"/>
      <c r="LK7" s="1156"/>
      <c r="LL7" s="1156"/>
      <c r="LM7" s="1157"/>
      <c r="LN7" s="881"/>
      <c r="LO7" s="1030"/>
      <c r="LP7" s="1156" t="s">
        <v>1110</v>
      </c>
      <c r="LQ7" s="1156"/>
      <c r="LR7" s="1156"/>
      <c r="LS7" s="1156"/>
      <c r="LT7" s="1156"/>
      <c r="LU7" s="1156"/>
      <c r="LV7" s="1156"/>
      <c r="LW7" s="1156"/>
      <c r="LX7" s="1156"/>
      <c r="LY7" s="1156"/>
      <c r="LZ7" s="1156"/>
      <c r="MA7" s="1156"/>
      <c r="MB7" s="1156"/>
      <c r="MC7" s="1156"/>
      <c r="MD7" s="1156"/>
      <c r="ME7" s="1156"/>
      <c r="MF7" s="1156"/>
      <c r="MG7" s="1156"/>
      <c r="MH7" s="1156"/>
      <c r="MI7" s="1156"/>
      <c r="MJ7" s="1156"/>
      <c r="MK7" s="1156"/>
      <c r="ML7" s="1156"/>
      <c r="MM7" s="1156"/>
      <c r="MN7" s="1156"/>
      <c r="MO7" s="1156"/>
      <c r="MP7" s="1156"/>
      <c r="MQ7" s="1156"/>
      <c r="MR7" s="1156"/>
      <c r="MS7" s="1156"/>
      <c r="MT7" s="1156"/>
      <c r="MU7" s="1156"/>
      <c r="MV7" s="1156"/>
      <c r="MW7" s="1156"/>
      <c r="MX7" s="1156"/>
      <c r="MY7" s="1156"/>
      <c r="MZ7" s="556"/>
      <c r="NA7" s="556"/>
      <c r="NB7" s="556"/>
      <c r="NC7" s="557"/>
      <c r="ND7" s="226"/>
      <c r="NE7" s="226"/>
      <c r="NF7" s="226"/>
      <c r="NG7" s="226"/>
      <c r="NH7" s="226"/>
      <c r="NI7" s="226"/>
      <c r="NJ7" s="226"/>
      <c r="NK7" s="226"/>
    </row>
    <row r="8" spans="1:375" ht="34" customHeight="1" x14ac:dyDescent="0.25">
      <c r="A8" s="1150"/>
      <c r="B8" s="1149" t="s">
        <v>1075</v>
      </c>
      <c r="C8" s="1149"/>
      <c r="D8" s="1164" t="s">
        <v>1086</v>
      </c>
      <c r="E8" s="1164"/>
      <c r="F8" s="1164" t="s">
        <v>1408</v>
      </c>
      <c r="G8" s="1164"/>
      <c r="H8" s="1164" t="s">
        <v>1409</v>
      </c>
      <c r="I8" s="1164"/>
      <c r="J8" s="1149" t="s">
        <v>1076</v>
      </c>
      <c r="K8" s="1149"/>
      <c r="L8" s="1149" t="s">
        <v>1093</v>
      </c>
      <c r="M8" s="1149"/>
      <c r="N8" s="1215" t="s">
        <v>1083</v>
      </c>
      <c r="O8" s="1164"/>
      <c r="P8" s="1164"/>
      <c r="Q8" s="1164"/>
      <c r="R8" s="1164" t="s">
        <v>1084</v>
      </c>
      <c r="S8" s="1164"/>
      <c r="T8" s="1164"/>
      <c r="U8" s="1164"/>
      <c r="V8" s="1164" t="s">
        <v>1085</v>
      </c>
      <c r="W8" s="1164"/>
      <c r="X8" s="1164"/>
      <c r="Y8" s="1164"/>
      <c r="Z8" s="1164" t="s">
        <v>0</v>
      </c>
      <c r="AA8" s="1164" t="s">
        <v>1082</v>
      </c>
      <c r="AB8" s="1164"/>
      <c r="AC8" s="1205"/>
      <c r="AD8" s="1214" t="s">
        <v>50</v>
      </c>
      <c r="AE8" s="1209"/>
      <c r="AF8" s="1209"/>
      <c r="AG8" s="1209"/>
      <c r="AH8" s="1209"/>
      <c r="AI8" s="1210"/>
      <c r="AJ8" s="1213" t="s">
        <v>11</v>
      </c>
      <c r="AK8" s="1209"/>
      <c r="AL8" s="1209"/>
      <c r="AM8" s="1209"/>
      <c r="AN8" s="1209"/>
      <c r="AO8" s="1210"/>
      <c r="AP8" s="1209" t="s">
        <v>14</v>
      </c>
      <c r="AQ8" s="1209"/>
      <c r="AR8" s="1209"/>
      <c r="AS8" s="1209"/>
      <c r="AT8" s="1209"/>
      <c r="AU8" s="1211"/>
      <c r="AV8" s="1208" t="s">
        <v>50</v>
      </c>
      <c r="AW8" s="1168"/>
      <c r="AX8" s="1168"/>
      <c r="AY8" s="1168"/>
      <c r="AZ8" s="1168"/>
      <c r="BA8" s="1168"/>
      <c r="BB8" s="1191" t="s">
        <v>11</v>
      </c>
      <c r="BC8" s="1168"/>
      <c r="BD8" s="1168"/>
      <c r="BE8" s="1168"/>
      <c r="BF8" s="1168"/>
      <c r="BG8" s="1206"/>
      <c r="BH8" s="1168" t="s">
        <v>14</v>
      </c>
      <c r="BI8" s="1168"/>
      <c r="BJ8" s="1168"/>
      <c r="BK8" s="1168"/>
      <c r="BL8" s="1168"/>
      <c r="BM8" s="1168"/>
      <c r="BN8" s="1208" t="s">
        <v>50</v>
      </c>
      <c r="BO8" s="1168"/>
      <c r="BP8" s="1168"/>
      <c r="BQ8" s="1168"/>
      <c r="BR8" s="1168"/>
      <c r="BS8" s="1168"/>
      <c r="BT8" s="1191" t="s">
        <v>11</v>
      </c>
      <c r="BU8" s="1168"/>
      <c r="BV8" s="1168"/>
      <c r="BW8" s="1168"/>
      <c r="BX8" s="1168"/>
      <c r="BY8" s="1168"/>
      <c r="BZ8" s="1191" t="s">
        <v>14</v>
      </c>
      <c r="CA8" s="1168"/>
      <c r="CB8" s="1168"/>
      <c r="CC8" s="1168"/>
      <c r="CD8" s="1168"/>
      <c r="CE8" s="1192"/>
      <c r="CF8" s="1179" t="s">
        <v>1402</v>
      </c>
      <c r="CG8" s="1168"/>
      <c r="CH8" s="1168"/>
      <c r="CI8" s="1168"/>
      <c r="CJ8" s="1168"/>
      <c r="CK8" s="1168"/>
      <c r="CL8" s="121"/>
      <c r="CM8" s="1193" t="s">
        <v>50</v>
      </c>
      <c r="CN8" s="1149"/>
      <c r="CO8" s="1261" t="s">
        <v>11</v>
      </c>
      <c r="CP8" s="1262"/>
      <c r="CQ8" s="1149" t="s">
        <v>14</v>
      </c>
      <c r="CR8" s="1150"/>
      <c r="CS8" s="1186" t="s">
        <v>2</v>
      </c>
      <c r="CT8" s="1159"/>
      <c r="CU8" s="1159" t="s">
        <v>11</v>
      </c>
      <c r="CV8" s="1159"/>
      <c r="CW8" s="1264" t="s">
        <v>2</v>
      </c>
      <c r="CX8" s="1187"/>
      <c r="CY8" s="1187"/>
      <c r="CZ8" s="1187"/>
      <c r="DA8" s="1159" t="s">
        <v>11</v>
      </c>
      <c r="DB8" s="1159"/>
      <c r="DC8" s="1159"/>
      <c r="DD8" s="1159"/>
      <c r="DE8" s="1164" t="s">
        <v>14</v>
      </c>
      <c r="DF8" s="1164"/>
      <c r="DG8" s="1164"/>
      <c r="DH8" s="1260"/>
      <c r="DJ8" s="1159" t="s">
        <v>1088</v>
      </c>
      <c r="DK8" s="1159"/>
      <c r="DL8" s="1164" t="s">
        <v>1079</v>
      </c>
      <c r="DM8" s="1164"/>
      <c r="DN8" s="1164"/>
      <c r="DO8" s="1260"/>
      <c r="DP8" s="1186" t="s">
        <v>23</v>
      </c>
      <c r="DQ8" s="1159" t="s">
        <v>1420</v>
      </c>
      <c r="DR8" s="1159"/>
      <c r="DS8" s="1159" t="s">
        <v>1421</v>
      </c>
      <c r="DT8" s="1159"/>
      <c r="DU8" s="1186" t="s">
        <v>50</v>
      </c>
      <c r="DV8" s="1159"/>
      <c r="DW8" s="1159"/>
      <c r="DX8" s="1159" t="s">
        <v>11</v>
      </c>
      <c r="DY8" s="1159"/>
      <c r="DZ8" s="1190"/>
      <c r="EA8" s="1187" t="s">
        <v>50</v>
      </c>
      <c r="EB8" s="1187"/>
      <c r="EC8" s="1187"/>
      <c r="ED8" s="1187"/>
      <c r="EE8" s="1187"/>
      <c r="EF8" s="1194"/>
      <c r="EG8" s="1204" t="s">
        <v>11</v>
      </c>
      <c r="EH8" s="1187"/>
      <c r="EI8" s="1187"/>
      <c r="EJ8" s="1187"/>
      <c r="EK8" s="1187"/>
      <c r="EL8" s="1187"/>
      <c r="EM8" s="492"/>
      <c r="EN8" s="504"/>
      <c r="EP8" s="1180" t="s">
        <v>50</v>
      </c>
      <c r="EQ8" s="1168"/>
      <c r="ER8" s="1168"/>
      <c r="ES8" s="1168"/>
      <c r="ET8" s="1168"/>
      <c r="EU8" s="1168"/>
      <c r="EV8" s="1191" t="s">
        <v>11</v>
      </c>
      <c r="EW8" s="1168"/>
      <c r="EX8" s="1168"/>
      <c r="EY8" s="1168"/>
      <c r="EZ8" s="1168"/>
      <c r="FA8" s="1197"/>
      <c r="FB8" s="1198" t="s">
        <v>15</v>
      </c>
      <c r="FC8" s="1149"/>
      <c r="FD8" s="1149"/>
      <c r="FE8" s="1199"/>
      <c r="FF8" s="1184" t="s">
        <v>19</v>
      </c>
      <c r="FG8" s="1164"/>
      <c r="FH8" s="1164"/>
      <c r="FI8" s="1164"/>
      <c r="FJ8" s="1186" t="s">
        <v>702</v>
      </c>
      <c r="FK8" s="1159"/>
      <c r="FL8" s="1159"/>
      <c r="FM8" s="1159" t="s">
        <v>1420</v>
      </c>
      <c r="FN8" s="1159"/>
      <c r="FO8" s="1159" t="s">
        <v>1421</v>
      </c>
      <c r="FP8" s="1159"/>
      <c r="FQ8" s="1159" t="s">
        <v>1089</v>
      </c>
      <c r="FR8" s="1190"/>
      <c r="FS8" s="1188" t="s">
        <v>24</v>
      </c>
      <c r="FT8" s="1189"/>
      <c r="FU8" s="1186" t="s">
        <v>25</v>
      </c>
      <c r="FV8" s="1159"/>
      <c r="FW8" s="1159"/>
      <c r="FX8" s="1159"/>
      <c r="FY8" s="1159"/>
      <c r="FZ8" s="1159"/>
      <c r="GA8" s="1159"/>
      <c r="GB8" s="1190"/>
      <c r="GC8" s="1180" t="s">
        <v>50</v>
      </c>
      <c r="GD8" s="1168"/>
      <c r="GE8" s="1168"/>
      <c r="GF8" s="1168"/>
      <c r="GG8" s="1168"/>
      <c r="GH8" s="1168"/>
      <c r="GI8" s="1168" t="s">
        <v>11</v>
      </c>
      <c r="GJ8" s="1168"/>
      <c r="GK8" s="1168"/>
      <c r="GL8" s="1168"/>
      <c r="GM8" s="1168"/>
      <c r="GN8" s="1169"/>
      <c r="GO8" s="1164" t="s">
        <v>0</v>
      </c>
      <c r="GP8" s="1205"/>
      <c r="GQ8" s="1184" t="s">
        <v>50</v>
      </c>
      <c r="GR8" s="1164"/>
      <c r="GS8" s="1164"/>
      <c r="GT8" s="1164"/>
      <c r="GU8" s="1164"/>
      <c r="GV8" s="1185"/>
      <c r="GW8" s="1263" t="s">
        <v>11</v>
      </c>
      <c r="GX8" s="1164"/>
      <c r="GY8" s="1164"/>
      <c r="GZ8" s="1164"/>
      <c r="HA8" s="1164"/>
      <c r="HB8" s="1164"/>
      <c r="HC8" s="1149" t="s">
        <v>0</v>
      </c>
      <c r="HD8" s="1150"/>
      <c r="HF8" s="1180"/>
      <c r="HG8" s="1168"/>
      <c r="HH8" s="1168"/>
      <c r="HI8" s="1168"/>
      <c r="HJ8" s="1168"/>
      <c r="HK8" s="1168"/>
      <c r="HL8" s="1179"/>
      <c r="HM8" s="1168"/>
      <c r="HN8" s="1168"/>
      <c r="HO8" s="1168"/>
      <c r="HP8" s="1168"/>
      <c r="HQ8" s="1168"/>
      <c r="HR8" s="1179"/>
      <c r="HS8" s="1168"/>
      <c r="HT8" s="1168"/>
      <c r="HU8" s="1168"/>
      <c r="HV8" s="1168"/>
      <c r="HW8" s="1168"/>
      <c r="HY8" s="540"/>
      <c r="HZ8" s="541"/>
      <c r="IA8" s="541"/>
      <c r="IB8" s="541"/>
      <c r="IC8" s="541"/>
      <c r="ID8" s="541"/>
      <c r="IE8" s="541"/>
      <c r="IF8" s="541"/>
      <c r="IH8" s="882"/>
      <c r="II8" s="882"/>
      <c r="IJ8" s="1168" t="s">
        <v>47</v>
      </c>
      <c r="IK8" s="1168"/>
      <c r="IL8" s="1168"/>
      <c r="IM8" s="1168"/>
      <c r="IN8" s="1168"/>
      <c r="IO8" s="1168"/>
      <c r="IP8" s="1168"/>
      <c r="IQ8" s="1168"/>
      <c r="IR8" s="1168"/>
      <c r="IS8" s="1168"/>
      <c r="IT8" s="1168"/>
      <c r="IU8" s="1168"/>
      <c r="IV8" s="882"/>
      <c r="IW8" s="882"/>
      <c r="IX8" s="1168" t="s">
        <v>48</v>
      </c>
      <c r="IY8" s="1168"/>
      <c r="IZ8" s="1168"/>
      <c r="JA8" s="1168"/>
      <c r="JB8" s="1168"/>
      <c r="JC8" s="1168"/>
      <c r="JD8" s="1168"/>
      <c r="JE8" s="1168"/>
      <c r="JF8" s="1168"/>
      <c r="JG8" s="1168"/>
      <c r="JH8" s="1168"/>
      <c r="JI8" s="1168"/>
      <c r="JJ8" s="882"/>
      <c r="JK8" s="882"/>
      <c r="JL8" s="1168" t="s">
        <v>49</v>
      </c>
      <c r="JM8" s="1168"/>
      <c r="JN8" s="1168"/>
      <c r="JO8" s="1168"/>
      <c r="JP8" s="1168"/>
      <c r="JQ8" s="1168"/>
      <c r="JR8" s="1168"/>
      <c r="JS8" s="1168"/>
      <c r="JT8" s="1168"/>
      <c r="JU8" s="1168"/>
      <c r="JV8" s="1168"/>
      <c r="JW8" s="1181"/>
      <c r="JX8" s="882"/>
      <c r="JY8" s="1031"/>
      <c r="JZ8" s="1168" t="s">
        <v>47</v>
      </c>
      <c r="KA8" s="1168"/>
      <c r="KB8" s="1168"/>
      <c r="KC8" s="1168"/>
      <c r="KD8" s="1168"/>
      <c r="KE8" s="1168"/>
      <c r="KF8" s="1168"/>
      <c r="KG8" s="1168"/>
      <c r="KH8" s="1168"/>
      <c r="KI8" s="1168"/>
      <c r="KJ8" s="1168"/>
      <c r="KK8" s="1168"/>
      <c r="KL8" s="882"/>
      <c r="KM8" s="882"/>
      <c r="KN8" s="1168" t="s">
        <v>48</v>
      </c>
      <c r="KO8" s="1168"/>
      <c r="KP8" s="1168"/>
      <c r="KQ8" s="1168"/>
      <c r="KR8" s="1168"/>
      <c r="KS8" s="1168"/>
      <c r="KT8" s="1168"/>
      <c r="KU8" s="1168"/>
      <c r="KV8" s="1168"/>
      <c r="KW8" s="1168"/>
      <c r="KX8" s="1168"/>
      <c r="KY8" s="1168"/>
      <c r="KZ8" s="882"/>
      <c r="LA8" s="882"/>
      <c r="LB8" s="1168" t="s">
        <v>49</v>
      </c>
      <c r="LC8" s="1168"/>
      <c r="LD8" s="1168"/>
      <c r="LE8" s="1168"/>
      <c r="LF8" s="1168"/>
      <c r="LG8" s="1168"/>
      <c r="LH8" s="1168"/>
      <c r="LI8" s="1168"/>
      <c r="LJ8" s="1168"/>
      <c r="LK8" s="1168"/>
      <c r="LL8" s="1168"/>
      <c r="LM8" s="1181"/>
      <c r="LN8" s="882"/>
      <c r="LO8" s="1031"/>
      <c r="LP8" s="1168" t="s">
        <v>47</v>
      </c>
      <c r="LQ8" s="1168"/>
      <c r="LR8" s="1168"/>
      <c r="LS8" s="1168"/>
      <c r="LT8" s="1168"/>
      <c r="LU8" s="1168"/>
      <c r="LV8" s="1168"/>
      <c r="LW8" s="1168"/>
      <c r="LX8" s="1168"/>
      <c r="LY8" s="1168"/>
      <c r="LZ8" s="1168"/>
      <c r="MA8" s="1168"/>
      <c r="MB8" s="882"/>
      <c r="MC8" s="882"/>
      <c r="MD8" s="1168" t="s">
        <v>48</v>
      </c>
      <c r="ME8" s="1168"/>
      <c r="MF8" s="1168"/>
      <c r="MG8" s="1168"/>
      <c r="MH8" s="1168"/>
      <c r="MI8" s="1168"/>
      <c r="MJ8" s="1168"/>
      <c r="MK8" s="1168"/>
      <c r="ML8" s="1168"/>
      <c r="MM8" s="1168"/>
      <c r="MN8" s="1168"/>
      <c r="MO8" s="1168"/>
      <c r="MP8" s="882"/>
      <c r="MQ8" s="882"/>
      <c r="MR8" s="1168" t="s">
        <v>49</v>
      </c>
      <c r="MS8" s="1168"/>
      <c r="MT8" s="1168"/>
      <c r="MU8" s="1168"/>
      <c r="MV8" s="1168"/>
      <c r="MW8" s="1168"/>
      <c r="MX8" s="1168"/>
      <c r="MY8" s="1168"/>
      <c r="MZ8" s="1168"/>
      <c r="NA8" s="1168"/>
      <c r="NB8" s="1168"/>
      <c r="NC8" s="1181"/>
    </row>
    <row r="9" spans="1:375" ht="54" customHeight="1" x14ac:dyDescent="0.25">
      <c r="A9" s="1150"/>
      <c r="B9" s="1149"/>
      <c r="C9" s="1149"/>
      <c r="D9" s="1164"/>
      <c r="E9" s="1164"/>
      <c r="F9" s="1164"/>
      <c r="G9" s="1164"/>
      <c r="H9" s="1164"/>
      <c r="I9" s="1164"/>
      <c r="J9" s="1149"/>
      <c r="K9" s="1149"/>
      <c r="L9" s="1149"/>
      <c r="M9" s="1149"/>
      <c r="N9" s="1215"/>
      <c r="O9" s="1164"/>
      <c r="P9" s="1164"/>
      <c r="Q9" s="1164"/>
      <c r="R9" s="1164"/>
      <c r="S9" s="1164"/>
      <c r="T9" s="1164"/>
      <c r="U9" s="1164"/>
      <c r="V9" s="1164"/>
      <c r="W9" s="1164"/>
      <c r="X9" s="1164"/>
      <c r="Y9" s="1164"/>
      <c r="Z9" s="1164"/>
      <c r="AA9" s="1164"/>
      <c r="AB9" s="1164"/>
      <c r="AC9" s="1205"/>
      <c r="AD9" s="1214" t="s">
        <v>47</v>
      </c>
      <c r="AE9" s="1209"/>
      <c r="AF9" s="1209" t="s">
        <v>48</v>
      </c>
      <c r="AG9" s="1209"/>
      <c r="AH9" s="1209" t="s">
        <v>49</v>
      </c>
      <c r="AI9" s="1210"/>
      <c r="AJ9" s="1213" t="s">
        <v>47</v>
      </c>
      <c r="AK9" s="1209"/>
      <c r="AL9" s="1209" t="s">
        <v>48</v>
      </c>
      <c r="AM9" s="1209"/>
      <c r="AN9" s="1209" t="s">
        <v>49</v>
      </c>
      <c r="AO9" s="1210"/>
      <c r="AP9" s="1209" t="s">
        <v>47</v>
      </c>
      <c r="AQ9" s="1209"/>
      <c r="AR9" s="1209" t="s">
        <v>48</v>
      </c>
      <c r="AS9" s="1209"/>
      <c r="AT9" s="1209" t="s">
        <v>49</v>
      </c>
      <c r="AU9" s="1211"/>
      <c r="AV9" s="1208" t="s">
        <v>47</v>
      </c>
      <c r="AW9" s="1168"/>
      <c r="AX9" s="1168" t="s">
        <v>48</v>
      </c>
      <c r="AY9" s="1168"/>
      <c r="AZ9" s="1168" t="s">
        <v>49</v>
      </c>
      <c r="BA9" s="1168"/>
      <c r="BB9" s="1191" t="s">
        <v>47</v>
      </c>
      <c r="BC9" s="1168"/>
      <c r="BD9" s="1168" t="s">
        <v>48</v>
      </c>
      <c r="BE9" s="1168"/>
      <c r="BF9" s="1168" t="s">
        <v>49</v>
      </c>
      <c r="BG9" s="1206"/>
      <c r="BH9" s="1168" t="s">
        <v>47</v>
      </c>
      <c r="BI9" s="1168"/>
      <c r="BJ9" s="1168" t="s">
        <v>48</v>
      </c>
      <c r="BK9" s="1168"/>
      <c r="BL9" s="1168" t="s">
        <v>49</v>
      </c>
      <c r="BM9" s="1168"/>
      <c r="BN9" s="1208" t="s">
        <v>47</v>
      </c>
      <c r="BO9" s="1168"/>
      <c r="BP9" s="1168" t="s">
        <v>48</v>
      </c>
      <c r="BQ9" s="1168"/>
      <c r="BR9" s="1168" t="s">
        <v>49</v>
      </c>
      <c r="BS9" s="1168"/>
      <c r="BT9" s="1191" t="s">
        <v>47</v>
      </c>
      <c r="BU9" s="1168"/>
      <c r="BV9" s="1168" t="s">
        <v>48</v>
      </c>
      <c r="BW9" s="1168"/>
      <c r="BX9" s="1168" t="s">
        <v>49</v>
      </c>
      <c r="BY9" s="1168"/>
      <c r="BZ9" s="1191" t="s">
        <v>47</v>
      </c>
      <c r="CA9" s="1168"/>
      <c r="CB9" s="1168" t="s">
        <v>48</v>
      </c>
      <c r="CC9" s="1168"/>
      <c r="CD9" s="1168" t="s">
        <v>49</v>
      </c>
      <c r="CE9" s="1192"/>
      <c r="CF9" s="1179" t="s">
        <v>47</v>
      </c>
      <c r="CG9" s="1168"/>
      <c r="CH9" s="1168" t="s">
        <v>48</v>
      </c>
      <c r="CI9" s="1168"/>
      <c r="CJ9" s="1168" t="s">
        <v>49</v>
      </c>
      <c r="CK9" s="1168"/>
      <c r="CL9" s="121"/>
      <c r="CM9" s="1193"/>
      <c r="CN9" s="1149"/>
      <c r="CO9" s="1261"/>
      <c r="CP9" s="1262"/>
      <c r="CQ9" s="1149"/>
      <c r="CR9" s="1150"/>
      <c r="CS9" s="1186"/>
      <c r="CT9" s="1159"/>
      <c r="CU9" s="1159"/>
      <c r="CV9" s="1159"/>
      <c r="CW9" s="1264" t="s">
        <v>15</v>
      </c>
      <c r="CX9" s="1187"/>
      <c r="CY9" s="1159" t="s">
        <v>19</v>
      </c>
      <c r="CZ9" s="1159"/>
      <c r="DA9" s="1159" t="s">
        <v>15</v>
      </c>
      <c r="DB9" s="1159"/>
      <c r="DC9" s="1159" t="s">
        <v>19</v>
      </c>
      <c r="DD9" s="1159"/>
      <c r="DE9" s="1187" t="s">
        <v>15</v>
      </c>
      <c r="DF9" s="1187"/>
      <c r="DG9" s="1159" t="s">
        <v>19</v>
      </c>
      <c r="DH9" s="1190"/>
      <c r="DJ9" s="380" t="s">
        <v>50</v>
      </c>
      <c r="DK9" s="380" t="s">
        <v>11</v>
      </c>
      <c r="DL9" s="1187" t="s">
        <v>50</v>
      </c>
      <c r="DM9" s="1187"/>
      <c r="DN9" s="1187" t="s">
        <v>11</v>
      </c>
      <c r="DO9" s="1187"/>
      <c r="DP9" s="1186"/>
      <c r="DQ9" s="1159"/>
      <c r="DR9" s="1159"/>
      <c r="DS9" s="1159"/>
      <c r="DT9" s="1159"/>
      <c r="DU9" s="1186"/>
      <c r="DV9" s="1159"/>
      <c r="DW9" s="1159"/>
      <c r="DX9" s="1159"/>
      <c r="DY9" s="1159"/>
      <c r="DZ9" s="1190"/>
      <c r="EA9" s="1187" t="s">
        <v>47</v>
      </c>
      <c r="EB9" s="1187"/>
      <c r="EC9" s="1187" t="s">
        <v>48</v>
      </c>
      <c r="ED9" s="1187"/>
      <c r="EE9" s="1187" t="s">
        <v>49</v>
      </c>
      <c r="EF9" s="1187"/>
      <c r="EG9" s="1204" t="s">
        <v>47</v>
      </c>
      <c r="EH9" s="1187"/>
      <c r="EI9" s="1187" t="s">
        <v>48</v>
      </c>
      <c r="EJ9" s="1187"/>
      <c r="EK9" s="1187" t="s">
        <v>49</v>
      </c>
      <c r="EL9" s="1187"/>
      <c r="EM9" s="1187" t="s">
        <v>14</v>
      </c>
      <c r="EN9" s="1270"/>
      <c r="EP9" s="1180" t="s">
        <v>47</v>
      </c>
      <c r="EQ9" s="1168"/>
      <c r="ER9" s="1168" t="s">
        <v>48</v>
      </c>
      <c r="ES9" s="1168"/>
      <c r="ET9" s="1168" t="s">
        <v>49</v>
      </c>
      <c r="EU9" s="1168"/>
      <c r="EV9" s="1191" t="s">
        <v>47</v>
      </c>
      <c r="EW9" s="1168"/>
      <c r="EX9" s="1168" t="s">
        <v>48</v>
      </c>
      <c r="EY9" s="1168"/>
      <c r="EZ9" s="1168" t="s">
        <v>49</v>
      </c>
      <c r="FA9" s="1197"/>
      <c r="FB9" s="1264" t="s">
        <v>691</v>
      </c>
      <c r="FC9" s="1187"/>
      <c r="FD9" s="1159" t="s">
        <v>11</v>
      </c>
      <c r="FE9" s="1265"/>
      <c r="FF9" s="1165" t="s">
        <v>50</v>
      </c>
      <c r="FG9" s="1159"/>
      <c r="FH9" s="1159" t="s">
        <v>11</v>
      </c>
      <c r="FI9" s="1159"/>
      <c r="FJ9" s="88" t="s">
        <v>690</v>
      </c>
      <c r="FK9" s="1159" t="s">
        <v>38</v>
      </c>
      <c r="FL9" s="1159"/>
      <c r="FM9" s="492"/>
      <c r="FN9" s="492"/>
      <c r="FO9" s="492"/>
      <c r="FP9" s="492"/>
      <c r="FQ9" s="360" t="s">
        <v>47</v>
      </c>
      <c r="FR9" s="360" t="s">
        <v>49</v>
      </c>
      <c r="FS9" s="88"/>
      <c r="FT9" s="504"/>
      <c r="FU9" s="1186" t="s">
        <v>50</v>
      </c>
      <c r="FV9" s="1159"/>
      <c r="FW9" s="1159"/>
      <c r="FX9" s="1159"/>
      <c r="FY9" s="1159" t="s">
        <v>11</v>
      </c>
      <c r="FZ9" s="1159"/>
      <c r="GA9" s="1159"/>
      <c r="GB9" s="1190"/>
      <c r="GC9" s="1180" t="s">
        <v>47</v>
      </c>
      <c r="GD9" s="1168"/>
      <c r="GE9" s="1168" t="s">
        <v>48</v>
      </c>
      <c r="GF9" s="1168"/>
      <c r="GG9" s="1168" t="s">
        <v>49</v>
      </c>
      <c r="GH9" s="1168"/>
      <c r="GI9" s="1191" t="s">
        <v>47</v>
      </c>
      <c r="GJ9" s="1168"/>
      <c r="GK9" s="1168" t="s">
        <v>48</v>
      </c>
      <c r="GL9" s="1168"/>
      <c r="GM9" s="1168" t="s">
        <v>49</v>
      </c>
      <c r="GN9" s="1169"/>
      <c r="GO9" s="1164"/>
      <c r="GP9" s="1205"/>
      <c r="GQ9" s="1184" t="s">
        <v>1404</v>
      </c>
      <c r="GR9" s="1164"/>
      <c r="GS9" s="1164" t="s">
        <v>2053</v>
      </c>
      <c r="GT9" s="1164"/>
      <c r="GU9" s="1164" t="s">
        <v>2054</v>
      </c>
      <c r="GV9" s="1164"/>
      <c r="GW9" s="1184" t="s">
        <v>1081</v>
      </c>
      <c r="GX9" s="1164"/>
      <c r="GY9" s="1164" t="s">
        <v>2053</v>
      </c>
      <c r="GZ9" s="1164"/>
      <c r="HA9" s="1164" t="s">
        <v>2054</v>
      </c>
      <c r="HB9" s="1164"/>
      <c r="HC9" s="1149"/>
      <c r="HD9" s="1150"/>
      <c r="HF9" s="1180" t="s">
        <v>47</v>
      </c>
      <c r="HG9" s="1168"/>
      <c r="HH9" s="1168" t="s">
        <v>48</v>
      </c>
      <c r="HI9" s="1168"/>
      <c r="HJ9" s="1168" t="s">
        <v>49</v>
      </c>
      <c r="HK9" s="1168"/>
      <c r="HL9" s="1179" t="s">
        <v>47</v>
      </c>
      <c r="HM9" s="1168"/>
      <c r="HN9" s="1168" t="s">
        <v>48</v>
      </c>
      <c r="HO9" s="1168"/>
      <c r="HP9" s="1168" t="s">
        <v>49</v>
      </c>
      <c r="HQ9" s="1168"/>
      <c r="HR9" s="1179" t="s">
        <v>47</v>
      </c>
      <c r="HS9" s="1168"/>
      <c r="HT9" s="1168" t="s">
        <v>48</v>
      </c>
      <c r="HU9" s="1168"/>
      <c r="HV9" s="1168" t="s">
        <v>49</v>
      </c>
      <c r="HW9" s="1168"/>
      <c r="HY9" s="540"/>
      <c r="HZ9" s="541"/>
      <c r="IA9" s="541"/>
      <c r="IB9" s="541"/>
      <c r="IC9" s="541"/>
      <c r="ID9" s="541"/>
      <c r="IE9" s="541"/>
      <c r="IF9" s="541"/>
      <c r="IG9" s="560"/>
      <c r="IH9" s="882"/>
      <c r="II9" s="882"/>
      <c r="IJ9" s="1168" t="s">
        <v>44</v>
      </c>
      <c r="IK9" s="1168"/>
      <c r="IL9" s="1168"/>
      <c r="IM9" s="1168"/>
      <c r="IN9" s="1168"/>
      <c r="IO9" s="882"/>
      <c r="IP9" s="882"/>
      <c r="IQ9" s="1168" t="s">
        <v>45</v>
      </c>
      <c r="IR9" s="1168"/>
      <c r="IS9" s="1168"/>
      <c r="IT9" s="1168"/>
      <c r="IU9" s="1168"/>
      <c r="IV9" s="882"/>
      <c r="IW9" s="882"/>
      <c r="IX9" s="1168" t="s">
        <v>44</v>
      </c>
      <c r="IY9" s="1168"/>
      <c r="IZ9" s="1168"/>
      <c r="JA9" s="1168"/>
      <c r="JB9" s="1168"/>
      <c r="JC9" s="882"/>
      <c r="JD9" s="882"/>
      <c r="JE9" s="1168" t="s">
        <v>45</v>
      </c>
      <c r="JF9" s="1168"/>
      <c r="JG9" s="1168"/>
      <c r="JH9" s="1168"/>
      <c r="JI9" s="1168"/>
      <c r="JJ9" s="882"/>
      <c r="JK9" s="882"/>
      <c r="JL9" s="1168" t="s">
        <v>44</v>
      </c>
      <c r="JM9" s="1168"/>
      <c r="JN9" s="1168"/>
      <c r="JO9" s="1168"/>
      <c r="JP9" s="1168"/>
      <c r="JQ9" s="882"/>
      <c r="JR9" s="882"/>
      <c r="JS9" s="1168" t="s">
        <v>45</v>
      </c>
      <c r="JT9" s="1168"/>
      <c r="JU9" s="1168"/>
      <c r="JV9" s="1168"/>
      <c r="JW9" s="1181"/>
      <c r="JX9" s="882"/>
      <c r="JY9" s="1031"/>
      <c r="JZ9" s="1168" t="s">
        <v>44</v>
      </c>
      <c r="KA9" s="1168"/>
      <c r="KB9" s="1168"/>
      <c r="KC9" s="1168"/>
      <c r="KD9" s="1168"/>
      <c r="KE9" s="882"/>
      <c r="KF9" s="882"/>
      <c r="KG9" s="1168" t="s">
        <v>45</v>
      </c>
      <c r="KH9" s="1168"/>
      <c r="KI9" s="1168"/>
      <c r="KJ9" s="1168"/>
      <c r="KK9" s="1168"/>
      <c r="KL9" s="882"/>
      <c r="KM9" s="882"/>
      <c r="KN9" s="1168" t="s">
        <v>44</v>
      </c>
      <c r="KO9" s="1168"/>
      <c r="KP9" s="1168"/>
      <c r="KQ9" s="1168"/>
      <c r="KR9" s="1168"/>
      <c r="KS9" s="882"/>
      <c r="KT9" s="882"/>
      <c r="KU9" s="1168" t="s">
        <v>45</v>
      </c>
      <c r="KV9" s="1168"/>
      <c r="KW9" s="1168"/>
      <c r="KX9" s="1168"/>
      <c r="KY9" s="1168"/>
      <c r="KZ9" s="882"/>
      <c r="LA9" s="882"/>
      <c r="LB9" s="1168" t="s">
        <v>44</v>
      </c>
      <c r="LC9" s="1168"/>
      <c r="LD9" s="1168"/>
      <c r="LE9" s="1168"/>
      <c r="LF9" s="1168"/>
      <c r="LG9" s="882"/>
      <c r="LH9" s="882"/>
      <c r="LI9" s="1168" t="s">
        <v>45</v>
      </c>
      <c r="LJ9" s="1168"/>
      <c r="LK9" s="1168"/>
      <c r="LL9" s="1168"/>
      <c r="LM9" s="1181"/>
      <c r="LN9" s="882"/>
      <c r="LO9" s="1031"/>
      <c r="LP9" s="1168" t="s">
        <v>44</v>
      </c>
      <c r="LQ9" s="1168"/>
      <c r="LR9" s="1168"/>
      <c r="LS9" s="1168"/>
      <c r="LT9" s="1168"/>
      <c r="LU9" s="882"/>
      <c r="LV9" s="882"/>
      <c r="LW9" s="1168" t="s">
        <v>45</v>
      </c>
      <c r="LX9" s="1168"/>
      <c r="LY9" s="1168"/>
      <c r="LZ9" s="1168"/>
      <c r="MA9" s="1168"/>
      <c r="MB9" s="882"/>
      <c r="MC9" s="882"/>
      <c r="MD9" s="1168" t="s">
        <v>44</v>
      </c>
      <c r="ME9" s="1168"/>
      <c r="MF9" s="1168"/>
      <c r="MG9" s="1168"/>
      <c r="MH9" s="1168"/>
      <c r="MI9" s="882"/>
      <c r="MJ9" s="882"/>
      <c r="MK9" s="1168" t="s">
        <v>45</v>
      </c>
      <c r="ML9" s="1168"/>
      <c r="MM9" s="1168"/>
      <c r="MN9" s="1168"/>
      <c r="MO9" s="1168"/>
      <c r="MP9" s="882"/>
      <c r="MQ9" s="882"/>
      <c r="MR9" s="1168" t="s">
        <v>44</v>
      </c>
      <c r="MS9" s="1168"/>
      <c r="MT9" s="1168"/>
      <c r="MU9" s="1168"/>
      <c r="MV9" s="1168"/>
      <c r="MW9" s="882"/>
      <c r="MX9" s="882"/>
      <c r="MY9" s="1168" t="s">
        <v>45</v>
      </c>
      <c r="MZ9" s="1168"/>
      <c r="NA9" s="1168"/>
      <c r="NB9" s="1168"/>
      <c r="NC9" s="1181"/>
    </row>
    <row r="10" spans="1:375" ht="15" customHeight="1" x14ac:dyDescent="0.25">
      <c r="A10" s="1275"/>
      <c r="B10" s="8" t="s">
        <v>41</v>
      </c>
      <c r="C10" s="8" t="s">
        <v>42</v>
      </c>
      <c r="D10" s="8" t="s">
        <v>41</v>
      </c>
      <c r="E10" s="8" t="s">
        <v>42</v>
      </c>
      <c r="F10" s="644" t="s">
        <v>41</v>
      </c>
      <c r="G10" s="644" t="s">
        <v>42</v>
      </c>
      <c r="H10" s="644" t="s">
        <v>41</v>
      </c>
      <c r="I10" s="8" t="s">
        <v>42</v>
      </c>
      <c r="J10" s="8" t="s">
        <v>41</v>
      </c>
      <c r="K10" s="8" t="s">
        <v>42</v>
      </c>
      <c r="L10" s="8" t="s">
        <v>41</v>
      </c>
      <c r="M10" s="8" t="s">
        <v>42</v>
      </c>
      <c r="N10" s="50" t="s">
        <v>47</v>
      </c>
      <c r="O10" s="51" t="s">
        <v>48</v>
      </c>
      <c r="P10" s="51" t="s">
        <v>49</v>
      </c>
      <c r="Q10" s="51" t="s">
        <v>703</v>
      </c>
      <c r="R10" s="51" t="s">
        <v>47</v>
      </c>
      <c r="S10" s="51" t="s">
        <v>48</v>
      </c>
      <c r="T10" s="51" t="s">
        <v>49</v>
      </c>
      <c r="U10" s="51" t="s">
        <v>703</v>
      </c>
      <c r="V10" s="51" t="s">
        <v>47</v>
      </c>
      <c r="W10" s="51" t="s">
        <v>48</v>
      </c>
      <c r="X10" s="51" t="s">
        <v>49</v>
      </c>
      <c r="Y10" s="51" t="s">
        <v>703</v>
      </c>
      <c r="Z10" s="51"/>
      <c r="AA10" s="51" t="s">
        <v>47</v>
      </c>
      <c r="AB10" s="51" t="s">
        <v>48</v>
      </c>
      <c r="AC10" s="51" t="s">
        <v>49</v>
      </c>
      <c r="AD10" s="185" t="s">
        <v>44</v>
      </c>
      <c r="AE10" s="186" t="s">
        <v>45</v>
      </c>
      <c r="AF10" s="186" t="s">
        <v>44</v>
      </c>
      <c r="AG10" s="186" t="s">
        <v>45</v>
      </c>
      <c r="AH10" s="186" t="s">
        <v>44</v>
      </c>
      <c r="AI10" s="186" t="s">
        <v>45</v>
      </c>
      <c r="AJ10" s="187" t="s">
        <v>44</v>
      </c>
      <c r="AK10" s="186" t="s">
        <v>45</v>
      </c>
      <c r="AL10" s="186" t="s">
        <v>44</v>
      </c>
      <c r="AM10" s="186" t="s">
        <v>45</v>
      </c>
      <c r="AN10" s="186" t="s">
        <v>44</v>
      </c>
      <c r="AO10" s="188" t="s">
        <v>45</v>
      </c>
      <c r="AP10" s="186" t="s">
        <v>44</v>
      </c>
      <c r="AQ10" s="186" t="s">
        <v>45</v>
      </c>
      <c r="AR10" s="186" t="s">
        <v>44</v>
      </c>
      <c r="AS10" s="186" t="s">
        <v>45</v>
      </c>
      <c r="AT10" s="186" t="s">
        <v>44</v>
      </c>
      <c r="AU10" s="189" t="s">
        <v>45</v>
      </c>
      <c r="AV10" s="54" t="s">
        <v>44</v>
      </c>
      <c r="AW10" s="51" t="s">
        <v>45</v>
      </c>
      <c r="AX10" s="51" t="s">
        <v>44</v>
      </c>
      <c r="AY10" s="51" t="s">
        <v>45</v>
      </c>
      <c r="AZ10" s="51" t="s">
        <v>44</v>
      </c>
      <c r="BA10" s="51" t="s">
        <v>45</v>
      </c>
      <c r="BB10" s="110" t="s">
        <v>44</v>
      </c>
      <c r="BC10" s="51" t="s">
        <v>45</v>
      </c>
      <c r="BD10" s="51" t="s">
        <v>44</v>
      </c>
      <c r="BE10" s="51" t="s">
        <v>45</v>
      </c>
      <c r="BF10" s="51" t="s">
        <v>44</v>
      </c>
      <c r="BG10" s="116" t="s">
        <v>45</v>
      </c>
      <c r="BH10" s="51" t="s">
        <v>44</v>
      </c>
      <c r="BI10" s="51" t="s">
        <v>45</v>
      </c>
      <c r="BJ10" s="51" t="s">
        <v>44</v>
      </c>
      <c r="BK10" s="51" t="s">
        <v>45</v>
      </c>
      <c r="BL10" s="51" t="s">
        <v>44</v>
      </c>
      <c r="BM10" s="51" t="s">
        <v>45</v>
      </c>
      <c r="BN10" s="54" t="s">
        <v>44</v>
      </c>
      <c r="BO10" s="51" t="s">
        <v>45</v>
      </c>
      <c r="BP10" s="51" t="s">
        <v>44</v>
      </c>
      <c r="BQ10" s="51" t="s">
        <v>45</v>
      </c>
      <c r="BR10" s="51" t="s">
        <v>44</v>
      </c>
      <c r="BS10" s="51" t="s">
        <v>45</v>
      </c>
      <c r="BT10" s="110" t="s">
        <v>44</v>
      </c>
      <c r="BU10" s="51" t="s">
        <v>45</v>
      </c>
      <c r="BV10" s="51" t="s">
        <v>44</v>
      </c>
      <c r="BW10" s="51" t="s">
        <v>45</v>
      </c>
      <c r="BX10" s="51" t="s">
        <v>44</v>
      </c>
      <c r="BY10" s="51" t="s">
        <v>45</v>
      </c>
      <c r="BZ10" s="110" t="s">
        <v>44</v>
      </c>
      <c r="CA10" s="51" t="s">
        <v>45</v>
      </c>
      <c r="CB10" s="51" t="s">
        <v>44</v>
      </c>
      <c r="CC10" s="51" t="s">
        <v>45</v>
      </c>
      <c r="CD10" s="51" t="s">
        <v>44</v>
      </c>
      <c r="CE10" s="519" t="s">
        <v>45</v>
      </c>
      <c r="CF10" s="51" t="s">
        <v>44</v>
      </c>
      <c r="CG10" s="519" t="s">
        <v>45</v>
      </c>
      <c r="CH10" s="51" t="s">
        <v>44</v>
      </c>
      <c r="CI10" s="519" t="s">
        <v>45</v>
      </c>
      <c r="CJ10" s="51" t="s">
        <v>44</v>
      </c>
      <c r="CK10" s="519" t="s">
        <v>45</v>
      </c>
      <c r="CL10" s="124"/>
      <c r="CM10" s="7" t="s">
        <v>44</v>
      </c>
      <c r="CN10" s="8" t="s">
        <v>45</v>
      </c>
      <c r="CO10" s="132" t="s">
        <v>44</v>
      </c>
      <c r="CP10" s="133" t="s">
        <v>45</v>
      </c>
      <c r="CQ10" s="8" t="s">
        <v>44</v>
      </c>
      <c r="CR10" s="15" t="s">
        <v>45</v>
      </c>
      <c r="CS10" s="63" t="s">
        <v>15</v>
      </c>
      <c r="CT10" s="64" t="s">
        <v>16</v>
      </c>
      <c r="CU10" s="64" t="s">
        <v>15</v>
      </c>
      <c r="CV10" s="64" t="s">
        <v>16</v>
      </c>
      <c r="CW10" s="74" t="s">
        <v>44</v>
      </c>
      <c r="CX10" s="64" t="s">
        <v>45</v>
      </c>
      <c r="CY10" s="361" t="s">
        <v>44</v>
      </c>
      <c r="CZ10" s="361" t="s">
        <v>45</v>
      </c>
      <c r="DA10" s="361" t="s">
        <v>44</v>
      </c>
      <c r="DB10" s="361" t="s">
        <v>45</v>
      </c>
      <c r="DC10" s="361" t="s">
        <v>44</v>
      </c>
      <c r="DD10" s="361" t="s">
        <v>45</v>
      </c>
      <c r="DE10" s="64" t="s">
        <v>44</v>
      </c>
      <c r="DF10" s="64" t="s">
        <v>45</v>
      </c>
      <c r="DG10" s="64" t="s">
        <v>44</v>
      </c>
      <c r="DH10" s="362" t="s">
        <v>45</v>
      </c>
      <c r="DJ10" s="51"/>
      <c r="DK10" s="51"/>
      <c r="DL10" s="64" t="s">
        <v>44</v>
      </c>
      <c r="DM10" s="64" t="s">
        <v>45</v>
      </c>
      <c r="DN10" s="64" t="s">
        <v>44</v>
      </c>
      <c r="DO10" s="64" t="s">
        <v>45</v>
      </c>
      <c r="DP10" s="63" t="s">
        <v>9</v>
      </c>
      <c r="DQ10" s="64" t="s">
        <v>44</v>
      </c>
      <c r="DR10" s="647" t="s">
        <v>45</v>
      </c>
      <c r="DS10" s="64" t="s">
        <v>44</v>
      </c>
      <c r="DT10" s="647" t="s">
        <v>45</v>
      </c>
      <c r="DU10" s="486" t="s">
        <v>47</v>
      </c>
      <c r="DV10" s="476" t="s">
        <v>48</v>
      </c>
      <c r="DW10" s="476" t="s">
        <v>49</v>
      </c>
      <c r="DX10" s="476" t="s">
        <v>47</v>
      </c>
      <c r="DY10" s="476" t="s">
        <v>48</v>
      </c>
      <c r="DZ10" s="484" t="s">
        <v>49</v>
      </c>
      <c r="EA10" s="64" t="s">
        <v>44</v>
      </c>
      <c r="EB10" s="64" t="s">
        <v>45</v>
      </c>
      <c r="EC10" s="64" t="s">
        <v>44</v>
      </c>
      <c r="ED10" s="64" t="s">
        <v>45</v>
      </c>
      <c r="EE10" s="64" t="s">
        <v>44</v>
      </c>
      <c r="EF10" s="64" t="s">
        <v>45</v>
      </c>
      <c r="EG10" s="136" t="s">
        <v>44</v>
      </c>
      <c r="EH10" s="64" t="s">
        <v>45</v>
      </c>
      <c r="EI10" s="64" t="s">
        <v>44</v>
      </c>
      <c r="EJ10" s="64" t="s">
        <v>45</v>
      </c>
      <c r="EK10" s="64" t="s">
        <v>44</v>
      </c>
      <c r="EL10" s="64" t="s">
        <v>45</v>
      </c>
      <c r="EM10" s="64" t="s">
        <v>44</v>
      </c>
      <c r="EN10" s="135" t="s">
        <v>45</v>
      </c>
      <c r="EP10" s="50" t="s">
        <v>44</v>
      </c>
      <c r="EQ10" s="51" t="s">
        <v>45</v>
      </c>
      <c r="ER10" s="51" t="s">
        <v>44</v>
      </c>
      <c r="ES10" s="51" t="s">
        <v>45</v>
      </c>
      <c r="ET10" s="51" t="s">
        <v>44</v>
      </c>
      <c r="EU10" s="51" t="s">
        <v>45</v>
      </c>
      <c r="EV10" s="110" t="s">
        <v>44</v>
      </c>
      <c r="EW10" s="51" t="s">
        <v>45</v>
      </c>
      <c r="EX10" s="51" t="s">
        <v>44</v>
      </c>
      <c r="EY10" s="51" t="s">
        <v>45</v>
      </c>
      <c r="EZ10" s="51" t="s">
        <v>44</v>
      </c>
      <c r="FA10" s="86" t="s">
        <v>45</v>
      </c>
      <c r="FB10" s="74" t="s">
        <v>44</v>
      </c>
      <c r="FC10" s="64" t="s">
        <v>45</v>
      </c>
      <c r="FD10" s="361" t="s">
        <v>44</v>
      </c>
      <c r="FE10" s="385" t="s">
        <v>45</v>
      </c>
      <c r="FF10" s="509" t="s">
        <v>44</v>
      </c>
      <c r="FG10" s="510" t="s">
        <v>45</v>
      </c>
      <c r="FH10" s="510" t="s">
        <v>44</v>
      </c>
      <c r="FI10" s="510" t="s">
        <v>45</v>
      </c>
      <c r="FJ10" s="63" t="s">
        <v>9</v>
      </c>
      <c r="FK10" s="64" t="s">
        <v>44</v>
      </c>
      <c r="FL10" s="64" t="s">
        <v>45</v>
      </c>
      <c r="FM10" s="64" t="s">
        <v>44</v>
      </c>
      <c r="FN10" s="361" t="s">
        <v>45</v>
      </c>
      <c r="FO10" s="64" t="s">
        <v>44</v>
      </c>
      <c r="FP10" s="647" t="s">
        <v>45</v>
      </c>
      <c r="FQ10" s="361"/>
      <c r="FR10" s="361"/>
      <c r="FS10" s="63" t="s">
        <v>44</v>
      </c>
      <c r="FT10" s="361" t="s">
        <v>45</v>
      </c>
      <c r="FU10" s="1166" t="s">
        <v>44</v>
      </c>
      <c r="FV10" s="1167"/>
      <c r="FW10" s="1167" t="s">
        <v>45</v>
      </c>
      <c r="FX10" s="1167"/>
      <c r="FY10" s="1166" t="s">
        <v>44</v>
      </c>
      <c r="FZ10" s="1167"/>
      <c r="GA10" s="1167" t="s">
        <v>45</v>
      </c>
      <c r="GB10" s="1167"/>
      <c r="GC10" s="50" t="s">
        <v>44</v>
      </c>
      <c r="GD10" s="51" t="s">
        <v>45</v>
      </c>
      <c r="GE10" s="51" t="s">
        <v>44</v>
      </c>
      <c r="GF10" s="51" t="s">
        <v>45</v>
      </c>
      <c r="GG10" s="51" t="s">
        <v>44</v>
      </c>
      <c r="GH10" s="51" t="s">
        <v>45</v>
      </c>
      <c r="GI10" s="110" t="s">
        <v>44</v>
      </c>
      <c r="GJ10" s="51" t="s">
        <v>45</v>
      </c>
      <c r="GK10" s="51" t="s">
        <v>44</v>
      </c>
      <c r="GL10" s="51" t="s">
        <v>45</v>
      </c>
      <c r="GM10" s="51" t="s">
        <v>44</v>
      </c>
      <c r="GN10" s="528" t="s">
        <v>45</v>
      </c>
      <c r="GO10" s="51" t="s">
        <v>44</v>
      </c>
      <c r="GP10" s="51" t="s">
        <v>45</v>
      </c>
      <c r="GQ10" s="74" t="s">
        <v>44</v>
      </c>
      <c r="GR10" s="64" t="s">
        <v>45</v>
      </c>
      <c r="GS10" s="361" t="s">
        <v>44</v>
      </c>
      <c r="GT10" s="361" t="s">
        <v>45</v>
      </c>
      <c r="GU10" s="361" t="s">
        <v>44</v>
      </c>
      <c r="GV10" s="146" t="s">
        <v>45</v>
      </c>
      <c r="GW10" s="74" t="s">
        <v>44</v>
      </c>
      <c r="GX10" s="64" t="s">
        <v>45</v>
      </c>
      <c r="GY10" s="361" t="s">
        <v>44</v>
      </c>
      <c r="GZ10" s="361" t="s">
        <v>45</v>
      </c>
      <c r="HA10" s="361" t="s">
        <v>44</v>
      </c>
      <c r="HB10" s="146" t="s">
        <v>45</v>
      </c>
      <c r="HC10" s="361" t="s">
        <v>44</v>
      </c>
      <c r="HD10" s="362" t="s">
        <v>45</v>
      </c>
      <c r="HF10" s="50" t="s">
        <v>44</v>
      </c>
      <c r="HG10" s="51" t="s">
        <v>45</v>
      </c>
      <c r="HH10" s="51" t="s">
        <v>44</v>
      </c>
      <c r="HI10" s="51" t="s">
        <v>45</v>
      </c>
      <c r="HJ10" s="51" t="s">
        <v>44</v>
      </c>
      <c r="HK10" s="51" t="s">
        <v>45</v>
      </c>
      <c r="HL10" s="525" t="s">
        <v>44</v>
      </c>
      <c r="HM10" s="51" t="s">
        <v>45</v>
      </c>
      <c r="HN10" s="51" t="s">
        <v>44</v>
      </c>
      <c r="HO10" s="51" t="s">
        <v>45</v>
      </c>
      <c r="HP10" s="51" t="s">
        <v>44</v>
      </c>
      <c r="HQ10" s="51" t="s">
        <v>45</v>
      </c>
      <c r="HR10" s="525" t="s">
        <v>44</v>
      </c>
      <c r="HS10" s="51" t="s">
        <v>45</v>
      </c>
      <c r="HT10" s="51" t="s">
        <v>44</v>
      </c>
      <c r="HU10" s="51" t="s">
        <v>45</v>
      </c>
      <c r="HV10" s="51" t="s">
        <v>44</v>
      </c>
      <c r="HW10" s="51" t="s">
        <v>45</v>
      </c>
      <c r="HY10" s="50"/>
      <c r="HZ10" s="51" t="s">
        <v>119</v>
      </c>
      <c r="IA10" s="51" t="s">
        <v>30</v>
      </c>
      <c r="IB10" s="51" t="s">
        <v>31</v>
      </c>
      <c r="IC10" s="51" t="s">
        <v>32</v>
      </c>
      <c r="ID10" s="51" t="s">
        <v>33</v>
      </c>
      <c r="IE10" s="51" t="s">
        <v>34</v>
      </c>
      <c r="IF10" s="51" t="s">
        <v>35</v>
      </c>
      <c r="IG10" s="560"/>
      <c r="IH10" s="51" t="s">
        <v>119</v>
      </c>
      <c r="II10" s="51" t="s">
        <v>30</v>
      </c>
      <c r="IJ10" s="51" t="s">
        <v>31</v>
      </c>
      <c r="IK10" s="51" t="s">
        <v>32</v>
      </c>
      <c r="IL10" s="51" t="s">
        <v>33</v>
      </c>
      <c r="IM10" s="51" t="s">
        <v>34</v>
      </c>
      <c r="IN10" s="51" t="s">
        <v>35</v>
      </c>
      <c r="IO10" s="51" t="s">
        <v>119</v>
      </c>
      <c r="IP10" s="51" t="s">
        <v>30</v>
      </c>
      <c r="IQ10" s="51" t="s">
        <v>31</v>
      </c>
      <c r="IR10" s="51" t="s">
        <v>32</v>
      </c>
      <c r="IS10" s="51" t="s">
        <v>33</v>
      </c>
      <c r="IT10" s="51" t="s">
        <v>34</v>
      </c>
      <c r="IU10" s="51" t="s">
        <v>35</v>
      </c>
      <c r="IV10" s="51" t="s">
        <v>119</v>
      </c>
      <c r="IW10" s="51" t="s">
        <v>30</v>
      </c>
      <c r="IX10" s="51" t="s">
        <v>31</v>
      </c>
      <c r="IY10" s="51" t="s">
        <v>32</v>
      </c>
      <c r="IZ10" s="51" t="s">
        <v>33</v>
      </c>
      <c r="JA10" s="51" t="s">
        <v>34</v>
      </c>
      <c r="JB10" s="51" t="s">
        <v>35</v>
      </c>
      <c r="JC10" s="51" t="s">
        <v>119</v>
      </c>
      <c r="JD10" s="51" t="s">
        <v>30</v>
      </c>
      <c r="JE10" s="51" t="s">
        <v>31</v>
      </c>
      <c r="JF10" s="51" t="s">
        <v>32</v>
      </c>
      <c r="JG10" s="51" t="s">
        <v>33</v>
      </c>
      <c r="JH10" s="51" t="s">
        <v>34</v>
      </c>
      <c r="JI10" s="51" t="s">
        <v>35</v>
      </c>
      <c r="JJ10" s="51" t="s">
        <v>119</v>
      </c>
      <c r="JK10" s="51" t="s">
        <v>30</v>
      </c>
      <c r="JL10" s="51" t="s">
        <v>31</v>
      </c>
      <c r="JM10" s="51" t="s">
        <v>32</v>
      </c>
      <c r="JN10" s="51" t="s">
        <v>33</v>
      </c>
      <c r="JO10" s="51" t="s">
        <v>34</v>
      </c>
      <c r="JP10" s="51" t="s">
        <v>35</v>
      </c>
      <c r="JQ10" s="51" t="s">
        <v>119</v>
      </c>
      <c r="JR10" s="51" t="s">
        <v>30</v>
      </c>
      <c r="JS10" s="51" t="s">
        <v>31</v>
      </c>
      <c r="JT10" s="51" t="s">
        <v>32</v>
      </c>
      <c r="JU10" s="51" t="s">
        <v>33</v>
      </c>
      <c r="JV10" s="51" t="s">
        <v>34</v>
      </c>
      <c r="JW10" s="55" t="s">
        <v>35</v>
      </c>
      <c r="JX10" s="51" t="s">
        <v>119</v>
      </c>
      <c r="JY10" s="51" t="s">
        <v>30</v>
      </c>
      <c r="JZ10" s="51" t="s">
        <v>31</v>
      </c>
      <c r="KA10" s="51" t="s">
        <v>32</v>
      </c>
      <c r="KB10" s="51" t="s">
        <v>33</v>
      </c>
      <c r="KC10" s="51" t="s">
        <v>34</v>
      </c>
      <c r="KD10" s="51" t="s">
        <v>35</v>
      </c>
      <c r="KE10" s="51" t="s">
        <v>119</v>
      </c>
      <c r="KF10" s="51" t="s">
        <v>30</v>
      </c>
      <c r="KG10" s="51" t="s">
        <v>31</v>
      </c>
      <c r="KH10" s="51" t="s">
        <v>32</v>
      </c>
      <c r="KI10" s="51" t="s">
        <v>33</v>
      </c>
      <c r="KJ10" s="51" t="s">
        <v>34</v>
      </c>
      <c r="KK10" s="51" t="s">
        <v>35</v>
      </c>
      <c r="KL10" s="51" t="s">
        <v>119</v>
      </c>
      <c r="KM10" s="51" t="s">
        <v>30</v>
      </c>
      <c r="KN10" s="51" t="s">
        <v>31</v>
      </c>
      <c r="KO10" s="51" t="s">
        <v>32</v>
      </c>
      <c r="KP10" s="51" t="s">
        <v>33</v>
      </c>
      <c r="KQ10" s="51" t="s">
        <v>34</v>
      </c>
      <c r="KR10" s="51" t="s">
        <v>35</v>
      </c>
      <c r="KS10" s="51" t="s">
        <v>119</v>
      </c>
      <c r="KT10" s="51" t="s">
        <v>30</v>
      </c>
      <c r="KU10" s="51" t="s">
        <v>31</v>
      </c>
      <c r="KV10" s="51" t="s">
        <v>32</v>
      </c>
      <c r="KW10" s="51" t="s">
        <v>33</v>
      </c>
      <c r="KX10" s="51" t="s">
        <v>34</v>
      </c>
      <c r="KY10" s="51" t="s">
        <v>35</v>
      </c>
      <c r="KZ10" s="51" t="s">
        <v>119</v>
      </c>
      <c r="LA10" s="51" t="s">
        <v>30</v>
      </c>
      <c r="LB10" s="51" t="s">
        <v>31</v>
      </c>
      <c r="LC10" s="51" t="s">
        <v>32</v>
      </c>
      <c r="LD10" s="51" t="s">
        <v>33</v>
      </c>
      <c r="LE10" s="51" t="s">
        <v>34</v>
      </c>
      <c r="LF10" s="51" t="s">
        <v>35</v>
      </c>
      <c r="LG10" s="51" t="s">
        <v>119</v>
      </c>
      <c r="LH10" s="51" t="s">
        <v>30</v>
      </c>
      <c r="LI10" s="51" t="s">
        <v>31</v>
      </c>
      <c r="LJ10" s="51" t="s">
        <v>32</v>
      </c>
      <c r="LK10" s="51" t="s">
        <v>33</v>
      </c>
      <c r="LL10" s="51" t="s">
        <v>34</v>
      </c>
      <c r="LM10" s="55" t="s">
        <v>35</v>
      </c>
      <c r="LN10" s="51" t="s">
        <v>119</v>
      </c>
      <c r="LO10" s="51" t="s">
        <v>30</v>
      </c>
      <c r="LP10" s="51" t="s">
        <v>31</v>
      </c>
      <c r="LQ10" s="51" t="s">
        <v>32</v>
      </c>
      <c r="LR10" s="51" t="s">
        <v>33</v>
      </c>
      <c r="LS10" s="51" t="s">
        <v>34</v>
      </c>
      <c r="LT10" s="51" t="s">
        <v>35</v>
      </c>
      <c r="LU10" s="51" t="s">
        <v>119</v>
      </c>
      <c r="LV10" s="51" t="s">
        <v>30</v>
      </c>
      <c r="LW10" s="51" t="s">
        <v>31</v>
      </c>
      <c r="LX10" s="51" t="s">
        <v>32</v>
      </c>
      <c r="LY10" s="51" t="s">
        <v>33</v>
      </c>
      <c r="LZ10" s="51" t="s">
        <v>34</v>
      </c>
      <c r="MA10" s="51" t="s">
        <v>35</v>
      </c>
      <c r="MB10" s="51" t="s">
        <v>119</v>
      </c>
      <c r="MC10" s="51" t="s">
        <v>30</v>
      </c>
      <c r="MD10" s="51" t="s">
        <v>31</v>
      </c>
      <c r="ME10" s="51" t="s">
        <v>32</v>
      </c>
      <c r="MF10" s="51" t="s">
        <v>33</v>
      </c>
      <c r="MG10" s="51" t="s">
        <v>34</v>
      </c>
      <c r="MH10" s="51" t="s">
        <v>35</v>
      </c>
      <c r="MI10" s="51" t="s">
        <v>119</v>
      </c>
      <c r="MJ10" s="51" t="s">
        <v>30</v>
      </c>
      <c r="MK10" s="51" t="s">
        <v>31</v>
      </c>
      <c r="ML10" s="51" t="s">
        <v>32</v>
      </c>
      <c r="MM10" s="51" t="s">
        <v>33</v>
      </c>
      <c r="MN10" s="51" t="s">
        <v>34</v>
      </c>
      <c r="MO10" s="51" t="s">
        <v>35</v>
      </c>
      <c r="MP10" s="51" t="s">
        <v>119</v>
      </c>
      <c r="MQ10" s="51" t="s">
        <v>30</v>
      </c>
      <c r="MR10" s="51" t="s">
        <v>31</v>
      </c>
      <c r="MS10" s="51" t="s">
        <v>32</v>
      </c>
      <c r="MT10" s="51" t="s">
        <v>33</v>
      </c>
      <c r="MU10" s="51" t="s">
        <v>34</v>
      </c>
      <c r="MV10" s="51" t="s">
        <v>35</v>
      </c>
      <c r="MW10" s="51" t="s">
        <v>119</v>
      </c>
      <c r="MX10" s="51" t="s">
        <v>30</v>
      </c>
      <c r="MY10" s="51" t="s">
        <v>31</v>
      </c>
      <c r="MZ10" s="51" t="s">
        <v>32</v>
      </c>
      <c r="NA10" s="51" t="s">
        <v>33</v>
      </c>
      <c r="NB10" s="51" t="s">
        <v>34</v>
      </c>
      <c r="NC10" s="55" t="s">
        <v>35</v>
      </c>
    </row>
    <row r="11" spans="1:375" ht="28" customHeight="1" x14ac:dyDescent="0.25">
      <c r="A11" s="1236" t="s">
        <v>36</v>
      </c>
      <c r="B11" s="641"/>
      <c r="C11" s="641"/>
      <c r="D11" s="641"/>
      <c r="E11" s="641"/>
      <c r="F11" s="664" t="s">
        <v>1410</v>
      </c>
      <c r="G11" s="663"/>
      <c r="H11" s="665">
        <v>1.4999999999999999E-2</v>
      </c>
      <c r="I11" s="75"/>
      <c r="J11" s="660"/>
      <c r="K11" s="660"/>
      <c r="L11" s="75"/>
      <c r="M11" s="612"/>
      <c r="N11" s="673"/>
      <c r="O11" s="660"/>
      <c r="P11" s="660"/>
      <c r="Q11" s="660"/>
      <c r="R11" s="660"/>
      <c r="S11" s="660"/>
      <c r="T11" s="660"/>
      <c r="U11" s="1221" t="s">
        <v>696</v>
      </c>
      <c r="V11" s="1221"/>
      <c r="W11" s="660"/>
      <c r="X11" s="660"/>
      <c r="Y11" s="660"/>
      <c r="Z11" s="660"/>
      <c r="AA11" s="660"/>
      <c r="AB11" s="660"/>
      <c r="AC11" s="1010"/>
      <c r="AD11" s="1216" t="s">
        <v>1125</v>
      </c>
      <c r="AE11" s="1217"/>
      <c r="AF11" s="1217"/>
      <c r="AG11" s="1217"/>
      <c r="AH11" s="1217"/>
      <c r="AI11" s="1217"/>
      <c r="AJ11" s="1217"/>
      <c r="AK11" s="1217"/>
      <c r="AL11" s="1217"/>
      <c r="AM11" s="1217"/>
      <c r="AN11" s="1217"/>
      <c r="AO11" s="1217"/>
      <c r="AP11" s="1217"/>
      <c r="AQ11" s="1217"/>
      <c r="AR11" s="1217"/>
      <c r="AS11" s="1217"/>
      <c r="AT11" s="1217"/>
      <c r="AU11" s="1218"/>
      <c r="AV11" s="1216" t="s">
        <v>1125</v>
      </c>
      <c r="AW11" s="1217"/>
      <c r="AX11" s="1217"/>
      <c r="AY11" s="1217"/>
      <c r="AZ11" s="1217"/>
      <c r="BA11" s="1217"/>
      <c r="BB11" s="1217"/>
      <c r="BC11" s="1217"/>
      <c r="BD11" s="1217"/>
      <c r="BE11" s="1217"/>
      <c r="BF11" s="1217"/>
      <c r="BG11" s="1217"/>
      <c r="BH11" s="1217"/>
      <c r="BI11" s="1217"/>
      <c r="BJ11" s="1217"/>
      <c r="BK11" s="1217"/>
      <c r="BL11" s="1217"/>
      <c r="BM11" s="1218"/>
      <c r="BN11" s="1216" t="s">
        <v>1125</v>
      </c>
      <c r="BO11" s="1217"/>
      <c r="BP11" s="1217"/>
      <c r="BQ11" s="1217"/>
      <c r="BR11" s="1217"/>
      <c r="BS11" s="1217"/>
      <c r="BT11" s="1217"/>
      <c r="BU11" s="1217"/>
      <c r="BV11" s="1217"/>
      <c r="BW11" s="1217"/>
      <c r="BX11" s="1217"/>
      <c r="BY11" s="1217"/>
      <c r="BZ11" s="1217"/>
      <c r="CA11" s="1217"/>
      <c r="CB11" s="1217"/>
      <c r="CC11" s="1217"/>
      <c r="CD11" s="1217"/>
      <c r="CE11" s="1218"/>
      <c r="CF11" s="1217" t="s">
        <v>1126</v>
      </c>
      <c r="CG11" s="1217"/>
      <c r="CH11" s="1217"/>
      <c r="CI11" s="1217"/>
      <c r="CJ11" s="1217"/>
      <c r="CK11" s="614"/>
      <c r="CL11" s="109"/>
      <c r="CM11" s="1239" t="s">
        <v>706</v>
      </c>
      <c r="CN11" s="1217"/>
      <c r="CO11" s="1217"/>
      <c r="CP11" s="1217"/>
      <c r="CQ11" s="1217"/>
      <c r="CR11" s="1236"/>
      <c r="CS11" s="1281" t="s">
        <v>3</v>
      </c>
      <c r="CT11" s="1282"/>
      <c r="CU11" s="1282"/>
      <c r="CV11" s="1283"/>
      <c r="CW11" s="1216" t="s">
        <v>18</v>
      </c>
      <c r="CX11" s="1217"/>
      <c r="CY11" s="1217"/>
      <c r="CZ11" s="1217"/>
      <c r="DA11" s="1217"/>
      <c r="DB11" s="1217"/>
      <c r="DC11" s="1217"/>
      <c r="DD11" s="1217"/>
      <c r="DE11" s="1217"/>
      <c r="DF11" s="1217"/>
      <c r="DG11" s="1217"/>
      <c r="DH11" s="1236"/>
      <c r="DJ11" s="357"/>
      <c r="DK11" s="357"/>
      <c r="DL11" s="1239" t="s">
        <v>697</v>
      </c>
      <c r="DM11" s="1217"/>
      <c r="DN11" s="1217"/>
      <c r="DO11" s="1217"/>
      <c r="DP11" s="673"/>
      <c r="DQ11" s="1158" t="s">
        <v>1411</v>
      </c>
      <c r="DR11" s="1158"/>
      <c r="DS11" s="1158" t="s">
        <v>1411</v>
      </c>
      <c r="DT11" s="1163"/>
      <c r="DU11" s="357"/>
      <c r="DV11" s="357"/>
      <c r="DW11" s="357"/>
      <c r="DX11" s="357"/>
      <c r="DY11" s="357"/>
      <c r="DZ11" s="357"/>
      <c r="EA11" s="1243" t="s">
        <v>699</v>
      </c>
      <c r="EB11" s="1244"/>
      <c r="EC11" s="1244"/>
      <c r="ED11" s="1244"/>
      <c r="EE11" s="1244"/>
      <c r="EF11" s="1244"/>
      <c r="EG11" s="1244"/>
      <c r="EH11" s="1244"/>
      <c r="EI11" s="1244"/>
      <c r="EJ11" s="1244"/>
      <c r="EK11" s="1244"/>
      <c r="EL11" s="1244"/>
      <c r="EM11" s="1244"/>
      <c r="EN11" s="1245"/>
      <c r="EP11" s="1239" t="s">
        <v>700</v>
      </c>
      <c r="EQ11" s="1217"/>
      <c r="ER11" s="1217"/>
      <c r="ES11" s="1217"/>
      <c r="ET11" s="1217"/>
      <c r="EU11" s="1217"/>
      <c r="EV11" s="1217"/>
      <c r="EW11" s="1217"/>
      <c r="EX11" s="1217"/>
      <c r="EY11" s="1217"/>
      <c r="EZ11" s="1217"/>
      <c r="FA11" s="1218"/>
      <c r="FB11" s="1250" t="s">
        <v>2112</v>
      </c>
      <c r="FC11" s="1244"/>
      <c r="FD11" s="1244"/>
      <c r="FE11" s="1251"/>
      <c r="FF11" s="1216" t="s">
        <v>701</v>
      </c>
      <c r="FG11" s="1217"/>
      <c r="FH11" s="1217"/>
      <c r="FI11" s="1217"/>
      <c r="FJ11" s="673" t="s">
        <v>3</v>
      </c>
      <c r="FK11" s="660"/>
      <c r="FL11" s="660"/>
      <c r="FM11" s="812">
        <f>DQ12</f>
        <v>0.1</v>
      </c>
      <c r="FN11" s="812">
        <f>DR12</f>
        <v>1</v>
      </c>
      <c r="FO11" s="812">
        <f>DS12</f>
        <v>0.1</v>
      </c>
      <c r="FP11" s="812">
        <f>DT12</f>
        <v>1</v>
      </c>
      <c r="FQ11" s="357"/>
      <c r="FR11" s="357"/>
      <c r="FS11" s="778">
        <v>1E-3</v>
      </c>
      <c r="FT11" s="683">
        <v>0.05</v>
      </c>
      <c r="FU11" s="1266" t="s">
        <v>26</v>
      </c>
      <c r="FV11" s="228" t="s">
        <v>27</v>
      </c>
      <c r="FW11" s="1268" t="s">
        <v>26</v>
      </c>
      <c r="FX11" s="229" t="s">
        <v>27</v>
      </c>
      <c r="FY11" s="1266" t="s">
        <v>26</v>
      </c>
      <c r="FZ11" s="228" t="s">
        <v>27</v>
      </c>
      <c r="GA11" s="1268" t="s">
        <v>26</v>
      </c>
      <c r="GB11" s="229" t="s">
        <v>27</v>
      </c>
      <c r="GC11" s="1243" t="s">
        <v>29</v>
      </c>
      <c r="GD11" s="1244"/>
      <c r="GE11" s="1244"/>
      <c r="GF11" s="1244"/>
      <c r="GG11" s="1244"/>
      <c r="GH11" s="1244"/>
      <c r="GI11" s="1244"/>
      <c r="GJ11" s="1244"/>
      <c r="GK11" s="1244"/>
      <c r="GL11" s="1244"/>
      <c r="GM11" s="1244"/>
      <c r="GN11" s="1244"/>
      <c r="GO11" s="1244"/>
      <c r="GP11" s="1244"/>
      <c r="GQ11" s="1244"/>
      <c r="GR11" s="1244"/>
      <c r="GS11" s="1244"/>
      <c r="GT11" s="1244"/>
      <c r="GU11" s="1244"/>
      <c r="GV11" s="1244"/>
      <c r="GW11" s="1244"/>
      <c r="GX11" s="1244"/>
      <c r="GY11" s="1244"/>
      <c r="GZ11" s="1244"/>
      <c r="HA11" s="1244"/>
      <c r="HB11" s="1244"/>
      <c r="HC11" s="1244"/>
      <c r="HD11" s="1245"/>
      <c r="HF11" s="1239" t="s">
        <v>1127</v>
      </c>
      <c r="HG11" s="1217"/>
      <c r="HH11" s="1217"/>
      <c r="HI11" s="1217"/>
      <c r="HJ11" s="1217"/>
      <c r="HK11" s="1217"/>
      <c r="HL11" s="1217"/>
      <c r="HM11" s="1217"/>
      <c r="HN11" s="1217"/>
      <c r="HO11" s="1217"/>
      <c r="HP11" s="1217"/>
      <c r="HQ11" s="1217"/>
      <c r="HR11" s="1217"/>
      <c r="HS11" s="1217"/>
      <c r="HT11" s="1217"/>
      <c r="HU11" s="1217"/>
      <c r="HV11" s="1217"/>
      <c r="HW11" s="1240"/>
      <c r="HY11" s="538"/>
      <c r="HZ11" s="75"/>
      <c r="IA11" s="75"/>
      <c r="IB11" s="75"/>
      <c r="IC11" s="75"/>
      <c r="ID11" s="75"/>
      <c r="IE11" s="75"/>
      <c r="IF11" s="75"/>
      <c r="IH11" s="75"/>
      <c r="II11" s="75"/>
      <c r="IJ11" s="1217" t="s">
        <v>1128</v>
      </c>
      <c r="IK11" s="1217"/>
      <c r="IL11" s="1217"/>
      <c r="IM11" s="1217"/>
      <c r="IN11" s="1217"/>
      <c r="IO11" s="1217"/>
      <c r="IP11" s="1217"/>
      <c r="IQ11" s="1217"/>
      <c r="IR11" s="1217"/>
      <c r="IS11" s="1217"/>
      <c r="IT11" s="1217"/>
      <c r="IU11" s="1217"/>
      <c r="IV11" s="1217"/>
      <c r="IW11" s="1217"/>
      <c r="IX11" s="1217"/>
      <c r="IY11" s="1217"/>
      <c r="IZ11" s="1217"/>
      <c r="JA11" s="1217"/>
      <c r="JB11" s="1217"/>
      <c r="JC11" s="1217"/>
      <c r="JD11" s="1217"/>
      <c r="JE11" s="1217"/>
      <c r="JF11" s="1217"/>
      <c r="JG11" s="1217"/>
      <c r="JH11" s="1217"/>
      <c r="JI11" s="1217"/>
      <c r="JJ11" s="1217"/>
      <c r="JK11" s="1217"/>
      <c r="JL11" s="1217"/>
      <c r="JM11" s="1217"/>
      <c r="JN11" s="1217"/>
      <c r="JO11" s="1217"/>
      <c r="JP11" s="1217"/>
      <c r="JQ11" s="1217"/>
      <c r="JR11" s="1217"/>
      <c r="JS11" s="1217"/>
      <c r="JT11" s="1217"/>
      <c r="JU11" s="1217"/>
      <c r="JV11" s="1217"/>
      <c r="JW11" s="1236"/>
      <c r="JX11" s="883"/>
      <c r="JY11" s="1032"/>
      <c r="JZ11" s="1217" t="s">
        <v>1128</v>
      </c>
      <c r="KA11" s="1217"/>
      <c r="KB11" s="1217"/>
      <c r="KC11" s="1217"/>
      <c r="KD11" s="1217"/>
      <c r="KE11" s="1217"/>
      <c r="KF11" s="1217"/>
      <c r="KG11" s="1217"/>
      <c r="KH11" s="1217"/>
      <c r="KI11" s="1217"/>
      <c r="KJ11" s="1217"/>
      <c r="KK11" s="1217"/>
      <c r="KL11" s="1217"/>
      <c r="KM11" s="1217"/>
      <c r="KN11" s="1217"/>
      <c r="KO11" s="1217"/>
      <c r="KP11" s="1217"/>
      <c r="KQ11" s="1217"/>
      <c r="KR11" s="1217"/>
      <c r="KS11" s="1217"/>
      <c r="KT11" s="1217"/>
      <c r="KU11" s="1217"/>
      <c r="KV11" s="1217"/>
      <c r="KW11" s="1217"/>
      <c r="KX11" s="1217"/>
      <c r="KY11" s="1217"/>
      <c r="KZ11" s="1217"/>
      <c r="LA11" s="1217"/>
      <c r="LB11" s="1217"/>
      <c r="LC11" s="1217"/>
      <c r="LD11" s="1217"/>
      <c r="LE11" s="1217"/>
      <c r="LF11" s="1217"/>
      <c r="LG11" s="1217"/>
      <c r="LH11" s="1217"/>
      <c r="LI11" s="1217"/>
      <c r="LJ11" s="1217"/>
      <c r="LK11" s="1217"/>
      <c r="LL11" s="1217"/>
      <c r="LM11" s="1236"/>
      <c r="LN11" s="883"/>
      <c r="LO11" s="1032"/>
      <c r="LP11" s="1217" t="s">
        <v>1128</v>
      </c>
      <c r="LQ11" s="1217"/>
      <c r="LR11" s="1217"/>
      <c r="LS11" s="1217"/>
      <c r="LT11" s="1217"/>
      <c r="LU11" s="1217"/>
      <c r="LV11" s="1217"/>
      <c r="LW11" s="1217"/>
      <c r="LX11" s="1217"/>
      <c r="LY11" s="1217"/>
      <c r="LZ11" s="1217"/>
      <c r="MA11" s="1217"/>
      <c r="MB11" s="1217"/>
      <c r="MC11" s="1217"/>
      <c r="MD11" s="1217"/>
      <c r="ME11" s="1217"/>
      <c r="MF11" s="1217"/>
      <c r="MG11" s="1217"/>
      <c r="MH11" s="1217"/>
      <c r="MI11" s="1217"/>
      <c r="MJ11" s="1217"/>
      <c r="MK11" s="1217"/>
      <c r="ML11" s="1217"/>
      <c r="MM11" s="1217"/>
      <c r="MN11" s="1217"/>
      <c r="MO11" s="1217"/>
      <c r="MP11" s="1217"/>
      <c r="MQ11" s="1217"/>
      <c r="MR11" s="1217"/>
      <c r="MS11" s="1217"/>
      <c r="MT11" s="1217"/>
      <c r="MU11" s="1217"/>
      <c r="MV11" s="1217"/>
      <c r="MW11" s="1217"/>
      <c r="MX11" s="1217"/>
      <c r="MY11" s="1217"/>
      <c r="MZ11" s="1217"/>
      <c r="NA11" s="1217"/>
      <c r="NB11" s="1217"/>
      <c r="NC11" s="1236"/>
      <c r="ND11" s="559"/>
    </row>
    <row r="12" spans="1:375" ht="20" customHeight="1" x14ac:dyDescent="0.25">
      <c r="A12" s="1279"/>
      <c r="B12" s="642"/>
      <c r="C12" s="642"/>
      <c r="D12" s="642"/>
      <c r="E12" s="659"/>
      <c r="F12" s="662"/>
      <c r="G12" s="76"/>
      <c r="H12" s="76"/>
      <c r="I12" s="76"/>
      <c r="J12" s="661"/>
      <c r="K12" s="661"/>
      <c r="L12" s="76"/>
      <c r="M12" s="613"/>
      <c r="N12" s="674"/>
      <c r="O12" s="661"/>
      <c r="P12" s="661"/>
      <c r="Q12" s="661"/>
      <c r="R12" s="661"/>
      <c r="S12" s="661"/>
      <c r="T12" s="661"/>
      <c r="U12" s="1222"/>
      <c r="V12" s="1222"/>
      <c r="W12" s="661"/>
      <c r="X12" s="661"/>
      <c r="Y12" s="661"/>
      <c r="Z12" s="661"/>
      <c r="AA12" s="1011">
        <v>0.1</v>
      </c>
      <c r="AB12" s="1011">
        <v>0</v>
      </c>
      <c r="AC12" s="1011">
        <v>0.9</v>
      </c>
      <c r="AD12" s="1219"/>
      <c r="AE12" s="1219"/>
      <c r="AF12" s="1219"/>
      <c r="AG12" s="1219"/>
      <c r="AH12" s="1219"/>
      <c r="AI12" s="1219"/>
      <c r="AJ12" s="1219"/>
      <c r="AK12" s="1219"/>
      <c r="AL12" s="1219"/>
      <c r="AM12" s="1219"/>
      <c r="AN12" s="1219"/>
      <c r="AO12" s="1219"/>
      <c r="AP12" s="1219"/>
      <c r="AQ12" s="1219"/>
      <c r="AR12" s="1219"/>
      <c r="AS12" s="1219"/>
      <c r="AT12" s="1219"/>
      <c r="AU12" s="1220"/>
      <c r="AV12" s="1223"/>
      <c r="AW12" s="1219"/>
      <c r="AX12" s="1219"/>
      <c r="AY12" s="1219"/>
      <c r="AZ12" s="1219"/>
      <c r="BA12" s="1219"/>
      <c r="BB12" s="1219"/>
      <c r="BC12" s="1219"/>
      <c r="BD12" s="1219"/>
      <c r="BE12" s="1219"/>
      <c r="BF12" s="1219"/>
      <c r="BG12" s="1219"/>
      <c r="BH12" s="1219"/>
      <c r="BI12" s="1219"/>
      <c r="BJ12" s="1219"/>
      <c r="BK12" s="1219"/>
      <c r="BL12" s="1219"/>
      <c r="BM12" s="1220"/>
      <c r="BN12" s="1223"/>
      <c r="BO12" s="1219"/>
      <c r="BP12" s="1219"/>
      <c r="BQ12" s="1219"/>
      <c r="BR12" s="1219"/>
      <c r="BS12" s="1219"/>
      <c r="BT12" s="1219"/>
      <c r="BU12" s="1219"/>
      <c r="BV12" s="1219"/>
      <c r="BW12" s="1219"/>
      <c r="BX12" s="1219"/>
      <c r="BY12" s="1219"/>
      <c r="BZ12" s="1219"/>
      <c r="CA12" s="1219"/>
      <c r="CB12" s="1219"/>
      <c r="CC12" s="1219"/>
      <c r="CD12" s="1219"/>
      <c r="CE12" s="1220"/>
      <c r="CF12" s="1237"/>
      <c r="CG12" s="1237"/>
      <c r="CH12" s="1237"/>
      <c r="CI12" s="1237"/>
      <c r="CJ12" s="1237"/>
      <c r="CK12" s="616"/>
      <c r="CL12" s="109"/>
      <c r="CM12" s="1249"/>
      <c r="CN12" s="1219"/>
      <c r="CO12" s="1219"/>
      <c r="CP12" s="1219"/>
      <c r="CQ12" s="1219"/>
      <c r="CR12" s="1279"/>
      <c r="CS12" s="1284"/>
      <c r="CT12" s="1285"/>
      <c r="CU12" s="1285"/>
      <c r="CV12" s="1286"/>
      <c r="CW12" s="1223"/>
      <c r="CX12" s="1219"/>
      <c r="CY12" s="1219"/>
      <c r="CZ12" s="1219"/>
      <c r="DA12" s="1219"/>
      <c r="DB12" s="1219"/>
      <c r="DC12" s="1219"/>
      <c r="DD12" s="1219"/>
      <c r="DE12" s="1219"/>
      <c r="DF12" s="1219"/>
      <c r="DG12" s="1219"/>
      <c r="DH12" s="1279"/>
      <c r="DJ12" s="358"/>
      <c r="DK12" s="358"/>
      <c r="DL12" s="1249"/>
      <c r="DM12" s="1219"/>
      <c r="DN12" s="1219"/>
      <c r="DO12" s="1219"/>
      <c r="DP12" s="674"/>
      <c r="DQ12" s="675">
        <v>0.1</v>
      </c>
      <c r="DR12" s="679">
        <v>1</v>
      </c>
      <c r="DS12" s="675">
        <v>0.1</v>
      </c>
      <c r="DT12" s="683">
        <v>1</v>
      </c>
      <c r="DU12" s="358"/>
      <c r="DV12" s="358"/>
      <c r="DW12" s="358"/>
      <c r="DX12" s="358"/>
      <c r="DY12" s="358"/>
      <c r="DZ12" s="358"/>
      <c r="EA12" s="1246"/>
      <c r="EB12" s="1247"/>
      <c r="EC12" s="1247"/>
      <c r="ED12" s="1247"/>
      <c r="EE12" s="1247"/>
      <c r="EF12" s="1247"/>
      <c r="EG12" s="1247"/>
      <c r="EH12" s="1247"/>
      <c r="EI12" s="1247"/>
      <c r="EJ12" s="1247"/>
      <c r="EK12" s="1247"/>
      <c r="EL12" s="1247"/>
      <c r="EM12" s="1247"/>
      <c r="EN12" s="1248"/>
      <c r="EP12" s="1249"/>
      <c r="EQ12" s="1219"/>
      <c r="ER12" s="1219"/>
      <c r="ES12" s="1219"/>
      <c r="ET12" s="1219"/>
      <c r="EU12" s="1219"/>
      <c r="EV12" s="1219"/>
      <c r="EW12" s="1219"/>
      <c r="EX12" s="1219"/>
      <c r="EY12" s="1219"/>
      <c r="EZ12" s="1219"/>
      <c r="FA12" s="1220"/>
      <c r="FB12" s="1252"/>
      <c r="FC12" s="1247"/>
      <c r="FD12" s="1247"/>
      <c r="FE12" s="1253"/>
      <c r="FF12" s="1223"/>
      <c r="FG12" s="1219"/>
      <c r="FH12" s="1219"/>
      <c r="FI12" s="1219"/>
      <c r="FJ12" s="674"/>
      <c r="FK12" s="661"/>
      <c r="FL12" s="661"/>
      <c r="FM12" s="813" t="s">
        <v>1638</v>
      </c>
      <c r="FN12" s="661"/>
      <c r="FO12" s="661"/>
      <c r="FP12" s="661"/>
      <c r="FQ12" s="358"/>
      <c r="FR12" s="358"/>
      <c r="FS12" s="674"/>
      <c r="FT12" s="777"/>
      <c r="FU12" s="1267"/>
      <c r="FV12" s="516">
        <v>2.5499999999999998E-2</v>
      </c>
      <c r="FW12" s="1269"/>
      <c r="FX12" s="227">
        <v>0.1</v>
      </c>
      <c r="FY12" s="1267"/>
      <c r="FZ12" s="516">
        <v>2.5499999999999998E-2</v>
      </c>
      <c r="GA12" s="1269"/>
      <c r="GB12" s="227">
        <v>0.1</v>
      </c>
      <c r="GC12" s="1246"/>
      <c r="GD12" s="1247"/>
      <c r="GE12" s="1247"/>
      <c r="GF12" s="1247"/>
      <c r="GG12" s="1247"/>
      <c r="GH12" s="1247"/>
      <c r="GI12" s="1247"/>
      <c r="GJ12" s="1247"/>
      <c r="GK12" s="1247"/>
      <c r="GL12" s="1247"/>
      <c r="GM12" s="1247"/>
      <c r="GN12" s="1247"/>
      <c r="GO12" s="1247"/>
      <c r="GP12" s="1247"/>
      <c r="GQ12" s="1247"/>
      <c r="GR12" s="1247"/>
      <c r="GS12" s="1247"/>
      <c r="GT12" s="1247"/>
      <c r="GU12" s="1247"/>
      <c r="GV12" s="1247"/>
      <c r="GW12" s="1247"/>
      <c r="GX12" s="1247"/>
      <c r="GY12" s="1247"/>
      <c r="GZ12" s="1247"/>
      <c r="HA12" s="1247"/>
      <c r="HB12" s="1247"/>
      <c r="HC12" s="1247"/>
      <c r="HD12" s="1248"/>
      <c r="HF12" s="1241"/>
      <c r="HG12" s="1237"/>
      <c r="HH12" s="1237"/>
      <c r="HI12" s="1237"/>
      <c r="HJ12" s="1237"/>
      <c r="HK12" s="1237"/>
      <c r="HL12" s="1237"/>
      <c r="HM12" s="1237"/>
      <c r="HN12" s="1237"/>
      <c r="HO12" s="1237"/>
      <c r="HP12" s="1237"/>
      <c r="HQ12" s="1237"/>
      <c r="HR12" s="1237"/>
      <c r="HS12" s="1237"/>
      <c r="HT12" s="1237"/>
      <c r="HU12" s="1237"/>
      <c r="HV12" s="1237"/>
      <c r="HW12" s="1242"/>
      <c r="HY12" s="539"/>
      <c r="HZ12" s="76"/>
      <c r="IA12" s="76"/>
      <c r="IB12" s="76"/>
      <c r="IC12" s="76"/>
      <c r="ID12" s="76"/>
      <c r="IE12" s="76"/>
      <c r="IF12" s="76"/>
      <c r="IH12" s="76"/>
      <c r="II12" s="76"/>
      <c r="IJ12" s="1237"/>
      <c r="IK12" s="1237"/>
      <c r="IL12" s="1237"/>
      <c r="IM12" s="1237"/>
      <c r="IN12" s="1237"/>
      <c r="IO12" s="1237"/>
      <c r="IP12" s="1237"/>
      <c r="IQ12" s="1237"/>
      <c r="IR12" s="1237"/>
      <c r="IS12" s="1237"/>
      <c r="IT12" s="1237"/>
      <c r="IU12" s="1237"/>
      <c r="IV12" s="1237"/>
      <c r="IW12" s="1237"/>
      <c r="IX12" s="1237"/>
      <c r="IY12" s="1237"/>
      <c r="IZ12" s="1237"/>
      <c r="JA12" s="1237"/>
      <c r="JB12" s="1237"/>
      <c r="JC12" s="1237"/>
      <c r="JD12" s="1237"/>
      <c r="JE12" s="1237"/>
      <c r="JF12" s="1237"/>
      <c r="JG12" s="1237"/>
      <c r="JH12" s="1237"/>
      <c r="JI12" s="1237"/>
      <c r="JJ12" s="1237"/>
      <c r="JK12" s="1237"/>
      <c r="JL12" s="1237"/>
      <c r="JM12" s="1237"/>
      <c r="JN12" s="1237"/>
      <c r="JO12" s="1237"/>
      <c r="JP12" s="1237"/>
      <c r="JQ12" s="1237"/>
      <c r="JR12" s="1237"/>
      <c r="JS12" s="1237"/>
      <c r="JT12" s="1237"/>
      <c r="JU12" s="1237"/>
      <c r="JV12" s="1237"/>
      <c r="JW12" s="1238"/>
      <c r="JX12" s="886"/>
      <c r="JY12" s="1035"/>
      <c r="JZ12" s="1237"/>
      <c r="KA12" s="1237"/>
      <c r="KB12" s="1237"/>
      <c r="KC12" s="1237"/>
      <c r="KD12" s="1237"/>
      <c r="KE12" s="1237"/>
      <c r="KF12" s="1237"/>
      <c r="KG12" s="1237"/>
      <c r="KH12" s="1237"/>
      <c r="KI12" s="1237"/>
      <c r="KJ12" s="1237"/>
      <c r="KK12" s="1237"/>
      <c r="KL12" s="1237"/>
      <c r="KM12" s="1237"/>
      <c r="KN12" s="1237"/>
      <c r="KO12" s="1237"/>
      <c r="KP12" s="1237"/>
      <c r="KQ12" s="1237"/>
      <c r="KR12" s="1237"/>
      <c r="KS12" s="1237"/>
      <c r="KT12" s="1237"/>
      <c r="KU12" s="1237"/>
      <c r="KV12" s="1237"/>
      <c r="KW12" s="1237"/>
      <c r="KX12" s="1237"/>
      <c r="KY12" s="1237"/>
      <c r="KZ12" s="1237"/>
      <c r="LA12" s="1237"/>
      <c r="LB12" s="1237"/>
      <c r="LC12" s="1237"/>
      <c r="LD12" s="1237"/>
      <c r="LE12" s="1237"/>
      <c r="LF12" s="1237"/>
      <c r="LG12" s="1237"/>
      <c r="LH12" s="1237"/>
      <c r="LI12" s="1237"/>
      <c r="LJ12" s="1237"/>
      <c r="LK12" s="1237"/>
      <c r="LL12" s="1237"/>
      <c r="LM12" s="1238"/>
      <c r="LN12" s="886"/>
      <c r="LO12" s="1035"/>
      <c r="LP12" s="1237"/>
      <c r="LQ12" s="1237"/>
      <c r="LR12" s="1237"/>
      <c r="LS12" s="1237"/>
      <c r="LT12" s="1237"/>
      <c r="LU12" s="1237"/>
      <c r="LV12" s="1237"/>
      <c r="LW12" s="1237"/>
      <c r="LX12" s="1237"/>
      <c r="LY12" s="1237"/>
      <c r="LZ12" s="1237"/>
      <c r="MA12" s="1237"/>
      <c r="MB12" s="1237"/>
      <c r="MC12" s="1237"/>
      <c r="MD12" s="1237"/>
      <c r="ME12" s="1237"/>
      <c r="MF12" s="1237"/>
      <c r="MG12" s="1237"/>
      <c r="MH12" s="1237"/>
      <c r="MI12" s="1237"/>
      <c r="MJ12" s="1237"/>
      <c r="MK12" s="1237"/>
      <c r="ML12" s="1237"/>
      <c r="MM12" s="1237"/>
      <c r="MN12" s="1237"/>
      <c r="MO12" s="1237"/>
      <c r="MP12" s="1237"/>
      <c r="MQ12" s="1237"/>
      <c r="MR12" s="1237"/>
      <c r="MS12" s="1237"/>
      <c r="MT12" s="1237"/>
      <c r="MU12" s="1237"/>
      <c r="MV12" s="1237"/>
      <c r="MW12" s="1237"/>
      <c r="MX12" s="1237"/>
      <c r="MY12" s="1237"/>
      <c r="MZ12" s="1237"/>
      <c r="NA12" s="1237"/>
      <c r="NB12" s="1237"/>
      <c r="NC12" s="1238"/>
    </row>
    <row r="13" spans="1:375" x14ac:dyDescent="0.25">
      <c r="A13" s="18">
        <v>1958</v>
      </c>
      <c r="B13" s="1273">
        <v>26</v>
      </c>
      <c r="C13" s="1225"/>
      <c r="D13" s="1225">
        <v>0</v>
      </c>
      <c r="E13" s="1280"/>
      <c r="F13" s="1224">
        <f>B13*(1-$H$11)</f>
        <v>25.61</v>
      </c>
      <c r="G13" s="1224"/>
      <c r="H13" s="1225">
        <f>D13*(1-$H$11)</f>
        <v>0</v>
      </c>
      <c r="I13" s="1225"/>
      <c r="J13" s="1083">
        <v>0</v>
      </c>
      <c r="K13" s="1082">
        <f t="shared" ref="K13:K41" si="0">J13</f>
        <v>0</v>
      </c>
      <c r="L13" s="1224">
        <f t="shared" ref="L13:L44" si="1">F13+H13</f>
        <v>25.61</v>
      </c>
      <c r="M13" s="1228"/>
      <c r="N13" s="190">
        <v>8.0999999999999996E-3</v>
      </c>
      <c r="O13" s="194">
        <v>0</v>
      </c>
      <c r="P13" s="194">
        <v>6.0000000000000001E-3</v>
      </c>
      <c r="Q13" s="191">
        <v>0</v>
      </c>
      <c r="R13" s="47">
        <v>0</v>
      </c>
      <c r="S13" s="47">
        <f>0.6%-0.06%</f>
        <v>5.4000000000000003E-3</v>
      </c>
      <c r="T13" s="47">
        <v>0.01</v>
      </c>
      <c r="U13" s="47">
        <v>1.8E-3</v>
      </c>
      <c r="V13" s="117">
        <v>4.0000000000000003E-5</v>
      </c>
      <c r="W13" s="47">
        <v>5.9999999999999995E-4</v>
      </c>
      <c r="X13" s="52">
        <v>1.0999999999999999E-2</v>
      </c>
      <c r="Y13" s="52">
        <v>2.0199999999999999E-2</v>
      </c>
      <c r="Z13" s="111">
        <v>6.3E-2</v>
      </c>
      <c r="AA13" s="52">
        <f>$AA$12</f>
        <v>0.1</v>
      </c>
      <c r="AB13" s="52">
        <f>$AB$12</f>
        <v>0</v>
      </c>
      <c r="AC13" s="52">
        <f>$AC$12</f>
        <v>0.9</v>
      </c>
      <c r="AD13" s="482">
        <f>F13*N13</f>
        <v>0.20744099999999999</v>
      </c>
      <c r="AE13" s="478">
        <f>AD13</f>
        <v>0.20744099999999999</v>
      </c>
      <c r="AF13" s="478">
        <f>F13*O13</f>
        <v>0</v>
      </c>
      <c r="AG13" s="478">
        <f>AF13</f>
        <v>0</v>
      </c>
      <c r="AH13" s="478">
        <f>F13*P13</f>
        <v>0.15365999999999999</v>
      </c>
      <c r="AI13" s="478">
        <f>AH13</f>
        <v>0.15365999999999999</v>
      </c>
      <c r="AJ13" s="520"/>
      <c r="AK13" s="520"/>
      <c r="AL13" s="520"/>
      <c r="AM13" s="520"/>
      <c r="AN13" s="520"/>
      <c r="AO13" s="571"/>
      <c r="AP13" s="483">
        <f>AD13+AJ13</f>
        <v>0.20744099999999999</v>
      </c>
      <c r="AQ13" s="478">
        <f>AP13</f>
        <v>0.20744099999999999</v>
      </c>
      <c r="AR13" s="478">
        <f>AF13+AL13</f>
        <v>0</v>
      </c>
      <c r="AS13" s="478">
        <f>AR13</f>
        <v>0</v>
      </c>
      <c r="AT13" s="478">
        <f>AH13+AN13</f>
        <v>0.15365999999999999</v>
      </c>
      <c r="AU13" s="478">
        <f>AT13</f>
        <v>0.15365999999999999</v>
      </c>
      <c r="AV13" s="482">
        <f t="shared" ref="AV13:AV57" si="2">R13*F13</f>
        <v>0</v>
      </c>
      <c r="AW13" s="478">
        <f>AV13</f>
        <v>0</v>
      </c>
      <c r="AX13" s="478">
        <f t="shared" ref="AX13:AX57" si="3">S13*F13</f>
        <v>0.138294</v>
      </c>
      <c r="AY13" s="478">
        <f>AX13</f>
        <v>0.138294</v>
      </c>
      <c r="AZ13" s="478">
        <f t="shared" ref="AZ13:AZ57" si="4">T13*F13</f>
        <v>0.25609999999999999</v>
      </c>
      <c r="BA13" s="478">
        <f>AZ13</f>
        <v>0.25609999999999999</v>
      </c>
      <c r="BB13" s="521"/>
      <c r="BC13" s="520"/>
      <c r="BD13" s="520"/>
      <c r="BE13" s="520"/>
      <c r="BF13" s="520"/>
      <c r="BG13" s="571"/>
      <c r="BH13" s="483">
        <f t="shared" ref="BH13:BH57" si="5">BB13+AV13</f>
        <v>0</v>
      </c>
      <c r="BI13" s="478">
        <f>BH13</f>
        <v>0</v>
      </c>
      <c r="BJ13" s="478">
        <f t="shared" ref="BJ13:BJ57" si="6">BD13+AX13</f>
        <v>0.138294</v>
      </c>
      <c r="BK13" s="478">
        <f>BJ13</f>
        <v>0.138294</v>
      </c>
      <c r="BL13" s="478">
        <f t="shared" ref="BL13:BL57" si="7">BF13+AZ13</f>
        <v>0.25609999999999999</v>
      </c>
      <c r="BM13" s="478">
        <f>BL13</f>
        <v>0.25609999999999999</v>
      </c>
      <c r="BN13" s="482">
        <f t="shared" ref="BN13:BN57" si="8">V13*F13</f>
        <v>1.0244E-3</v>
      </c>
      <c r="BO13" s="478">
        <f>BN13</f>
        <v>1.0244E-3</v>
      </c>
      <c r="BP13" s="478">
        <f t="shared" ref="BP13:BP57" si="9">W13*F13</f>
        <v>1.5365999999999998E-2</v>
      </c>
      <c r="BQ13" s="478">
        <f>BP13</f>
        <v>1.5365999999999998E-2</v>
      </c>
      <c r="BR13" s="478">
        <f t="shared" ref="BR13:BR57" si="10">X13*F13</f>
        <v>0.28170999999999996</v>
      </c>
      <c r="BS13" s="478">
        <f>BR13</f>
        <v>0.28170999999999996</v>
      </c>
      <c r="BT13" s="1259"/>
      <c r="BU13" s="1174"/>
      <c r="BV13" s="1174"/>
      <c r="BW13" s="1174"/>
      <c r="BX13" s="1174"/>
      <c r="BY13" s="1174"/>
      <c r="BZ13" s="483">
        <f t="shared" ref="BZ13:BZ57" si="11">BT13+BN13</f>
        <v>1.0244E-3</v>
      </c>
      <c r="CA13" s="478">
        <f>BZ13</f>
        <v>1.0244E-3</v>
      </c>
      <c r="CB13" s="478">
        <f t="shared" ref="CB13:CB57" si="12">BV13+BP13</f>
        <v>1.5365999999999998E-2</v>
      </c>
      <c r="CC13" s="478">
        <f>CB13</f>
        <v>1.5365999999999998E-2</v>
      </c>
      <c r="CD13" s="478">
        <f t="shared" ref="CD13:CD57" si="13">BX13+BR13</f>
        <v>0.28170999999999996</v>
      </c>
      <c r="CE13" s="547">
        <f>CD13</f>
        <v>0.28170999999999996</v>
      </c>
      <c r="CF13" s="355">
        <f>$J13*AA13</f>
        <v>0</v>
      </c>
      <c r="CG13" s="615">
        <f>CF13</f>
        <v>0</v>
      </c>
      <c r="CH13" s="355">
        <f>$J13*AB13</f>
        <v>0</v>
      </c>
      <c r="CI13" s="615">
        <f t="shared" ref="CI13:CI26" si="14">CH13</f>
        <v>0</v>
      </c>
      <c r="CJ13" s="615">
        <f>$J13*AC13</f>
        <v>0</v>
      </c>
      <c r="CK13" s="615">
        <f t="shared" ref="CK13:CK26" si="15">CJ13</f>
        <v>0</v>
      </c>
      <c r="CL13" s="122"/>
      <c r="CM13" s="1256">
        <f t="shared" ref="CM13:CM55" si="16">F13-F13*Z13-J13</f>
        <v>23.996569999999998</v>
      </c>
      <c r="CN13" s="1255"/>
      <c r="CO13" s="1257"/>
      <c r="CP13" s="1255"/>
      <c r="CQ13" s="1257">
        <f>CM13+CO13</f>
        <v>23.996569999999998</v>
      </c>
      <c r="CR13" s="1258"/>
      <c r="CS13" s="30">
        <v>0.45</v>
      </c>
      <c r="CT13" s="31">
        <f>1-CS13</f>
        <v>0.55000000000000004</v>
      </c>
      <c r="CU13" s="31"/>
      <c r="CV13" s="32"/>
      <c r="CW13" s="1233">
        <f>CM13*(1-$DJ13)*CS13</f>
        <v>10.258533674999999</v>
      </c>
      <c r="CX13" s="1234"/>
      <c r="CY13" s="1254">
        <f>CM13*(1-$DJ13)*CT13</f>
        <v>12.538207824999999</v>
      </c>
      <c r="CZ13" s="1255"/>
      <c r="DA13" s="369"/>
      <c r="DB13" s="369"/>
      <c r="DC13" s="369"/>
      <c r="DD13" s="375"/>
      <c r="DE13" s="1234">
        <f t="shared" ref="DE13:DE44" si="17">CW13+DA13</f>
        <v>10.258533674999999</v>
      </c>
      <c r="DF13" s="1234"/>
      <c r="DG13" s="369">
        <f>CW13+DA13</f>
        <v>10.258533674999999</v>
      </c>
      <c r="DH13" s="372">
        <f>CY13+DD13</f>
        <v>12.538207824999999</v>
      </c>
      <c r="DJ13" s="493">
        <v>0.05</v>
      </c>
      <c r="DK13" s="379"/>
      <c r="DL13" s="1104">
        <f t="shared" ref="DL13:DL55" si="18">CM13*DJ13</f>
        <v>1.1998285</v>
      </c>
      <c r="DM13" s="1105">
        <f t="shared" ref="DM13:DM33" si="19">DL13</f>
        <v>1.1998285</v>
      </c>
      <c r="DN13" s="369"/>
      <c r="DO13" s="372"/>
      <c r="DP13" s="30">
        <v>1</v>
      </c>
      <c r="DQ13" s="31">
        <f>$DQ$12</f>
        <v>0.1</v>
      </c>
      <c r="DR13" s="31">
        <f>$DR$12</f>
        <v>1</v>
      </c>
      <c r="DS13" s="31">
        <f>$DS$12</f>
        <v>0.1</v>
      </c>
      <c r="DT13" s="77">
        <f>$DT$12</f>
        <v>1</v>
      </c>
      <c r="DU13" s="31">
        <v>0</v>
      </c>
      <c r="DV13" s="31">
        <v>1</v>
      </c>
      <c r="DW13" s="31">
        <v>0</v>
      </c>
      <c r="DX13" s="31">
        <v>0</v>
      </c>
      <c r="DY13" s="31">
        <v>1</v>
      </c>
      <c r="DZ13" s="31">
        <v>0</v>
      </c>
      <c r="EA13" s="383">
        <f>1/2*(DL13*DQ13*DU13)</f>
        <v>0</v>
      </c>
      <c r="EB13" s="355">
        <f>1/2*(DL13*DR13*DU13)</f>
        <v>0</v>
      </c>
      <c r="EC13" s="367">
        <f>1/2*(DL13*DQ13*DV13)</f>
        <v>5.9991425000000001E-2</v>
      </c>
      <c r="ED13" s="355">
        <f>1/2*(DL13*DR13*DV13)</f>
        <v>0.59991424999999998</v>
      </c>
      <c r="EE13" s="367">
        <f>1/2*(DL13*DQ13*DW13)</f>
        <v>0</v>
      </c>
      <c r="EF13" s="355">
        <f>1/2*(DL13*DR13*DW13)</f>
        <v>0</v>
      </c>
      <c r="EG13" s="367"/>
      <c r="EH13" s="355"/>
      <c r="EI13" s="355"/>
      <c r="EJ13" s="355"/>
      <c r="EK13" s="355"/>
      <c r="EL13" s="137"/>
      <c r="EM13" s="355">
        <f>SUM(EA13,EC13,EE13,EG13,EI13,EK13)</f>
        <v>5.9991425000000001E-2</v>
      </c>
      <c r="EN13" s="355">
        <f>SUM(EB13,ED13,EF13,EH13,EJ13,EL13)</f>
        <v>0.59991424999999998</v>
      </c>
      <c r="EP13" s="1171">
        <f t="shared" ref="EP13:EP44" si="20">BN13</f>
        <v>1.0244E-3</v>
      </c>
      <c r="EQ13" s="1172"/>
      <c r="ER13" s="1174">
        <f t="shared" ref="ER13:ER44" si="21">BP13</f>
        <v>1.5365999999999998E-2</v>
      </c>
      <c r="ES13" s="1174"/>
      <c r="ET13" s="1172">
        <f t="shared" ref="ET13:ET44" si="22">BR13</f>
        <v>0.28170999999999996</v>
      </c>
      <c r="EU13" s="1172"/>
      <c r="EV13" s="370"/>
      <c r="EW13" s="367"/>
      <c r="EX13" s="367"/>
      <c r="EY13" s="367"/>
      <c r="EZ13" s="1174"/>
      <c r="FA13" s="1175"/>
      <c r="FB13" s="513">
        <f>CW13</f>
        <v>10.258533674999999</v>
      </c>
      <c r="FC13" s="369">
        <f t="shared" ref="FC13" si="23">FB13</f>
        <v>10.258533674999999</v>
      </c>
      <c r="FD13" s="369"/>
      <c r="FE13" s="61"/>
      <c r="FF13" s="513">
        <f>CY13</f>
        <v>12.538207824999999</v>
      </c>
      <c r="FG13" s="369">
        <f t="shared" ref="FG13:FG22" si="24">FF13</f>
        <v>12.538207824999999</v>
      </c>
      <c r="FH13" s="369"/>
      <c r="FI13" s="369"/>
      <c r="FJ13" s="30">
        <v>1</v>
      </c>
      <c r="FK13" s="31">
        <v>0.2</v>
      </c>
      <c r="FL13" s="500">
        <v>0.8</v>
      </c>
      <c r="FM13" s="31">
        <f>$FM$11</f>
        <v>0.1</v>
      </c>
      <c r="FN13" s="500">
        <f>$FN$11</f>
        <v>1</v>
      </c>
      <c r="FO13" s="31">
        <f>$FO$11</f>
        <v>0.1</v>
      </c>
      <c r="FP13" s="500">
        <f>$FP$11</f>
        <v>1</v>
      </c>
      <c r="FQ13" s="31">
        <v>1</v>
      </c>
      <c r="FR13" s="31">
        <v>0</v>
      </c>
      <c r="FS13" s="89">
        <f>$FS$11</f>
        <v>1E-3</v>
      </c>
      <c r="FT13" s="31">
        <f>$FT$11</f>
        <v>0.05</v>
      </c>
      <c r="FU13" s="30">
        <v>0.05</v>
      </c>
      <c r="FV13" s="32">
        <f t="shared" ref="FV13:FV76" si="25">(1-FU13)*FV$12</f>
        <v>2.4224999999999997E-2</v>
      </c>
      <c r="FW13" s="31">
        <v>0.1</v>
      </c>
      <c r="FX13" s="77">
        <f t="shared" ref="FX13:FX76" si="26">(1-FW13)*FX$12</f>
        <v>9.0000000000000011E-2</v>
      </c>
      <c r="FY13" s="30"/>
      <c r="FZ13" s="32"/>
      <c r="GA13" s="31"/>
      <c r="GB13" s="77"/>
      <c r="GC13" s="219">
        <f t="shared" ref="GC13:GC44" si="27">EP13*$FJ13</f>
        <v>1.0244E-3</v>
      </c>
      <c r="GD13" s="141">
        <f>GC13</f>
        <v>1.0244E-3</v>
      </c>
      <c r="GE13" s="141">
        <f t="shared" ref="GE13:GE44" si="28">ER13*$FJ13</f>
        <v>1.5365999999999998E-2</v>
      </c>
      <c r="GF13" s="141">
        <f>GE13</f>
        <v>1.5365999999999998E-2</v>
      </c>
      <c r="GG13" s="141">
        <f>$ET13*FK13</f>
        <v>5.6341999999999996E-2</v>
      </c>
      <c r="GH13" s="217">
        <f>$ET13*FL13</f>
        <v>0.22536799999999999</v>
      </c>
      <c r="GI13" s="379"/>
      <c r="GJ13" s="379"/>
      <c r="GK13" s="379"/>
      <c r="GL13" s="379"/>
      <c r="GM13" s="379"/>
      <c r="GN13" s="217"/>
      <c r="GO13" s="141">
        <f>GC13+GE13+GG13+GI13+GK13+GM13</f>
        <v>7.2732400000000003E-2</v>
      </c>
      <c r="GP13" s="514">
        <f>GD13+GF13+GH13+GJ13+GL13+GN13</f>
        <v>0.24175839999999998</v>
      </c>
      <c r="GQ13" s="141">
        <f>1/2*($FB13*$FM13)*($FU13+$FV13)</f>
        <v>3.8071983101343743E-2</v>
      </c>
      <c r="GR13" s="141">
        <f>1/2*($FC13*$FN13)*($FW13+$FX13)</f>
        <v>0.97456069912499987</v>
      </c>
      <c r="GS13" s="367">
        <f>1/10*($FF13*$FQ13*$FM13*$FS13)</f>
        <v>1.2538207825000001E-4</v>
      </c>
      <c r="GT13" s="367">
        <f>1/10*($FG13*$FQ13*$FN13*$FT13)</f>
        <v>6.2691039125E-2</v>
      </c>
      <c r="GU13" s="367">
        <f>1/10*($FF13*$FR13*$FM13*$FS13)</f>
        <v>0</v>
      </c>
      <c r="GV13" s="137">
        <f>1/10*($FG13*$FR13*$FN13*$FT13)</f>
        <v>0</v>
      </c>
      <c r="GW13" s="355"/>
      <c r="GX13" s="355"/>
      <c r="GY13" s="355"/>
      <c r="GZ13" s="355"/>
      <c r="HA13" s="355"/>
      <c r="HB13" s="137"/>
      <c r="HC13" s="379">
        <f>GQ13+GS13+GU13+GW13+GY13+HA13</f>
        <v>3.819736517959374E-2</v>
      </c>
      <c r="HD13" s="38">
        <f>GR13+GT13+GV13+GX13+GZ13+HB13</f>
        <v>1.0372517382499999</v>
      </c>
      <c r="HF13" s="523">
        <f t="shared" ref="HF13:HF44" si="29">AD13+AJ13</f>
        <v>0.20744099999999999</v>
      </c>
      <c r="HG13" s="367">
        <f t="shared" ref="HG13:HG44" si="30">AE13+AK13</f>
        <v>0.20744099999999999</v>
      </c>
      <c r="HH13" s="367">
        <f t="shared" ref="HH13:HH44" si="31">AF13+AL13</f>
        <v>0</v>
      </c>
      <c r="HI13" s="367">
        <f t="shared" ref="HI13:HI44" si="32">AG13+AM13</f>
        <v>0</v>
      </c>
      <c r="HJ13" s="367">
        <f t="shared" ref="HJ13:HJ44" si="33">AH13+AN13</f>
        <v>0.15365999999999999</v>
      </c>
      <c r="HK13" s="137">
        <f t="shared" ref="HK13:HK44" si="34">AI13+AO13</f>
        <v>0.15365999999999999</v>
      </c>
      <c r="HL13" s="355">
        <f t="shared" ref="HL13:HL44" si="35">SUM(AV13,EA13,BB13,EG13)</f>
        <v>0</v>
      </c>
      <c r="HM13" s="355">
        <f t="shared" ref="HM13:HM44" si="36">SUM(AW13,EB13,BC13,EH13)</f>
        <v>0</v>
      </c>
      <c r="HN13" s="355">
        <f t="shared" ref="HN13:HN44" si="37">SUM(AX13,EC13,BD13,EI13)</f>
        <v>0.19828542500000002</v>
      </c>
      <c r="HO13" s="355">
        <f t="shared" ref="HO13:HO44" si="38">SUM(AY13,ED13,BE13,EJ13)</f>
        <v>0.73820825000000001</v>
      </c>
      <c r="HP13" s="355">
        <f t="shared" ref="HP13:HP44" si="39">SUM(AZ13,EE13,BF13,EK13)</f>
        <v>0.25609999999999999</v>
      </c>
      <c r="HQ13" s="524">
        <f t="shared" ref="HQ13:HQ44" si="40">SUM(BA13,EF13,BG13,EL13)</f>
        <v>0.25609999999999999</v>
      </c>
      <c r="HR13" s="355">
        <f>SUM(GC13,GQ13,GS13,GI13,GW13,GY133,CF13)</f>
        <v>3.9221765179593741E-2</v>
      </c>
      <c r="HS13" s="355">
        <f t="shared" ref="HS13:HS44" si="41">SUM(GD13,GR13,GT13,GJ13,GX13,GZ13,CG13)</f>
        <v>1.0382761382499999</v>
      </c>
      <c r="HT13" s="355">
        <f t="shared" ref="HT13:HT44" si="42">SUM(GE13,GK13,CH13)</f>
        <v>1.5365999999999998E-2</v>
      </c>
      <c r="HU13" s="355">
        <f t="shared" ref="HU13:HU44" si="43">SUM(GF13,GL13,CI13)</f>
        <v>1.5365999999999998E-2</v>
      </c>
      <c r="HV13" s="355">
        <f t="shared" ref="HV13:HV44" si="44">SUM(GG13,GU13,GM13,HA13,CJ13)</f>
        <v>5.6341999999999996E-2</v>
      </c>
      <c r="HW13" s="355">
        <f t="shared" ref="HW13:HW44" si="45">SUM(GH13,GV13,GN13,HB13,CK13)</f>
        <v>0.22536799999999999</v>
      </c>
      <c r="HY13" s="857" t="s">
        <v>1191</v>
      </c>
      <c r="HZ13" s="858">
        <v>1.1000000000000001E-2</v>
      </c>
      <c r="IA13" s="858">
        <v>9.0000000000000011E-3</v>
      </c>
      <c r="IB13" s="858">
        <v>1.8000000000000002E-2</v>
      </c>
      <c r="IC13" s="858">
        <v>9.0000000000000011E-3</v>
      </c>
      <c r="ID13" s="858">
        <v>0.84499999999999997</v>
      </c>
      <c r="IE13" s="858">
        <v>1E-3</v>
      </c>
      <c r="IF13" s="858">
        <v>1E-3</v>
      </c>
      <c r="IH13" s="885">
        <f t="shared" ref="IH13:IN13" si="46">$HF13*HZ$13</f>
        <v>2.2818510000000001E-3</v>
      </c>
      <c r="II13" s="885">
        <f t="shared" si="46"/>
        <v>1.866969E-3</v>
      </c>
      <c r="IJ13" s="885">
        <f t="shared" si="46"/>
        <v>3.733938E-3</v>
      </c>
      <c r="IK13" s="478">
        <f t="shared" si="46"/>
        <v>1.866969E-3</v>
      </c>
      <c r="IL13" s="478">
        <f t="shared" si="46"/>
        <v>0.17528764499999999</v>
      </c>
      <c r="IM13" s="478">
        <f t="shared" si="46"/>
        <v>2.0744099999999999E-4</v>
      </c>
      <c r="IN13" s="478">
        <f t="shared" si="46"/>
        <v>2.0744099999999999E-4</v>
      </c>
      <c r="IO13" s="884">
        <f t="shared" ref="IO13:IU13" si="47">$HG13*HZ$14</f>
        <v>6.8455529999999999E-3</v>
      </c>
      <c r="IP13" s="884">
        <f t="shared" si="47"/>
        <v>8.5050809999999977E-3</v>
      </c>
      <c r="IQ13" s="474">
        <f t="shared" si="47"/>
        <v>1.0786932000000001E-2</v>
      </c>
      <c r="IR13" s="474">
        <f t="shared" si="47"/>
        <v>8.5050809999999977E-3</v>
      </c>
      <c r="IS13" s="474">
        <f t="shared" si="47"/>
        <v>0.175702527</v>
      </c>
      <c r="IT13" s="478">
        <f t="shared" si="47"/>
        <v>2.0744100000000001E-3</v>
      </c>
      <c r="IU13" s="547">
        <f t="shared" si="47"/>
        <v>2.0744100000000001E-3</v>
      </c>
      <c r="IV13" s="885">
        <f t="shared" ref="IV13:IW13" si="48">$HH13*HZ$13</f>
        <v>0</v>
      </c>
      <c r="IW13" s="885">
        <f t="shared" si="48"/>
        <v>0</v>
      </c>
      <c r="IX13" s="478">
        <f t="shared" ref="IX13:IX44" si="49">$HH13*IB$13</f>
        <v>0</v>
      </c>
      <c r="IY13" s="478">
        <f t="shared" ref="IY13:IY44" si="50">$HH13*IC$13</f>
        <v>0</v>
      </c>
      <c r="IZ13" s="478">
        <f t="shared" ref="IZ13:IZ44" si="51">$HH13*ID$13</f>
        <v>0</v>
      </c>
      <c r="JA13" s="478">
        <f t="shared" ref="JA13:JA44" si="52">$HH13*IE$13</f>
        <v>0</v>
      </c>
      <c r="JB13" s="478">
        <f t="shared" ref="JB13:JB44" si="53">$HH13*IF$13</f>
        <v>0</v>
      </c>
      <c r="JC13" s="885">
        <f t="shared" ref="JC13:JD13" si="54">$HI13*HZ$14</f>
        <v>0</v>
      </c>
      <c r="JD13" s="885">
        <f t="shared" si="54"/>
        <v>0</v>
      </c>
      <c r="JE13" s="478">
        <f t="shared" ref="JE13:JE44" si="55">$HI13*IB$14</f>
        <v>0</v>
      </c>
      <c r="JF13" s="478">
        <f t="shared" ref="JF13:JF44" si="56">$HI13*IC$14</f>
        <v>0</v>
      </c>
      <c r="JG13" s="478">
        <f t="shared" ref="JG13:JG44" si="57">$HI13*ID$14</f>
        <v>0</v>
      </c>
      <c r="JH13" s="478">
        <f t="shared" ref="JH13:JH44" si="58">$HI13*IE$14</f>
        <v>0</v>
      </c>
      <c r="JI13" s="479">
        <f t="shared" ref="JI13:JI44" si="59">$HI13*IF$14</f>
        <v>0</v>
      </c>
      <c r="JJ13" s="885">
        <f t="shared" ref="JJ13:JK13" si="60">$HJ13*HZ$13</f>
        <v>1.6902600000000001E-3</v>
      </c>
      <c r="JK13" s="885">
        <f t="shared" si="60"/>
        <v>1.38294E-3</v>
      </c>
      <c r="JL13" s="478">
        <f t="shared" ref="JL13:JL44" si="61">$HJ13*IB$13</f>
        <v>2.7658800000000001E-3</v>
      </c>
      <c r="JM13" s="478">
        <f t="shared" ref="JM13:JM44" si="62">$HJ13*IC$13</f>
        <v>1.38294E-3</v>
      </c>
      <c r="JN13" s="478">
        <f t="shared" ref="JN13:JN44" si="63">$HJ13*ID$13</f>
        <v>0.12984269999999998</v>
      </c>
      <c r="JO13" s="478">
        <f t="shared" ref="JO13:JO44" si="64">$HJ13*IE$13</f>
        <v>1.5365999999999999E-4</v>
      </c>
      <c r="JP13" s="478">
        <f t="shared" ref="JP13:JP44" si="65">$HJ13*IF$13</f>
        <v>1.5365999999999999E-4</v>
      </c>
      <c r="JQ13" s="885">
        <f t="shared" ref="JQ13:JR13" si="66">$HK13*HZ$14</f>
        <v>5.0707799999999996E-3</v>
      </c>
      <c r="JR13" s="885">
        <f t="shared" si="66"/>
        <v>6.3000599999999988E-3</v>
      </c>
      <c r="JS13" s="478">
        <f t="shared" ref="JS13:JS44" si="67">$HK13*IB$14</f>
        <v>7.9903200000000004E-3</v>
      </c>
      <c r="JT13" s="474">
        <f t="shared" ref="JT13:JT44" si="68">$HK13*IC$14</f>
        <v>6.3000599999999988E-3</v>
      </c>
      <c r="JU13" s="474">
        <f t="shared" ref="JU13:JU44" si="69">$HK13*ID$14</f>
        <v>0.13015001999999998</v>
      </c>
      <c r="JV13" s="474">
        <f t="shared" ref="JV13:JV44" si="70">$HK13*IE$14</f>
        <v>1.5365999999999999E-3</v>
      </c>
      <c r="JW13" s="134">
        <f t="shared" ref="JW13:JW44" si="71">$HK13*IF$14</f>
        <v>1.5365999999999999E-3</v>
      </c>
      <c r="JX13" s="523">
        <f t="shared" ref="JX13:JY13" si="72">$HL13*HZ$13</f>
        <v>0</v>
      </c>
      <c r="JY13" s="523">
        <f t="shared" si="72"/>
        <v>0</v>
      </c>
      <c r="JZ13" s="1034">
        <f t="shared" ref="JZ13:JZ44" si="73">$HL13*IB$13</f>
        <v>0</v>
      </c>
      <c r="KA13" s="367">
        <f t="shared" ref="KA13:KA44" si="74">$HL13*IC$13</f>
        <v>0</v>
      </c>
      <c r="KB13" s="367">
        <f t="shared" ref="KB13:KB44" si="75">$HL13*ID$13</f>
        <v>0</v>
      </c>
      <c r="KC13" s="367">
        <f t="shared" ref="KC13:KC44" si="76">$HL13*IE$13</f>
        <v>0</v>
      </c>
      <c r="KD13" s="478">
        <f t="shared" ref="KD13:KD44" si="77">$HL13*IF$13</f>
        <v>0</v>
      </c>
      <c r="KE13" s="885">
        <f t="shared" ref="KE13:KF13" si="78">$HM13*HZ$14</f>
        <v>0</v>
      </c>
      <c r="KF13" s="885">
        <f t="shared" si="78"/>
        <v>0</v>
      </c>
      <c r="KG13" s="478">
        <f t="shared" ref="KG13:KG44" si="79">$HM13*IB$14</f>
        <v>0</v>
      </c>
      <c r="KH13" s="367">
        <f t="shared" ref="KH13:KH44" si="80">$HM13*IC$14</f>
        <v>0</v>
      </c>
      <c r="KI13" s="367">
        <f t="shared" ref="KI13:KI44" si="81">$HM13*ID$14</f>
        <v>0</v>
      </c>
      <c r="KJ13" s="367">
        <f t="shared" ref="KJ13:KJ44" si="82">$HM13*IE$14</f>
        <v>0</v>
      </c>
      <c r="KK13" s="547">
        <f t="shared" ref="KK13:KK44" si="83">$HM13*IF$14</f>
        <v>0</v>
      </c>
      <c r="KL13" s="885">
        <f t="shared" ref="KL13:KM13" si="84">$HN13*HZ$13</f>
        <v>2.1811396750000002E-3</v>
      </c>
      <c r="KM13" s="885">
        <f t="shared" si="84"/>
        <v>1.7845688250000004E-3</v>
      </c>
      <c r="KN13" s="367">
        <f t="shared" ref="KN13:KN44" si="85">$HN13*IB$13</f>
        <v>3.5691376500000009E-3</v>
      </c>
      <c r="KO13" s="367">
        <f t="shared" ref="KO13:KO44" si="86">$HN13*IC$13</f>
        <v>1.7845688250000004E-3</v>
      </c>
      <c r="KP13" s="367">
        <f t="shared" ref="KP13:KP44" si="87">$HN13*ID$13</f>
        <v>0.167551184125</v>
      </c>
      <c r="KQ13" s="367">
        <f t="shared" ref="KQ13:KQ44" si="88">$HN13*IE$13</f>
        <v>1.9828542500000001E-4</v>
      </c>
      <c r="KR13" s="367">
        <f t="shared" ref="KR13:KR44" si="89">$HN13*IF$13</f>
        <v>1.9828542500000001E-4</v>
      </c>
      <c r="KS13" s="885">
        <f t="shared" ref="KS13:KT13" si="90">$HO13*HZ$14</f>
        <v>2.4360872250000002E-2</v>
      </c>
      <c r="KT13" s="885">
        <f t="shared" si="90"/>
        <v>3.0266538249999995E-2</v>
      </c>
      <c r="KU13" s="367">
        <f t="shared" ref="KU13:KU44" si="91">$HO13*IB$14</f>
        <v>3.8386829000000004E-2</v>
      </c>
      <c r="KV13" s="367">
        <f t="shared" ref="KV13:KV44" si="92">$HO13*IC$14</f>
        <v>3.0266538249999995E-2</v>
      </c>
      <c r="KW13" s="367">
        <f t="shared" ref="KW13:KW44" si="93">$HO13*ID$14</f>
        <v>0.62526238774999998</v>
      </c>
      <c r="KX13" s="367">
        <f t="shared" ref="KX13:KX44" si="94">$HO13*IE$14</f>
        <v>7.3820825000000005E-3</v>
      </c>
      <c r="KY13" s="479">
        <f t="shared" ref="KY13:KY44" si="95">$HO13*IF$14</f>
        <v>7.3820825000000005E-3</v>
      </c>
      <c r="KZ13" s="885">
        <f t="shared" ref="KZ13:LA13" si="96">$HP13*HZ$13</f>
        <v>2.8171000000000003E-3</v>
      </c>
      <c r="LA13" s="885">
        <f t="shared" si="96"/>
        <v>2.3049000000000004E-3</v>
      </c>
      <c r="LB13" s="367">
        <f t="shared" ref="LB13:LB44" si="97">$HP13*IB$13</f>
        <v>4.6098000000000007E-3</v>
      </c>
      <c r="LC13" s="367">
        <f t="shared" ref="LC13:LC44" si="98">$HP13*IC$13</f>
        <v>2.3049000000000004E-3</v>
      </c>
      <c r="LD13" s="367">
        <f t="shared" ref="LD13:LD44" si="99">$HP13*ID$13</f>
        <v>0.2164045</v>
      </c>
      <c r="LE13" s="367">
        <f t="shared" ref="LE13:LE44" si="100">$HP13*IE$13</f>
        <v>2.5609999999999999E-4</v>
      </c>
      <c r="LF13" s="367">
        <f t="shared" ref="LF13:LF44" si="101">$HP13*IF$13</f>
        <v>2.5609999999999999E-4</v>
      </c>
      <c r="LG13" s="885">
        <f t="shared" ref="LG13:LH13" si="102">$HQ13*HZ$14</f>
        <v>8.4513000000000001E-3</v>
      </c>
      <c r="LH13" s="885">
        <f t="shared" si="102"/>
        <v>1.0500099999999998E-2</v>
      </c>
      <c r="LI13" s="367">
        <f t="shared" ref="LI13:LI44" si="103">$HQ13*IB$14</f>
        <v>1.3317200000000001E-2</v>
      </c>
      <c r="LJ13" s="355">
        <f t="shared" ref="LJ13:LJ44" si="104">$HQ13*IC$14</f>
        <v>1.0500099999999998E-2</v>
      </c>
      <c r="LK13" s="355">
        <f t="shared" ref="LK13:LK44" si="105">$HQ13*ID$14</f>
        <v>0.21691669999999999</v>
      </c>
      <c r="LL13" s="355">
        <f t="shared" ref="LL13:LL44" si="106">$HQ13*IE$14</f>
        <v>2.5609999999999999E-3</v>
      </c>
      <c r="LM13" s="134">
        <f t="shared" ref="LM13:LM44" si="107">$HQ13*IF$14</f>
        <v>2.5609999999999999E-3</v>
      </c>
      <c r="LN13" s="884">
        <f t="shared" ref="LN13:LO13" si="108">$HR13*HZ$16</f>
        <v>4.3143941697553117E-5</v>
      </c>
      <c r="LO13" s="884">
        <f t="shared" si="108"/>
        <v>1.1766529553878121E-5</v>
      </c>
      <c r="LP13" s="474">
        <f t="shared" ref="LP13:LP44" si="109">$HR13*IB$16</f>
        <v>2.0003100241592809E-4</v>
      </c>
      <c r="LQ13" s="478">
        <f t="shared" ref="LQ13:LQ44" si="110">$HR13*IC$16</f>
        <v>3.2161847447266864E-4</v>
      </c>
      <c r="LR13" s="478">
        <f t="shared" ref="LR13:LR44" si="111">$HR13*ID$16</f>
        <v>3.1377412143674996E-2</v>
      </c>
      <c r="LS13" s="478">
        <f t="shared" ref="LS13:LS44" si="112">$HR13*IE$16</f>
        <v>3.412293570624655E-4</v>
      </c>
      <c r="LT13" s="478">
        <f t="shared" ref="LT13:LT44" si="113">$HR13*IF$16</f>
        <v>3.9221765179593742E-5</v>
      </c>
      <c r="LU13" s="885">
        <f t="shared" ref="LU13:LV13" si="114">$HS13*HZ$17</f>
        <v>6.2296568294999993E-2</v>
      </c>
      <c r="LV13" s="885">
        <f t="shared" si="114"/>
        <v>3.1148284147499997E-2</v>
      </c>
      <c r="LW13" s="478">
        <f t="shared" ref="LW13:LW44" si="115">$HS13*IB$17</f>
        <v>7.2679329677500001E-2</v>
      </c>
      <c r="LX13" s="474">
        <f t="shared" ref="LX13:LX44" si="116">$HS13*IC$17</f>
        <v>6.2296568294999993E-2</v>
      </c>
      <c r="LY13" s="474">
        <f t="shared" ref="LY13:LY44" si="117">$HS13*ID$17</f>
        <v>1.0268551007292499</v>
      </c>
      <c r="LZ13" s="474">
        <f t="shared" ref="LZ13:LZ44" si="118">$HS13*IE$17</f>
        <v>1.0382761382499999E-2</v>
      </c>
      <c r="MA13" s="485">
        <f t="shared" ref="MA13:MA44" si="119">$HS13*IF$17</f>
        <v>1.0382761382499999E-2</v>
      </c>
      <c r="MB13" s="884">
        <f t="shared" ref="MB13:MC13" si="120">$HT13*HZ$16</f>
        <v>1.69026E-5</v>
      </c>
      <c r="MC13" s="884">
        <f t="shared" si="120"/>
        <v>4.6097999999999986E-6</v>
      </c>
      <c r="MD13" s="474">
        <f t="shared" ref="MD13:MD44" si="121">$HT13*IB$16</f>
        <v>7.8366599999999989E-5</v>
      </c>
      <c r="ME13" s="474">
        <f t="shared" ref="ME13:ME44" si="122">$HT13*IC$16</f>
        <v>1.2600119999999998E-4</v>
      </c>
      <c r="MF13" s="474">
        <f t="shared" ref="MF13:MF44" si="123">$HT13*ID$16</f>
        <v>1.22928E-2</v>
      </c>
      <c r="MG13" s="474">
        <f t="shared" ref="MG13:MG44" si="124">$HT13*IE$16</f>
        <v>1.3368419999999998E-4</v>
      </c>
      <c r="MH13" s="474">
        <f t="shared" ref="MH13:MH44" si="125">$HT13*IF$16</f>
        <v>1.5365999999999998E-5</v>
      </c>
      <c r="MI13" s="884">
        <f t="shared" ref="MI13:MJ13" si="126">$HU13*HZ$17</f>
        <v>9.2195999999999988E-4</v>
      </c>
      <c r="MJ13" s="884">
        <f t="shared" si="126"/>
        <v>4.6097999999999994E-4</v>
      </c>
      <c r="MK13" s="474">
        <f t="shared" ref="MK13:MK44" si="127">$HU13*IB$17</f>
        <v>1.07562E-3</v>
      </c>
      <c r="ML13" s="474">
        <f t="shared" ref="ML13:ML44" si="128">$HU13*IC$17</f>
        <v>9.2195999999999988E-4</v>
      </c>
      <c r="MM13" s="474">
        <f t="shared" ref="MM13:MM44" si="129">$HU13*ID$17</f>
        <v>1.5196973999999999E-2</v>
      </c>
      <c r="MN13" s="474">
        <f t="shared" ref="MN13:MN44" si="130">$HU13*IE$17</f>
        <v>1.5365999999999999E-4</v>
      </c>
      <c r="MO13" s="485">
        <f t="shared" ref="MO13:MO44" si="131">$HU13*IF$17</f>
        <v>1.5365999999999999E-4</v>
      </c>
      <c r="MP13" s="884">
        <f t="shared" ref="MP13:MQ13" si="132">$HV13*HZ$16</f>
        <v>6.1976200000000005E-5</v>
      </c>
      <c r="MQ13" s="884">
        <f t="shared" si="132"/>
        <v>1.6902599999999996E-5</v>
      </c>
      <c r="MR13" s="474">
        <f t="shared" ref="MR13:MR44" si="133">$HV13*IB$16</f>
        <v>2.8734419999999999E-4</v>
      </c>
      <c r="MS13" s="474">
        <f t="shared" ref="MS13:MS44" si="134">$HV13*IC$16</f>
        <v>4.6200439999999994E-4</v>
      </c>
      <c r="MT13" s="474">
        <f t="shared" ref="MT13:MT44" si="135">$HV13*ID$16</f>
        <v>4.5073599999999998E-2</v>
      </c>
      <c r="MU13" s="474">
        <f t="shared" ref="MU13:MU44" si="136">$HV13*IE$16</f>
        <v>4.9017539999999995E-4</v>
      </c>
      <c r="MV13" s="474">
        <f t="shared" ref="MV13:MV44" si="137">$HV13*IF$16</f>
        <v>5.6341999999999997E-5</v>
      </c>
      <c r="MW13" s="884">
        <f t="shared" ref="MW13:MX13" si="138">$HW13*HZ$17</f>
        <v>1.3522079999999999E-2</v>
      </c>
      <c r="MX13" s="884">
        <f t="shared" si="138"/>
        <v>6.7610399999999994E-3</v>
      </c>
      <c r="MY13" s="474">
        <f t="shared" ref="MY13:MY44" si="139">$HW13*IB$17</f>
        <v>1.577576E-2</v>
      </c>
      <c r="MZ13" s="474">
        <f t="shared" ref="MZ13:MZ44" si="140">$HW13*IC$17</f>
        <v>1.3522079999999999E-2</v>
      </c>
      <c r="NA13" s="474">
        <f t="shared" ref="NA13:NA44" si="141">$HW13*ID$17</f>
        <v>0.222888952</v>
      </c>
      <c r="NB13" s="474">
        <f t="shared" ref="NB13:NB44" si="142">$HW13*IE$17</f>
        <v>2.2536800000000001E-3</v>
      </c>
      <c r="NC13" s="134">
        <f t="shared" ref="NC13:NC44" si="143">$HW13*IF$17</f>
        <v>2.2536800000000001E-3</v>
      </c>
    </row>
    <row r="14" spans="1:375" x14ac:dyDescent="0.25">
      <c r="A14" s="18">
        <v>1959</v>
      </c>
      <c r="B14" s="1271">
        <v>53</v>
      </c>
      <c r="C14" s="1224"/>
      <c r="D14" s="1224">
        <v>0</v>
      </c>
      <c r="E14" s="1272"/>
      <c r="F14" s="1224">
        <f t="shared" ref="F14:F56" si="144">B14*(1-$H$11)</f>
        <v>52.204999999999998</v>
      </c>
      <c r="G14" s="1224"/>
      <c r="H14" s="1224">
        <f t="shared" ref="H14:H56" si="145">D14*(1-$H$11)</f>
        <v>0</v>
      </c>
      <c r="I14" s="1224"/>
      <c r="J14" s="1082">
        <v>0</v>
      </c>
      <c r="K14" s="1082">
        <f t="shared" si="0"/>
        <v>0</v>
      </c>
      <c r="L14" s="1224">
        <f t="shared" si="1"/>
        <v>52.204999999999998</v>
      </c>
      <c r="M14" s="1228"/>
      <c r="N14" s="193">
        <v>8.0999999999999996E-3</v>
      </c>
      <c r="O14" s="47">
        <v>0</v>
      </c>
      <c r="P14" s="47">
        <v>6.0000000000000001E-3</v>
      </c>
      <c r="Q14" s="192">
        <v>0</v>
      </c>
      <c r="R14" s="47">
        <v>0</v>
      </c>
      <c r="S14" s="47">
        <f t="shared" ref="S14:S52" si="146">0.6%-0.06%</f>
        <v>5.4000000000000003E-3</v>
      </c>
      <c r="T14" s="47">
        <v>0.01</v>
      </c>
      <c r="U14" s="47">
        <v>1.8E-3</v>
      </c>
      <c r="V14" s="117">
        <v>4.0000000000000003E-5</v>
      </c>
      <c r="W14" s="47">
        <v>5.9999999999999995E-4</v>
      </c>
      <c r="X14" s="52">
        <v>1.0999999999999999E-2</v>
      </c>
      <c r="Y14" s="52">
        <v>2.0199999999999999E-2</v>
      </c>
      <c r="Z14" s="111">
        <v>6.3E-2</v>
      </c>
      <c r="AA14" s="52">
        <f t="shared" ref="AA14:AA77" si="147">$AA$12</f>
        <v>0.1</v>
      </c>
      <c r="AB14" s="52">
        <f t="shared" ref="AB14:AB77" si="148">$AB$12</f>
        <v>0</v>
      </c>
      <c r="AC14" s="52">
        <f t="shared" ref="AC14:AC77" si="149">$AC$12</f>
        <v>0.9</v>
      </c>
      <c r="AD14" s="475">
        <f t="shared" ref="AD14:AD57" si="150">F14*N14</f>
        <v>0.42286049999999997</v>
      </c>
      <c r="AE14" s="474">
        <f t="shared" ref="AE14:AG57" si="151">AD14</f>
        <v>0.42286049999999997</v>
      </c>
      <c r="AF14" s="474">
        <f t="shared" ref="AF14:AF57" si="152">F14*O14</f>
        <v>0</v>
      </c>
      <c r="AG14" s="474">
        <f t="shared" si="151"/>
        <v>0</v>
      </c>
      <c r="AH14" s="474">
        <f t="shared" ref="AH14:AH57" si="153">F14*P14</f>
        <v>0.31323000000000001</v>
      </c>
      <c r="AI14" s="474">
        <f t="shared" ref="AI14" si="154">AH14</f>
        <v>0.31323000000000001</v>
      </c>
      <c r="AJ14" s="508"/>
      <c r="AK14" s="508"/>
      <c r="AL14" s="508"/>
      <c r="AM14" s="508"/>
      <c r="AN14" s="508"/>
      <c r="AO14" s="572"/>
      <c r="AP14" s="481">
        <f t="shared" ref="AP14:AP57" si="155">AD14+AJ14</f>
        <v>0.42286049999999997</v>
      </c>
      <c r="AQ14" s="474">
        <f t="shared" ref="AQ14" si="156">AP14</f>
        <v>0.42286049999999997</v>
      </c>
      <c r="AR14" s="474">
        <f t="shared" ref="AR14:AR57" si="157">AF14+AL14</f>
        <v>0</v>
      </c>
      <c r="AS14" s="474">
        <f t="shared" ref="AS14" si="158">AR14</f>
        <v>0</v>
      </c>
      <c r="AT14" s="474">
        <f t="shared" ref="AT14:AU58" si="159">AH14+AN14</f>
        <v>0.31323000000000001</v>
      </c>
      <c r="AU14" s="474">
        <f t="shared" ref="AU14" si="160">AT14</f>
        <v>0.31323000000000001</v>
      </c>
      <c r="AV14" s="475">
        <f t="shared" si="2"/>
        <v>0</v>
      </c>
      <c r="AW14" s="474">
        <f t="shared" ref="AW14" si="161">AV14</f>
        <v>0</v>
      </c>
      <c r="AX14" s="474">
        <f t="shared" si="3"/>
        <v>0.28190700000000002</v>
      </c>
      <c r="AY14" s="474">
        <f t="shared" ref="AY14" si="162">AX14</f>
        <v>0.28190700000000002</v>
      </c>
      <c r="AZ14" s="474">
        <f t="shared" si="4"/>
        <v>0.52205000000000001</v>
      </c>
      <c r="BA14" s="474">
        <f t="shared" ref="BA14" si="163">AZ14</f>
        <v>0.52205000000000001</v>
      </c>
      <c r="BB14" s="481"/>
      <c r="BC14" s="474"/>
      <c r="BD14" s="474"/>
      <c r="BE14" s="474"/>
      <c r="BF14" s="474"/>
      <c r="BG14" s="474"/>
      <c r="BH14" s="481">
        <f t="shared" si="5"/>
        <v>0</v>
      </c>
      <c r="BI14" s="474">
        <f t="shared" ref="BI14" si="164">BH14</f>
        <v>0</v>
      </c>
      <c r="BJ14" s="474">
        <f t="shared" si="6"/>
        <v>0.28190700000000002</v>
      </c>
      <c r="BK14" s="474">
        <f t="shared" ref="BK14" si="165">BJ14</f>
        <v>0.28190700000000002</v>
      </c>
      <c r="BL14" s="474">
        <f t="shared" si="7"/>
        <v>0.52205000000000001</v>
      </c>
      <c r="BM14" s="474">
        <f t="shared" ref="BM14" si="166">BL14</f>
        <v>0.52205000000000001</v>
      </c>
      <c r="BN14" s="475">
        <f t="shared" si="8"/>
        <v>2.0882000000000001E-3</v>
      </c>
      <c r="BO14" s="474">
        <f t="shared" ref="BO14" si="167">BN14</f>
        <v>2.0882000000000001E-3</v>
      </c>
      <c r="BP14" s="474">
        <f t="shared" si="9"/>
        <v>3.1322999999999997E-2</v>
      </c>
      <c r="BQ14" s="474">
        <f t="shared" ref="BQ14" si="168">BP14</f>
        <v>3.1322999999999997E-2</v>
      </c>
      <c r="BR14" s="474">
        <f t="shared" si="10"/>
        <v>0.57425499999999996</v>
      </c>
      <c r="BS14" s="474">
        <f t="shared" ref="BS14" si="169">BR14</f>
        <v>0.57425499999999996</v>
      </c>
      <c r="BT14" s="481"/>
      <c r="BU14" s="474"/>
      <c r="BV14" s="474"/>
      <c r="BW14" s="474"/>
      <c r="BX14" s="474"/>
      <c r="BY14" s="474"/>
      <c r="BZ14" s="481">
        <f t="shared" si="11"/>
        <v>2.0882000000000001E-3</v>
      </c>
      <c r="CA14" s="474">
        <f t="shared" ref="CA14" si="170">BZ14</f>
        <v>2.0882000000000001E-3</v>
      </c>
      <c r="CB14" s="474">
        <f t="shared" si="12"/>
        <v>3.1322999999999997E-2</v>
      </c>
      <c r="CC14" s="474">
        <f t="shared" ref="CC14" si="171">CB14</f>
        <v>3.1322999999999997E-2</v>
      </c>
      <c r="CD14" s="474">
        <f t="shared" si="13"/>
        <v>0.57425499999999996</v>
      </c>
      <c r="CE14" s="526">
        <f t="shared" ref="CE14" si="172">CD14</f>
        <v>0.57425499999999996</v>
      </c>
      <c r="CF14" s="355">
        <f t="shared" ref="CF14:CF77" si="173">$J14*AA14</f>
        <v>0</v>
      </c>
      <c r="CG14" s="615">
        <f t="shared" ref="CG14:CG57" si="174">CF14</f>
        <v>0</v>
      </c>
      <c r="CH14" s="355">
        <f t="shared" ref="CH14:CH77" si="175">$J14*AB14</f>
        <v>0</v>
      </c>
      <c r="CI14" s="615">
        <f t="shared" si="14"/>
        <v>0</v>
      </c>
      <c r="CJ14" s="615">
        <f t="shared" ref="CJ14:CJ77" si="176">$J14*AC14</f>
        <v>0</v>
      </c>
      <c r="CK14" s="615">
        <f t="shared" si="15"/>
        <v>0</v>
      </c>
      <c r="CL14" s="122"/>
      <c r="CM14" s="1235">
        <f t="shared" si="16"/>
        <v>48.916084999999995</v>
      </c>
      <c r="CN14" s="1231"/>
      <c r="CO14" s="1230"/>
      <c r="CP14" s="1231"/>
      <c r="CQ14" s="1230">
        <f t="shared" ref="CQ14:CQ57" si="177">CM14+CO14</f>
        <v>48.916084999999995</v>
      </c>
      <c r="CR14" s="1232"/>
      <c r="CS14" s="30">
        <v>0.45</v>
      </c>
      <c r="CT14" s="31">
        <f t="shared" ref="CT14:CT63" si="178">1-CS14</f>
        <v>0.55000000000000004</v>
      </c>
      <c r="CU14" s="31"/>
      <c r="CV14" s="32"/>
      <c r="CW14" s="1233">
        <f t="shared" ref="CW14:CW57" si="179">CM14*(1-$DJ14)*CS14</f>
        <v>20.911626337499996</v>
      </c>
      <c r="CX14" s="1234"/>
      <c r="CY14" s="1234">
        <f t="shared" ref="CY14:CY57" si="180">CM14*(1-$DJ14)*CT14</f>
        <v>25.558654412499997</v>
      </c>
      <c r="CZ14" s="1231"/>
      <c r="DA14" s="369"/>
      <c r="DB14" s="369"/>
      <c r="DC14" s="369"/>
      <c r="DD14" s="373"/>
      <c r="DE14" s="1234">
        <f t="shared" si="17"/>
        <v>20.911626337499996</v>
      </c>
      <c r="DF14" s="1234"/>
      <c r="DG14" s="369">
        <f t="shared" ref="DG14:DG17" si="181">CW14+DA14</f>
        <v>20.911626337499996</v>
      </c>
      <c r="DH14" s="372">
        <f t="shared" ref="DH14:DH57" si="182">CY14+DD14</f>
        <v>25.558654412499997</v>
      </c>
      <c r="DJ14" s="493">
        <v>0.05</v>
      </c>
      <c r="DK14" s="379"/>
      <c r="DL14" s="1105">
        <f t="shared" si="18"/>
        <v>2.4458042500000001</v>
      </c>
      <c r="DM14" s="1105">
        <f t="shared" si="19"/>
        <v>2.4458042500000001</v>
      </c>
      <c r="DN14" s="369"/>
      <c r="DO14" s="372"/>
      <c r="DP14" s="30">
        <v>1</v>
      </c>
      <c r="DQ14" s="31">
        <f t="shared" ref="DQ14:DQ57" si="183">$DQ$12</f>
        <v>0.1</v>
      </c>
      <c r="DR14" s="31">
        <f t="shared" ref="DR14:DR57" si="184">$DR$12</f>
        <v>1</v>
      </c>
      <c r="DS14" s="680">
        <f t="shared" ref="DS14:DS77" si="185">$DS$12</f>
        <v>0.1</v>
      </c>
      <c r="DT14" s="77">
        <f t="shared" ref="DT14:DT77" si="186">$DT$12</f>
        <v>1</v>
      </c>
      <c r="DU14" s="31">
        <v>0</v>
      </c>
      <c r="DV14" s="31">
        <v>1</v>
      </c>
      <c r="DW14" s="31">
        <v>0</v>
      </c>
      <c r="DX14" s="31">
        <v>0</v>
      </c>
      <c r="DY14" s="31">
        <v>1</v>
      </c>
      <c r="DZ14" s="31">
        <v>0</v>
      </c>
      <c r="EA14" s="383">
        <f t="shared" ref="EA14:EA45" si="187">1/2*(DL14*DQ14*DU14+DL13*DQ13*DU13)</f>
        <v>0</v>
      </c>
      <c r="EB14" s="355">
        <f t="shared" ref="EB14:EB57" si="188">1/2*(DL14*DR14*DU14+DL13*DR13*DU13)</f>
        <v>0</v>
      </c>
      <c r="EC14" s="355">
        <f t="shared" ref="EC14:EC45" si="189">1/2*(DL14*DQ14*DV14+DL13*DQ13*DV13)</f>
        <v>0.18228163750000001</v>
      </c>
      <c r="ED14" s="355">
        <f t="shared" ref="ED14:ED57" si="190">1/2*(DL14*DR14*DV14+DL13*DR13*DV13)</f>
        <v>1.8228163749999999</v>
      </c>
      <c r="EE14" s="355">
        <f t="shared" ref="EE14:EE45" si="191">1/2*(DL14*DQ14*DW14+DL13*DQ13*DW13)</f>
        <v>0</v>
      </c>
      <c r="EF14" s="355">
        <f t="shared" ref="EF14:EF57" si="192">1/2*(DL14*DR14*DW14+DL13*DR13*DW13)</f>
        <v>0</v>
      </c>
      <c r="EG14" s="355"/>
      <c r="EH14" s="355"/>
      <c r="EI14" s="355"/>
      <c r="EJ14" s="355"/>
      <c r="EK14" s="355"/>
      <c r="EL14" s="356"/>
      <c r="EM14" s="355">
        <f t="shared" ref="EM14:EM77" si="193">SUM(EA14,EC14,EE14,EG14,EI14,EK14)</f>
        <v>0.18228163750000001</v>
      </c>
      <c r="EN14" s="134">
        <f t="shared" ref="EN14:EN77" si="194">SUM(EB14,ED14,EF14,EH14,EJ14,EL14)</f>
        <v>1.8228163749999999</v>
      </c>
      <c r="EP14" s="1171">
        <f t="shared" si="20"/>
        <v>2.0882000000000001E-3</v>
      </c>
      <c r="EQ14" s="1172"/>
      <c r="ER14" s="1172">
        <f t="shared" si="21"/>
        <v>3.1322999999999997E-2</v>
      </c>
      <c r="ES14" s="1172"/>
      <c r="ET14" s="1172">
        <f t="shared" si="22"/>
        <v>0.57425499999999996</v>
      </c>
      <c r="EU14" s="1172"/>
      <c r="EV14" s="366"/>
      <c r="EW14" s="355"/>
      <c r="EX14" s="355"/>
      <c r="EY14" s="355"/>
      <c r="EZ14" s="1172"/>
      <c r="FA14" s="1173"/>
      <c r="FB14" s="368">
        <f t="shared" ref="FB14:FB57" si="195">CW14</f>
        <v>20.911626337499996</v>
      </c>
      <c r="FC14" s="369">
        <f t="shared" ref="FC14:FC57" si="196">FB14</f>
        <v>20.911626337499996</v>
      </c>
      <c r="FD14" s="369"/>
      <c r="FE14" s="61"/>
      <c r="FF14" s="368">
        <f t="shared" ref="FF14:FF44" si="197">CY14</f>
        <v>25.558654412499997</v>
      </c>
      <c r="FG14" s="369">
        <f t="shared" si="24"/>
        <v>25.558654412499997</v>
      </c>
      <c r="FH14" s="369"/>
      <c r="FI14" s="369"/>
      <c r="FJ14" s="30">
        <v>1</v>
      </c>
      <c r="FK14" s="31">
        <v>0.2</v>
      </c>
      <c r="FL14" s="501">
        <v>0.8</v>
      </c>
      <c r="FM14" s="31">
        <f t="shared" ref="FM14:FM57" si="198">$FM$11</f>
        <v>0.1</v>
      </c>
      <c r="FN14" s="501">
        <f t="shared" ref="FN14:FN57" si="199">$FN$11</f>
        <v>1</v>
      </c>
      <c r="FO14" s="31">
        <f t="shared" ref="FO14:FO77" si="200">$FO$11</f>
        <v>0.1</v>
      </c>
      <c r="FP14" s="31">
        <f t="shared" ref="FP14:FP77" si="201">$FP$11</f>
        <v>1</v>
      </c>
      <c r="FQ14" s="31">
        <v>1</v>
      </c>
      <c r="FR14" s="31">
        <v>0</v>
      </c>
      <c r="FS14" s="89">
        <f t="shared" ref="FS14:FS77" si="202">$FS$11</f>
        <v>1E-3</v>
      </c>
      <c r="FT14" s="31">
        <f t="shared" ref="FT14:FT77" si="203">$FT$11</f>
        <v>0.05</v>
      </c>
      <c r="FU14" s="30">
        <v>0.05</v>
      </c>
      <c r="FV14" s="32">
        <f t="shared" si="25"/>
        <v>2.4224999999999997E-2</v>
      </c>
      <c r="FW14" s="31">
        <v>0.1</v>
      </c>
      <c r="FX14" s="77">
        <f t="shared" si="26"/>
        <v>9.0000000000000011E-2</v>
      </c>
      <c r="FY14" s="30"/>
      <c r="FZ14" s="32"/>
      <c r="GA14" s="31"/>
      <c r="GB14" s="77"/>
      <c r="GC14" s="378">
        <f t="shared" si="27"/>
        <v>2.0882000000000001E-3</v>
      </c>
      <c r="GD14" s="379">
        <f t="shared" ref="GD14:GD57" si="204">GC14</f>
        <v>2.0882000000000001E-3</v>
      </c>
      <c r="GE14" s="379">
        <f t="shared" si="28"/>
        <v>3.1322999999999997E-2</v>
      </c>
      <c r="GF14" s="379">
        <f t="shared" ref="GF14:GF57" si="205">GE14</f>
        <v>3.1322999999999997E-2</v>
      </c>
      <c r="GG14" s="379">
        <f t="shared" ref="GG14:GG57" si="206">$ET14*FK14</f>
        <v>0.11485099999999999</v>
      </c>
      <c r="GH14" s="218">
        <f t="shared" ref="GH14:GH57" si="207">$ET14*FL14</f>
        <v>0.45940399999999998</v>
      </c>
      <c r="GI14" s="379"/>
      <c r="GJ14" s="379"/>
      <c r="GK14" s="379"/>
      <c r="GL14" s="379"/>
      <c r="GM14" s="379"/>
      <c r="GN14" s="218"/>
      <c r="GO14" s="379">
        <f t="shared" ref="GO14:GO77" si="208">GC14+GE14+GG14+GI14+GK14+GM14</f>
        <v>0.14826219999999998</v>
      </c>
      <c r="GP14" s="515">
        <f t="shared" ref="GP14:GP77" si="209">GD14+GF14+GH14+GJ14+GL14+GN14</f>
        <v>0.49281519999999995</v>
      </c>
      <c r="GQ14" s="379">
        <f t="shared" ref="GQ14:GQ45" si="210">1/2*(($FB14*$FM14)*($FU14+$FV14)+$FB13*$FM13*($FU13+$FV13))</f>
        <v>0.11568025634639061</v>
      </c>
      <c r="GR14" s="379">
        <f t="shared" ref="GR14:GR45" si="211">1/2*(($FC14*$FN14)*($FW14+$FX14)+$FC13*$FN13*($FW13+$FX13))</f>
        <v>2.9611652011874994</v>
      </c>
      <c r="GS14" s="355">
        <f>1/10*($FF14*$FQ14*$FM14*$FS14+$FF13*$FQ13*$FM13*$FS13)</f>
        <v>3.8096862237500004E-4</v>
      </c>
      <c r="GT14" s="355">
        <f>1/10*($FG14*$FQ14*$FN14*$FT14+$FG13*$FQ13*$FN13*$FT13)</f>
        <v>0.19048431118750001</v>
      </c>
      <c r="GU14" s="355">
        <f>1/10*($FF14*$FR14*$FM14*$FS14+$FF13*$FR13*$FM13*$FS13)</f>
        <v>0</v>
      </c>
      <c r="GV14" s="356">
        <f>1/10*($FG14*$FR14*$FN14*$FT14+$FG13*$FR13*$FN13*$FT13)</f>
        <v>0</v>
      </c>
      <c r="GW14" s="355"/>
      <c r="GX14" s="355"/>
      <c r="GY14" s="355"/>
      <c r="GZ14" s="355"/>
      <c r="HA14" s="355"/>
      <c r="HB14" s="356"/>
      <c r="HC14" s="379">
        <f t="shared" ref="HC14:HC77" si="212">GQ14+GS14+GU14+GW14+GY14+HA14</f>
        <v>0.1160612249687656</v>
      </c>
      <c r="HD14" s="38">
        <f t="shared" ref="HD14:HD77" si="213">GR14+GT14+GV14+GX14+GZ14+HB14</f>
        <v>3.1516495123749992</v>
      </c>
      <c r="HF14" s="383">
        <f t="shared" si="29"/>
        <v>0.42286049999999997</v>
      </c>
      <c r="HG14" s="355">
        <f t="shared" si="30"/>
        <v>0.42286049999999997</v>
      </c>
      <c r="HH14" s="355">
        <f t="shared" si="31"/>
        <v>0</v>
      </c>
      <c r="HI14" s="355">
        <f t="shared" si="32"/>
        <v>0</v>
      </c>
      <c r="HJ14" s="355">
        <f t="shared" si="33"/>
        <v>0.31323000000000001</v>
      </c>
      <c r="HK14" s="356">
        <f t="shared" si="34"/>
        <v>0.31323000000000001</v>
      </c>
      <c r="HL14" s="355">
        <f t="shared" si="35"/>
        <v>0</v>
      </c>
      <c r="HM14" s="355">
        <f t="shared" si="36"/>
        <v>0</v>
      </c>
      <c r="HN14" s="355">
        <f t="shared" si="37"/>
        <v>0.46418863750000006</v>
      </c>
      <c r="HO14" s="355">
        <f t="shared" si="38"/>
        <v>2.1047233749999998</v>
      </c>
      <c r="HP14" s="355">
        <f t="shared" si="39"/>
        <v>0.52205000000000001</v>
      </c>
      <c r="HQ14" s="524">
        <f t="shared" si="40"/>
        <v>0.52205000000000001</v>
      </c>
      <c r="HR14" s="615">
        <f t="shared" ref="HR14:HR77" si="214">SUM(GC14,GQ14,GS14,GI14,GW14,GY134,CF14)</f>
        <v>0.1181494249687656</v>
      </c>
      <c r="HS14" s="615">
        <f t="shared" si="41"/>
        <v>3.1537377123749994</v>
      </c>
      <c r="HT14" s="615">
        <f t="shared" si="42"/>
        <v>3.1322999999999997E-2</v>
      </c>
      <c r="HU14" s="615">
        <f t="shared" si="43"/>
        <v>3.1322999999999997E-2</v>
      </c>
      <c r="HV14" s="615">
        <f t="shared" si="44"/>
        <v>0.11485099999999999</v>
      </c>
      <c r="HW14" s="615">
        <f t="shared" si="45"/>
        <v>0.45940399999999998</v>
      </c>
      <c r="HY14" s="857" t="s">
        <v>1192</v>
      </c>
      <c r="HZ14" s="858">
        <v>3.3000000000000002E-2</v>
      </c>
      <c r="IA14" s="858">
        <v>4.0999999999999995E-2</v>
      </c>
      <c r="IB14" s="858">
        <v>5.2000000000000005E-2</v>
      </c>
      <c r="IC14" s="858">
        <v>4.0999999999999995E-2</v>
      </c>
      <c r="ID14" s="858">
        <v>0.84699999999999998</v>
      </c>
      <c r="IE14" s="858">
        <v>0.01</v>
      </c>
      <c r="IF14" s="858">
        <v>0.01</v>
      </c>
      <c r="IH14" s="884">
        <f t="shared" ref="IH14:IH77" si="215">$HF14*HZ$13</f>
        <v>4.6514655000000002E-3</v>
      </c>
      <c r="II14" s="884">
        <f t="shared" ref="II14:II77" si="216">$HF14*IA$13</f>
        <v>3.8057445000000004E-3</v>
      </c>
      <c r="IJ14" s="884">
        <f t="shared" ref="IJ14:IJ77" si="217">$HF14*IB$13</f>
        <v>7.6114890000000008E-3</v>
      </c>
      <c r="IK14" s="474">
        <f t="shared" ref="IK14:IK45" si="218">$HF14*IC$13</f>
        <v>3.8057445000000004E-3</v>
      </c>
      <c r="IL14" s="474">
        <f t="shared" ref="IL14:IL45" si="219">$HF14*ID$13</f>
        <v>0.35731712249999997</v>
      </c>
      <c r="IM14" s="474">
        <f t="shared" ref="IM14:IM45" si="220">$HF14*IE$13</f>
        <v>4.2286050000000001E-4</v>
      </c>
      <c r="IN14" s="474">
        <f t="shared" ref="IN14:IN45" si="221">$HF14*IF$13</f>
        <v>4.2286050000000001E-4</v>
      </c>
      <c r="IO14" s="884">
        <f t="shared" ref="IO14:IO77" si="222">$HG14*HZ$14</f>
        <v>1.3954396500000001E-2</v>
      </c>
      <c r="IP14" s="884">
        <f t="shared" ref="IP14:IP77" si="223">$HG14*IA$14</f>
        <v>1.7337280499999996E-2</v>
      </c>
      <c r="IQ14" s="474">
        <f t="shared" ref="IQ14:IQ45" si="224">$HG14*IB$14</f>
        <v>2.1988746E-2</v>
      </c>
      <c r="IR14" s="474">
        <f t="shared" ref="IR14:IR45" si="225">$HG14*IC$14</f>
        <v>1.7337280499999996E-2</v>
      </c>
      <c r="IS14" s="474">
        <f t="shared" ref="IS14:IS45" si="226">$HG14*ID$14</f>
        <v>0.35816284349999994</v>
      </c>
      <c r="IT14" s="474">
        <f t="shared" ref="IT14:IT45" si="227">$HG14*IE$14</f>
        <v>4.2286049999999999E-3</v>
      </c>
      <c r="IU14" s="526">
        <f t="shared" ref="IU14:IU45" si="228">$HG14*IF$14</f>
        <v>4.2286049999999999E-3</v>
      </c>
      <c r="IV14" s="884">
        <f t="shared" ref="IV14:IV77" si="229">$HH14*HZ$13</f>
        <v>0</v>
      </c>
      <c r="IW14" s="884">
        <f t="shared" ref="IW14:IW77" si="230">$HH14*IA$13</f>
        <v>0</v>
      </c>
      <c r="IX14" s="474">
        <f t="shared" si="49"/>
        <v>0</v>
      </c>
      <c r="IY14" s="474">
        <f t="shared" si="50"/>
        <v>0</v>
      </c>
      <c r="IZ14" s="474">
        <f t="shared" si="51"/>
        <v>0</v>
      </c>
      <c r="JA14" s="474">
        <f t="shared" si="52"/>
        <v>0</v>
      </c>
      <c r="JB14" s="474">
        <f t="shared" si="53"/>
        <v>0</v>
      </c>
      <c r="JC14" s="884">
        <f t="shared" ref="JC14:JC77" si="231">$HI14*HZ$14</f>
        <v>0</v>
      </c>
      <c r="JD14" s="884">
        <f t="shared" ref="JD14:JD77" si="232">$HI14*IA$14</f>
        <v>0</v>
      </c>
      <c r="JE14" s="474">
        <f t="shared" si="55"/>
        <v>0</v>
      </c>
      <c r="JF14" s="474">
        <f t="shared" si="56"/>
        <v>0</v>
      </c>
      <c r="JG14" s="474">
        <f t="shared" si="57"/>
        <v>0</v>
      </c>
      <c r="JH14" s="474">
        <f t="shared" si="58"/>
        <v>0</v>
      </c>
      <c r="JI14" s="480">
        <f t="shared" si="59"/>
        <v>0</v>
      </c>
      <c r="JJ14" s="884">
        <f t="shared" ref="JJ14:JJ77" si="233">$HJ14*HZ$13</f>
        <v>3.4455300000000005E-3</v>
      </c>
      <c r="JK14" s="884">
        <f t="shared" ref="JK14:JK77" si="234">$HJ14*IA$13</f>
        <v>2.8190700000000003E-3</v>
      </c>
      <c r="JL14" s="474">
        <f t="shared" si="61"/>
        <v>5.6381400000000007E-3</v>
      </c>
      <c r="JM14" s="474">
        <f t="shared" si="62"/>
        <v>2.8190700000000003E-3</v>
      </c>
      <c r="JN14" s="474">
        <f t="shared" si="63"/>
        <v>0.26467934999999998</v>
      </c>
      <c r="JO14" s="474">
        <f t="shared" si="64"/>
        <v>3.1323000000000001E-4</v>
      </c>
      <c r="JP14" s="474">
        <f t="shared" si="65"/>
        <v>3.1323000000000001E-4</v>
      </c>
      <c r="JQ14" s="884">
        <f t="shared" ref="JQ14:JQ77" si="235">$HK14*HZ$14</f>
        <v>1.0336590000000001E-2</v>
      </c>
      <c r="JR14" s="884">
        <f t="shared" ref="JR14:JR77" si="236">$HK14*IA$14</f>
        <v>1.2842429999999998E-2</v>
      </c>
      <c r="JS14" s="474">
        <f t="shared" si="67"/>
        <v>1.6287960000000001E-2</v>
      </c>
      <c r="JT14" s="474">
        <f t="shared" si="68"/>
        <v>1.2842429999999998E-2</v>
      </c>
      <c r="JU14" s="474">
        <f t="shared" si="69"/>
        <v>0.26530580999999998</v>
      </c>
      <c r="JV14" s="474">
        <f t="shared" si="70"/>
        <v>3.1323000000000002E-3</v>
      </c>
      <c r="JW14" s="134">
        <f t="shared" si="71"/>
        <v>3.1323000000000002E-3</v>
      </c>
      <c r="JX14" s="884">
        <f t="shared" ref="JX14:JX77" si="237">$HL14*HZ$13</f>
        <v>0</v>
      </c>
      <c r="JY14" s="1033">
        <f t="shared" ref="JY14:JY77" si="238">$HL14*IA$13</f>
        <v>0</v>
      </c>
      <c r="JZ14" s="1033">
        <f t="shared" si="73"/>
        <v>0</v>
      </c>
      <c r="KA14" s="355">
        <f t="shared" si="74"/>
        <v>0</v>
      </c>
      <c r="KB14" s="355">
        <f t="shared" si="75"/>
        <v>0</v>
      </c>
      <c r="KC14" s="355">
        <f t="shared" si="76"/>
        <v>0</v>
      </c>
      <c r="KD14" s="474">
        <f t="shared" si="77"/>
        <v>0</v>
      </c>
      <c r="KE14" s="884">
        <f t="shared" ref="KE14:KE77" si="239">$HM14*HZ$14</f>
        <v>0</v>
      </c>
      <c r="KF14" s="884">
        <f t="shared" ref="KF14:KF77" si="240">$HM14*IA$14</f>
        <v>0</v>
      </c>
      <c r="KG14" s="355">
        <f t="shared" si="79"/>
        <v>0</v>
      </c>
      <c r="KH14" s="355">
        <f t="shared" si="80"/>
        <v>0</v>
      </c>
      <c r="KI14" s="355">
        <f t="shared" si="81"/>
        <v>0</v>
      </c>
      <c r="KJ14" s="355">
        <f t="shared" si="82"/>
        <v>0</v>
      </c>
      <c r="KK14" s="526">
        <f t="shared" si="83"/>
        <v>0</v>
      </c>
      <c r="KL14" s="884">
        <f t="shared" ref="KL14:KL77" si="241">$HN14*HZ$13</f>
        <v>5.1060750125000009E-3</v>
      </c>
      <c r="KM14" s="884">
        <f t="shared" ref="KM14:KM77" si="242">$HN14*IA$13</f>
        <v>4.1776977375000014E-3</v>
      </c>
      <c r="KN14" s="355">
        <f t="shared" si="85"/>
        <v>8.3553954750000027E-3</v>
      </c>
      <c r="KO14" s="355">
        <f t="shared" si="86"/>
        <v>4.1776977375000014E-3</v>
      </c>
      <c r="KP14" s="355">
        <f t="shared" si="87"/>
        <v>0.39223939868750002</v>
      </c>
      <c r="KQ14" s="355">
        <f t="shared" si="88"/>
        <v>4.6418863750000009E-4</v>
      </c>
      <c r="KR14" s="355">
        <f t="shared" si="89"/>
        <v>4.6418863750000009E-4</v>
      </c>
      <c r="KS14" s="884">
        <f t="shared" ref="KS14:KS77" si="243">$HO14*HZ$14</f>
        <v>6.9455871374999992E-2</v>
      </c>
      <c r="KT14" s="884">
        <f t="shared" ref="KT14:KT77" si="244">$HO14*IA$14</f>
        <v>8.6293658374999985E-2</v>
      </c>
      <c r="KU14" s="355">
        <f t="shared" si="91"/>
        <v>0.1094456155</v>
      </c>
      <c r="KV14" s="355">
        <f t="shared" si="92"/>
        <v>8.6293658374999985E-2</v>
      </c>
      <c r="KW14" s="355">
        <f t="shared" si="93"/>
        <v>1.7827006986249998</v>
      </c>
      <c r="KX14" s="355">
        <f t="shared" si="94"/>
        <v>2.1047233749999998E-2</v>
      </c>
      <c r="KY14" s="480">
        <f t="shared" si="95"/>
        <v>2.1047233749999998E-2</v>
      </c>
      <c r="KZ14" s="884">
        <f t="shared" ref="KZ14:KZ77" si="245">$HP14*HZ$13</f>
        <v>5.7425500000000008E-3</v>
      </c>
      <c r="LA14" s="884">
        <f t="shared" ref="LA14:LA77" si="246">$HP14*IA$13</f>
        <v>4.6984500000000007E-3</v>
      </c>
      <c r="LB14" s="355">
        <f t="shared" si="97"/>
        <v>9.3969000000000014E-3</v>
      </c>
      <c r="LC14" s="355">
        <f t="shared" si="98"/>
        <v>4.6984500000000007E-3</v>
      </c>
      <c r="LD14" s="355">
        <f t="shared" si="99"/>
        <v>0.44113225</v>
      </c>
      <c r="LE14" s="355">
        <f t="shared" si="100"/>
        <v>5.2205000000000003E-4</v>
      </c>
      <c r="LF14" s="355">
        <f t="shared" si="101"/>
        <v>5.2205000000000003E-4</v>
      </c>
      <c r="LG14" s="884">
        <f t="shared" ref="LG14:LG77" si="247">$HQ14*HZ$14</f>
        <v>1.7227650000000001E-2</v>
      </c>
      <c r="LH14" s="884">
        <f t="shared" ref="LH14:LH77" si="248">$HQ14*IA$14</f>
        <v>2.1404049999999997E-2</v>
      </c>
      <c r="LI14" s="355">
        <f t="shared" si="103"/>
        <v>2.7146600000000003E-2</v>
      </c>
      <c r="LJ14" s="355">
        <f t="shared" si="104"/>
        <v>2.1404049999999997E-2</v>
      </c>
      <c r="LK14" s="355">
        <f t="shared" si="105"/>
        <v>0.44217635</v>
      </c>
      <c r="LL14" s="355">
        <f t="shared" si="106"/>
        <v>5.2205000000000003E-3</v>
      </c>
      <c r="LM14" s="134">
        <f t="shared" si="107"/>
        <v>5.2205000000000003E-3</v>
      </c>
      <c r="LN14" s="884">
        <f t="shared" ref="LN14:LN77" si="249">$HR14*HZ$16</f>
        <v>1.2996436746564216E-4</v>
      </c>
      <c r="LO14" s="884">
        <f t="shared" ref="LO14:LO77" si="250">$HR14*IA$16</f>
        <v>3.5444827490629676E-5</v>
      </c>
      <c r="LP14" s="355">
        <f t="shared" si="109"/>
        <v>6.0256206734070458E-4</v>
      </c>
      <c r="LQ14" s="474">
        <f t="shared" si="110"/>
        <v>9.6882528474387776E-4</v>
      </c>
      <c r="LR14" s="474">
        <f t="shared" si="111"/>
        <v>9.4519539975012487E-2</v>
      </c>
      <c r="LS14" s="474">
        <f t="shared" si="112"/>
        <v>1.0278999972282606E-3</v>
      </c>
      <c r="LT14" s="474">
        <f t="shared" si="113"/>
        <v>1.1814942496876561E-4</v>
      </c>
      <c r="LU14" s="884">
        <f t="shared" ref="LU14:LU77" si="251">$HS14*HZ$17</f>
        <v>0.18922426274249995</v>
      </c>
      <c r="LV14" s="884">
        <f t="shared" ref="LV14:LV77" si="252">$HS14*IA$17</f>
        <v>9.4612131371249977E-2</v>
      </c>
      <c r="LW14" s="355">
        <f t="shared" si="115"/>
        <v>0.22076163986624997</v>
      </c>
      <c r="LX14" s="474">
        <f t="shared" si="116"/>
        <v>0.18922426274249995</v>
      </c>
      <c r="LY14" s="474">
        <f t="shared" si="117"/>
        <v>3.1190465975388748</v>
      </c>
      <c r="LZ14" s="474">
        <f t="shared" si="118"/>
        <v>3.1537377123749995E-2</v>
      </c>
      <c r="MA14" s="485">
        <f t="shared" si="119"/>
        <v>3.1537377123749995E-2</v>
      </c>
      <c r="MB14" s="884">
        <f t="shared" ref="MB14:MB77" si="253">$HT14*HZ$16</f>
        <v>3.4455299999999995E-5</v>
      </c>
      <c r="MC14" s="884">
        <f t="shared" ref="MC14:MC77" si="254">$HT14*IA$16</f>
        <v>9.3968999999999981E-6</v>
      </c>
      <c r="MD14" s="355">
        <f t="shared" si="121"/>
        <v>1.5974730000000001E-4</v>
      </c>
      <c r="ME14" s="474">
        <f t="shared" si="122"/>
        <v>2.5684859999999994E-4</v>
      </c>
      <c r="MF14" s="474">
        <f t="shared" si="123"/>
        <v>2.5058399999999998E-2</v>
      </c>
      <c r="MG14" s="474">
        <f t="shared" si="124"/>
        <v>2.7251009999999993E-4</v>
      </c>
      <c r="MH14" s="474">
        <f t="shared" si="125"/>
        <v>3.1322999999999998E-5</v>
      </c>
      <c r="MI14" s="884">
        <f t="shared" ref="MI14:MI77" si="255">$HU14*HZ$17</f>
        <v>1.8793799999999997E-3</v>
      </c>
      <c r="MJ14" s="884">
        <f t="shared" ref="MJ14:MJ77" si="256">$HU14*IA$17</f>
        <v>9.3968999999999986E-4</v>
      </c>
      <c r="MK14" s="355">
        <f t="shared" si="127"/>
        <v>2.1926099999999998E-3</v>
      </c>
      <c r="ML14" s="474">
        <f t="shared" si="128"/>
        <v>1.8793799999999997E-3</v>
      </c>
      <c r="MM14" s="474">
        <f t="shared" si="129"/>
        <v>3.0978446999999999E-2</v>
      </c>
      <c r="MN14" s="474">
        <f t="shared" si="130"/>
        <v>3.1322999999999995E-4</v>
      </c>
      <c r="MO14" s="485">
        <f t="shared" si="131"/>
        <v>3.1322999999999995E-4</v>
      </c>
      <c r="MP14" s="884">
        <f t="shared" ref="MP14:MP77" si="257">$HV14*HZ$16</f>
        <v>1.2633610000000001E-4</v>
      </c>
      <c r="MQ14" s="884">
        <f t="shared" ref="MQ14:MQ77" si="258">$HV14*IA$16</f>
        <v>3.4455299999999995E-5</v>
      </c>
      <c r="MR14" s="355">
        <f t="shared" si="133"/>
        <v>5.8574009999999999E-4</v>
      </c>
      <c r="MS14" s="474">
        <f t="shared" si="134"/>
        <v>9.4177819999999985E-4</v>
      </c>
      <c r="MT14" s="474">
        <f t="shared" si="135"/>
        <v>9.1880799999999999E-2</v>
      </c>
      <c r="MU14" s="474">
        <f t="shared" si="136"/>
        <v>9.9920369999999996E-4</v>
      </c>
      <c r="MV14" s="474">
        <f t="shared" si="137"/>
        <v>1.14851E-4</v>
      </c>
      <c r="MW14" s="884">
        <f t="shared" ref="MW14:MW77" si="259">$HW14*HZ$17</f>
        <v>2.7564239999999997E-2</v>
      </c>
      <c r="MX14" s="884">
        <f t="shared" ref="MX14:MX77" si="260">$HW14*IA$17</f>
        <v>1.3782119999999998E-2</v>
      </c>
      <c r="MY14" s="474">
        <f t="shared" si="139"/>
        <v>3.2158280000000004E-2</v>
      </c>
      <c r="MZ14" s="474">
        <f t="shared" si="140"/>
        <v>2.7564239999999997E-2</v>
      </c>
      <c r="NA14" s="474">
        <f t="shared" si="141"/>
        <v>0.45435055600000002</v>
      </c>
      <c r="NB14" s="474">
        <f t="shared" si="142"/>
        <v>4.5940399999999998E-3</v>
      </c>
      <c r="NC14" s="134">
        <f t="shared" si="143"/>
        <v>4.5940399999999998E-3</v>
      </c>
    </row>
    <row r="15" spans="1:375" x14ac:dyDescent="0.25">
      <c r="A15" s="18">
        <v>1960</v>
      </c>
      <c r="B15" s="1271">
        <v>79</v>
      </c>
      <c r="C15" s="1224"/>
      <c r="D15" s="1224">
        <v>0</v>
      </c>
      <c r="E15" s="1272"/>
      <c r="F15" s="1224">
        <f t="shared" si="144"/>
        <v>77.814999999999998</v>
      </c>
      <c r="G15" s="1224"/>
      <c r="H15" s="1224">
        <f t="shared" si="145"/>
        <v>0</v>
      </c>
      <c r="I15" s="1224"/>
      <c r="J15" s="1082">
        <v>0</v>
      </c>
      <c r="K15" s="1082">
        <f t="shared" si="0"/>
        <v>0</v>
      </c>
      <c r="L15" s="1224">
        <f t="shared" si="1"/>
        <v>77.814999999999998</v>
      </c>
      <c r="M15" s="1228"/>
      <c r="N15" s="193">
        <v>8.0999999999999996E-3</v>
      </c>
      <c r="O15" s="47">
        <v>0</v>
      </c>
      <c r="P15" s="47">
        <v>6.0000000000000001E-3</v>
      </c>
      <c r="Q15" s="192">
        <v>0</v>
      </c>
      <c r="R15" s="47">
        <v>0</v>
      </c>
      <c r="S15" s="47">
        <f t="shared" si="146"/>
        <v>5.4000000000000003E-3</v>
      </c>
      <c r="T15" s="47">
        <v>0.01</v>
      </c>
      <c r="U15" s="47">
        <v>1.8E-3</v>
      </c>
      <c r="V15" s="117">
        <v>4.0000000000000003E-5</v>
      </c>
      <c r="W15" s="47">
        <v>5.9999999999999995E-4</v>
      </c>
      <c r="X15" s="52">
        <v>1.0999999999999999E-2</v>
      </c>
      <c r="Y15" s="52">
        <v>2.0199999999999999E-2</v>
      </c>
      <c r="Z15" s="111">
        <v>6.3E-2</v>
      </c>
      <c r="AA15" s="52">
        <f t="shared" si="147"/>
        <v>0.1</v>
      </c>
      <c r="AB15" s="52">
        <f t="shared" si="148"/>
        <v>0</v>
      </c>
      <c r="AC15" s="52">
        <f t="shared" si="149"/>
        <v>0.9</v>
      </c>
      <c r="AD15" s="475">
        <f t="shared" si="150"/>
        <v>0.63030149999999996</v>
      </c>
      <c r="AE15" s="474">
        <f t="shared" si="151"/>
        <v>0.63030149999999996</v>
      </c>
      <c r="AF15" s="474">
        <f t="shared" si="152"/>
        <v>0</v>
      </c>
      <c r="AG15" s="474">
        <f t="shared" si="151"/>
        <v>0</v>
      </c>
      <c r="AH15" s="474">
        <f t="shared" si="153"/>
        <v>0.46688999999999997</v>
      </c>
      <c r="AI15" s="474">
        <f t="shared" ref="AI15" si="261">AH15</f>
        <v>0.46688999999999997</v>
      </c>
      <c r="AJ15" s="508"/>
      <c r="AK15" s="508"/>
      <c r="AL15" s="508"/>
      <c r="AM15" s="508"/>
      <c r="AN15" s="508"/>
      <c r="AO15" s="572"/>
      <c r="AP15" s="481">
        <f t="shared" si="155"/>
        <v>0.63030149999999996</v>
      </c>
      <c r="AQ15" s="474">
        <f t="shared" ref="AQ15" si="262">AP15</f>
        <v>0.63030149999999996</v>
      </c>
      <c r="AR15" s="474">
        <f t="shared" si="157"/>
        <v>0</v>
      </c>
      <c r="AS15" s="474">
        <f t="shared" ref="AS15" si="263">AR15</f>
        <v>0</v>
      </c>
      <c r="AT15" s="474">
        <f t="shared" si="159"/>
        <v>0.46688999999999997</v>
      </c>
      <c r="AU15" s="474">
        <f t="shared" ref="AU15" si="264">AT15</f>
        <v>0.46688999999999997</v>
      </c>
      <c r="AV15" s="475">
        <f t="shared" si="2"/>
        <v>0</v>
      </c>
      <c r="AW15" s="474">
        <f t="shared" ref="AW15" si="265">AV15</f>
        <v>0</v>
      </c>
      <c r="AX15" s="474">
        <f t="shared" si="3"/>
        <v>0.42020099999999999</v>
      </c>
      <c r="AY15" s="474">
        <f t="shared" ref="AY15" si="266">AX15</f>
        <v>0.42020099999999999</v>
      </c>
      <c r="AZ15" s="474">
        <f t="shared" si="4"/>
        <v>0.77815000000000001</v>
      </c>
      <c r="BA15" s="474">
        <f t="shared" ref="BA15" si="267">AZ15</f>
        <v>0.77815000000000001</v>
      </c>
      <c r="BB15" s="481"/>
      <c r="BC15" s="474"/>
      <c r="BD15" s="474"/>
      <c r="BE15" s="474"/>
      <c r="BF15" s="474"/>
      <c r="BG15" s="474"/>
      <c r="BH15" s="481">
        <f t="shared" si="5"/>
        <v>0</v>
      </c>
      <c r="BI15" s="474">
        <f t="shared" ref="BI15" si="268">BH15</f>
        <v>0</v>
      </c>
      <c r="BJ15" s="474">
        <f t="shared" si="6"/>
        <v>0.42020099999999999</v>
      </c>
      <c r="BK15" s="474">
        <f t="shared" ref="BK15" si="269">BJ15</f>
        <v>0.42020099999999999</v>
      </c>
      <c r="BL15" s="474">
        <f t="shared" si="7"/>
        <v>0.77815000000000001</v>
      </c>
      <c r="BM15" s="474">
        <f t="shared" ref="BM15" si="270">BL15</f>
        <v>0.77815000000000001</v>
      </c>
      <c r="BN15" s="475">
        <f t="shared" si="8"/>
        <v>3.1126000000000001E-3</v>
      </c>
      <c r="BO15" s="474">
        <f t="shared" ref="BO15" si="271">BN15</f>
        <v>3.1126000000000001E-3</v>
      </c>
      <c r="BP15" s="474">
        <f t="shared" si="9"/>
        <v>4.6688999999999994E-2</v>
      </c>
      <c r="BQ15" s="474">
        <f t="shared" ref="BQ15" si="272">BP15</f>
        <v>4.6688999999999994E-2</v>
      </c>
      <c r="BR15" s="474">
        <f t="shared" si="10"/>
        <v>0.85596499999999998</v>
      </c>
      <c r="BS15" s="474">
        <f t="shared" ref="BS15" si="273">BR15</f>
        <v>0.85596499999999998</v>
      </c>
      <c r="BT15" s="481"/>
      <c r="BU15" s="474"/>
      <c r="BV15" s="474"/>
      <c r="BW15" s="474"/>
      <c r="BX15" s="474"/>
      <c r="BY15" s="474"/>
      <c r="BZ15" s="481">
        <f t="shared" si="11"/>
        <v>3.1126000000000001E-3</v>
      </c>
      <c r="CA15" s="474">
        <f t="shared" ref="CA15" si="274">BZ15</f>
        <v>3.1126000000000001E-3</v>
      </c>
      <c r="CB15" s="474">
        <f t="shared" si="12"/>
        <v>4.6688999999999994E-2</v>
      </c>
      <c r="CC15" s="474">
        <f t="shared" ref="CC15" si="275">CB15</f>
        <v>4.6688999999999994E-2</v>
      </c>
      <c r="CD15" s="474">
        <f t="shared" si="13"/>
        <v>0.85596499999999998</v>
      </c>
      <c r="CE15" s="526">
        <f t="shared" ref="CE15" si="276">CD15</f>
        <v>0.85596499999999998</v>
      </c>
      <c r="CF15" s="355">
        <f t="shared" si="173"/>
        <v>0</v>
      </c>
      <c r="CG15" s="615">
        <f t="shared" si="174"/>
        <v>0</v>
      </c>
      <c r="CH15" s="355">
        <f t="shared" si="175"/>
        <v>0</v>
      </c>
      <c r="CI15" s="615">
        <f t="shared" si="14"/>
        <v>0</v>
      </c>
      <c r="CJ15" s="615">
        <f t="shared" si="176"/>
        <v>0</v>
      </c>
      <c r="CK15" s="615">
        <f t="shared" si="15"/>
        <v>0</v>
      </c>
      <c r="CL15" s="122"/>
      <c r="CM15" s="1235">
        <f t="shared" si="16"/>
        <v>72.912655000000001</v>
      </c>
      <c r="CN15" s="1231"/>
      <c r="CO15" s="1230"/>
      <c r="CP15" s="1231"/>
      <c r="CQ15" s="1230">
        <f t="shared" si="177"/>
        <v>72.912655000000001</v>
      </c>
      <c r="CR15" s="1232"/>
      <c r="CS15" s="30">
        <v>0.45</v>
      </c>
      <c r="CT15" s="31">
        <f t="shared" si="178"/>
        <v>0.55000000000000004</v>
      </c>
      <c r="CU15" s="31"/>
      <c r="CV15" s="32"/>
      <c r="CW15" s="1233">
        <f t="shared" si="179"/>
        <v>31.170160012499998</v>
      </c>
      <c r="CX15" s="1234"/>
      <c r="CY15" s="1234">
        <f t="shared" si="180"/>
        <v>38.096862237499998</v>
      </c>
      <c r="CZ15" s="1231"/>
      <c r="DA15" s="369"/>
      <c r="DB15" s="369"/>
      <c r="DC15" s="369"/>
      <c r="DD15" s="373"/>
      <c r="DE15" s="1234">
        <f t="shared" si="17"/>
        <v>31.170160012499998</v>
      </c>
      <c r="DF15" s="1234"/>
      <c r="DG15" s="369">
        <f t="shared" si="181"/>
        <v>31.170160012499998</v>
      </c>
      <c r="DH15" s="372">
        <f t="shared" si="182"/>
        <v>38.096862237499998</v>
      </c>
      <c r="DJ15" s="493">
        <v>0.05</v>
      </c>
      <c r="DK15" s="379"/>
      <c r="DL15" s="1105">
        <f t="shared" si="18"/>
        <v>3.6456327500000003</v>
      </c>
      <c r="DM15" s="1105">
        <f t="shared" si="19"/>
        <v>3.6456327500000003</v>
      </c>
      <c r="DN15" s="369"/>
      <c r="DO15" s="372"/>
      <c r="DP15" s="30">
        <v>1</v>
      </c>
      <c r="DQ15" s="31">
        <f t="shared" si="183"/>
        <v>0.1</v>
      </c>
      <c r="DR15" s="31">
        <f t="shared" si="184"/>
        <v>1</v>
      </c>
      <c r="DS15" s="680">
        <f t="shared" si="185"/>
        <v>0.1</v>
      </c>
      <c r="DT15" s="77">
        <f t="shared" si="186"/>
        <v>1</v>
      </c>
      <c r="DU15" s="31">
        <v>0</v>
      </c>
      <c r="DV15" s="31">
        <v>1</v>
      </c>
      <c r="DW15" s="31">
        <v>0</v>
      </c>
      <c r="DX15" s="31">
        <v>0</v>
      </c>
      <c r="DY15" s="31">
        <v>1</v>
      </c>
      <c r="DZ15" s="31">
        <v>0</v>
      </c>
      <c r="EA15" s="383">
        <f t="shared" si="187"/>
        <v>0</v>
      </c>
      <c r="EB15" s="355">
        <f t="shared" si="188"/>
        <v>0</v>
      </c>
      <c r="EC15" s="355">
        <f t="shared" si="189"/>
        <v>0.30457185000000003</v>
      </c>
      <c r="ED15" s="355">
        <f t="shared" si="190"/>
        <v>3.0457185000000004</v>
      </c>
      <c r="EE15" s="355">
        <f t="shared" si="191"/>
        <v>0</v>
      </c>
      <c r="EF15" s="355">
        <f t="shared" si="192"/>
        <v>0</v>
      </c>
      <c r="EG15" s="366"/>
      <c r="EH15" s="355"/>
      <c r="EI15" s="355"/>
      <c r="EJ15" s="355"/>
      <c r="EK15" s="355"/>
      <c r="EL15" s="356"/>
      <c r="EM15" s="355">
        <f t="shared" si="193"/>
        <v>0.30457185000000003</v>
      </c>
      <c r="EN15" s="134">
        <f t="shared" si="194"/>
        <v>3.0457185000000004</v>
      </c>
      <c r="EP15" s="1171">
        <f t="shared" si="20"/>
        <v>3.1126000000000001E-3</v>
      </c>
      <c r="EQ15" s="1172"/>
      <c r="ER15" s="1172">
        <f t="shared" si="21"/>
        <v>4.6688999999999994E-2</v>
      </c>
      <c r="ES15" s="1172"/>
      <c r="ET15" s="1172">
        <f t="shared" si="22"/>
        <v>0.85596499999999998</v>
      </c>
      <c r="EU15" s="1172"/>
      <c r="EV15" s="366"/>
      <c r="EW15" s="355"/>
      <c r="EX15" s="355"/>
      <c r="EY15" s="355"/>
      <c r="EZ15" s="1172"/>
      <c r="FA15" s="1173"/>
      <c r="FB15" s="368">
        <f t="shared" si="195"/>
        <v>31.170160012499998</v>
      </c>
      <c r="FC15" s="369">
        <f t="shared" si="196"/>
        <v>31.170160012499998</v>
      </c>
      <c r="FD15" s="369"/>
      <c r="FE15" s="61"/>
      <c r="FF15" s="368">
        <f t="shared" si="197"/>
        <v>38.096862237499998</v>
      </c>
      <c r="FG15" s="369">
        <f t="shared" si="24"/>
        <v>38.096862237499998</v>
      </c>
      <c r="FH15" s="369"/>
      <c r="FI15" s="369"/>
      <c r="FJ15" s="30">
        <v>1</v>
      </c>
      <c r="FK15" s="31">
        <v>0.2</v>
      </c>
      <c r="FL15" s="501">
        <v>0.8</v>
      </c>
      <c r="FM15" s="31">
        <f t="shared" si="198"/>
        <v>0.1</v>
      </c>
      <c r="FN15" s="501">
        <f t="shared" si="199"/>
        <v>1</v>
      </c>
      <c r="FO15" s="31">
        <f t="shared" si="200"/>
        <v>0.1</v>
      </c>
      <c r="FP15" s="31">
        <f t="shared" si="201"/>
        <v>1</v>
      </c>
      <c r="FQ15" s="31">
        <v>1</v>
      </c>
      <c r="FR15" s="31">
        <v>0</v>
      </c>
      <c r="FS15" s="89">
        <f t="shared" si="202"/>
        <v>1E-3</v>
      </c>
      <c r="FT15" s="31">
        <f t="shared" si="203"/>
        <v>0.05</v>
      </c>
      <c r="FU15" s="30">
        <v>0.05</v>
      </c>
      <c r="FV15" s="32">
        <f t="shared" si="25"/>
        <v>2.4224999999999997E-2</v>
      </c>
      <c r="FW15" s="31">
        <v>0.1</v>
      </c>
      <c r="FX15" s="77">
        <f t="shared" si="26"/>
        <v>9.0000000000000011E-2</v>
      </c>
      <c r="FY15" s="30"/>
      <c r="FZ15" s="32"/>
      <c r="GA15" s="31"/>
      <c r="GB15" s="77"/>
      <c r="GC15" s="378">
        <f t="shared" si="27"/>
        <v>3.1126000000000001E-3</v>
      </c>
      <c r="GD15" s="379">
        <f t="shared" si="204"/>
        <v>3.1126000000000001E-3</v>
      </c>
      <c r="GE15" s="379">
        <f t="shared" si="28"/>
        <v>4.6688999999999994E-2</v>
      </c>
      <c r="GF15" s="379">
        <f t="shared" si="205"/>
        <v>4.6688999999999994E-2</v>
      </c>
      <c r="GG15" s="379">
        <f t="shared" si="206"/>
        <v>0.17119300000000001</v>
      </c>
      <c r="GH15" s="218">
        <f t="shared" si="207"/>
        <v>0.68477200000000005</v>
      </c>
      <c r="GI15" s="379"/>
      <c r="GJ15" s="379"/>
      <c r="GK15" s="379"/>
      <c r="GL15" s="379"/>
      <c r="GM15" s="379"/>
      <c r="GN15" s="218"/>
      <c r="GO15" s="379">
        <f t="shared" si="208"/>
        <v>0.22099460000000001</v>
      </c>
      <c r="GP15" s="515">
        <f t="shared" si="209"/>
        <v>0.73457360000000005</v>
      </c>
      <c r="GQ15" s="379">
        <f>1/2*(($FB15*$FM15)*($FU15+$FV15)+$FB14*$FM14*($FU14+$FV14))</f>
        <v>0.1932885295914375</v>
      </c>
      <c r="GR15" s="379">
        <f t="shared" si="211"/>
        <v>4.9477697032499997</v>
      </c>
      <c r="GS15" s="355">
        <f>1/10*($FF15*$FQ15*$FM15*$FS15+$FF14*$FQ14*$FM14*$FS14+$FF13*$FQ13*$FM13*$FS13)</f>
        <v>7.6193724475000007E-4</v>
      </c>
      <c r="GT15" s="355">
        <f>1/10*($FG15*$FQ15*$FN15*$FT15+$FG14*$FQ14*$FN14*$FT14+$FG13*$FQ13*$FN13*$FT13)</f>
        <v>0.38096862237500001</v>
      </c>
      <c r="GU15" s="355">
        <f>1/10*($FF15*$FR15*$FM15*$FS15+$FF14*$FR14*$FM14*$FS14+$FF13*$FR13*$FM13*$FS13)</f>
        <v>0</v>
      </c>
      <c r="GV15" s="356">
        <f>1/10*($FG15*$FR15*$FN15*$FT15+$FG14*$FR14*$FN14*$FT14+$FG13*$FR13*$FN13*$FT13)</f>
        <v>0</v>
      </c>
      <c r="GW15" s="355"/>
      <c r="GX15" s="355"/>
      <c r="GY15" s="355"/>
      <c r="GZ15" s="355"/>
      <c r="HA15" s="355"/>
      <c r="HB15" s="356"/>
      <c r="HC15" s="379">
        <f t="shared" si="212"/>
        <v>0.19405046683618749</v>
      </c>
      <c r="HD15" s="38">
        <f t="shared" si="213"/>
        <v>5.3287383256249994</v>
      </c>
      <c r="HF15" s="383">
        <f t="shared" si="29"/>
        <v>0.63030149999999996</v>
      </c>
      <c r="HG15" s="355">
        <f t="shared" si="30"/>
        <v>0.63030149999999996</v>
      </c>
      <c r="HH15" s="355">
        <f t="shared" si="31"/>
        <v>0</v>
      </c>
      <c r="HI15" s="355">
        <f t="shared" si="32"/>
        <v>0</v>
      </c>
      <c r="HJ15" s="355">
        <f t="shared" si="33"/>
        <v>0.46688999999999997</v>
      </c>
      <c r="HK15" s="356">
        <f t="shared" si="34"/>
        <v>0.46688999999999997</v>
      </c>
      <c r="HL15" s="355">
        <f t="shared" si="35"/>
        <v>0</v>
      </c>
      <c r="HM15" s="355">
        <f t="shared" si="36"/>
        <v>0</v>
      </c>
      <c r="HN15" s="355">
        <f t="shared" si="37"/>
        <v>0.72477285000000002</v>
      </c>
      <c r="HO15" s="355">
        <f t="shared" si="38"/>
        <v>3.4659195000000005</v>
      </c>
      <c r="HP15" s="355">
        <f t="shared" si="39"/>
        <v>0.77815000000000001</v>
      </c>
      <c r="HQ15" s="524">
        <f t="shared" si="40"/>
        <v>0.77815000000000001</v>
      </c>
      <c r="HR15" s="615">
        <f t="shared" si="214"/>
        <v>0.19716306683618748</v>
      </c>
      <c r="HS15" s="615">
        <f t="shared" si="41"/>
        <v>5.3318509256249991</v>
      </c>
      <c r="HT15" s="615">
        <f t="shared" si="42"/>
        <v>4.6688999999999994E-2</v>
      </c>
      <c r="HU15" s="615">
        <f t="shared" si="43"/>
        <v>4.6688999999999994E-2</v>
      </c>
      <c r="HV15" s="615">
        <f t="shared" si="44"/>
        <v>0.17119300000000001</v>
      </c>
      <c r="HW15" s="615">
        <f t="shared" si="45"/>
        <v>0.68477200000000005</v>
      </c>
      <c r="HY15" s="859"/>
      <c r="HZ15" s="859"/>
      <c r="IA15" s="859"/>
      <c r="IB15" s="859"/>
      <c r="IC15" s="859"/>
      <c r="ID15" s="859"/>
      <c r="IE15" s="859"/>
      <c r="IF15" s="859"/>
      <c r="IH15" s="884">
        <f t="shared" si="215"/>
        <v>6.9333164999999999E-3</v>
      </c>
      <c r="II15" s="884">
        <f t="shared" si="216"/>
        <v>5.6727135E-3</v>
      </c>
      <c r="IJ15" s="884">
        <f t="shared" si="217"/>
        <v>1.1345427E-2</v>
      </c>
      <c r="IK15" s="474">
        <f t="shared" si="218"/>
        <v>5.6727135E-3</v>
      </c>
      <c r="IL15" s="474">
        <f t="shared" si="219"/>
        <v>0.53260476749999996</v>
      </c>
      <c r="IM15" s="474">
        <f t="shared" si="220"/>
        <v>6.3030149999999995E-4</v>
      </c>
      <c r="IN15" s="474">
        <f t="shared" si="221"/>
        <v>6.3030149999999995E-4</v>
      </c>
      <c r="IO15" s="884">
        <f t="shared" si="222"/>
        <v>2.0799949500000001E-2</v>
      </c>
      <c r="IP15" s="884">
        <f t="shared" si="223"/>
        <v>2.5842361499999994E-2</v>
      </c>
      <c r="IQ15" s="474">
        <f t="shared" si="224"/>
        <v>3.2775678000000003E-2</v>
      </c>
      <c r="IR15" s="474">
        <f t="shared" si="225"/>
        <v>2.5842361499999994E-2</v>
      </c>
      <c r="IS15" s="474">
        <f t="shared" si="226"/>
        <v>0.53386537049999994</v>
      </c>
      <c r="IT15" s="474">
        <f t="shared" si="227"/>
        <v>6.3030149999999995E-3</v>
      </c>
      <c r="IU15" s="526">
        <f t="shared" si="228"/>
        <v>6.3030149999999995E-3</v>
      </c>
      <c r="IV15" s="884">
        <f t="shared" si="229"/>
        <v>0</v>
      </c>
      <c r="IW15" s="884">
        <f t="shared" si="230"/>
        <v>0</v>
      </c>
      <c r="IX15" s="474">
        <f t="shared" si="49"/>
        <v>0</v>
      </c>
      <c r="IY15" s="474">
        <f t="shared" si="50"/>
        <v>0</v>
      </c>
      <c r="IZ15" s="474">
        <f t="shared" si="51"/>
        <v>0</v>
      </c>
      <c r="JA15" s="474">
        <f t="shared" si="52"/>
        <v>0</v>
      </c>
      <c r="JB15" s="474">
        <f t="shared" si="53"/>
        <v>0</v>
      </c>
      <c r="JC15" s="884">
        <f t="shared" si="231"/>
        <v>0</v>
      </c>
      <c r="JD15" s="884">
        <f t="shared" si="232"/>
        <v>0</v>
      </c>
      <c r="JE15" s="474">
        <f t="shared" si="55"/>
        <v>0</v>
      </c>
      <c r="JF15" s="474">
        <f t="shared" si="56"/>
        <v>0</v>
      </c>
      <c r="JG15" s="474">
        <f t="shared" si="57"/>
        <v>0</v>
      </c>
      <c r="JH15" s="474">
        <f t="shared" si="58"/>
        <v>0</v>
      </c>
      <c r="JI15" s="480">
        <f t="shared" si="59"/>
        <v>0</v>
      </c>
      <c r="JJ15" s="884">
        <f t="shared" si="233"/>
        <v>5.1357900000000003E-3</v>
      </c>
      <c r="JK15" s="884">
        <f t="shared" si="234"/>
        <v>4.2020099999999999E-3</v>
      </c>
      <c r="JL15" s="474">
        <f t="shared" si="61"/>
        <v>8.4040199999999999E-3</v>
      </c>
      <c r="JM15" s="474">
        <f t="shared" si="62"/>
        <v>4.2020099999999999E-3</v>
      </c>
      <c r="JN15" s="474">
        <f t="shared" si="63"/>
        <v>0.39452204999999996</v>
      </c>
      <c r="JO15" s="474">
        <f t="shared" si="64"/>
        <v>4.6688999999999997E-4</v>
      </c>
      <c r="JP15" s="474">
        <f t="shared" si="65"/>
        <v>4.6688999999999997E-4</v>
      </c>
      <c r="JQ15" s="884">
        <f t="shared" si="235"/>
        <v>1.540737E-2</v>
      </c>
      <c r="JR15" s="884">
        <f t="shared" si="236"/>
        <v>1.9142489999999998E-2</v>
      </c>
      <c r="JS15" s="474">
        <f t="shared" si="67"/>
        <v>2.4278279999999999E-2</v>
      </c>
      <c r="JT15" s="474">
        <f t="shared" si="68"/>
        <v>1.9142489999999998E-2</v>
      </c>
      <c r="JU15" s="474">
        <f t="shared" si="69"/>
        <v>0.39545582999999995</v>
      </c>
      <c r="JV15" s="474">
        <f t="shared" si="70"/>
        <v>4.6689000000000001E-3</v>
      </c>
      <c r="JW15" s="134">
        <f t="shared" si="71"/>
        <v>4.6689000000000001E-3</v>
      </c>
      <c r="JX15" s="884">
        <f t="shared" si="237"/>
        <v>0</v>
      </c>
      <c r="JY15" s="1033">
        <f t="shared" si="238"/>
        <v>0</v>
      </c>
      <c r="JZ15" s="1033">
        <f t="shared" si="73"/>
        <v>0</v>
      </c>
      <c r="KA15" s="355">
        <f t="shared" si="74"/>
        <v>0</v>
      </c>
      <c r="KB15" s="355">
        <f t="shared" si="75"/>
        <v>0</v>
      </c>
      <c r="KC15" s="355">
        <f t="shared" si="76"/>
        <v>0</v>
      </c>
      <c r="KD15" s="355">
        <f t="shared" si="77"/>
        <v>0</v>
      </c>
      <c r="KE15" s="884">
        <f t="shared" si="239"/>
        <v>0</v>
      </c>
      <c r="KF15" s="884">
        <f t="shared" si="240"/>
        <v>0</v>
      </c>
      <c r="KG15" s="355">
        <f t="shared" si="79"/>
        <v>0</v>
      </c>
      <c r="KH15" s="355">
        <f t="shared" si="80"/>
        <v>0</v>
      </c>
      <c r="KI15" s="355">
        <f t="shared" si="81"/>
        <v>0</v>
      </c>
      <c r="KJ15" s="355">
        <f t="shared" si="82"/>
        <v>0</v>
      </c>
      <c r="KK15" s="526">
        <f t="shared" si="83"/>
        <v>0</v>
      </c>
      <c r="KL15" s="884">
        <f t="shared" si="241"/>
        <v>7.9725013500000011E-3</v>
      </c>
      <c r="KM15" s="884">
        <f t="shared" si="242"/>
        <v>6.5229556500000013E-3</v>
      </c>
      <c r="KN15" s="355">
        <f t="shared" si="85"/>
        <v>1.3045911300000003E-2</v>
      </c>
      <c r="KO15" s="355">
        <f t="shared" si="86"/>
        <v>6.5229556500000013E-3</v>
      </c>
      <c r="KP15" s="355">
        <f t="shared" si="87"/>
        <v>0.61243305825000005</v>
      </c>
      <c r="KQ15" s="355">
        <f t="shared" si="88"/>
        <v>7.2477285000000001E-4</v>
      </c>
      <c r="KR15" s="355">
        <f t="shared" si="89"/>
        <v>7.2477285000000001E-4</v>
      </c>
      <c r="KS15" s="884">
        <f t="shared" si="243"/>
        <v>0.11437534350000002</v>
      </c>
      <c r="KT15" s="884">
        <f t="shared" si="244"/>
        <v>0.14210269950000001</v>
      </c>
      <c r="KU15" s="355">
        <f t="shared" si="91"/>
        <v>0.18022781400000004</v>
      </c>
      <c r="KV15" s="355">
        <f t="shared" si="92"/>
        <v>0.14210269950000001</v>
      </c>
      <c r="KW15" s="355">
        <f t="shared" si="93"/>
        <v>2.9356338165000002</v>
      </c>
      <c r="KX15" s="355">
        <f t="shared" si="94"/>
        <v>3.4659195000000004E-2</v>
      </c>
      <c r="KY15" s="480">
        <f t="shared" si="95"/>
        <v>3.4659195000000004E-2</v>
      </c>
      <c r="KZ15" s="884">
        <f t="shared" si="245"/>
        <v>8.5596500000000002E-3</v>
      </c>
      <c r="LA15" s="884">
        <f t="shared" si="246"/>
        <v>7.0033500000000011E-3</v>
      </c>
      <c r="LB15" s="355">
        <f t="shared" si="97"/>
        <v>1.4006700000000002E-2</v>
      </c>
      <c r="LC15" s="355">
        <f t="shared" si="98"/>
        <v>7.0033500000000011E-3</v>
      </c>
      <c r="LD15" s="355">
        <f t="shared" si="99"/>
        <v>0.65753675</v>
      </c>
      <c r="LE15" s="355">
        <f t="shared" si="100"/>
        <v>7.7815000000000002E-4</v>
      </c>
      <c r="LF15" s="355">
        <f t="shared" si="101"/>
        <v>7.7815000000000002E-4</v>
      </c>
      <c r="LG15" s="884">
        <f t="shared" si="247"/>
        <v>2.5678950000000002E-2</v>
      </c>
      <c r="LH15" s="884">
        <f t="shared" si="248"/>
        <v>3.1904149999999999E-2</v>
      </c>
      <c r="LI15" s="355">
        <f t="shared" si="103"/>
        <v>4.0463800000000001E-2</v>
      </c>
      <c r="LJ15" s="355">
        <f t="shared" si="104"/>
        <v>3.1904149999999999E-2</v>
      </c>
      <c r="LK15" s="355">
        <f t="shared" si="105"/>
        <v>0.65909304999999996</v>
      </c>
      <c r="LL15" s="355">
        <f t="shared" si="106"/>
        <v>7.7815000000000002E-3</v>
      </c>
      <c r="LM15" s="134">
        <f t="shared" si="107"/>
        <v>7.7815000000000002E-3</v>
      </c>
      <c r="LN15" s="884">
        <f t="shared" si="249"/>
        <v>2.1687937351980624E-4</v>
      </c>
      <c r="LO15" s="884">
        <f t="shared" si="250"/>
        <v>5.9148920050856238E-5</v>
      </c>
      <c r="LP15" s="355">
        <f t="shared" si="109"/>
        <v>1.0055316408645561E-3</v>
      </c>
      <c r="LQ15" s="474">
        <f t="shared" si="110"/>
        <v>1.616737148056737E-3</v>
      </c>
      <c r="LR15" s="474">
        <f t="shared" si="111"/>
        <v>0.15773045346894998</v>
      </c>
      <c r="LS15" s="474">
        <f t="shared" si="112"/>
        <v>1.715318681474831E-3</v>
      </c>
      <c r="LT15" s="474">
        <f t="shared" si="113"/>
        <v>1.9716306683618747E-4</v>
      </c>
      <c r="LU15" s="884">
        <f t="shared" si="251"/>
        <v>0.31991105553749993</v>
      </c>
      <c r="LV15" s="884">
        <f t="shared" si="252"/>
        <v>0.15995552776874997</v>
      </c>
      <c r="LW15" s="355">
        <f t="shared" si="115"/>
        <v>0.37322956479374997</v>
      </c>
      <c r="LX15" s="474">
        <f t="shared" si="116"/>
        <v>0.31991105553749993</v>
      </c>
      <c r="LY15" s="474">
        <f t="shared" si="117"/>
        <v>5.2732005654431244</v>
      </c>
      <c r="LZ15" s="474">
        <f t="shared" si="118"/>
        <v>5.3318509256249993E-2</v>
      </c>
      <c r="MA15" s="485">
        <f t="shared" si="119"/>
        <v>5.3318509256249993E-2</v>
      </c>
      <c r="MB15" s="884">
        <f t="shared" si="253"/>
        <v>5.1357899999999998E-5</v>
      </c>
      <c r="MC15" s="884">
        <f t="shared" si="254"/>
        <v>1.4006699999999998E-5</v>
      </c>
      <c r="MD15" s="355">
        <f t="shared" si="121"/>
        <v>2.3811389999999998E-4</v>
      </c>
      <c r="ME15" s="474">
        <f t="shared" si="122"/>
        <v>3.8284979999999989E-4</v>
      </c>
      <c r="MF15" s="474">
        <f t="shared" si="123"/>
        <v>3.7351199999999994E-2</v>
      </c>
      <c r="MG15" s="474">
        <f t="shared" si="124"/>
        <v>4.0619429999999991E-4</v>
      </c>
      <c r="MH15" s="474">
        <f t="shared" si="125"/>
        <v>4.6688999999999993E-5</v>
      </c>
      <c r="MI15" s="884">
        <f t="shared" si="255"/>
        <v>2.8013399999999994E-3</v>
      </c>
      <c r="MJ15" s="884">
        <f t="shared" si="256"/>
        <v>1.4006699999999997E-3</v>
      </c>
      <c r="MK15" s="355">
        <f t="shared" si="127"/>
        <v>3.26823E-3</v>
      </c>
      <c r="ML15" s="474">
        <f t="shared" si="128"/>
        <v>2.8013399999999994E-3</v>
      </c>
      <c r="MM15" s="474">
        <f t="shared" si="129"/>
        <v>4.6175421000000001E-2</v>
      </c>
      <c r="MN15" s="474">
        <f t="shared" si="130"/>
        <v>4.6688999999999997E-4</v>
      </c>
      <c r="MO15" s="485">
        <f t="shared" si="131"/>
        <v>4.6688999999999997E-4</v>
      </c>
      <c r="MP15" s="884">
        <f t="shared" si="257"/>
        <v>1.8831230000000002E-4</v>
      </c>
      <c r="MQ15" s="884">
        <f t="shared" si="258"/>
        <v>5.1357899999999998E-5</v>
      </c>
      <c r="MR15" s="355">
        <f t="shared" si="133"/>
        <v>8.7308430000000009E-4</v>
      </c>
      <c r="MS15" s="474">
        <f t="shared" si="134"/>
        <v>1.4037825999999999E-3</v>
      </c>
      <c r="MT15" s="474">
        <f t="shared" si="135"/>
        <v>0.1369544</v>
      </c>
      <c r="MU15" s="474">
        <f t="shared" si="136"/>
        <v>1.4893790999999999E-3</v>
      </c>
      <c r="MV15" s="474">
        <f t="shared" si="137"/>
        <v>1.7119300000000001E-4</v>
      </c>
      <c r="MW15" s="884">
        <f t="shared" si="259"/>
        <v>4.1086320000000003E-2</v>
      </c>
      <c r="MX15" s="884">
        <f t="shared" si="260"/>
        <v>2.0543160000000001E-2</v>
      </c>
      <c r="MY15" s="474">
        <f t="shared" si="139"/>
        <v>4.7934040000000011E-2</v>
      </c>
      <c r="MZ15" s="474">
        <f t="shared" si="140"/>
        <v>4.1086320000000003E-2</v>
      </c>
      <c r="NA15" s="474">
        <f t="shared" si="141"/>
        <v>0.6772395080000001</v>
      </c>
      <c r="NB15" s="474">
        <f t="shared" si="142"/>
        <v>6.8477200000000007E-3</v>
      </c>
      <c r="NC15" s="134">
        <f t="shared" si="143"/>
        <v>6.8477200000000007E-3</v>
      </c>
    </row>
    <row r="16" spans="1:375" x14ac:dyDescent="0.25">
      <c r="A16" s="18">
        <v>1961</v>
      </c>
      <c r="B16" s="1271">
        <v>106</v>
      </c>
      <c r="C16" s="1224"/>
      <c r="D16" s="1224">
        <v>0</v>
      </c>
      <c r="E16" s="1272"/>
      <c r="F16" s="1224">
        <f t="shared" si="144"/>
        <v>104.41</v>
      </c>
      <c r="G16" s="1224"/>
      <c r="H16" s="1224">
        <f t="shared" si="145"/>
        <v>0</v>
      </c>
      <c r="I16" s="1224"/>
      <c r="J16" s="1082">
        <v>0</v>
      </c>
      <c r="K16" s="1082">
        <f t="shared" si="0"/>
        <v>0</v>
      </c>
      <c r="L16" s="1224">
        <f t="shared" si="1"/>
        <v>104.41</v>
      </c>
      <c r="M16" s="1228"/>
      <c r="N16" s="193">
        <v>8.0999999999999996E-3</v>
      </c>
      <c r="O16" s="47">
        <v>0</v>
      </c>
      <c r="P16" s="47">
        <v>6.0000000000000001E-3</v>
      </c>
      <c r="Q16" s="192">
        <v>0</v>
      </c>
      <c r="R16" s="47">
        <v>0</v>
      </c>
      <c r="S16" s="47">
        <f t="shared" si="146"/>
        <v>5.4000000000000003E-3</v>
      </c>
      <c r="T16" s="47">
        <v>0.01</v>
      </c>
      <c r="U16" s="47">
        <v>1.8E-3</v>
      </c>
      <c r="V16" s="117">
        <v>4.0000000000000003E-5</v>
      </c>
      <c r="W16" s="47">
        <v>5.9999999999999995E-4</v>
      </c>
      <c r="X16" s="52">
        <v>1.0999999999999999E-2</v>
      </c>
      <c r="Y16" s="52">
        <v>2.0199999999999999E-2</v>
      </c>
      <c r="Z16" s="111">
        <v>6.3E-2</v>
      </c>
      <c r="AA16" s="52">
        <f t="shared" si="147"/>
        <v>0.1</v>
      </c>
      <c r="AB16" s="52">
        <f t="shared" si="148"/>
        <v>0</v>
      </c>
      <c r="AC16" s="52">
        <f t="shared" si="149"/>
        <v>0.9</v>
      </c>
      <c r="AD16" s="475">
        <f t="shared" si="150"/>
        <v>0.84572099999999995</v>
      </c>
      <c r="AE16" s="474">
        <f t="shared" si="151"/>
        <v>0.84572099999999995</v>
      </c>
      <c r="AF16" s="474">
        <f t="shared" si="152"/>
        <v>0</v>
      </c>
      <c r="AG16" s="474">
        <f t="shared" si="151"/>
        <v>0</v>
      </c>
      <c r="AH16" s="474">
        <f t="shared" si="153"/>
        <v>0.62646000000000002</v>
      </c>
      <c r="AI16" s="474">
        <f t="shared" ref="AI16" si="277">AH16</f>
        <v>0.62646000000000002</v>
      </c>
      <c r="AJ16" s="508"/>
      <c r="AK16" s="508"/>
      <c r="AL16" s="508"/>
      <c r="AM16" s="508"/>
      <c r="AN16" s="508"/>
      <c r="AO16" s="572"/>
      <c r="AP16" s="481">
        <f t="shared" si="155"/>
        <v>0.84572099999999995</v>
      </c>
      <c r="AQ16" s="474">
        <f t="shared" ref="AQ16" si="278">AP16</f>
        <v>0.84572099999999995</v>
      </c>
      <c r="AR16" s="474">
        <f t="shared" si="157"/>
        <v>0</v>
      </c>
      <c r="AS16" s="474">
        <f t="shared" ref="AS16" si="279">AR16</f>
        <v>0</v>
      </c>
      <c r="AT16" s="474">
        <f t="shared" si="159"/>
        <v>0.62646000000000002</v>
      </c>
      <c r="AU16" s="474">
        <f t="shared" ref="AU16" si="280">AT16</f>
        <v>0.62646000000000002</v>
      </c>
      <c r="AV16" s="475">
        <f t="shared" si="2"/>
        <v>0</v>
      </c>
      <c r="AW16" s="474">
        <f t="shared" ref="AW16" si="281">AV16</f>
        <v>0</v>
      </c>
      <c r="AX16" s="474">
        <f t="shared" si="3"/>
        <v>0.56381400000000004</v>
      </c>
      <c r="AY16" s="474">
        <f t="shared" ref="AY16" si="282">AX16</f>
        <v>0.56381400000000004</v>
      </c>
      <c r="AZ16" s="474">
        <f t="shared" si="4"/>
        <v>1.0441</v>
      </c>
      <c r="BA16" s="474">
        <f t="shared" ref="BA16" si="283">AZ16</f>
        <v>1.0441</v>
      </c>
      <c r="BB16" s="481"/>
      <c r="BC16" s="474"/>
      <c r="BD16" s="474"/>
      <c r="BE16" s="474"/>
      <c r="BF16" s="474"/>
      <c r="BG16" s="474"/>
      <c r="BH16" s="481">
        <f t="shared" si="5"/>
        <v>0</v>
      </c>
      <c r="BI16" s="474">
        <f t="shared" ref="BI16" si="284">BH16</f>
        <v>0</v>
      </c>
      <c r="BJ16" s="474">
        <f t="shared" si="6"/>
        <v>0.56381400000000004</v>
      </c>
      <c r="BK16" s="474">
        <f t="shared" ref="BK16" si="285">BJ16</f>
        <v>0.56381400000000004</v>
      </c>
      <c r="BL16" s="474">
        <f t="shared" si="7"/>
        <v>1.0441</v>
      </c>
      <c r="BM16" s="474">
        <f t="shared" ref="BM16" si="286">BL16</f>
        <v>1.0441</v>
      </c>
      <c r="BN16" s="475">
        <f t="shared" si="8"/>
        <v>4.1764000000000003E-3</v>
      </c>
      <c r="BO16" s="474">
        <f t="shared" ref="BO16" si="287">BN16</f>
        <v>4.1764000000000003E-3</v>
      </c>
      <c r="BP16" s="474">
        <f t="shared" si="9"/>
        <v>6.2645999999999993E-2</v>
      </c>
      <c r="BQ16" s="474">
        <f t="shared" ref="BQ16" si="288">BP16</f>
        <v>6.2645999999999993E-2</v>
      </c>
      <c r="BR16" s="474">
        <f t="shared" si="10"/>
        <v>1.1485099999999999</v>
      </c>
      <c r="BS16" s="474">
        <f t="shared" ref="BS16" si="289">BR16</f>
        <v>1.1485099999999999</v>
      </c>
      <c r="BT16" s="481"/>
      <c r="BU16" s="474"/>
      <c r="BV16" s="474"/>
      <c r="BW16" s="474"/>
      <c r="BX16" s="474"/>
      <c r="BY16" s="474"/>
      <c r="BZ16" s="481">
        <f t="shared" si="11"/>
        <v>4.1764000000000003E-3</v>
      </c>
      <c r="CA16" s="474">
        <f t="shared" ref="CA16" si="290">BZ16</f>
        <v>4.1764000000000003E-3</v>
      </c>
      <c r="CB16" s="474">
        <f t="shared" si="12"/>
        <v>6.2645999999999993E-2</v>
      </c>
      <c r="CC16" s="474">
        <f t="shared" ref="CC16" si="291">CB16</f>
        <v>6.2645999999999993E-2</v>
      </c>
      <c r="CD16" s="474">
        <f t="shared" si="13"/>
        <v>1.1485099999999999</v>
      </c>
      <c r="CE16" s="526">
        <f t="shared" ref="CE16" si="292">CD16</f>
        <v>1.1485099999999999</v>
      </c>
      <c r="CF16" s="355">
        <f t="shared" si="173"/>
        <v>0</v>
      </c>
      <c r="CG16" s="615">
        <f t="shared" si="174"/>
        <v>0</v>
      </c>
      <c r="CH16" s="355">
        <f t="shared" si="175"/>
        <v>0</v>
      </c>
      <c r="CI16" s="615">
        <f t="shared" si="14"/>
        <v>0</v>
      </c>
      <c r="CJ16" s="615">
        <f t="shared" si="176"/>
        <v>0</v>
      </c>
      <c r="CK16" s="615">
        <f t="shared" si="15"/>
        <v>0</v>
      </c>
      <c r="CL16" s="122"/>
      <c r="CM16" s="1235">
        <f>F16-F16*Z16-J16</f>
        <v>97.832169999999991</v>
      </c>
      <c r="CN16" s="1231"/>
      <c r="CO16" s="1230"/>
      <c r="CP16" s="1231"/>
      <c r="CQ16" s="1230">
        <f t="shared" si="177"/>
        <v>97.832169999999991</v>
      </c>
      <c r="CR16" s="1232"/>
      <c r="CS16" s="30">
        <v>0.45</v>
      </c>
      <c r="CT16" s="31">
        <f t="shared" si="178"/>
        <v>0.55000000000000004</v>
      </c>
      <c r="CU16" s="31"/>
      <c r="CV16" s="32"/>
      <c r="CW16" s="1233">
        <f t="shared" si="179"/>
        <v>41.823252674999992</v>
      </c>
      <c r="CX16" s="1234"/>
      <c r="CY16" s="1234">
        <f t="shared" si="180"/>
        <v>51.117308824999995</v>
      </c>
      <c r="CZ16" s="1231"/>
      <c r="DA16" s="369"/>
      <c r="DB16" s="369"/>
      <c r="DC16" s="369"/>
      <c r="DD16" s="373"/>
      <c r="DE16" s="1234">
        <f t="shared" si="17"/>
        <v>41.823252674999992</v>
      </c>
      <c r="DF16" s="1234"/>
      <c r="DG16" s="369">
        <f t="shared" si="181"/>
        <v>41.823252674999992</v>
      </c>
      <c r="DH16" s="372">
        <f t="shared" si="182"/>
        <v>51.117308824999995</v>
      </c>
      <c r="DJ16" s="493">
        <v>0.05</v>
      </c>
      <c r="DK16" s="379"/>
      <c r="DL16" s="1105">
        <f t="shared" si="18"/>
        <v>4.8916085000000002</v>
      </c>
      <c r="DM16" s="1105">
        <f t="shared" si="19"/>
        <v>4.8916085000000002</v>
      </c>
      <c r="DN16" s="369"/>
      <c r="DO16" s="372"/>
      <c r="DP16" s="30">
        <v>1</v>
      </c>
      <c r="DQ16" s="31">
        <f t="shared" si="183"/>
        <v>0.1</v>
      </c>
      <c r="DR16" s="31">
        <f t="shared" si="184"/>
        <v>1</v>
      </c>
      <c r="DS16" s="680">
        <f t="shared" si="185"/>
        <v>0.1</v>
      </c>
      <c r="DT16" s="77">
        <f t="shared" si="186"/>
        <v>1</v>
      </c>
      <c r="DU16" s="31">
        <v>0</v>
      </c>
      <c r="DV16" s="31">
        <v>1</v>
      </c>
      <c r="DW16" s="31">
        <v>0</v>
      </c>
      <c r="DX16" s="31">
        <v>0</v>
      </c>
      <c r="DY16" s="31">
        <v>1</v>
      </c>
      <c r="DZ16" s="31">
        <v>0</v>
      </c>
      <c r="EA16" s="383">
        <f t="shared" si="187"/>
        <v>0</v>
      </c>
      <c r="EB16" s="355">
        <f t="shared" si="188"/>
        <v>0</v>
      </c>
      <c r="EC16" s="355">
        <f t="shared" si="189"/>
        <v>0.42686206250000003</v>
      </c>
      <c r="ED16" s="355">
        <f t="shared" si="190"/>
        <v>4.2686206250000005</v>
      </c>
      <c r="EE16" s="355">
        <f t="shared" si="191"/>
        <v>0</v>
      </c>
      <c r="EF16" s="355">
        <f t="shared" si="192"/>
        <v>0</v>
      </c>
      <c r="EG16" s="366"/>
      <c r="EH16" s="355"/>
      <c r="EI16" s="355"/>
      <c r="EJ16" s="355"/>
      <c r="EK16" s="355"/>
      <c r="EL16" s="356"/>
      <c r="EM16" s="355">
        <f t="shared" si="193"/>
        <v>0.42686206250000003</v>
      </c>
      <c r="EN16" s="134">
        <f t="shared" si="194"/>
        <v>4.2686206250000005</v>
      </c>
      <c r="EP16" s="1171">
        <f t="shared" si="20"/>
        <v>4.1764000000000003E-3</v>
      </c>
      <c r="EQ16" s="1172"/>
      <c r="ER16" s="1172">
        <f t="shared" si="21"/>
        <v>6.2645999999999993E-2</v>
      </c>
      <c r="ES16" s="1172"/>
      <c r="ET16" s="1172">
        <f t="shared" si="22"/>
        <v>1.1485099999999999</v>
      </c>
      <c r="EU16" s="1172"/>
      <c r="EV16" s="366"/>
      <c r="EW16" s="355"/>
      <c r="EX16" s="355"/>
      <c r="EY16" s="355"/>
      <c r="EZ16" s="1172"/>
      <c r="FA16" s="1173"/>
      <c r="FB16" s="368">
        <f t="shared" si="195"/>
        <v>41.823252674999992</v>
      </c>
      <c r="FC16" s="369">
        <f t="shared" si="196"/>
        <v>41.823252674999992</v>
      </c>
      <c r="FD16" s="369"/>
      <c r="FE16" s="61"/>
      <c r="FF16" s="368">
        <f t="shared" si="197"/>
        <v>51.117308824999995</v>
      </c>
      <c r="FG16" s="369">
        <f t="shared" si="24"/>
        <v>51.117308824999995</v>
      </c>
      <c r="FH16" s="369"/>
      <c r="FI16" s="369"/>
      <c r="FJ16" s="30">
        <v>1</v>
      </c>
      <c r="FK16" s="31">
        <v>0.2</v>
      </c>
      <c r="FL16" s="501">
        <v>0.8</v>
      </c>
      <c r="FM16" s="31">
        <f t="shared" si="198"/>
        <v>0.1</v>
      </c>
      <c r="FN16" s="501">
        <f t="shared" si="199"/>
        <v>1</v>
      </c>
      <c r="FO16" s="31">
        <f t="shared" si="200"/>
        <v>0.1</v>
      </c>
      <c r="FP16" s="31">
        <f t="shared" si="201"/>
        <v>1</v>
      </c>
      <c r="FQ16" s="31">
        <v>1</v>
      </c>
      <c r="FR16" s="31">
        <v>0</v>
      </c>
      <c r="FS16" s="89">
        <f t="shared" si="202"/>
        <v>1E-3</v>
      </c>
      <c r="FT16" s="31">
        <f t="shared" si="203"/>
        <v>0.05</v>
      </c>
      <c r="FU16" s="30">
        <v>0.05</v>
      </c>
      <c r="FV16" s="32">
        <f t="shared" si="25"/>
        <v>2.4224999999999997E-2</v>
      </c>
      <c r="FW16" s="31">
        <v>0.1</v>
      </c>
      <c r="FX16" s="77">
        <f t="shared" si="26"/>
        <v>9.0000000000000011E-2</v>
      </c>
      <c r="FY16" s="30"/>
      <c r="FZ16" s="32"/>
      <c r="GA16" s="31"/>
      <c r="GB16" s="77"/>
      <c r="GC16" s="378">
        <f t="shared" si="27"/>
        <v>4.1764000000000003E-3</v>
      </c>
      <c r="GD16" s="379">
        <f t="shared" si="204"/>
        <v>4.1764000000000003E-3</v>
      </c>
      <c r="GE16" s="379">
        <f t="shared" si="28"/>
        <v>6.2645999999999993E-2</v>
      </c>
      <c r="GF16" s="379">
        <f t="shared" si="205"/>
        <v>6.2645999999999993E-2</v>
      </c>
      <c r="GG16" s="379">
        <f t="shared" si="206"/>
        <v>0.22970199999999999</v>
      </c>
      <c r="GH16" s="218">
        <f t="shared" si="207"/>
        <v>0.91880799999999996</v>
      </c>
      <c r="GI16" s="379"/>
      <c r="GJ16" s="379"/>
      <c r="GK16" s="379"/>
      <c r="GL16" s="379"/>
      <c r="GM16" s="379"/>
      <c r="GN16" s="218"/>
      <c r="GO16" s="379">
        <f t="shared" si="208"/>
        <v>0.29652439999999997</v>
      </c>
      <c r="GP16" s="515">
        <f t="shared" si="209"/>
        <v>0.98563039999999991</v>
      </c>
      <c r="GQ16" s="379">
        <f t="shared" si="210"/>
        <v>0.27089680283648437</v>
      </c>
      <c r="GR16" s="379">
        <f t="shared" si="211"/>
        <v>6.9343742053124995</v>
      </c>
      <c r="GS16" s="355">
        <f>1/10*($FF16*$FQ16*$FM16*$FS16+$FF15*$FQ15*$FM15*$FS15+$FF14*$FQ14*$FM14*$FS14+$FF13*$FQ13*$FM13*$FS13)</f>
        <v>1.273110333E-3</v>
      </c>
      <c r="GT16" s="355">
        <f>1/10*($FG16*$FQ16*$FN16*$FT16+$FG15*$FQ15*$FN15*$FT15+$FG14*$FQ14*$FN14*$FT14+$FG13*$FQ13*$FN13*$FT13)</f>
        <v>0.63655516649999999</v>
      </c>
      <c r="GU16" s="355">
        <f>1/10*($FF16*$FR16*$FM16*$FS16+$FF15*$FR15*$FM15*$FS15+$FF14*$FR14*$FM14*$FS14+$FF13*$FR13*$FM13*$FS13)</f>
        <v>0</v>
      </c>
      <c r="GV16" s="356">
        <f>1/10*($FG16*$FR16*$FN16*$FT16+$FG15*$FR15*$FN15*$FT15+$FG14*$FR14*$FN14*$FT14+$FG13*$FR13*$FN13*$FT13)</f>
        <v>0</v>
      </c>
      <c r="GW16" s="355"/>
      <c r="GX16" s="355"/>
      <c r="GY16" s="355"/>
      <c r="GZ16" s="355"/>
      <c r="HA16" s="355"/>
      <c r="HB16" s="356"/>
      <c r="HC16" s="379">
        <f t="shared" si="212"/>
        <v>0.27216991316948436</v>
      </c>
      <c r="HD16" s="38">
        <f t="shared" si="213"/>
        <v>7.5709293718124995</v>
      </c>
      <c r="HF16" s="383">
        <f t="shared" si="29"/>
        <v>0.84572099999999995</v>
      </c>
      <c r="HG16" s="355">
        <f t="shared" si="30"/>
        <v>0.84572099999999995</v>
      </c>
      <c r="HH16" s="355">
        <f t="shared" si="31"/>
        <v>0</v>
      </c>
      <c r="HI16" s="355">
        <f t="shared" si="32"/>
        <v>0</v>
      </c>
      <c r="HJ16" s="355">
        <f t="shared" si="33"/>
        <v>0.62646000000000002</v>
      </c>
      <c r="HK16" s="356">
        <f t="shared" si="34"/>
        <v>0.62646000000000002</v>
      </c>
      <c r="HL16" s="355">
        <f t="shared" si="35"/>
        <v>0</v>
      </c>
      <c r="HM16" s="355">
        <f t="shared" si="36"/>
        <v>0</v>
      </c>
      <c r="HN16" s="355">
        <f t="shared" si="37"/>
        <v>0.99067606250000007</v>
      </c>
      <c r="HO16" s="355">
        <f t="shared" si="38"/>
        <v>4.8324346250000003</v>
      </c>
      <c r="HP16" s="355">
        <f t="shared" si="39"/>
        <v>1.0441</v>
      </c>
      <c r="HQ16" s="524">
        <f t="shared" si="40"/>
        <v>1.0441</v>
      </c>
      <c r="HR16" s="615">
        <f t="shared" si="214"/>
        <v>0.27634631316948438</v>
      </c>
      <c r="HS16" s="615">
        <f t="shared" si="41"/>
        <v>7.5751057718124999</v>
      </c>
      <c r="HT16" s="615">
        <f t="shared" si="42"/>
        <v>6.2645999999999993E-2</v>
      </c>
      <c r="HU16" s="615">
        <f t="shared" si="43"/>
        <v>6.2645999999999993E-2</v>
      </c>
      <c r="HV16" s="615">
        <f t="shared" si="44"/>
        <v>0.22970199999999999</v>
      </c>
      <c r="HW16" s="615">
        <f t="shared" si="45"/>
        <v>0.91880799999999996</v>
      </c>
      <c r="HY16" s="857" t="s">
        <v>1107</v>
      </c>
      <c r="HZ16" s="858">
        <v>1.1000000000000001E-3</v>
      </c>
      <c r="IA16" s="858">
        <v>2.9999999999999997E-4</v>
      </c>
      <c r="IB16" s="858">
        <v>5.1000000000000004E-3</v>
      </c>
      <c r="IC16" s="858">
        <v>8.199999999999999E-3</v>
      </c>
      <c r="ID16" s="858">
        <v>0.8</v>
      </c>
      <c r="IE16" s="858">
        <v>8.6999999999999994E-3</v>
      </c>
      <c r="IF16" s="858">
        <v>1E-3</v>
      </c>
      <c r="IH16" s="884">
        <f t="shared" si="215"/>
        <v>9.3029310000000004E-3</v>
      </c>
      <c r="II16" s="884">
        <f t="shared" si="216"/>
        <v>7.6114890000000008E-3</v>
      </c>
      <c r="IJ16" s="884">
        <f t="shared" si="217"/>
        <v>1.5222978000000002E-2</v>
      </c>
      <c r="IK16" s="474">
        <f t="shared" si="218"/>
        <v>7.6114890000000008E-3</v>
      </c>
      <c r="IL16" s="474">
        <f t="shared" si="219"/>
        <v>0.71463424499999995</v>
      </c>
      <c r="IM16" s="474">
        <f t="shared" si="220"/>
        <v>8.4572100000000002E-4</v>
      </c>
      <c r="IN16" s="474">
        <f t="shared" si="221"/>
        <v>8.4572100000000002E-4</v>
      </c>
      <c r="IO16" s="884">
        <f t="shared" si="222"/>
        <v>2.7908793000000001E-2</v>
      </c>
      <c r="IP16" s="884">
        <f t="shared" si="223"/>
        <v>3.4674560999999993E-2</v>
      </c>
      <c r="IQ16" s="474">
        <f t="shared" si="224"/>
        <v>4.3977492E-2</v>
      </c>
      <c r="IR16" s="474">
        <f t="shared" si="225"/>
        <v>3.4674560999999993E-2</v>
      </c>
      <c r="IS16" s="474">
        <f t="shared" si="226"/>
        <v>0.71632568699999988</v>
      </c>
      <c r="IT16" s="474">
        <f t="shared" si="227"/>
        <v>8.4572099999999997E-3</v>
      </c>
      <c r="IU16" s="526">
        <f t="shared" si="228"/>
        <v>8.4572099999999997E-3</v>
      </c>
      <c r="IV16" s="884">
        <f t="shared" si="229"/>
        <v>0</v>
      </c>
      <c r="IW16" s="884">
        <f t="shared" si="230"/>
        <v>0</v>
      </c>
      <c r="IX16" s="474">
        <f t="shared" si="49"/>
        <v>0</v>
      </c>
      <c r="IY16" s="474">
        <f t="shared" si="50"/>
        <v>0</v>
      </c>
      <c r="IZ16" s="474">
        <f t="shared" si="51"/>
        <v>0</v>
      </c>
      <c r="JA16" s="474">
        <f t="shared" si="52"/>
        <v>0</v>
      </c>
      <c r="JB16" s="474">
        <f t="shared" si="53"/>
        <v>0</v>
      </c>
      <c r="JC16" s="884">
        <f t="shared" si="231"/>
        <v>0</v>
      </c>
      <c r="JD16" s="884">
        <f t="shared" si="232"/>
        <v>0</v>
      </c>
      <c r="JE16" s="474">
        <f t="shared" si="55"/>
        <v>0</v>
      </c>
      <c r="JF16" s="474">
        <f t="shared" si="56"/>
        <v>0</v>
      </c>
      <c r="JG16" s="474">
        <f t="shared" si="57"/>
        <v>0</v>
      </c>
      <c r="JH16" s="474">
        <f t="shared" si="58"/>
        <v>0</v>
      </c>
      <c r="JI16" s="480">
        <f t="shared" si="59"/>
        <v>0</v>
      </c>
      <c r="JJ16" s="884">
        <f t="shared" si="233"/>
        <v>6.8910600000000009E-3</v>
      </c>
      <c r="JK16" s="884">
        <f t="shared" si="234"/>
        <v>5.6381400000000007E-3</v>
      </c>
      <c r="JL16" s="474">
        <f t="shared" si="61"/>
        <v>1.1276280000000001E-2</v>
      </c>
      <c r="JM16" s="474">
        <f t="shared" si="62"/>
        <v>5.6381400000000007E-3</v>
      </c>
      <c r="JN16" s="474">
        <f t="shared" si="63"/>
        <v>0.52935869999999996</v>
      </c>
      <c r="JO16" s="474">
        <f t="shared" si="64"/>
        <v>6.2646000000000002E-4</v>
      </c>
      <c r="JP16" s="474">
        <f t="shared" si="65"/>
        <v>6.2646000000000002E-4</v>
      </c>
      <c r="JQ16" s="884">
        <f t="shared" si="235"/>
        <v>2.0673180000000003E-2</v>
      </c>
      <c r="JR16" s="884">
        <f t="shared" si="236"/>
        <v>2.5684859999999997E-2</v>
      </c>
      <c r="JS16" s="474">
        <f t="shared" si="67"/>
        <v>3.2575920000000001E-2</v>
      </c>
      <c r="JT16" s="474">
        <f t="shared" si="68"/>
        <v>2.5684859999999997E-2</v>
      </c>
      <c r="JU16" s="474">
        <f t="shared" si="69"/>
        <v>0.53061161999999995</v>
      </c>
      <c r="JV16" s="474">
        <f t="shared" si="70"/>
        <v>6.2646000000000004E-3</v>
      </c>
      <c r="JW16" s="134">
        <f t="shared" si="71"/>
        <v>6.2646000000000004E-3</v>
      </c>
      <c r="JX16" s="884">
        <f t="shared" si="237"/>
        <v>0</v>
      </c>
      <c r="JY16" s="1033">
        <f t="shared" si="238"/>
        <v>0</v>
      </c>
      <c r="JZ16" s="1033">
        <f t="shared" si="73"/>
        <v>0</v>
      </c>
      <c r="KA16" s="355">
        <f t="shared" si="74"/>
        <v>0</v>
      </c>
      <c r="KB16" s="355">
        <f t="shared" si="75"/>
        <v>0</v>
      </c>
      <c r="KC16" s="355">
        <f t="shared" si="76"/>
        <v>0</v>
      </c>
      <c r="KD16" s="355">
        <f t="shared" si="77"/>
        <v>0</v>
      </c>
      <c r="KE16" s="884">
        <f t="shared" si="239"/>
        <v>0</v>
      </c>
      <c r="KF16" s="884">
        <f t="shared" si="240"/>
        <v>0</v>
      </c>
      <c r="KG16" s="355">
        <f t="shared" si="79"/>
        <v>0</v>
      </c>
      <c r="KH16" s="355">
        <f t="shared" si="80"/>
        <v>0</v>
      </c>
      <c r="KI16" s="355">
        <f t="shared" si="81"/>
        <v>0</v>
      </c>
      <c r="KJ16" s="355">
        <f t="shared" si="82"/>
        <v>0</v>
      </c>
      <c r="KK16" s="526">
        <f t="shared" si="83"/>
        <v>0</v>
      </c>
      <c r="KL16" s="884">
        <f t="shared" si="241"/>
        <v>1.0897436687500001E-2</v>
      </c>
      <c r="KM16" s="884">
        <f t="shared" si="242"/>
        <v>8.9160845625000009E-3</v>
      </c>
      <c r="KN16" s="355">
        <f t="shared" si="85"/>
        <v>1.7832169125000002E-2</v>
      </c>
      <c r="KO16" s="355">
        <f t="shared" si="86"/>
        <v>8.9160845625000009E-3</v>
      </c>
      <c r="KP16" s="355">
        <f t="shared" si="87"/>
        <v>0.83712127281250004</v>
      </c>
      <c r="KQ16" s="355">
        <f t="shared" si="88"/>
        <v>9.9067606249999998E-4</v>
      </c>
      <c r="KR16" s="355">
        <f t="shared" si="89"/>
        <v>9.9067606249999998E-4</v>
      </c>
      <c r="KS16" s="884">
        <f t="shared" si="243"/>
        <v>0.15947034262500001</v>
      </c>
      <c r="KT16" s="884">
        <f t="shared" si="244"/>
        <v>0.19812981962499998</v>
      </c>
      <c r="KU16" s="355">
        <f t="shared" si="91"/>
        <v>0.25128660050000001</v>
      </c>
      <c r="KV16" s="355">
        <f t="shared" si="92"/>
        <v>0.19812981962499998</v>
      </c>
      <c r="KW16" s="355">
        <f t="shared" si="93"/>
        <v>4.0930721273750006</v>
      </c>
      <c r="KX16" s="355">
        <f t="shared" si="94"/>
        <v>4.8324346250000004E-2</v>
      </c>
      <c r="KY16" s="480">
        <f t="shared" si="95"/>
        <v>4.8324346250000004E-2</v>
      </c>
      <c r="KZ16" s="884">
        <f t="shared" si="245"/>
        <v>1.1485100000000002E-2</v>
      </c>
      <c r="LA16" s="884">
        <f t="shared" si="246"/>
        <v>9.3969000000000014E-3</v>
      </c>
      <c r="LB16" s="355">
        <f t="shared" si="97"/>
        <v>1.8793800000000003E-2</v>
      </c>
      <c r="LC16" s="355">
        <f t="shared" si="98"/>
        <v>9.3969000000000014E-3</v>
      </c>
      <c r="LD16" s="355">
        <f t="shared" si="99"/>
        <v>0.88226450000000001</v>
      </c>
      <c r="LE16" s="355">
        <f t="shared" si="100"/>
        <v>1.0441000000000001E-3</v>
      </c>
      <c r="LF16" s="355">
        <f t="shared" si="101"/>
        <v>1.0441000000000001E-3</v>
      </c>
      <c r="LG16" s="884">
        <f t="shared" si="247"/>
        <v>3.4455300000000001E-2</v>
      </c>
      <c r="LH16" s="884">
        <f t="shared" si="248"/>
        <v>4.2808099999999995E-2</v>
      </c>
      <c r="LI16" s="355">
        <f t="shared" si="103"/>
        <v>5.4293200000000007E-2</v>
      </c>
      <c r="LJ16" s="355">
        <f t="shared" si="104"/>
        <v>4.2808099999999995E-2</v>
      </c>
      <c r="LK16" s="355">
        <f t="shared" si="105"/>
        <v>0.88435269999999999</v>
      </c>
      <c r="LL16" s="355">
        <f t="shared" si="106"/>
        <v>1.0441000000000001E-2</v>
      </c>
      <c r="LM16" s="134">
        <f t="shared" si="107"/>
        <v>1.0441000000000001E-2</v>
      </c>
      <c r="LN16" s="884">
        <f t="shared" si="249"/>
        <v>3.0398094448643283E-4</v>
      </c>
      <c r="LO16" s="884">
        <f t="shared" si="250"/>
        <v>8.2903893950845304E-5</v>
      </c>
      <c r="LP16" s="355">
        <f t="shared" si="109"/>
        <v>1.4093661971643703E-3</v>
      </c>
      <c r="LQ16" s="474">
        <f t="shared" si="110"/>
        <v>2.2660397679897717E-3</v>
      </c>
      <c r="LR16" s="474">
        <f t="shared" si="111"/>
        <v>0.22107705053558752</v>
      </c>
      <c r="LS16" s="474">
        <f t="shared" si="112"/>
        <v>2.4042129245745139E-3</v>
      </c>
      <c r="LT16" s="474">
        <f t="shared" si="113"/>
        <v>2.7634631316948439E-4</v>
      </c>
      <c r="LU16" s="884">
        <f t="shared" si="251"/>
        <v>0.45450634630874998</v>
      </c>
      <c r="LV16" s="884">
        <f t="shared" si="252"/>
        <v>0.22725317315437499</v>
      </c>
      <c r="LW16" s="355">
        <f t="shared" si="115"/>
        <v>0.53025740402687505</v>
      </c>
      <c r="LX16" s="474">
        <f t="shared" si="116"/>
        <v>0.45450634630874998</v>
      </c>
      <c r="LY16" s="474">
        <f t="shared" si="117"/>
        <v>7.4917796083225632</v>
      </c>
      <c r="LZ16" s="474">
        <f t="shared" si="118"/>
        <v>7.5751057718125001E-2</v>
      </c>
      <c r="MA16" s="485">
        <f t="shared" si="119"/>
        <v>7.5751057718125001E-2</v>
      </c>
      <c r="MB16" s="884">
        <f t="shared" si="253"/>
        <v>6.891059999999999E-5</v>
      </c>
      <c r="MC16" s="884">
        <f t="shared" si="254"/>
        <v>1.8793799999999996E-5</v>
      </c>
      <c r="MD16" s="355">
        <f t="shared" si="121"/>
        <v>3.1949460000000002E-4</v>
      </c>
      <c r="ME16" s="474">
        <f t="shared" si="122"/>
        <v>5.1369719999999988E-4</v>
      </c>
      <c r="MF16" s="474">
        <f t="shared" si="123"/>
        <v>5.0116799999999996E-2</v>
      </c>
      <c r="MG16" s="474">
        <f t="shared" si="124"/>
        <v>5.4502019999999986E-4</v>
      </c>
      <c r="MH16" s="474">
        <f t="shared" si="125"/>
        <v>6.2645999999999996E-5</v>
      </c>
      <c r="MI16" s="884">
        <f t="shared" si="255"/>
        <v>3.7587599999999994E-3</v>
      </c>
      <c r="MJ16" s="884">
        <f t="shared" si="256"/>
        <v>1.8793799999999997E-3</v>
      </c>
      <c r="MK16" s="355">
        <f t="shared" si="127"/>
        <v>4.3852199999999996E-3</v>
      </c>
      <c r="ML16" s="474">
        <f t="shared" si="128"/>
        <v>3.7587599999999994E-3</v>
      </c>
      <c r="MM16" s="474">
        <f t="shared" si="129"/>
        <v>6.1956893999999998E-2</v>
      </c>
      <c r="MN16" s="474">
        <f t="shared" si="130"/>
        <v>6.2645999999999991E-4</v>
      </c>
      <c r="MO16" s="485">
        <f t="shared" si="131"/>
        <v>6.2645999999999991E-4</v>
      </c>
      <c r="MP16" s="884">
        <f t="shared" si="257"/>
        <v>2.5267220000000002E-4</v>
      </c>
      <c r="MQ16" s="884">
        <f t="shared" si="258"/>
        <v>6.891059999999999E-5</v>
      </c>
      <c r="MR16" s="355">
        <f t="shared" si="133"/>
        <v>1.1714802E-3</v>
      </c>
      <c r="MS16" s="474">
        <f t="shared" si="134"/>
        <v>1.8835563999999997E-3</v>
      </c>
      <c r="MT16" s="474">
        <f t="shared" si="135"/>
        <v>0.1837616</v>
      </c>
      <c r="MU16" s="474">
        <f t="shared" si="136"/>
        <v>1.9984073999999999E-3</v>
      </c>
      <c r="MV16" s="474">
        <f t="shared" si="137"/>
        <v>2.29702E-4</v>
      </c>
      <c r="MW16" s="884">
        <f t="shared" si="259"/>
        <v>5.5128479999999994E-2</v>
      </c>
      <c r="MX16" s="884">
        <f t="shared" si="260"/>
        <v>2.7564239999999997E-2</v>
      </c>
      <c r="MY16" s="474">
        <f t="shared" si="139"/>
        <v>6.4316560000000009E-2</v>
      </c>
      <c r="MZ16" s="474">
        <f t="shared" si="140"/>
        <v>5.5128479999999994E-2</v>
      </c>
      <c r="NA16" s="474">
        <f t="shared" si="141"/>
        <v>0.90870111200000003</v>
      </c>
      <c r="NB16" s="474">
        <f t="shared" si="142"/>
        <v>9.1880799999999995E-3</v>
      </c>
      <c r="NC16" s="134">
        <f t="shared" si="143"/>
        <v>9.1880799999999995E-3</v>
      </c>
    </row>
    <row r="17" spans="1:367" x14ac:dyDescent="0.25">
      <c r="A17" s="18">
        <v>1962</v>
      </c>
      <c r="B17" s="1271">
        <v>132</v>
      </c>
      <c r="C17" s="1224"/>
      <c r="D17" s="1224">
        <v>0</v>
      </c>
      <c r="E17" s="1272"/>
      <c r="F17" s="1224">
        <f t="shared" si="144"/>
        <v>130.02000000000001</v>
      </c>
      <c r="G17" s="1224"/>
      <c r="H17" s="1224">
        <f t="shared" si="145"/>
        <v>0</v>
      </c>
      <c r="I17" s="1224"/>
      <c r="J17" s="1082">
        <v>0</v>
      </c>
      <c r="K17" s="1082">
        <f t="shared" si="0"/>
        <v>0</v>
      </c>
      <c r="L17" s="1224">
        <f t="shared" si="1"/>
        <v>130.02000000000001</v>
      </c>
      <c r="M17" s="1228"/>
      <c r="N17" s="193">
        <v>8.0999999999999996E-3</v>
      </c>
      <c r="O17" s="47">
        <v>0</v>
      </c>
      <c r="P17" s="47">
        <v>6.0000000000000001E-3</v>
      </c>
      <c r="Q17" s="192">
        <v>0</v>
      </c>
      <c r="R17" s="47">
        <v>0</v>
      </c>
      <c r="S17" s="47">
        <f t="shared" si="146"/>
        <v>5.4000000000000003E-3</v>
      </c>
      <c r="T17" s="47">
        <v>0.01</v>
      </c>
      <c r="U17" s="47">
        <v>1.8E-3</v>
      </c>
      <c r="V17" s="117">
        <v>4.0000000000000003E-5</v>
      </c>
      <c r="W17" s="47">
        <v>5.9999999999999995E-4</v>
      </c>
      <c r="X17" s="52">
        <v>1.0999999999999999E-2</v>
      </c>
      <c r="Y17" s="52">
        <v>2.0199999999999999E-2</v>
      </c>
      <c r="Z17" s="111">
        <v>6.3E-2</v>
      </c>
      <c r="AA17" s="52">
        <f t="shared" si="147"/>
        <v>0.1</v>
      </c>
      <c r="AB17" s="52">
        <f t="shared" si="148"/>
        <v>0</v>
      </c>
      <c r="AC17" s="52">
        <f t="shared" si="149"/>
        <v>0.9</v>
      </c>
      <c r="AD17" s="475">
        <f t="shared" si="150"/>
        <v>1.0531619999999999</v>
      </c>
      <c r="AE17" s="474">
        <f t="shared" si="151"/>
        <v>1.0531619999999999</v>
      </c>
      <c r="AF17" s="474">
        <f t="shared" si="152"/>
        <v>0</v>
      </c>
      <c r="AG17" s="474">
        <f t="shared" si="151"/>
        <v>0</v>
      </c>
      <c r="AH17" s="474">
        <f t="shared" si="153"/>
        <v>0.78012000000000004</v>
      </c>
      <c r="AI17" s="474">
        <f t="shared" ref="AI17" si="293">AH17</f>
        <v>0.78012000000000004</v>
      </c>
      <c r="AJ17" s="508"/>
      <c r="AK17" s="508"/>
      <c r="AL17" s="508"/>
      <c r="AM17" s="508"/>
      <c r="AN17" s="508"/>
      <c r="AO17" s="572"/>
      <c r="AP17" s="481">
        <f t="shared" si="155"/>
        <v>1.0531619999999999</v>
      </c>
      <c r="AQ17" s="474">
        <f t="shared" ref="AQ17" si="294">AP17</f>
        <v>1.0531619999999999</v>
      </c>
      <c r="AR17" s="474">
        <f t="shared" si="157"/>
        <v>0</v>
      </c>
      <c r="AS17" s="474">
        <f t="shared" ref="AS17" si="295">AR17</f>
        <v>0</v>
      </c>
      <c r="AT17" s="474">
        <f t="shared" si="159"/>
        <v>0.78012000000000004</v>
      </c>
      <c r="AU17" s="474">
        <f t="shared" ref="AU17" si="296">AT17</f>
        <v>0.78012000000000004</v>
      </c>
      <c r="AV17" s="475">
        <f t="shared" si="2"/>
        <v>0</v>
      </c>
      <c r="AW17" s="474">
        <f t="shared" ref="AW17" si="297">AV17</f>
        <v>0</v>
      </c>
      <c r="AX17" s="474">
        <f t="shared" si="3"/>
        <v>0.70210800000000007</v>
      </c>
      <c r="AY17" s="474">
        <f t="shared" ref="AY17" si="298">AX17</f>
        <v>0.70210800000000007</v>
      </c>
      <c r="AZ17" s="474">
        <f t="shared" si="4"/>
        <v>1.3002</v>
      </c>
      <c r="BA17" s="474">
        <f t="shared" ref="BA17" si="299">AZ17</f>
        <v>1.3002</v>
      </c>
      <c r="BB17" s="481"/>
      <c r="BC17" s="474"/>
      <c r="BD17" s="474"/>
      <c r="BE17" s="474"/>
      <c r="BF17" s="474"/>
      <c r="BG17" s="474"/>
      <c r="BH17" s="481">
        <f t="shared" si="5"/>
        <v>0</v>
      </c>
      <c r="BI17" s="474">
        <f t="shared" ref="BI17" si="300">BH17</f>
        <v>0</v>
      </c>
      <c r="BJ17" s="474">
        <f t="shared" si="6"/>
        <v>0.70210800000000007</v>
      </c>
      <c r="BK17" s="474">
        <f t="shared" ref="BK17" si="301">BJ17</f>
        <v>0.70210800000000007</v>
      </c>
      <c r="BL17" s="474">
        <f t="shared" si="7"/>
        <v>1.3002</v>
      </c>
      <c r="BM17" s="474">
        <f t="shared" ref="BM17" si="302">BL17</f>
        <v>1.3002</v>
      </c>
      <c r="BN17" s="475">
        <f t="shared" si="8"/>
        <v>5.2008000000000011E-3</v>
      </c>
      <c r="BO17" s="474">
        <f t="shared" ref="BO17" si="303">BN17</f>
        <v>5.2008000000000011E-3</v>
      </c>
      <c r="BP17" s="474">
        <f t="shared" si="9"/>
        <v>7.8011999999999998E-2</v>
      </c>
      <c r="BQ17" s="474">
        <f t="shared" ref="BQ17" si="304">BP17</f>
        <v>7.8011999999999998E-2</v>
      </c>
      <c r="BR17" s="474">
        <f t="shared" si="10"/>
        <v>1.43022</v>
      </c>
      <c r="BS17" s="474">
        <f t="shared" ref="BS17" si="305">BR17</f>
        <v>1.43022</v>
      </c>
      <c r="BT17" s="481"/>
      <c r="BU17" s="474"/>
      <c r="BV17" s="474"/>
      <c r="BW17" s="474"/>
      <c r="BX17" s="474"/>
      <c r="BY17" s="474"/>
      <c r="BZ17" s="481">
        <f t="shared" si="11"/>
        <v>5.2008000000000011E-3</v>
      </c>
      <c r="CA17" s="474">
        <f t="shared" ref="CA17" si="306">BZ17</f>
        <v>5.2008000000000011E-3</v>
      </c>
      <c r="CB17" s="474">
        <f t="shared" si="12"/>
        <v>7.8011999999999998E-2</v>
      </c>
      <c r="CC17" s="474">
        <f t="shared" ref="CC17" si="307">CB17</f>
        <v>7.8011999999999998E-2</v>
      </c>
      <c r="CD17" s="474">
        <f t="shared" si="13"/>
        <v>1.43022</v>
      </c>
      <c r="CE17" s="526">
        <f t="shared" ref="CE17" si="308">CD17</f>
        <v>1.43022</v>
      </c>
      <c r="CF17" s="355">
        <f t="shared" si="173"/>
        <v>0</v>
      </c>
      <c r="CG17" s="615">
        <f t="shared" si="174"/>
        <v>0</v>
      </c>
      <c r="CH17" s="355">
        <f t="shared" si="175"/>
        <v>0</v>
      </c>
      <c r="CI17" s="615">
        <f t="shared" si="14"/>
        <v>0</v>
      </c>
      <c r="CJ17" s="615">
        <f t="shared" si="176"/>
        <v>0</v>
      </c>
      <c r="CK17" s="615">
        <f t="shared" si="15"/>
        <v>0</v>
      </c>
      <c r="CL17" s="122"/>
      <c r="CM17" s="1235">
        <f t="shared" si="16"/>
        <v>121.82874000000001</v>
      </c>
      <c r="CN17" s="1231"/>
      <c r="CO17" s="1230"/>
      <c r="CP17" s="1231"/>
      <c r="CQ17" s="1230">
        <f t="shared" si="177"/>
        <v>121.82874000000001</v>
      </c>
      <c r="CR17" s="1232"/>
      <c r="CS17" s="30">
        <v>0.45</v>
      </c>
      <c r="CT17" s="31">
        <f t="shared" si="178"/>
        <v>0.55000000000000004</v>
      </c>
      <c r="CU17" s="31"/>
      <c r="CV17" s="32"/>
      <c r="CW17" s="1233">
        <f t="shared" si="179"/>
        <v>52.081786350000009</v>
      </c>
      <c r="CX17" s="1234"/>
      <c r="CY17" s="1234">
        <f t="shared" si="180"/>
        <v>63.65551665000001</v>
      </c>
      <c r="CZ17" s="1231"/>
      <c r="DA17" s="369"/>
      <c r="DB17" s="369"/>
      <c r="DC17" s="369"/>
      <c r="DD17" s="373"/>
      <c r="DE17" s="1234">
        <f t="shared" si="17"/>
        <v>52.081786350000009</v>
      </c>
      <c r="DF17" s="1234"/>
      <c r="DG17" s="369">
        <f t="shared" si="181"/>
        <v>52.081786350000009</v>
      </c>
      <c r="DH17" s="372">
        <f t="shared" si="182"/>
        <v>63.65551665000001</v>
      </c>
      <c r="DJ17" s="493">
        <v>0.05</v>
      </c>
      <c r="DK17" s="379"/>
      <c r="DL17" s="1105">
        <f t="shared" si="18"/>
        <v>6.0914370000000009</v>
      </c>
      <c r="DM17" s="1105">
        <f t="shared" si="19"/>
        <v>6.0914370000000009</v>
      </c>
      <c r="DN17" s="369"/>
      <c r="DO17" s="372"/>
      <c r="DP17" s="30">
        <v>1</v>
      </c>
      <c r="DQ17" s="31">
        <f t="shared" si="183"/>
        <v>0.1</v>
      </c>
      <c r="DR17" s="31">
        <f t="shared" si="184"/>
        <v>1</v>
      </c>
      <c r="DS17" s="680">
        <f t="shared" si="185"/>
        <v>0.1</v>
      </c>
      <c r="DT17" s="77">
        <f t="shared" si="186"/>
        <v>1</v>
      </c>
      <c r="DU17" s="31">
        <v>0</v>
      </c>
      <c r="DV17" s="31">
        <v>1</v>
      </c>
      <c r="DW17" s="31">
        <v>0</v>
      </c>
      <c r="DX17" s="31">
        <v>0</v>
      </c>
      <c r="DY17" s="31">
        <v>1</v>
      </c>
      <c r="DZ17" s="31">
        <v>0</v>
      </c>
      <c r="EA17" s="383">
        <f t="shared" si="187"/>
        <v>0</v>
      </c>
      <c r="EB17" s="355">
        <f t="shared" si="188"/>
        <v>0</v>
      </c>
      <c r="EC17" s="355">
        <f t="shared" si="189"/>
        <v>0.54915227500000008</v>
      </c>
      <c r="ED17" s="355">
        <f t="shared" si="190"/>
        <v>5.4915227500000006</v>
      </c>
      <c r="EE17" s="355">
        <f t="shared" si="191"/>
        <v>0</v>
      </c>
      <c r="EF17" s="355">
        <f t="shared" si="192"/>
        <v>0</v>
      </c>
      <c r="EG17" s="366"/>
      <c r="EH17" s="355"/>
      <c r="EI17" s="355"/>
      <c r="EJ17" s="355"/>
      <c r="EK17" s="355"/>
      <c r="EL17" s="356"/>
      <c r="EM17" s="355">
        <f t="shared" si="193"/>
        <v>0.54915227500000008</v>
      </c>
      <c r="EN17" s="134">
        <f t="shared" si="194"/>
        <v>5.4915227500000006</v>
      </c>
      <c r="EP17" s="1171">
        <f t="shared" si="20"/>
        <v>5.2008000000000011E-3</v>
      </c>
      <c r="EQ17" s="1172"/>
      <c r="ER17" s="1172">
        <f t="shared" si="21"/>
        <v>7.8011999999999998E-2</v>
      </c>
      <c r="ES17" s="1172"/>
      <c r="ET17" s="1172">
        <f>BR17</f>
        <v>1.43022</v>
      </c>
      <c r="EU17" s="1172"/>
      <c r="EV17" s="366"/>
      <c r="EW17" s="355"/>
      <c r="EX17" s="355"/>
      <c r="EY17" s="355"/>
      <c r="EZ17" s="1172"/>
      <c r="FA17" s="1173"/>
      <c r="FB17" s="368">
        <f t="shared" si="195"/>
        <v>52.081786350000009</v>
      </c>
      <c r="FC17" s="369">
        <f t="shared" si="196"/>
        <v>52.081786350000009</v>
      </c>
      <c r="FD17" s="369"/>
      <c r="FE17" s="61"/>
      <c r="FF17" s="368">
        <f t="shared" si="197"/>
        <v>63.65551665000001</v>
      </c>
      <c r="FG17" s="369">
        <f t="shared" si="24"/>
        <v>63.65551665000001</v>
      </c>
      <c r="FH17" s="369"/>
      <c r="FI17" s="369"/>
      <c r="FJ17" s="30">
        <v>1</v>
      </c>
      <c r="FK17" s="31">
        <v>0.2</v>
      </c>
      <c r="FL17" s="501">
        <v>0.8</v>
      </c>
      <c r="FM17" s="31">
        <f t="shared" si="198"/>
        <v>0.1</v>
      </c>
      <c r="FN17" s="501">
        <f t="shared" si="199"/>
        <v>1</v>
      </c>
      <c r="FO17" s="31">
        <f t="shared" si="200"/>
        <v>0.1</v>
      </c>
      <c r="FP17" s="31">
        <f t="shared" si="201"/>
        <v>1</v>
      </c>
      <c r="FQ17" s="31">
        <v>1</v>
      </c>
      <c r="FR17" s="31">
        <v>0</v>
      </c>
      <c r="FS17" s="89">
        <f t="shared" si="202"/>
        <v>1E-3</v>
      </c>
      <c r="FT17" s="31">
        <f t="shared" si="203"/>
        <v>0.05</v>
      </c>
      <c r="FU17" s="30">
        <v>0.05</v>
      </c>
      <c r="FV17" s="32">
        <f t="shared" si="25"/>
        <v>2.4224999999999997E-2</v>
      </c>
      <c r="FW17" s="31">
        <v>0.1</v>
      </c>
      <c r="FX17" s="77">
        <f t="shared" si="26"/>
        <v>9.0000000000000011E-2</v>
      </c>
      <c r="FY17" s="30"/>
      <c r="FZ17" s="32"/>
      <c r="GA17" s="31"/>
      <c r="GB17" s="77"/>
      <c r="GC17" s="378">
        <f t="shared" si="27"/>
        <v>5.2008000000000011E-3</v>
      </c>
      <c r="GD17" s="379">
        <f t="shared" si="204"/>
        <v>5.2008000000000011E-3</v>
      </c>
      <c r="GE17" s="379">
        <f t="shared" si="28"/>
        <v>7.8011999999999998E-2</v>
      </c>
      <c r="GF17" s="379">
        <f t="shared" si="205"/>
        <v>7.8011999999999998E-2</v>
      </c>
      <c r="GG17" s="379">
        <f t="shared" si="206"/>
        <v>0.28604400000000002</v>
      </c>
      <c r="GH17" s="218">
        <f t="shared" si="207"/>
        <v>1.1441760000000001</v>
      </c>
      <c r="GI17" s="379"/>
      <c r="GJ17" s="379"/>
      <c r="GK17" s="379"/>
      <c r="GL17" s="379"/>
      <c r="GM17" s="379"/>
      <c r="GN17" s="218"/>
      <c r="GO17" s="379">
        <f t="shared" si="208"/>
        <v>0.36925680000000005</v>
      </c>
      <c r="GP17" s="515">
        <f t="shared" si="209"/>
        <v>1.2273888000000002</v>
      </c>
      <c r="GQ17" s="379">
        <f>1/2*(($FB17*$FM17)*($FU17+$FV17)+$FB16*$FM16*($FU16+$FV16))</f>
        <v>0.34850507608153125</v>
      </c>
      <c r="GR17" s="379">
        <f t="shared" si="211"/>
        <v>8.9209787073749993</v>
      </c>
      <c r="GS17" s="355">
        <f>1/10*($FF17*$FQ17*$FM17*$FS17+$FF16*$FQ16*$FM16*$FS16+$FF15*$FQ15*$FM15*$FS15+$FF14*$FQ14*$FM14*$FS14+$FF13*$FQ13*$FM13*$FS13)</f>
        <v>1.9096654995000004E-3</v>
      </c>
      <c r="GT17" s="355">
        <f>1/10*($FG17*$FQ17*$FN17*$FT17+$FG16*$FQ16*$FN16*$FT16+$FG15*$FQ15*$FN15*$FT15+$FG14*$FQ14*$FN14*$FT14+$FG13*$FQ13*$FN13*$FT13)</f>
        <v>0.9548327497500001</v>
      </c>
      <c r="GU17" s="355">
        <f>1/10*($FF17*$FR17*$FM17*$FS17+$FF16*$FR16*$FM16*$FS16+$FF15*$FR15*$FM15*$FS15+$FF14*$FR14*$FM14*$FS14+$FF13*$FR13*$FM13*$FS13)</f>
        <v>0</v>
      </c>
      <c r="GV17" s="356">
        <f>1/10*($FG17*$FR17*$FN17*$FT17+$FG16*$FR16*$FN16*$FT16+$FG15*$FR15*$FN15*$FT15+$FG14*$FR14*$FN14*$FT14+$FG13*$FR13*$FN13*$FT13)</f>
        <v>0</v>
      </c>
      <c r="GW17" s="355"/>
      <c r="GX17" s="355"/>
      <c r="GY17" s="355"/>
      <c r="GZ17" s="355"/>
      <c r="HA17" s="355"/>
      <c r="HB17" s="356"/>
      <c r="HC17" s="379">
        <f t="shared" si="212"/>
        <v>0.35041474158103125</v>
      </c>
      <c r="HD17" s="38">
        <f t="shared" si="213"/>
        <v>9.8758114571249997</v>
      </c>
      <c r="HF17" s="383">
        <f t="shared" si="29"/>
        <v>1.0531619999999999</v>
      </c>
      <c r="HG17" s="355">
        <f t="shared" si="30"/>
        <v>1.0531619999999999</v>
      </c>
      <c r="HH17" s="355">
        <f t="shared" si="31"/>
        <v>0</v>
      </c>
      <c r="HI17" s="355">
        <f t="shared" si="32"/>
        <v>0</v>
      </c>
      <c r="HJ17" s="355">
        <f t="shared" si="33"/>
        <v>0.78012000000000004</v>
      </c>
      <c r="HK17" s="356">
        <f t="shared" si="34"/>
        <v>0.78012000000000004</v>
      </c>
      <c r="HL17" s="355">
        <f t="shared" si="35"/>
        <v>0</v>
      </c>
      <c r="HM17" s="355">
        <f t="shared" si="36"/>
        <v>0</v>
      </c>
      <c r="HN17" s="355">
        <f t="shared" si="37"/>
        <v>1.2512602750000001</v>
      </c>
      <c r="HO17" s="355">
        <f t="shared" si="38"/>
        <v>6.1936307500000005</v>
      </c>
      <c r="HP17" s="355">
        <f t="shared" si="39"/>
        <v>1.3002</v>
      </c>
      <c r="HQ17" s="524">
        <f t="shared" si="40"/>
        <v>1.3002</v>
      </c>
      <c r="HR17" s="615">
        <f t="shared" si="214"/>
        <v>0.35561554158103126</v>
      </c>
      <c r="HS17" s="615">
        <f t="shared" si="41"/>
        <v>9.8810122571250005</v>
      </c>
      <c r="HT17" s="615">
        <f t="shared" si="42"/>
        <v>7.8011999999999998E-2</v>
      </c>
      <c r="HU17" s="615">
        <f t="shared" si="43"/>
        <v>7.8011999999999998E-2</v>
      </c>
      <c r="HV17" s="615">
        <f t="shared" si="44"/>
        <v>0.28604400000000002</v>
      </c>
      <c r="HW17" s="615">
        <f t="shared" si="45"/>
        <v>1.1441760000000001</v>
      </c>
      <c r="HY17" s="857" t="s">
        <v>1106</v>
      </c>
      <c r="HZ17" s="858">
        <v>0.06</v>
      </c>
      <c r="IA17" s="858">
        <v>0.03</v>
      </c>
      <c r="IB17" s="858">
        <v>7.0000000000000007E-2</v>
      </c>
      <c r="IC17" s="858">
        <v>0.06</v>
      </c>
      <c r="ID17" s="858">
        <v>0.9890000000000001</v>
      </c>
      <c r="IE17" s="858">
        <v>0.01</v>
      </c>
      <c r="IF17" s="858">
        <v>0.01</v>
      </c>
      <c r="IH17" s="884">
        <f t="shared" si="215"/>
        <v>1.1584782E-2</v>
      </c>
      <c r="II17" s="884">
        <f t="shared" si="216"/>
        <v>9.4784580000000004E-3</v>
      </c>
      <c r="IJ17" s="884">
        <f t="shared" si="217"/>
        <v>1.8956916000000001E-2</v>
      </c>
      <c r="IK17" s="474">
        <f t="shared" si="218"/>
        <v>9.4784580000000004E-3</v>
      </c>
      <c r="IL17" s="474">
        <f t="shared" si="219"/>
        <v>0.88992188999999988</v>
      </c>
      <c r="IM17" s="474">
        <f t="shared" si="220"/>
        <v>1.0531619999999998E-3</v>
      </c>
      <c r="IN17" s="474">
        <f t="shared" si="221"/>
        <v>1.0531619999999998E-3</v>
      </c>
      <c r="IO17" s="884">
        <f t="shared" si="222"/>
        <v>3.4754345999999998E-2</v>
      </c>
      <c r="IP17" s="884">
        <f t="shared" si="223"/>
        <v>4.317964199999999E-2</v>
      </c>
      <c r="IQ17" s="474">
        <f t="shared" si="224"/>
        <v>5.4764423999999999E-2</v>
      </c>
      <c r="IR17" s="474">
        <f t="shared" si="225"/>
        <v>4.317964199999999E-2</v>
      </c>
      <c r="IS17" s="474">
        <f t="shared" si="226"/>
        <v>0.89202821399999987</v>
      </c>
      <c r="IT17" s="474">
        <f t="shared" si="227"/>
        <v>1.053162E-2</v>
      </c>
      <c r="IU17" s="526">
        <f t="shared" si="228"/>
        <v>1.053162E-2</v>
      </c>
      <c r="IV17" s="884">
        <f t="shared" si="229"/>
        <v>0</v>
      </c>
      <c r="IW17" s="884">
        <f t="shared" si="230"/>
        <v>0</v>
      </c>
      <c r="IX17" s="474">
        <f t="shared" si="49"/>
        <v>0</v>
      </c>
      <c r="IY17" s="474">
        <f t="shared" si="50"/>
        <v>0</v>
      </c>
      <c r="IZ17" s="474">
        <f t="shared" si="51"/>
        <v>0</v>
      </c>
      <c r="JA17" s="474">
        <f t="shared" si="52"/>
        <v>0</v>
      </c>
      <c r="JB17" s="474">
        <f t="shared" si="53"/>
        <v>0</v>
      </c>
      <c r="JC17" s="884">
        <f t="shared" si="231"/>
        <v>0</v>
      </c>
      <c r="JD17" s="884">
        <f t="shared" si="232"/>
        <v>0</v>
      </c>
      <c r="JE17" s="474">
        <f t="shared" si="55"/>
        <v>0</v>
      </c>
      <c r="JF17" s="474">
        <f t="shared" si="56"/>
        <v>0</v>
      </c>
      <c r="JG17" s="474">
        <f t="shared" si="57"/>
        <v>0</v>
      </c>
      <c r="JH17" s="474">
        <f t="shared" si="58"/>
        <v>0</v>
      </c>
      <c r="JI17" s="480">
        <f t="shared" si="59"/>
        <v>0</v>
      </c>
      <c r="JJ17" s="884">
        <f t="shared" si="233"/>
        <v>8.5813200000000017E-3</v>
      </c>
      <c r="JK17" s="884">
        <f t="shared" si="234"/>
        <v>7.0210800000000007E-3</v>
      </c>
      <c r="JL17" s="474">
        <f t="shared" si="61"/>
        <v>1.4042160000000001E-2</v>
      </c>
      <c r="JM17" s="474">
        <f t="shared" si="62"/>
        <v>7.0210800000000007E-3</v>
      </c>
      <c r="JN17" s="474">
        <f t="shared" si="63"/>
        <v>0.65920140000000005</v>
      </c>
      <c r="JO17" s="474">
        <f t="shared" si="64"/>
        <v>7.8012000000000003E-4</v>
      </c>
      <c r="JP17" s="474">
        <f t="shared" si="65"/>
        <v>7.8012000000000003E-4</v>
      </c>
      <c r="JQ17" s="884">
        <f t="shared" si="235"/>
        <v>2.5743960000000003E-2</v>
      </c>
      <c r="JR17" s="884">
        <f t="shared" si="236"/>
        <v>3.198492E-2</v>
      </c>
      <c r="JS17" s="474">
        <f t="shared" si="67"/>
        <v>4.0566240000000003E-2</v>
      </c>
      <c r="JT17" s="474">
        <f t="shared" si="68"/>
        <v>3.198492E-2</v>
      </c>
      <c r="JU17" s="474">
        <f t="shared" si="69"/>
        <v>0.66076164000000004</v>
      </c>
      <c r="JV17" s="474">
        <f t="shared" si="70"/>
        <v>7.8012000000000003E-3</v>
      </c>
      <c r="JW17" s="134">
        <f t="shared" si="71"/>
        <v>7.8012000000000003E-3</v>
      </c>
      <c r="JX17" s="884">
        <f t="shared" si="237"/>
        <v>0</v>
      </c>
      <c r="JY17" s="1033">
        <f t="shared" si="238"/>
        <v>0</v>
      </c>
      <c r="JZ17" s="1033">
        <f t="shared" si="73"/>
        <v>0</v>
      </c>
      <c r="KA17" s="355">
        <f t="shared" si="74"/>
        <v>0</v>
      </c>
      <c r="KB17" s="355">
        <f t="shared" si="75"/>
        <v>0</v>
      </c>
      <c r="KC17" s="355">
        <f t="shared" si="76"/>
        <v>0</v>
      </c>
      <c r="KD17" s="355">
        <f t="shared" si="77"/>
        <v>0</v>
      </c>
      <c r="KE17" s="884">
        <f t="shared" si="239"/>
        <v>0</v>
      </c>
      <c r="KF17" s="884">
        <f t="shared" si="240"/>
        <v>0</v>
      </c>
      <c r="KG17" s="355">
        <f t="shared" si="79"/>
        <v>0</v>
      </c>
      <c r="KH17" s="355">
        <f t="shared" si="80"/>
        <v>0</v>
      </c>
      <c r="KI17" s="355">
        <f t="shared" si="81"/>
        <v>0</v>
      </c>
      <c r="KJ17" s="355">
        <f t="shared" si="82"/>
        <v>0</v>
      </c>
      <c r="KK17" s="526">
        <f t="shared" si="83"/>
        <v>0</v>
      </c>
      <c r="KL17" s="884">
        <f t="shared" si="241"/>
        <v>1.3763863025000003E-2</v>
      </c>
      <c r="KM17" s="884">
        <f t="shared" si="242"/>
        <v>1.1261342475000003E-2</v>
      </c>
      <c r="KN17" s="355">
        <f t="shared" si="85"/>
        <v>2.2522684950000007E-2</v>
      </c>
      <c r="KO17" s="355">
        <f t="shared" si="86"/>
        <v>1.1261342475000003E-2</v>
      </c>
      <c r="KP17" s="355">
        <f t="shared" si="87"/>
        <v>1.0573149323750002</v>
      </c>
      <c r="KQ17" s="355">
        <f t="shared" si="88"/>
        <v>1.2512602750000001E-3</v>
      </c>
      <c r="KR17" s="355">
        <f t="shared" si="89"/>
        <v>1.2512602750000001E-3</v>
      </c>
      <c r="KS17" s="884">
        <f t="shared" si="243"/>
        <v>0.20438981475000004</v>
      </c>
      <c r="KT17" s="884">
        <f t="shared" si="244"/>
        <v>0.25393886075</v>
      </c>
      <c r="KU17" s="355">
        <f t="shared" si="91"/>
        <v>0.32206879900000007</v>
      </c>
      <c r="KV17" s="355">
        <f t="shared" si="92"/>
        <v>0.25393886075</v>
      </c>
      <c r="KW17" s="355">
        <f t="shared" si="93"/>
        <v>5.2460052452500001</v>
      </c>
      <c r="KX17" s="355">
        <f t="shared" si="94"/>
        <v>6.193630750000001E-2</v>
      </c>
      <c r="KY17" s="480">
        <f t="shared" si="95"/>
        <v>6.193630750000001E-2</v>
      </c>
      <c r="KZ17" s="884">
        <f t="shared" si="245"/>
        <v>1.4302200000000001E-2</v>
      </c>
      <c r="LA17" s="884">
        <f t="shared" si="246"/>
        <v>1.1701800000000002E-2</v>
      </c>
      <c r="LB17" s="355">
        <f t="shared" si="97"/>
        <v>2.3403600000000004E-2</v>
      </c>
      <c r="LC17" s="355">
        <f t="shared" si="98"/>
        <v>1.1701800000000002E-2</v>
      </c>
      <c r="LD17" s="355">
        <f t="shared" si="99"/>
        <v>1.0986689999999999</v>
      </c>
      <c r="LE17" s="355">
        <f t="shared" si="100"/>
        <v>1.3002000000000001E-3</v>
      </c>
      <c r="LF17" s="355">
        <f t="shared" si="101"/>
        <v>1.3002000000000001E-3</v>
      </c>
      <c r="LG17" s="884">
        <f t="shared" si="247"/>
        <v>4.2906600000000003E-2</v>
      </c>
      <c r="LH17" s="884">
        <f t="shared" si="248"/>
        <v>5.3308199999999993E-2</v>
      </c>
      <c r="LI17" s="355">
        <f t="shared" si="103"/>
        <v>6.7610400000000001E-2</v>
      </c>
      <c r="LJ17" s="355">
        <f t="shared" si="104"/>
        <v>5.3308199999999993E-2</v>
      </c>
      <c r="LK17" s="355">
        <f t="shared" si="105"/>
        <v>1.1012694000000001</v>
      </c>
      <c r="LL17" s="355">
        <f t="shared" si="106"/>
        <v>1.3002E-2</v>
      </c>
      <c r="LM17" s="134">
        <f t="shared" si="107"/>
        <v>1.3002E-2</v>
      </c>
      <c r="LN17" s="884">
        <f t="shared" si="249"/>
        <v>3.9117709573913443E-4</v>
      </c>
      <c r="LO17" s="884">
        <f t="shared" si="250"/>
        <v>1.0668466247430937E-4</v>
      </c>
      <c r="LP17" s="355">
        <f t="shared" si="109"/>
        <v>1.8136392620632595E-3</v>
      </c>
      <c r="LQ17" s="474">
        <f t="shared" si="110"/>
        <v>2.9160474409644561E-3</v>
      </c>
      <c r="LR17" s="474">
        <f t="shared" si="111"/>
        <v>0.28449243326482504</v>
      </c>
      <c r="LS17" s="474">
        <f t="shared" si="112"/>
        <v>3.0938552117549716E-3</v>
      </c>
      <c r="LT17" s="474">
        <f t="shared" si="113"/>
        <v>3.5561554158103126E-4</v>
      </c>
      <c r="LU17" s="884">
        <f t="shared" si="251"/>
        <v>0.59286073542750006</v>
      </c>
      <c r="LV17" s="884">
        <f t="shared" si="252"/>
        <v>0.29643036771375003</v>
      </c>
      <c r="LW17" s="355">
        <f t="shared" si="115"/>
        <v>0.69167085799875005</v>
      </c>
      <c r="LX17" s="474">
        <f t="shared" si="116"/>
        <v>0.59286073542750006</v>
      </c>
      <c r="LY17" s="474">
        <f t="shared" si="117"/>
        <v>9.772321122296626</v>
      </c>
      <c r="LZ17" s="474">
        <f t="shared" si="118"/>
        <v>9.8810122571250006E-2</v>
      </c>
      <c r="MA17" s="485">
        <f t="shared" si="119"/>
        <v>9.8810122571250006E-2</v>
      </c>
      <c r="MB17" s="884">
        <f t="shared" si="253"/>
        <v>8.58132E-5</v>
      </c>
      <c r="MC17" s="884">
        <f t="shared" si="254"/>
        <v>2.3403599999999997E-5</v>
      </c>
      <c r="MD17" s="355">
        <f t="shared" si="121"/>
        <v>3.9786120000000002E-4</v>
      </c>
      <c r="ME17" s="474">
        <f t="shared" si="122"/>
        <v>6.3969839999999988E-4</v>
      </c>
      <c r="MF17" s="474">
        <f t="shared" si="123"/>
        <v>6.2409600000000003E-2</v>
      </c>
      <c r="MG17" s="474">
        <f t="shared" si="124"/>
        <v>6.7870439999999995E-4</v>
      </c>
      <c r="MH17" s="474">
        <f t="shared" si="125"/>
        <v>7.8011999999999998E-5</v>
      </c>
      <c r="MI17" s="884">
        <f t="shared" si="255"/>
        <v>4.6807199999999993E-3</v>
      </c>
      <c r="MJ17" s="884">
        <f t="shared" si="256"/>
        <v>2.3403599999999997E-3</v>
      </c>
      <c r="MK17" s="355">
        <f t="shared" si="127"/>
        <v>5.4608400000000007E-3</v>
      </c>
      <c r="ML17" s="474">
        <f t="shared" si="128"/>
        <v>4.6807199999999993E-3</v>
      </c>
      <c r="MM17" s="474">
        <f t="shared" si="129"/>
        <v>7.7153868E-2</v>
      </c>
      <c r="MN17" s="474">
        <f t="shared" si="130"/>
        <v>7.8012000000000003E-4</v>
      </c>
      <c r="MO17" s="485">
        <f t="shared" si="131"/>
        <v>7.8012000000000003E-4</v>
      </c>
      <c r="MP17" s="884">
        <f t="shared" si="257"/>
        <v>3.1464840000000003E-4</v>
      </c>
      <c r="MQ17" s="884">
        <f t="shared" si="258"/>
        <v>8.58132E-5</v>
      </c>
      <c r="MR17" s="355">
        <f t="shared" si="133"/>
        <v>1.4588244000000002E-3</v>
      </c>
      <c r="MS17" s="474">
        <f t="shared" si="134"/>
        <v>2.3455607999999998E-3</v>
      </c>
      <c r="MT17" s="474">
        <f t="shared" si="135"/>
        <v>0.22883520000000002</v>
      </c>
      <c r="MU17" s="474">
        <f t="shared" si="136"/>
        <v>2.4885827999999999E-3</v>
      </c>
      <c r="MV17" s="474">
        <f t="shared" si="137"/>
        <v>2.86044E-4</v>
      </c>
      <c r="MW17" s="884">
        <f t="shared" si="259"/>
        <v>6.8650559999999999E-2</v>
      </c>
      <c r="MX17" s="884">
        <f t="shared" si="260"/>
        <v>3.432528E-2</v>
      </c>
      <c r="MY17" s="474">
        <f t="shared" si="139"/>
        <v>8.0092320000000009E-2</v>
      </c>
      <c r="MZ17" s="474">
        <f t="shared" si="140"/>
        <v>6.8650559999999999E-2</v>
      </c>
      <c r="NA17" s="474">
        <f t="shared" si="141"/>
        <v>1.1315900640000003</v>
      </c>
      <c r="NB17" s="474">
        <f t="shared" si="142"/>
        <v>1.144176E-2</v>
      </c>
      <c r="NC17" s="134">
        <f t="shared" si="143"/>
        <v>1.144176E-2</v>
      </c>
    </row>
    <row r="18" spans="1:367" x14ac:dyDescent="0.25">
      <c r="A18" s="18">
        <v>1963</v>
      </c>
      <c r="B18" s="1271">
        <v>159</v>
      </c>
      <c r="C18" s="1224"/>
      <c r="D18" s="1224">
        <v>0</v>
      </c>
      <c r="E18" s="1272"/>
      <c r="F18" s="1224">
        <f t="shared" si="144"/>
        <v>156.61500000000001</v>
      </c>
      <c r="G18" s="1224"/>
      <c r="H18" s="1224">
        <f t="shared" si="145"/>
        <v>0</v>
      </c>
      <c r="I18" s="1224"/>
      <c r="J18" s="1082">
        <v>0</v>
      </c>
      <c r="K18" s="1082">
        <f t="shared" si="0"/>
        <v>0</v>
      </c>
      <c r="L18" s="1224">
        <f t="shared" si="1"/>
        <v>156.61500000000001</v>
      </c>
      <c r="M18" s="1228"/>
      <c r="N18" s="193">
        <v>8.0999999999999996E-3</v>
      </c>
      <c r="O18" s="47">
        <v>0</v>
      </c>
      <c r="P18" s="47">
        <v>6.0000000000000001E-3</v>
      </c>
      <c r="Q18" s="192">
        <v>0</v>
      </c>
      <c r="R18" s="47">
        <v>0</v>
      </c>
      <c r="S18" s="47">
        <f t="shared" si="146"/>
        <v>5.4000000000000003E-3</v>
      </c>
      <c r="T18" s="47">
        <v>0.01</v>
      </c>
      <c r="U18" s="47">
        <v>1.8E-3</v>
      </c>
      <c r="V18" s="117">
        <v>4.0000000000000003E-5</v>
      </c>
      <c r="W18" s="47">
        <v>5.9999999999999995E-4</v>
      </c>
      <c r="X18" s="52">
        <v>1.0999999999999999E-2</v>
      </c>
      <c r="Y18" s="52">
        <v>2.0199999999999999E-2</v>
      </c>
      <c r="Z18" s="111">
        <v>6.3E-2</v>
      </c>
      <c r="AA18" s="52">
        <f t="shared" si="147"/>
        <v>0.1</v>
      </c>
      <c r="AB18" s="52">
        <f t="shared" si="148"/>
        <v>0</v>
      </c>
      <c r="AC18" s="52">
        <f t="shared" si="149"/>
        <v>0.9</v>
      </c>
      <c r="AD18" s="475">
        <f t="shared" si="150"/>
        <v>1.2685815</v>
      </c>
      <c r="AE18" s="474">
        <f t="shared" si="151"/>
        <v>1.2685815</v>
      </c>
      <c r="AF18" s="474">
        <f t="shared" si="152"/>
        <v>0</v>
      </c>
      <c r="AG18" s="474">
        <f t="shared" si="151"/>
        <v>0</v>
      </c>
      <c r="AH18" s="474">
        <f t="shared" si="153"/>
        <v>0.93969000000000003</v>
      </c>
      <c r="AI18" s="474">
        <f t="shared" ref="AI18" si="309">AH18</f>
        <v>0.93969000000000003</v>
      </c>
      <c r="AJ18" s="508"/>
      <c r="AK18" s="508"/>
      <c r="AL18" s="508"/>
      <c r="AM18" s="508"/>
      <c r="AN18" s="508"/>
      <c r="AO18" s="572"/>
      <c r="AP18" s="481">
        <f t="shared" si="155"/>
        <v>1.2685815</v>
      </c>
      <c r="AQ18" s="474">
        <f t="shared" ref="AQ18" si="310">AP18</f>
        <v>1.2685815</v>
      </c>
      <c r="AR18" s="474">
        <f t="shared" si="157"/>
        <v>0</v>
      </c>
      <c r="AS18" s="474">
        <f t="shared" ref="AS18" si="311">AR18</f>
        <v>0</v>
      </c>
      <c r="AT18" s="474">
        <f t="shared" si="159"/>
        <v>0.93969000000000003</v>
      </c>
      <c r="AU18" s="474">
        <f t="shared" ref="AU18" si="312">AT18</f>
        <v>0.93969000000000003</v>
      </c>
      <c r="AV18" s="475">
        <f t="shared" si="2"/>
        <v>0</v>
      </c>
      <c r="AW18" s="474">
        <f t="shared" ref="AW18" si="313">AV18</f>
        <v>0</v>
      </c>
      <c r="AX18" s="474">
        <f t="shared" si="3"/>
        <v>0.84572100000000006</v>
      </c>
      <c r="AY18" s="474">
        <f t="shared" ref="AY18" si="314">AX18</f>
        <v>0.84572100000000006</v>
      </c>
      <c r="AZ18" s="474">
        <f t="shared" si="4"/>
        <v>1.5661500000000002</v>
      </c>
      <c r="BA18" s="474">
        <f t="shared" ref="BA18" si="315">AZ18</f>
        <v>1.5661500000000002</v>
      </c>
      <c r="BB18" s="481"/>
      <c r="BC18" s="474"/>
      <c r="BD18" s="474"/>
      <c r="BE18" s="474"/>
      <c r="BF18" s="474"/>
      <c r="BG18" s="474"/>
      <c r="BH18" s="481">
        <f t="shared" si="5"/>
        <v>0</v>
      </c>
      <c r="BI18" s="474">
        <f t="shared" ref="BI18" si="316">BH18</f>
        <v>0</v>
      </c>
      <c r="BJ18" s="474">
        <f t="shared" si="6"/>
        <v>0.84572100000000006</v>
      </c>
      <c r="BK18" s="474">
        <f t="shared" ref="BK18" si="317">BJ18</f>
        <v>0.84572100000000006</v>
      </c>
      <c r="BL18" s="474">
        <f t="shared" si="7"/>
        <v>1.5661500000000002</v>
      </c>
      <c r="BM18" s="474">
        <f t="shared" ref="BM18" si="318">BL18</f>
        <v>1.5661500000000002</v>
      </c>
      <c r="BN18" s="475">
        <f t="shared" si="8"/>
        <v>6.2646000000000012E-3</v>
      </c>
      <c r="BO18" s="474">
        <f t="shared" ref="BO18" si="319">BN18</f>
        <v>6.2646000000000012E-3</v>
      </c>
      <c r="BP18" s="474">
        <f t="shared" si="9"/>
        <v>9.3968999999999997E-2</v>
      </c>
      <c r="BQ18" s="474">
        <f t="shared" ref="BQ18" si="320">BP18</f>
        <v>9.3968999999999997E-2</v>
      </c>
      <c r="BR18" s="474">
        <f t="shared" si="10"/>
        <v>1.7227650000000001</v>
      </c>
      <c r="BS18" s="474">
        <f t="shared" ref="BS18" si="321">BR18</f>
        <v>1.7227650000000001</v>
      </c>
      <c r="BT18" s="481"/>
      <c r="BU18" s="474"/>
      <c r="BV18" s="474"/>
      <c r="BW18" s="474"/>
      <c r="BX18" s="474"/>
      <c r="BY18" s="474"/>
      <c r="BZ18" s="481">
        <f t="shared" si="11"/>
        <v>6.2646000000000012E-3</v>
      </c>
      <c r="CA18" s="474">
        <f t="shared" ref="CA18" si="322">BZ18</f>
        <v>6.2646000000000012E-3</v>
      </c>
      <c r="CB18" s="474">
        <f t="shared" si="12"/>
        <v>9.3968999999999997E-2</v>
      </c>
      <c r="CC18" s="474">
        <f t="shared" ref="CC18" si="323">CB18</f>
        <v>9.3968999999999997E-2</v>
      </c>
      <c r="CD18" s="474">
        <f t="shared" si="13"/>
        <v>1.7227650000000001</v>
      </c>
      <c r="CE18" s="526">
        <f t="shared" ref="CE18" si="324">CD18</f>
        <v>1.7227650000000001</v>
      </c>
      <c r="CF18" s="355">
        <f t="shared" si="173"/>
        <v>0</v>
      </c>
      <c r="CG18" s="615">
        <f t="shared" si="174"/>
        <v>0</v>
      </c>
      <c r="CH18" s="355">
        <f t="shared" si="175"/>
        <v>0</v>
      </c>
      <c r="CI18" s="615">
        <f t="shared" si="14"/>
        <v>0</v>
      </c>
      <c r="CJ18" s="615">
        <f t="shared" si="176"/>
        <v>0</v>
      </c>
      <c r="CK18" s="615">
        <f t="shared" si="15"/>
        <v>0</v>
      </c>
      <c r="CL18" s="122"/>
      <c r="CM18" s="1235">
        <f t="shared" si="16"/>
        <v>146.748255</v>
      </c>
      <c r="CN18" s="1231"/>
      <c r="CO18" s="1230"/>
      <c r="CP18" s="1231"/>
      <c r="CQ18" s="1230">
        <f t="shared" si="177"/>
        <v>146.748255</v>
      </c>
      <c r="CR18" s="1232"/>
      <c r="CS18" s="30">
        <v>0.45</v>
      </c>
      <c r="CT18" s="31">
        <f t="shared" si="178"/>
        <v>0.55000000000000004</v>
      </c>
      <c r="CU18" s="31"/>
      <c r="CV18" s="32"/>
      <c r="CW18" s="1233">
        <f t="shared" si="179"/>
        <v>62.734879012500002</v>
      </c>
      <c r="CX18" s="1234"/>
      <c r="CY18" s="1234">
        <f t="shared" si="180"/>
        <v>76.675963237500014</v>
      </c>
      <c r="CZ18" s="1231"/>
      <c r="DA18" s="369"/>
      <c r="DB18" s="369"/>
      <c r="DC18" s="369"/>
      <c r="DD18" s="373"/>
      <c r="DE18" s="1234">
        <f t="shared" si="17"/>
        <v>62.734879012500002</v>
      </c>
      <c r="DF18" s="1234"/>
      <c r="DG18" s="369">
        <f>CY18+DA18</f>
        <v>76.675963237500014</v>
      </c>
      <c r="DH18" s="372">
        <f t="shared" si="182"/>
        <v>76.675963237500014</v>
      </c>
      <c r="DJ18" s="493">
        <v>0.05</v>
      </c>
      <c r="DK18" s="379"/>
      <c r="DL18" s="1105">
        <f t="shared" si="18"/>
        <v>7.3374127500000004</v>
      </c>
      <c r="DM18" s="1105">
        <f t="shared" si="19"/>
        <v>7.3374127500000004</v>
      </c>
      <c r="DN18" s="369"/>
      <c r="DO18" s="372"/>
      <c r="DP18" s="30">
        <v>1</v>
      </c>
      <c r="DQ18" s="31">
        <f t="shared" si="183"/>
        <v>0.1</v>
      </c>
      <c r="DR18" s="31">
        <f t="shared" si="184"/>
        <v>1</v>
      </c>
      <c r="DS18" s="680">
        <f t="shared" si="185"/>
        <v>0.1</v>
      </c>
      <c r="DT18" s="77">
        <f t="shared" si="186"/>
        <v>1</v>
      </c>
      <c r="DU18" s="31">
        <v>0</v>
      </c>
      <c r="DV18" s="31">
        <v>1</v>
      </c>
      <c r="DW18" s="31">
        <v>0</v>
      </c>
      <c r="DX18" s="31">
        <v>0</v>
      </c>
      <c r="DY18" s="31">
        <v>1</v>
      </c>
      <c r="DZ18" s="31">
        <v>0</v>
      </c>
      <c r="EA18" s="383">
        <f t="shared" si="187"/>
        <v>0</v>
      </c>
      <c r="EB18" s="355">
        <f t="shared" si="188"/>
        <v>0</v>
      </c>
      <c r="EC18" s="355">
        <f t="shared" si="189"/>
        <v>0.67144248750000013</v>
      </c>
      <c r="ED18" s="355">
        <f t="shared" si="190"/>
        <v>6.7144248750000006</v>
      </c>
      <c r="EE18" s="355">
        <f t="shared" si="191"/>
        <v>0</v>
      </c>
      <c r="EF18" s="355">
        <f t="shared" si="192"/>
        <v>0</v>
      </c>
      <c r="EG18" s="366"/>
      <c r="EH18" s="355"/>
      <c r="EI18" s="355"/>
      <c r="EJ18" s="355"/>
      <c r="EK18" s="355"/>
      <c r="EL18" s="356"/>
      <c r="EM18" s="355">
        <f t="shared" si="193"/>
        <v>0.67144248750000013</v>
      </c>
      <c r="EN18" s="134">
        <f t="shared" si="194"/>
        <v>6.7144248750000006</v>
      </c>
      <c r="EP18" s="1171">
        <f t="shared" si="20"/>
        <v>6.2646000000000012E-3</v>
      </c>
      <c r="EQ18" s="1172"/>
      <c r="ER18" s="1172">
        <f t="shared" si="21"/>
        <v>9.3968999999999997E-2</v>
      </c>
      <c r="ES18" s="1172"/>
      <c r="ET18" s="1172">
        <f t="shared" si="22"/>
        <v>1.7227650000000001</v>
      </c>
      <c r="EU18" s="1172"/>
      <c r="EV18" s="366"/>
      <c r="EW18" s="355"/>
      <c r="EX18" s="355"/>
      <c r="EY18" s="355"/>
      <c r="EZ18" s="1172"/>
      <c r="FA18" s="1173"/>
      <c r="FB18" s="368">
        <f t="shared" si="195"/>
        <v>62.734879012500002</v>
      </c>
      <c r="FC18" s="369">
        <f t="shared" si="196"/>
        <v>62.734879012500002</v>
      </c>
      <c r="FD18" s="369"/>
      <c r="FE18" s="61"/>
      <c r="FF18" s="368">
        <f t="shared" si="197"/>
        <v>76.675963237500014</v>
      </c>
      <c r="FG18" s="369">
        <f t="shared" si="24"/>
        <v>76.675963237500014</v>
      </c>
      <c r="FH18" s="369"/>
      <c r="FI18" s="369"/>
      <c r="FJ18" s="30">
        <v>1</v>
      </c>
      <c r="FK18" s="31">
        <v>0.2</v>
      </c>
      <c r="FL18" s="501">
        <v>0.8</v>
      </c>
      <c r="FM18" s="31">
        <f t="shared" si="198"/>
        <v>0.1</v>
      </c>
      <c r="FN18" s="501">
        <f t="shared" si="199"/>
        <v>1</v>
      </c>
      <c r="FO18" s="31">
        <f t="shared" si="200"/>
        <v>0.1</v>
      </c>
      <c r="FP18" s="31">
        <f t="shared" si="201"/>
        <v>1</v>
      </c>
      <c r="FQ18" s="31">
        <v>1</v>
      </c>
      <c r="FR18" s="31">
        <v>0</v>
      </c>
      <c r="FS18" s="89">
        <f t="shared" si="202"/>
        <v>1E-3</v>
      </c>
      <c r="FT18" s="31">
        <f t="shared" si="203"/>
        <v>0.05</v>
      </c>
      <c r="FU18" s="30">
        <v>0.05</v>
      </c>
      <c r="FV18" s="32">
        <f t="shared" si="25"/>
        <v>2.4224999999999997E-2</v>
      </c>
      <c r="FW18" s="31">
        <v>0.1</v>
      </c>
      <c r="FX18" s="77">
        <f t="shared" si="26"/>
        <v>9.0000000000000011E-2</v>
      </c>
      <c r="FY18" s="30"/>
      <c r="FZ18" s="32"/>
      <c r="GA18" s="31"/>
      <c r="GB18" s="77"/>
      <c r="GC18" s="378">
        <f t="shared" si="27"/>
        <v>6.2646000000000012E-3</v>
      </c>
      <c r="GD18" s="379">
        <f t="shared" si="204"/>
        <v>6.2646000000000012E-3</v>
      </c>
      <c r="GE18" s="379">
        <f t="shared" si="28"/>
        <v>9.3968999999999997E-2</v>
      </c>
      <c r="GF18" s="379">
        <f t="shared" si="205"/>
        <v>9.3968999999999997E-2</v>
      </c>
      <c r="GG18" s="379">
        <f t="shared" si="206"/>
        <v>0.34455300000000005</v>
      </c>
      <c r="GH18" s="218">
        <f t="shared" si="207"/>
        <v>1.3782120000000002</v>
      </c>
      <c r="GI18" s="379"/>
      <c r="GJ18" s="379"/>
      <c r="GK18" s="379"/>
      <c r="GL18" s="379"/>
      <c r="GM18" s="379"/>
      <c r="GN18" s="218"/>
      <c r="GO18" s="379">
        <f t="shared" si="208"/>
        <v>0.44478660000000003</v>
      </c>
      <c r="GP18" s="515">
        <f t="shared" si="209"/>
        <v>1.4784456000000001</v>
      </c>
      <c r="GQ18" s="379">
        <f t="shared" si="210"/>
        <v>0.42611334932657818</v>
      </c>
      <c r="GR18" s="379">
        <f t="shared" si="211"/>
        <v>10.907583209437501</v>
      </c>
      <c r="GS18" s="355">
        <f>1/10*($FF18*$FQ18*$FM18*$FS18+$FF17*$FQ17*$FM17*$FS17+$FF16*$FQ16*$FM16*$FS16+$FF15*$FQ15*$FM15*$FS15+$FF14*$FQ14*$FM14*$FS14+$FF13*$FQ13*$FM13*$FS13)</f>
        <v>2.676425131875001E-3</v>
      </c>
      <c r="GT18" s="355">
        <f>1/10*($FG18*$FQ18*$FN18*$FT18+$FG17*$FQ17*$FN17*$FT17+$FG16*$FQ16*$FN16*$FT16+$FG15*$FQ15*$FN15*$FT15+$FG14*$FQ14*$FN14*$FT14+$FG13*$FQ13*$FN13*$FT13)</f>
        <v>1.3382125659374999</v>
      </c>
      <c r="GU18" s="355">
        <f>1/10*($FF18*$FR18*$FM18*$FS18+$FF17*$FR17*$FM17*$FS17+$FF16*$FR16*$FM16*$FS16+$FF15*$FR15*$FM15*$FS15+$FF14*$FR14*$FM14*$FS14+$FF13*$FR13*$FM13*$FS13)</f>
        <v>0</v>
      </c>
      <c r="GV18" s="356">
        <f>1/10*($FG18*$FR18*$FN18*$FT18+$FG17*$FR17*$FN17*$FT17+$FG16*$FR16*$FN16*$FT16+$FG15*$FR15*$FN15*$FT15+$FG14*$FR14*$FN14*$FT14+$FG13*$FR13*$FN13*$FT13)</f>
        <v>0</v>
      </c>
      <c r="GW18" s="355"/>
      <c r="GX18" s="355"/>
      <c r="GY18" s="355"/>
      <c r="GZ18" s="355"/>
      <c r="HA18" s="355"/>
      <c r="HB18" s="356"/>
      <c r="HC18" s="379">
        <f t="shared" si="212"/>
        <v>0.42878977445845318</v>
      </c>
      <c r="HD18" s="38">
        <f t="shared" si="213"/>
        <v>12.245795775375001</v>
      </c>
      <c r="HF18" s="383">
        <f t="shared" si="29"/>
        <v>1.2685815</v>
      </c>
      <c r="HG18" s="355">
        <f t="shared" si="30"/>
        <v>1.2685815</v>
      </c>
      <c r="HH18" s="355">
        <f t="shared" si="31"/>
        <v>0</v>
      </c>
      <c r="HI18" s="355">
        <f t="shared" si="32"/>
        <v>0</v>
      </c>
      <c r="HJ18" s="355">
        <f t="shared" si="33"/>
        <v>0.93969000000000003</v>
      </c>
      <c r="HK18" s="356">
        <f t="shared" si="34"/>
        <v>0.93969000000000003</v>
      </c>
      <c r="HL18" s="355">
        <f t="shared" si="35"/>
        <v>0</v>
      </c>
      <c r="HM18" s="355">
        <f t="shared" si="36"/>
        <v>0</v>
      </c>
      <c r="HN18" s="355">
        <f t="shared" si="37"/>
        <v>1.5171634875000002</v>
      </c>
      <c r="HO18" s="355">
        <f t="shared" si="38"/>
        <v>7.5601458750000008</v>
      </c>
      <c r="HP18" s="355">
        <f t="shared" si="39"/>
        <v>1.5661500000000002</v>
      </c>
      <c r="HQ18" s="524">
        <f t="shared" si="40"/>
        <v>1.5661500000000002</v>
      </c>
      <c r="HR18" s="615">
        <f t="shared" si="214"/>
        <v>0.43505437445845319</v>
      </c>
      <c r="HS18" s="615">
        <f t="shared" si="41"/>
        <v>12.252060375375001</v>
      </c>
      <c r="HT18" s="615">
        <f t="shared" si="42"/>
        <v>9.3968999999999997E-2</v>
      </c>
      <c r="HU18" s="615">
        <f t="shared" si="43"/>
        <v>9.3968999999999997E-2</v>
      </c>
      <c r="HV18" s="615">
        <f t="shared" si="44"/>
        <v>0.34455300000000005</v>
      </c>
      <c r="HW18" s="615">
        <f t="shared" si="45"/>
        <v>1.3782120000000002</v>
      </c>
      <c r="HZ18" s="542"/>
      <c r="IA18" s="543"/>
      <c r="IB18" s="542"/>
      <c r="IC18" s="542"/>
      <c r="ID18" s="542"/>
      <c r="IE18" s="543"/>
      <c r="IF18" s="543"/>
      <c r="IH18" s="884">
        <f t="shared" si="215"/>
        <v>1.3954396500000002E-2</v>
      </c>
      <c r="II18" s="884">
        <f t="shared" si="216"/>
        <v>1.1417233500000002E-2</v>
      </c>
      <c r="IJ18" s="884">
        <f t="shared" si="217"/>
        <v>2.2834467000000004E-2</v>
      </c>
      <c r="IK18" s="474">
        <f t="shared" si="218"/>
        <v>1.1417233500000002E-2</v>
      </c>
      <c r="IL18" s="474">
        <f t="shared" si="219"/>
        <v>1.0719513675000001</v>
      </c>
      <c r="IM18" s="474">
        <f t="shared" si="220"/>
        <v>1.2685815000000001E-3</v>
      </c>
      <c r="IN18" s="474">
        <f t="shared" si="221"/>
        <v>1.2685815000000001E-3</v>
      </c>
      <c r="IO18" s="884">
        <f t="shared" si="222"/>
        <v>4.1863189500000002E-2</v>
      </c>
      <c r="IP18" s="884">
        <f t="shared" si="223"/>
        <v>5.2011841499999996E-2</v>
      </c>
      <c r="IQ18" s="474">
        <f t="shared" si="224"/>
        <v>6.596623800000001E-2</v>
      </c>
      <c r="IR18" s="474">
        <f t="shared" si="225"/>
        <v>5.2011841499999996E-2</v>
      </c>
      <c r="IS18" s="474">
        <f t="shared" si="226"/>
        <v>1.0744885305</v>
      </c>
      <c r="IT18" s="474">
        <f t="shared" si="227"/>
        <v>1.2685815000000001E-2</v>
      </c>
      <c r="IU18" s="526">
        <f t="shared" si="228"/>
        <v>1.2685815000000001E-2</v>
      </c>
      <c r="IV18" s="884">
        <f t="shared" si="229"/>
        <v>0</v>
      </c>
      <c r="IW18" s="884">
        <f t="shared" si="230"/>
        <v>0</v>
      </c>
      <c r="IX18" s="474">
        <f t="shared" si="49"/>
        <v>0</v>
      </c>
      <c r="IY18" s="474">
        <f t="shared" si="50"/>
        <v>0</v>
      </c>
      <c r="IZ18" s="474">
        <f t="shared" si="51"/>
        <v>0</v>
      </c>
      <c r="JA18" s="474">
        <f t="shared" si="52"/>
        <v>0</v>
      </c>
      <c r="JB18" s="474">
        <f t="shared" si="53"/>
        <v>0</v>
      </c>
      <c r="JC18" s="884">
        <f t="shared" si="231"/>
        <v>0</v>
      </c>
      <c r="JD18" s="884">
        <f t="shared" si="232"/>
        <v>0</v>
      </c>
      <c r="JE18" s="474">
        <f t="shared" si="55"/>
        <v>0</v>
      </c>
      <c r="JF18" s="474">
        <f t="shared" si="56"/>
        <v>0</v>
      </c>
      <c r="JG18" s="474">
        <f t="shared" si="57"/>
        <v>0</v>
      </c>
      <c r="JH18" s="474">
        <f t="shared" si="58"/>
        <v>0</v>
      </c>
      <c r="JI18" s="480">
        <f t="shared" si="59"/>
        <v>0</v>
      </c>
      <c r="JJ18" s="884">
        <f t="shared" si="233"/>
        <v>1.0336590000000001E-2</v>
      </c>
      <c r="JK18" s="884">
        <f t="shared" si="234"/>
        <v>8.4572100000000015E-3</v>
      </c>
      <c r="JL18" s="474">
        <f t="shared" si="61"/>
        <v>1.6914420000000003E-2</v>
      </c>
      <c r="JM18" s="474">
        <f t="shared" si="62"/>
        <v>8.4572100000000015E-3</v>
      </c>
      <c r="JN18" s="474">
        <f t="shared" si="63"/>
        <v>0.79403805000000005</v>
      </c>
      <c r="JO18" s="474">
        <f t="shared" si="64"/>
        <v>9.3969000000000008E-4</v>
      </c>
      <c r="JP18" s="474">
        <f t="shared" si="65"/>
        <v>9.3969000000000008E-4</v>
      </c>
      <c r="JQ18" s="884">
        <f t="shared" si="235"/>
        <v>3.1009770000000002E-2</v>
      </c>
      <c r="JR18" s="884">
        <f t="shared" si="236"/>
        <v>3.8527289999999999E-2</v>
      </c>
      <c r="JS18" s="474">
        <f t="shared" si="67"/>
        <v>4.8863880000000005E-2</v>
      </c>
      <c r="JT18" s="474">
        <f t="shared" si="68"/>
        <v>3.8527289999999999E-2</v>
      </c>
      <c r="JU18" s="474">
        <f t="shared" si="69"/>
        <v>0.79591743000000004</v>
      </c>
      <c r="JV18" s="474">
        <f t="shared" si="70"/>
        <v>9.3968999999999997E-3</v>
      </c>
      <c r="JW18" s="134">
        <f t="shared" si="71"/>
        <v>9.3968999999999997E-3</v>
      </c>
      <c r="JX18" s="884">
        <f t="shared" si="237"/>
        <v>0</v>
      </c>
      <c r="JY18" s="1033">
        <f t="shared" si="238"/>
        <v>0</v>
      </c>
      <c r="JZ18" s="1033">
        <f t="shared" si="73"/>
        <v>0</v>
      </c>
      <c r="KA18" s="355">
        <f t="shared" si="74"/>
        <v>0</v>
      </c>
      <c r="KB18" s="355">
        <f t="shared" si="75"/>
        <v>0</v>
      </c>
      <c r="KC18" s="355">
        <f t="shared" si="76"/>
        <v>0</v>
      </c>
      <c r="KD18" s="355">
        <f t="shared" si="77"/>
        <v>0</v>
      </c>
      <c r="KE18" s="884">
        <f t="shared" si="239"/>
        <v>0</v>
      </c>
      <c r="KF18" s="884">
        <f t="shared" si="240"/>
        <v>0</v>
      </c>
      <c r="KG18" s="355">
        <f t="shared" si="79"/>
        <v>0</v>
      </c>
      <c r="KH18" s="355">
        <f t="shared" si="80"/>
        <v>0</v>
      </c>
      <c r="KI18" s="355">
        <f t="shared" si="81"/>
        <v>0</v>
      </c>
      <c r="KJ18" s="355">
        <f t="shared" si="82"/>
        <v>0</v>
      </c>
      <c r="KK18" s="526">
        <f t="shared" si="83"/>
        <v>0</v>
      </c>
      <c r="KL18" s="884">
        <f t="shared" si="241"/>
        <v>1.6688798362500003E-2</v>
      </c>
      <c r="KM18" s="884">
        <f t="shared" si="242"/>
        <v>1.3654471387500004E-2</v>
      </c>
      <c r="KN18" s="355">
        <f t="shared" si="85"/>
        <v>2.7308942775000008E-2</v>
      </c>
      <c r="KO18" s="355">
        <f t="shared" si="86"/>
        <v>1.3654471387500004E-2</v>
      </c>
      <c r="KP18" s="355">
        <f t="shared" si="87"/>
        <v>1.2820031469375002</v>
      </c>
      <c r="KQ18" s="355">
        <f t="shared" si="88"/>
        <v>1.5171634875000002E-3</v>
      </c>
      <c r="KR18" s="355">
        <f t="shared" si="89"/>
        <v>1.5171634875000002E-3</v>
      </c>
      <c r="KS18" s="884">
        <f t="shared" si="243"/>
        <v>0.24948481387500004</v>
      </c>
      <c r="KT18" s="884">
        <f t="shared" si="244"/>
        <v>0.30996598087499999</v>
      </c>
      <c r="KU18" s="355">
        <f t="shared" si="91"/>
        <v>0.3931275855000001</v>
      </c>
      <c r="KV18" s="355">
        <f t="shared" si="92"/>
        <v>0.30996598087499999</v>
      </c>
      <c r="KW18" s="355">
        <f t="shared" si="93"/>
        <v>6.4034435561250005</v>
      </c>
      <c r="KX18" s="355">
        <f t="shared" si="94"/>
        <v>7.5601458750000003E-2</v>
      </c>
      <c r="KY18" s="480">
        <f t="shared" si="95"/>
        <v>7.5601458750000003E-2</v>
      </c>
      <c r="KZ18" s="884">
        <f t="shared" si="245"/>
        <v>1.7227650000000004E-2</v>
      </c>
      <c r="LA18" s="884">
        <f t="shared" si="246"/>
        <v>1.4095350000000003E-2</v>
      </c>
      <c r="LB18" s="355">
        <f t="shared" si="97"/>
        <v>2.8190700000000006E-2</v>
      </c>
      <c r="LC18" s="355">
        <f t="shared" si="98"/>
        <v>1.4095350000000003E-2</v>
      </c>
      <c r="LD18" s="355">
        <f t="shared" si="99"/>
        <v>1.3233967500000001</v>
      </c>
      <c r="LE18" s="355">
        <f t="shared" si="100"/>
        <v>1.5661500000000001E-3</v>
      </c>
      <c r="LF18" s="355">
        <f t="shared" si="101"/>
        <v>1.5661500000000001E-3</v>
      </c>
      <c r="LG18" s="884">
        <f t="shared" si="247"/>
        <v>5.1682950000000005E-2</v>
      </c>
      <c r="LH18" s="884">
        <f t="shared" si="248"/>
        <v>6.4212149999999996E-2</v>
      </c>
      <c r="LI18" s="355">
        <f t="shared" si="103"/>
        <v>8.1439800000000021E-2</v>
      </c>
      <c r="LJ18" s="355">
        <f t="shared" si="104"/>
        <v>6.4212149999999996E-2</v>
      </c>
      <c r="LK18" s="355">
        <f t="shared" si="105"/>
        <v>1.32652905</v>
      </c>
      <c r="LL18" s="355">
        <f t="shared" si="106"/>
        <v>1.5661500000000002E-2</v>
      </c>
      <c r="LM18" s="134">
        <f t="shared" si="107"/>
        <v>1.5661500000000002E-2</v>
      </c>
      <c r="LN18" s="884">
        <f t="shared" si="249"/>
        <v>4.7855981190429855E-4</v>
      </c>
      <c r="LO18" s="884">
        <f t="shared" si="250"/>
        <v>1.3051631233753594E-4</v>
      </c>
      <c r="LP18" s="355">
        <f t="shared" si="109"/>
        <v>2.2187773097381114E-3</v>
      </c>
      <c r="LQ18" s="474">
        <f t="shared" si="110"/>
        <v>3.5674458705593159E-3</v>
      </c>
      <c r="LR18" s="474">
        <f t="shared" si="111"/>
        <v>0.34804349956676256</v>
      </c>
      <c r="LS18" s="474">
        <f t="shared" si="112"/>
        <v>3.7849730577885423E-3</v>
      </c>
      <c r="LT18" s="474">
        <f t="shared" si="113"/>
        <v>4.3505437445845322E-4</v>
      </c>
      <c r="LU18" s="884">
        <f t="shared" si="251"/>
        <v>0.73512362252249996</v>
      </c>
      <c r="LV18" s="884">
        <f t="shared" si="252"/>
        <v>0.36756181126124998</v>
      </c>
      <c r="LW18" s="355">
        <f t="shared" si="115"/>
        <v>0.85764422627625014</v>
      </c>
      <c r="LX18" s="474">
        <f t="shared" si="116"/>
        <v>0.73512362252249996</v>
      </c>
      <c r="LY18" s="474">
        <f t="shared" si="117"/>
        <v>12.117287711245877</v>
      </c>
      <c r="LZ18" s="474">
        <f t="shared" si="118"/>
        <v>0.12252060375375001</v>
      </c>
      <c r="MA18" s="485">
        <f t="shared" si="119"/>
        <v>0.12252060375375001</v>
      </c>
      <c r="MB18" s="884">
        <f t="shared" si="253"/>
        <v>1.0336590000000001E-4</v>
      </c>
      <c r="MC18" s="884">
        <f t="shared" si="254"/>
        <v>2.8190699999999998E-5</v>
      </c>
      <c r="MD18" s="355">
        <f t="shared" si="121"/>
        <v>4.7924190000000002E-4</v>
      </c>
      <c r="ME18" s="474">
        <f t="shared" si="122"/>
        <v>7.7054579999999992E-4</v>
      </c>
      <c r="MF18" s="474">
        <f t="shared" si="123"/>
        <v>7.5175199999999998E-2</v>
      </c>
      <c r="MG18" s="474">
        <f t="shared" si="124"/>
        <v>8.175302999999999E-4</v>
      </c>
      <c r="MH18" s="474">
        <f t="shared" si="125"/>
        <v>9.3968999999999994E-5</v>
      </c>
      <c r="MI18" s="884">
        <f t="shared" si="255"/>
        <v>5.6381399999999998E-3</v>
      </c>
      <c r="MJ18" s="884">
        <f t="shared" si="256"/>
        <v>2.8190699999999999E-3</v>
      </c>
      <c r="MK18" s="355">
        <f t="shared" si="127"/>
        <v>6.5778300000000007E-3</v>
      </c>
      <c r="ML18" s="474">
        <f t="shared" si="128"/>
        <v>5.6381399999999998E-3</v>
      </c>
      <c r="MM18" s="474">
        <f t="shared" si="129"/>
        <v>9.2935341000000005E-2</v>
      </c>
      <c r="MN18" s="474">
        <f t="shared" si="130"/>
        <v>9.3968999999999997E-4</v>
      </c>
      <c r="MO18" s="485">
        <f t="shared" si="131"/>
        <v>9.3968999999999997E-4</v>
      </c>
      <c r="MP18" s="884">
        <f t="shared" si="257"/>
        <v>3.7900830000000006E-4</v>
      </c>
      <c r="MQ18" s="884">
        <f t="shared" si="258"/>
        <v>1.0336590000000001E-4</v>
      </c>
      <c r="MR18" s="355">
        <f t="shared" si="133"/>
        <v>1.7572203000000004E-3</v>
      </c>
      <c r="MS18" s="474">
        <f t="shared" si="134"/>
        <v>2.8253346000000003E-3</v>
      </c>
      <c r="MT18" s="474">
        <f t="shared" si="135"/>
        <v>0.27564240000000007</v>
      </c>
      <c r="MU18" s="474">
        <f t="shared" si="136"/>
        <v>2.9976111000000003E-3</v>
      </c>
      <c r="MV18" s="474">
        <f t="shared" si="137"/>
        <v>3.4455300000000005E-4</v>
      </c>
      <c r="MW18" s="884">
        <f t="shared" si="259"/>
        <v>8.2692720000000011E-2</v>
      </c>
      <c r="MX18" s="884">
        <f t="shared" si="260"/>
        <v>4.1346360000000006E-2</v>
      </c>
      <c r="MY18" s="474">
        <f t="shared" si="139"/>
        <v>9.647484000000002E-2</v>
      </c>
      <c r="MZ18" s="474">
        <f t="shared" si="140"/>
        <v>8.2692720000000011E-2</v>
      </c>
      <c r="NA18" s="474">
        <f t="shared" si="141"/>
        <v>1.3630516680000004</v>
      </c>
      <c r="NB18" s="474">
        <f t="shared" si="142"/>
        <v>1.3782120000000002E-2</v>
      </c>
      <c r="NC18" s="134">
        <f t="shared" si="143"/>
        <v>1.3782120000000002E-2</v>
      </c>
    </row>
    <row r="19" spans="1:367" x14ac:dyDescent="0.25">
      <c r="A19" s="18">
        <v>1964</v>
      </c>
      <c r="B19" s="1271">
        <v>185</v>
      </c>
      <c r="C19" s="1224"/>
      <c r="D19" s="1224">
        <v>0</v>
      </c>
      <c r="E19" s="1272"/>
      <c r="F19" s="1224">
        <f t="shared" si="144"/>
        <v>182.22499999999999</v>
      </c>
      <c r="G19" s="1224"/>
      <c r="H19" s="1224">
        <f t="shared" si="145"/>
        <v>0</v>
      </c>
      <c r="I19" s="1224"/>
      <c r="J19" s="1082">
        <v>0</v>
      </c>
      <c r="K19" s="1082">
        <f t="shared" si="0"/>
        <v>0</v>
      </c>
      <c r="L19" s="1224">
        <f t="shared" si="1"/>
        <v>182.22499999999999</v>
      </c>
      <c r="M19" s="1228"/>
      <c r="N19" s="193">
        <v>8.0999999999999996E-3</v>
      </c>
      <c r="O19" s="47">
        <v>0</v>
      </c>
      <c r="P19" s="47">
        <v>6.0000000000000001E-3</v>
      </c>
      <c r="Q19" s="192">
        <v>0</v>
      </c>
      <c r="R19" s="47">
        <v>0</v>
      </c>
      <c r="S19" s="47">
        <f t="shared" si="146"/>
        <v>5.4000000000000003E-3</v>
      </c>
      <c r="T19" s="47">
        <v>0.01</v>
      </c>
      <c r="U19" s="47">
        <v>1.8E-3</v>
      </c>
      <c r="V19" s="117">
        <v>4.0000000000000003E-5</v>
      </c>
      <c r="W19" s="47">
        <v>5.9999999999999995E-4</v>
      </c>
      <c r="X19" s="52">
        <v>1.0999999999999999E-2</v>
      </c>
      <c r="Y19" s="52">
        <v>2.0199999999999999E-2</v>
      </c>
      <c r="Z19" s="111">
        <v>6.3E-2</v>
      </c>
      <c r="AA19" s="52">
        <f t="shared" si="147"/>
        <v>0.1</v>
      </c>
      <c r="AB19" s="52">
        <f t="shared" si="148"/>
        <v>0</v>
      </c>
      <c r="AC19" s="52">
        <f t="shared" si="149"/>
        <v>0.9</v>
      </c>
      <c r="AD19" s="475">
        <f t="shared" si="150"/>
        <v>1.4760224999999998</v>
      </c>
      <c r="AE19" s="474">
        <f t="shared" si="151"/>
        <v>1.4760224999999998</v>
      </c>
      <c r="AF19" s="474">
        <f t="shared" si="152"/>
        <v>0</v>
      </c>
      <c r="AG19" s="474">
        <f t="shared" si="151"/>
        <v>0</v>
      </c>
      <c r="AH19" s="474">
        <f t="shared" si="153"/>
        <v>1.09335</v>
      </c>
      <c r="AI19" s="474">
        <f t="shared" ref="AI19" si="325">AH19</f>
        <v>1.09335</v>
      </c>
      <c r="AJ19" s="508"/>
      <c r="AK19" s="508"/>
      <c r="AL19" s="508"/>
      <c r="AM19" s="508"/>
      <c r="AN19" s="508"/>
      <c r="AO19" s="572"/>
      <c r="AP19" s="481">
        <f t="shared" si="155"/>
        <v>1.4760224999999998</v>
      </c>
      <c r="AQ19" s="474">
        <f t="shared" ref="AQ19" si="326">AP19</f>
        <v>1.4760224999999998</v>
      </c>
      <c r="AR19" s="474">
        <f t="shared" si="157"/>
        <v>0</v>
      </c>
      <c r="AS19" s="474">
        <f t="shared" ref="AS19" si="327">AR19</f>
        <v>0</v>
      </c>
      <c r="AT19" s="474">
        <f t="shared" si="159"/>
        <v>1.09335</v>
      </c>
      <c r="AU19" s="474">
        <f t="shared" ref="AU19" si="328">AT19</f>
        <v>1.09335</v>
      </c>
      <c r="AV19" s="475">
        <f t="shared" si="2"/>
        <v>0</v>
      </c>
      <c r="AW19" s="474">
        <f t="shared" ref="AW19" si="329">AV19</f>
        <v>0</v>
      </c>
      <c r="AX19" s="474">
        <f t="shared" si="3"/>
        <v>0.98401499999999997</v>
      </c>
      <c r="AY19" s="474">
        <f t="shared" ref="AY19" si="330">AX19</f>
        <v>0.98401499999999997</v>
      </c>
      <c r="AZ19" s="474">
        <f t="shared" si="4"/>
        <v>1.8222499999999999</v>
      </c>
      <c r="BA19" s="474">
        <f t="shared" ref="BA19" si="331">AZ19</f>
        <v>1.8222499999999999</v>
      </c>
      <c r="BB19" s="481"/>
      <c r="BC19" s="474"/>
      <c r="BD19" s="474"/>
      <c r="BE19" s="474"/>
      <c r="BF19" s="474"/>
      <c r="BG19" s="474"/>
      <c r="BH19" s="481">
        <f t="shared" si="5"/>
        <v>0</v>
      </c>
      <c r="BI19" s="474">
        <f t="shared" ref="BI19" si="332">BH19</f>
        <v>0</v>
      </c>
      <c r="BJ19" s="474">
        <f t="shared" si="6"/>
        <v>0.98401499999999997</v>
      </c>
      <c r="BK19" s="474">
        <f t="shared" ref="BK19" si="333">BJ19</f>
        <v>0.98401499999999997</v>
      </c>
      <c r="BL19" s="474">
        <f t="shared" si="7"/>
        <v>1.8222499999999999</v>
      </c>
      <c r="BM19" s="474">
        <f t="shared" ref="BM19" si="334">BL19</f>
        <v>1.8222499999999999</v>
      </c>
      <c r="BN19" s="475">
        <f t="shared" si="8"/>
        <v>7.2890000000000003E-3</v>
      </c>
      <c r="BO19" s="474">
        <f t="shared" ref="BO19" si="335">BN19</f>
        <v>7.2890000000000003E-3</v>
      </c>
      <c r="BP19" s="474">
        <f t="shared" si="9"/>
        <v>0.10933499999999999</v>
      </c>
      <c r="BQ19" s="474">
        <f t="shared" ref="BQ19" si="336">BP19</f>
        <v>0.10933499999999999</v>
      </c>
      <c r="BR19" s="474">
        <f t="shared" si="10"/>
        <v>2.0044749999999998</v>
      </c>
      <c r="BS19" s="474">
        <f t="shared" ref="BS19" si="337">BR19</f>
        <v>2.0044749999999998</v>
      </c>
      <c r="BT19" s="481"/>
      <c r="BU19" s="474"/>
      <c r="BV19" s="474"/>
      <c r="BW19" s="474"/>
      <c r="BX19" s="474"/>
      <c r="BY19" s="474"/>
      <c r="BZ19" s="481">
        <f t="shared" si="11"/>
        <v>7.2890000000000003E-3</v>
      </c>
      <c r="CA19" s="474">
        <f t="shared" ref="CA19" si="338">BZ19</f>
        <v>7.2890000000000003E-3</v>
      </c>
      <c r="CB19" s="474">
        <f t="shared" si="12"/>
        <v>0.10933499999999999</v>
      </c>
      <c r="CC19" s="474">
        <f t="shared" ref="CC19" si="339">CB19</f>
        <v>0.10933499999999999</v>
      </c>
      <c r="CD19" s="474">
        <f t="shared" si="13"/>
        <v>2.0044749999999998</v>
      </c>
      <c r="CE19" s="526">
        <f t="shared" ref="CE19" si="340">CD19</f>
        <v>2.0044749999999998</v>
      </c>
      <c r="CF19" s="355">
        <f t="shared" si="173"/>
        <v>0</v>
      </c>
      <c r="CG19" s="615">
        <f t="shared" si="174"/>
        <v>0</v>
      </c>
      <c r="CH19" s="355">
        <f t="shared" si="175"/>
        <v>0</v>
      </c>
      <c r="CI19" s="615">
        <f t="shared" si="14"/>
        <v>0</v>
      </c>
      <c r="CJ19" s="615">
        <f t="shared" si="176"/>
        <v>0</v>
      </c>
      <c r="CK19" s="615">
        <f t="shared" si="15"/>
        <v>0</v>
      </c>
      <c r="CL19" s="122"/>
      <c r="CM19" s="1235">
        <f t="shared" si="16"/>
        <v>170.74482499999999</v>
      </c>
      <c r="CN19" s="1231"/>
      <c r="CO19" s="1230"/>
      <c r="CP19" s="1231"/>
      <c r="CQ19" s="1230">
        <f t="shared" si="177"/>
        <v>170.74482499999999</v>
      </c>
      <c r="CR19" s="1232"/>
      <c r="CS19" s="30">
        <v>0.45</v>
      </c>
      <c r="CT19" s="31">
        <f t="shared" si="178"/>
        <v>0.55000000000000004</v>
      </c>
      <c r="CU19" s="31"/>
      <c r="CV19" s="32"/>
      <c r="CW19" s="1233">
        <f t="shared" si="179"/>
        <v>72.993412687499998</v>
      </c>
      <c r="CX19" s="1234"/>
      <c r="CY19" s="1234">
        <f t="shared" si="180"/>
        <v>89.2141710625</v>
      </c>
      <c r="CZ19" s="1231"/>
      <c r="DA19" s="369"/>
      <c r="DB19" s="369"/>
      <c r="DC19" s="369"/>
      <c r="DD19" s="373"/>
      <c r="DE19" s="1234">
        <f t="shared" si="17"/>
        <v>72.993412687499998</v>
      </c>
      <c r="DF19" s="1234"/>
      <c r="DG19" s="369">
        <f t="shared" ref="DG19:DG57" si="341">CY19+DA19</f>
        <v>89.2141710625</v>
      </c>
      <c r="DH19" s="372">
        <f t="shared" si="182"/>
        <v>89.2141710625</v>
      </c>
      <c r="DJ19" s="493">
        <v>0.05</v>
      </c>
      <c r="DK19" s="379"/>
      <c r="DL19" s="1105">
        <f t="shared" si="18"/>
        <v>8.5372412499999992</v>
      </c>
      <c r="DM19" s="1105">
        <f t="shared" si="19"/>
        <v>8.5372412499999992</v>
      </c>
      <c r="DN19" s="369"/>
      <c r="DO19" s="372"/>
      <c r="DP19" s="30">
        <v>1</v>
      </c>
      <c r="DQ19" s="31">
        <f t="shared" si="183"/>
        <v>0.1</v>
      </c>
      <c r="DR19" s="31">
        <f t="shared" si="184"/>
        <v>1</v>
      </c>
      <c r="DS19" s="680">
        <f t="shared" si="185"/>
        <v>0.1</v>
      </c>
      <c r="DT19" s="77">
        <f t="shared" si="186"/>
        <v>1</v>
      </c>
      <c r="DU19" s="31">
        <v>0</v>
      </c>
      <c r="DV19" s="31">
        <v>1</v>
      </c>
      <c r="DW19" s="31">
        <v>0</v>
      </c>
      <c r="DX19" s="31">
        <v>0</v>
      </c>
      <c r="DY19" s="31">
        <v>1</v>
      </c>
      <c r="DZ19" s="31">
        <v>0</v>
      </c>
      <c r="EA19" s="383">
        <f t="shared" si="187"/>
        <v>0</v>
      </c>
      <c r="EB19" s="355">
        <f t="shared" si="188"/>
        <v>0</v>
      </c>
      <c r="EC19" s="355">
        <f t="shared" si="189"/>
        <v>0.79373270000000007</v>
      </c>
      <c r="ED19" s="355">
        <f t="shared" si="190"/>
        <v>7.9373269999999998</v>
      </c>
      <c r="EE19" s="355">
        <f t="shared" si="191"/>
        <v>0</v>
      </c>
      <c r="EF19" s="355">
        <f t="shared" si="192"/>
        <v>0</v>
      </c>
      <c r="EG19" s="366"/>
      <c r="EH19" s="355"/>
      <c r="EI19" s="355"/>
      <c r="EJ19" s="355"/>
      <c r="EK19" s="355"/>
      <c r="EL19" s="356"/>
      <c r="EM19" s="355">
        <f t="shared" si="193"/>
        <v>0.79373270000000007</v>
      </c>
      <c r="EN19" s="134">
        <f t="shared" si="194"/>
        <v>7.9373269999999998</v>
      </c>
      <c r="EP19" s="1171">
        <f t="shared" si="20"/>
        <v>7.2890000000000003E-3</v>
      </c>
      <c r="EQ19" s="1172"/>
      <c r="ER19" s="1172">
        <f t="shared" si="21"/>
        <v>0.10933499999999999</v>
      </c>
      <c r="ES19" s="1172"/>
      <c r="ET19" s="1172">
        <f t="shared" si="22"/>
        <v>2.0044749999999998</v>
      </c>
      <c r="EU19" s="1172"/>
      <c r="EV19" s="366"/>
      <c r="EW19" s="355"/>
      <c r="EX19" s="355"/>
      <c r="EY19" s="355"/>
      <c r="EZ19" s="1172"/>
      <c r="FA19" s="1173"/>
      <c r="FB19" s="368">
        <f t="shared" si="195"/>
        <v>72.993412687499998</v>
      </c>
      <c r="FC19" s="369">
        <f t="shared" si="196"/>
        <v>72.993412687499998</v>
      </c>
      <c r="FD19" s="369"/>
      <c r="FE19" s="61"/>
      <c r="FF19" s="368">
        <f t="shared" si="197"/>
        <v>89.2141710625</v>
      </c>
      <c r="FG19" s="369">
        <f t="shared" si="24"/>
        <v>89.2141710625</v>
      </c>
      <c r="FH19" s="369"/>
      <c r="FI19" s="369"/>
      <c r="FJ19" s="30">
        <v>1</v>
      </c>
      <c r="FK19" s="31">
        <v>0.2</v>
      </c>
      <c r="FL19" s="501">
        <v>0.8</v>
      </c>
      <c r="FM19" s="31">
        <f t="shared" si="198"/>
        <v>0.1</v>
      </c>
      <c r="FN19" s="501">
        <f t="shared" si="199"/>
        <v>1</v>
      </c>
      <c r="FO19" s="31">
        <f t="shared" si="200"/>
        <v>0.1</v>
      </c>
      <c r="FP19" s="31">
        <f t="shared" si="201"/>
        <v>1</v>
      </c>
      <c r="FQ19" s="31">
        <v>1</v>
      </c>
      <c r="FR19" s="31">
        <v>0</v>
      </c>
      <c r="FS19" s="89">
        <f t="shared" si="202"/>
        <v>1E-3</v>
      </c>
      <c r="FT19" s="31">
        <f t="shared" si="203"/>
        <v>0.05</v>
      </c>
      <c r="FU19" s="30">
        <v>0.05</v>
      </c>
      <c r="FV19" s="32">
        <f t="shared" si="25"/>
        <v>2.4224999999999997E-2</v>
      </c>
      <c r="FW19" s="31">
        <v>0.1</v>
      </c>
      <c r="FX19" s="77">
        <f t="shared" si="26"/>
        <v>9.0000000000000011E-2</v>
      </c>
      <c r="FY19" s="30"/>
      <c r="FZ19" s="32"/>
      <c r="GA19" s="31"/>
      <c r="GB19" s="77"/>
      <c r="GC19" s="378">
        <f t="shared" si="27"/>
        <v>7.2890000000000003E-3</v>
      </c>
      <c r="GD19" s="379">
        <f t="shared" si="204"/>
        <v>7.2890000000000003E-3</v>
      </c>
      <c r="GE19" s="379">
        <f t="shared" si="28"/>
        <v>0.10933499999999999</v>
      </c>
      <c r="GF19" s="379">
        <f t="shared" si="205"/>
        <v>0.10933499999999999</v>
      </c>
      <c r="GG19" s="379">
        <f t="shared" si="206"/>
        <v>0.400895</v>
      </c>
      <c r="GH19" s="218">
        <f t="shared" si="207"/>
        <v>1.60358</v>
      </c>
      <c r="GI19" s="379"/>
      <c r="GJ19" s="379"/>
      <c r="GK19" s="379"/>
      <c r="GL19" s="379"/>
      <c r="GM19" s="379"/>
      <c r="GN19" s="218"/>
      <c r="GO19" s="379">
        <f t="shared" si="208"/>
        <v>0.51751899999999995</v>
      </c>
      <c r="GP19" s="515">
        <f t="shared" si="209"/>
        <v>1.7202040000000001</v>
      </c>
      <c r="GQ19" s="379">
        <f t="shared" si="210"/>
        <v>0.50372162257162501</v>
      </c>
      <c r="GR19" s="379">
        <f t="shared" si="211"/>
        <v>12.894187711499999</v>
      </c>
      <c r="GS19" s="355">
        <f>1/10*($FF19*$FQ19*$FM19*$FS19+$FF18*$FQ18*$FM18*$FS18+$FF17*$FQ17*$FM17*$FS17+$FF16*$FQ16*$FM16*$FS16+$FF15*$FQ15*$FM15*$FS15+$FF14*$FQ14*$FM14*$FS14+$FF13*$FQ13*$FM13*$FS13)</f>
        <v>3.5685668424999999E-3</v>
      </c>
      <c r="GT19" s="355">
        <f>1/10*($FG19*$FQ19*$FN19*$FT19+$FG18*$FQ18*$FN18*$FT18+$FG17*$FQ17*$FN17*$FT17+$FG16*$FQ16*$FN16*$FT16+$FG15*$FQ15*$FN15*$FT15+$FG14*$FQ14*$FN14*$FT14+$FG13*$FQ13*$FN13*$FT13)</f>
        <v>1.7842834212500003</v>
      </c>
      <c r="GU19" s="355">
        <f>1/10*($FF19*$FR19*$FM19*$FS19+$FF18*$FR18*$FM18*$FS18+$FF17*$FR17*$FM17*$FS17+$FF16*$FR16*$FM16*$FS16+$FF15*$FR15*$FM15*$FS15+$FF14*$FR14*$FM14*$FS14+$FF13*$FR13*$FM13*$FS13)</f>
        <v>0</v>
      </c>
      <c r="GV19" s="356">
        <f>1/10*($FG19*$FR19*$FN19*$FT19+$FG18*$FR18*$FN18*$FT18+$FG17*$FR17*$FN17*$FT17+$FG16*$FR16*$FN16*$FT16+$FG15*$FR15*$FN15*$FT15+$FG14*$FR14*$FN14*$FT14+$FG13*$FR13*$FN13*$FT13)</f>
        <v>0</v>
      </c>
      <c r="GW19" s="355"/>
      <c r="GX19" s="355"/>
      <c r="GY19" s="355"/>
      <c r="GZ19" s="355"/>
      <c r="HA19" s="355"/>
      <c r="HB19" s="356"/>
      <c r="HC19" s="379">
        <f t="shared" si="212"/>
        <v>0.50729018941412496</v>
      </c>
      <c r="HD19" s="38">
        <f t="shared" si="213"/>
        <v>14.678471132749999</v>
      </c>
      <c r="HF19" s="383">
        <f t="shared" si="29"/>
        <v>1.4760224999999998</v>
      </c>
      <c r="HG19" s="355">
        <f t="shared" si="30"/>
        <v>1.4760224999999998</v>
      </c>
      <c r="HH19" s="355">
        <f t="shared" si="31"/>
        <v>0</v>
      </c>
      <c r="HI19" s="355">
        <f t="shared" si="32"/>
        <v>0</v>
      </c>
      <c r="HJ19" s="355">
        <f t="shared" si="33"/>
        <v>1.09335</v>
      </c>
      <c r="HK19" s="356">
        <f t="shared" si="34"/>
        <v>1.09335</v>
      </c>
      <c r="HL19" s="355">
        <f t="shared" si="35"/>
        <v>0</v>
      </c>
      <c r="HM19" s="355">
        <f t="shared" si="36"/>
        <v>0</v>
      </c>
      <c r="HN19" s="355">
        <f t="shared" si="37"/>
        <v>1.7777476999999999</v>
      </c>
      <c r="HO19" s="355">
        <f t="shared" si="38"/>
        <v>8.9213419999999992</v>
      </c>
      <c r="HP19" s="355">
        <f t="shared" si="39"/>
        <v>1.8222499999999999</v>
      </c>
      <c r="HQ19" s="524">
        <f t="shared" si="40"/>
        <v>1.8222499999999999</v>
      </c>
      <c r="HR19" s="615">
        <f t="shared" si="214"/>
        <v>0.51457918941412495</v>
      </c>
      <c r="HS19" s="615">
        <f t="shared" si="41"/>
        <v>14.68576013275</v>
      </c>
      <c r="HT19" s="615">
        <f t="shared" si="42"/>
        <v>0.10933499999999999</v>
      </c>
      <c r="HU19" s="615">
        <f t="shared" si="43"/>
        <v>0.10933499999999999</v>
      </c>
      <c r="HV19" s="615">
        <f t="shared" si="44"/>
        <v>0.400895</v>
      </c>
      <c r="HW19" s="615">
        <f t="shared" si="45"/>
        <v>1.60358</v>
      </c>
      <c r="HZ19" s="544"/>
      <c r="IA19" s="1170"/>
      <c r="IB19" s="1176"/>
      <c r="IC19" s="1176"/>
      <c r="ID19" s="1176"/>
      <c r="IE19" s="1170"/>
      <c r="IF19" s="1170"/>
      <c r="IH19" s="884">
        <f t="shared" si="215"/>
        <v>1.6236247499999999E-2</v>
      </c>
      <c r="II19" s="884">
        <f t="shared" si="216"/>
        <v>1.32842025E-2</v>
      </c>
      <c r="IJ19" s="884">
        <f t="shared" si="217"/>
        <v>2.6568405E-2</v>
      </c>
      <c r="IK19" s="474">
        <f t="shared" si="218"/>
        <v>1.32842025E-2</v>
      </c>
      <c r="IL19" s="474">
        <f t="shared" si="219"/>
        <v>1.2472390124999997</v>
      </c>
      <c r="IM19" s="474">
        <f t="shared" si="220"/>
        <v>1.4760224999999997E-3</v>
      </c>
      <c r="IN19" s="474">
        <f t="shared" si="221"/>
        <v>1.4760224999999997E-3</v>
      </c>
      <c r="IO19" s="884">
        <f t="shared" si="222"/>
        <v>4.8708742499999992E-2</v>
      </c>
      <c r="IP19" s="884">
        <f t="shared" si="223"/>
        <v>6.0516922499999987E-2</v>
      </c>
      <c r="IQ19" s="474">
        <f t="shared" si="224"/>
        <v>7.6753169999999996E-2</v>
      </c>
      <c r="IR19" s="474">
        <f t="shared" si="225"/>
        <v>6.0516922499999987E-2</v>
      </c>
      <c r="IS19" s="474">
        <f t="shared" si="226"/>
        <v>1.2501910574999997</v>
      </c>
      <c r="IT19" s="474">
        <f t="shared" si="227"/>
        <v>1.4760224999999998E-2</v>
      </c>
      <c r="IU19" s="526">
        <f t="shared" si="228"/>
        <v>1.4760224999999998E-2</v>
      </c>
      <c r="IV19" s="884">
        <f t="shared" si="229"/>
        <v>0</v>
      </c>
      <c r="IW19" s="884">
        <f t="shared" si="230"/>
        <v>0</v>
      </c>
      <c r="IX19" s="474">
        <f t="shared" si="49"/>
        <v>0</v>
      </c>
      <c r="IY19" s="474">
        <f t="shared" si="50"/>
        <v>0</v>
      </c>
      <c r="IZ19" s="474">
        <f t="shared" si="51"/>
        <v>0</v>
      </c>
      <c r="JA19" s="474">
        <f t="shared" si="52"/>
        <v>0</v>
      </c>
      <c r="JB19" s="474">
        <f t="shared" si="53"/>
        <v>0</v>
      </c>
      <c r="JC19" s="884">
        <f t="shared" si="231"/>
        <v>0</v>
      </c>
      <c r="JD19" s="884">
        <f t="shared" si="232"/>
        <v>0</v>
      </c>
      <c r="JE19" s="474">
        <f t="shared" si="55"/>
        <v>0</v>
      </c>
      <c r="JF19" s="474">
        <f t="shared" si="56"/>
        <v>0</v>
      </c>
      <c r="JG19" s="474">
        <f t="shared" si="57"/>
        <v>0</v>
      </c>
      <c r="JH19" s="474">
        <f t="shared" si="58"/>
        <v>0</v>
      </c>
      <c r="JI19" s="480">
        <f t="shared" si="59"/>
        <v>0</v>
      </c>
      <c r="JJ19" s="884">
        <f t="shared" si="233"/>
        <v>1.2026850000000002E-2</v>
      </c>
      <c r="JK19" s="884">
        <f t="shared" si="234"/>
        <v>9.8401500000000024E-3</v>
      </c>
      <c r="JL19" s="474">
        <f t="shared" si="61"/>
        <v>1.9680300000000005E-2</v>
      </c>
      <c r="JM19" s="474">
        <f t="shared" si="62"/>
        <v>9.8401500000000024E-3</v>
      </c>
      <c r="JN19" s="474">
        <f t="shared" si="63"/>
        <v>0.92388075000000003</v>
      </c>
      <c r="JO19" s="474">
        <f t="shared" si="64"/>
        <v>1.0933500000000001E-3</v>
      </c>
      <c r="JP19" s="474">
        <f t="shared" si="65"/>
        <v>1.0933500000000001E-3</v>
      </c>
      <c r="JQ19" s="884">
        <f t="shared" si="235"/>
        <v>3.6080550000000003E-2</v>
      </c>
      <c r="JR19" s="884">
        <f t="shared" si="236"/>
        <v>4.4827349999999995E-2</v>
      </c>
      <c r="JS19" s="474">
        <f t="shared" si="67"/>
        <v>5.6854200000000008E-2</v>
      </c>
      <c r="JT19" s="474">
        <f t="shared" si="68"/>
        <v>4.4827349999999995E-2</v>
      </c>
      <c r="JU19" s="474">
        <f t="shared" si="69"/>
        <v>0.92606745000000001</v>
      </c>
      <c r="JV19" s="474">
        <f t="shared" si="70"/>
        <v>1.0933500000000001E-2</v>
      </c>
      <c r="JW19" s="134">
        <f t="shared" si="71"/>
        <v>1.0933500000000001E-2</v>
      </c>
      <c r="JX19" s="884">
        <f t="shared" si="237"/>
        <v>0</v>
      </c>
      <c r="JY19" s="1033">
        <f t="shared" si="238"/>
        <v>0</v>
      </c>
      <c r="JZ19" s="1033">
        <f t="shared" si="73"/>
        <v>0</v>
      </c>
      <c r="KA19" s="355">
        <f t="shared" si="74"/>
        <v>0</v>
      </c>
      <c r="KB19" s="355">
        <f t="shared" si="75"/>
        <v>0</v>
      </c>
      <c r="KC19" s="355">
        <f t="shared" si="76"/>
        <v>0</v>
      </c>
      <c r="KD19" s="355">
        <f t="shared" si="77"/>
        <v>0</v>
      </c>
      <c r="KE19" s="884">
        <f t="shared" si="239"/>
        <v>0</v>
      </c>
      <c r="KF19" s="884">
        <f t="shared" si="240"/>
        <v>0</v>
      </c>
      <c r="KG19" s="355">
        <f t="shared" si="79"/>
        <v>0</v>
      </c>
      <c r="KH19" s="355">
        <f t="shared" si="80"/>
        <v>0</v>
      </c>
      <c r="KI19" s="355">
        <f t="shared" si="81"/>
        <v>0</v>
      </c>
      <c r="KJ19" s="355">
        <f t="shared" si="82"/>
        <v>0</v>
      </c>
      <c r="KK19" s="526">
        <f t="shared" si="83"/>
        <v>0</v>
      </c>
      <c r="KL19" s="884">
        <f t="shared" si="241"/>
        <v>1.9555224700000002E-2</v>
      </c>
      <c r="KM19" s="884">
        <f t="shared" si="242"/>
        <v>1.5999729300000001E-2</v>
      </c>
      <c r="KN19" s="355">
        <f t="shared" si="85"/>
        <v>3.1999458600000003E-2</v>
      </c>
      <c r="KO19" s="355">
        <f t="shared" si="86"/>
        <v>1.5999729300000001E-2</v>
      </c>
      <c r="KP19" s="355">
        <f t="shared" si="87"/>
        <v>1.5021968065</v>
      </c>
      <c r="KQ19" s="355">
        <f t="shared" si="88"/>
        <v>1.7777476999999999E-3</v>
      </c>
      <c r="KR19" s="355">
        <f t="shared" si="89"/>
        <v>1.7777476999999999E-3</v>
      </c>
      <c r="KS19" s="884">
        <f t="shared" si="243"/>
        <v>0.29440428600000002</v>
      </c>
      <c r="KT19" s="884">
        <f t="shared" si="244"/>
        <v>0.36577502199999989</v>
      </c>
      <c r="KU19" s="355">
        <f t="shared" si="91"/>
        <v>0.46390978399999999</v>
      </c>
      <c r="KV19" s="355">
        <f t="shared" si="92"/>
        <v>0.36577502199999989</v>
      </c>
      <c r="KW19" s="355">
        <f t="shared" si="93"/>
        <v>7.5563766739999991</v>
      </c>
      <c r="KX19" s="355">
        <f t="shared" si="94"/>
        <v>8.9213419999999988E-2</v>
      </c>
      <c r="KY19" s="480">
        <f t="shared" si="95"/>
        <v>8.9213419999999988E-2</v>
      </c>
      <c r="KZ19" s="884">
        <f t="shared" si="245"/>
        <v>2.004475E-2</v>
      </c>
      <c r="LA19" s="884">
        <f t="shared" si="246"/>
        <v>1.6400250000000002E-2</v>
      </c>
      <c r="LB19" s="355">
        <f t="shared" si="97"/>
        <v>3.2800500000000003E-2</v>
      </c>
      <c r="LC19" s="355">
        <f t="shared" si="98"/>
        <v>1.6400250000000002E-2</v>
      </c>
      <c r="LD19" s="355">
        <f t="shared" si="99"/>
        <v>1.5398012499999998</v>
      </c>
      <c r="LE19" s="355">
        <f t="shared" si="100"/>
        <v>1.8222499999999999E-3</v>
      </c>
      <c r="LF19" s="355">
        <f t="shared" si="101"/>
        <v>1.8222499999999999E-3</v>
      </c>
      <c r="LG19" s="884">
        <f t="shared" si="247"/>
        <v>6.013425E-2</v>
      </c>
      <c r="LH19" s="884">
        <f t="shared" si="248"/>
        <v>7.4712249999999994E-2</v>
      </c>
      <c r="LI19" s="355">
        <f t="shared" si="103"/>
        <v>9.4757000000000008E-2</v>
      </c>
      <c r="LJ19" s="355">
        <f t="shared" si="104"/>
        <v>7.4712249999999994E-2</v>
      </c>
      <c r="LK19" s="355">
        <f t="shared" si="105"/>
        <v>1.5434457499999998</v>
      </c>
      <c r="LL19" s="355">
        <f t="shared" si="106"/>
        <v>1.8222499999999999E-2</v>
      </c>
      <c r="LM19" s="134">
        <f t="shared" si="107"/>
        <v>1.8222499999999999E-2</v>
      </c>
      <c r="LN19" s="884">
        <f t="shared" si="249"/>
        <v>5.6603710835553746E-4</v>
      </c>
      <c r="LO19" s="884">
        <f t="shared" si="250"/>
        <v>1.5437375682423747E-4</v>
      </c>
      <c r="LP19" s="355">
        <f t="shared" si="109"/>
        <v>2.6243538660120375E-3</v>
      </c>
      <c r="LQ19" s="474">
        <f t="shared" si="110"/>
        <v>4.2195493531958237E-3</v>
      </c>
      <c r="LR19" s="474">
        <f t="shared" si="111"/>
        <v>0.41166335153129996</v>
      </c>
      <c r="LS19" s="474">
        <f t="shared" si="112"/>
        <v>4.4768389479028867E-3</v>
      </c>
      <c r="LT19" s="474">
        <f t="shared" si="113"/>
        <v>5.1457918941412494E-4</v>
      </c>
      <c r="LU19" s="884">
        <f t="shared" si="251"/>
        <v>0.88114560796499997</v>
      </c>
      <c r="LV19" s="884">
        <f t="shared" si="252"/>
        <v>0.44057280398249998</v>
      </c>
      <c r="LW19" s="355">
        <f t="shared" si="115"/>
        <v>1.0280032092925</v>
      </c>
      <c r="LX19" s="474">
        <f t="shared" si="116"/>
        <v>0.88114560796499997</v>
      </c>
      <c r="LY19" s="474">
        <f t="shared" si="117"/>
        <v>14.524216771289751</v>
      </c>
      <c r="LZ19" s="474">
        <f t="shared" si="118"/>
        <v>0.1468576013275</v>
      </c>
      <c r="MA19" s="485">
        <f t="shared" si="119"/>
        <v>0.1468576013275</v>
      </c>
      <c r="MB19" s="884">
        <f t="shared" si="253"/>
        <v>1.2026849999999999E-4</v>
      </c>
      <c r="MC19" s="884">
        <f t="shared" si="254"/>
        <v>3.2800499999999992E-5</v>
      </c>
      <c r="MD19" s="355">
        <f t="shared" si="121"/>
        <v>5.5760849999999997E-4</v>
      </c>
      <c r="ME19" s="474">
        <f t="shared" si="122"/>
        <v>8.9654699999999982E-4</v>
      </c>
      <c r="MF19" s="474">
        <f t="shared" si="123"/>
        <v>8.746799999999999E-2</v>
      </c>
      <c r="MG19" s="474">
        <f t="shared" si="124"/>
        <v>9.5121449999999988E-4</v>
      </c>
      <c r="MH19" s="474">
        <f t="shared" si="125"/>
        <v>1.09335E-4</v>
      </c>
      <c r="MI19" s="884">
        <f t="shared" si="255"/>
        <v>6.5600999999999993E-3</v>
      </c>
      <c r="MJ19" s="884">
        <f t="shared" si="256"/>
        <v>3.2800499999999996E-3</v>
      </c>
      <c r="MK19" s="355">
        <f t="shared" si="127"/>
        <v>7.65345E-3</v>
      </c>
      <c r="ML19" s="474">
        <f t="shared" si="128"/>
        <v>6.5600999999999993E-3</v>
      </c>
      <c r="MM19" s="474">
        <f t="shared" si="129"/>
        <v>0.10813231499999999</v>
      </c>
      <c r="MN19" s="474">
        <f t="shared" si="130"/>
        <v>1.0933499999999999E-3</v>
      </c>
      <c r="MO19" s="485">
        <f t="shared" si="131"/>
        <v>1.0933499999999999E-3</v>
      </c>
      <c r="MP19" s="884">
        <f t="shared" si="257"/>
        <v>4.4098450000000001E-4</v>
      </c>
      <c r="MQ19" s="884">
        <f t="shared" si="258"/>
        <v>1.2026849999999999E-4</v>
      </c>
      <c r="MR19" s="355">
        <f t="shared" si="133"/>
        <v>2.0445645000000002E-3</v>
      </c>
      <c r="MS19" s="474">
        <f t="shared" si="134"/>
        <v>3.2873389999999998E-3</v>
      </c>
      <c r="MT19" s="474">
        <f t="shared" si="135"/>
        <v>0.320716</v>
      </c>
      <c r="MU19" s="474">
        <f t="shared" si="136"/>
        <v>3.4877864999999998E-3</v>
      </c>
      <c r="MV19" s="474">
        <f t="shared" si="137"/>
        <v>4.0089500000000002E-4</v>
      </c>
      <c r="MW19" s="884">
        <f t="shared" si="259"/>
        <v>9.6214800000000003E-2</v>
      </c>
      <c r="MX19" s="884">
        <f t="shared" si="260"/>
        <v>4.8107400000000002E-2</v>
      </c>
      <c r="MY19" s="474">
        <f t="shared" si="139"/>
        <v>0.11225060000000001</v>
      </c>
      <c r="MZ19" s="474">
        <f t="shared" si="140"/>
        <v>9.6214800000000003E-2</v>
      </c>
      <c r="NA19" s="474">
        <f t="shared" si="141"/>
        <v>1.5859406200000001</v>
      </c>
      <c r="NB19" s="474">
        <f t="shared" si="142"/>
        <v>1.6035799999999999E-2</v>
      </c>
      <c r="NC19" s="134">
        <f t="shared" si="143"/>
        <v>1.6035799999999999E-2</v>
      </c>
    </row>
    <row r="20" spans="1:367" x14ac:dyDescent="0.25">
      <c r="A20" s="18">
        <v>1965</v>
      </c>
      <c r="B20" s="1271">
        <v>212</v>
      </c>
      <c r="C20" s="1224"/>
      <c r="D20" s="1224">
        <v>0</v>
      </c>
      <c r="E20" s="1272"/>
      <c r="F20" s="1224">
        <f t="shared" si="144"/>
        <v>208.82</v>
      </c>
      <c r="G20" s="1224"/>
      <c r="H20" s="1224">
        <f t="shared" si="145"/>
        <v>0</v>
      </c>
      <c r="I20" s="1224"/>
      <c r="J20" s="1082">
        <v>0</v>
      </c>
      <c r="K20" s="1082">
        <f t="shared" si="0"/>
        <v>0</v>
      </c>
      <c r="L20" s="1224">
        <f t="shared" si="1"/>
        <v>208.82</v>
      </c>
      <c r="M20" s="1228"/>
      <c r="N20" s="193">
        <v>8.0999999999999996E-3</v>
      </c>
      <c r="O20" s="47">
        <v>0</v>
      </c>
      <c r="P20" s="47">
        <v>6.0000000000000001E-3</v>
      </c>
      <c r="Q20" s="192">
        <v>0</v>
      </c>
      <c r="R20" s="47">
        <v>0</v>
      </c>
      <c r="S20" s="47">
        <f t="shared" si="146"/>
        <v>5.4000000000000003E-3</v>
      </c>
      <c r="T20" s="47">
        <v>0.01</v>
      </c>
      <c r="U20" s="47">
        <v>1.8E-3</v>
      </c>
      <c r="V20" s="117">
        <v>4.0000000000000003E-5</v>
      </c>
      <c r="W20" s="47">
        <v>5.9999999999999995E-4</v>
      </c>
      <c r="X20" s="52">
        <v>1.0999999999999999E-2</v>
      </c>
      <c r="Y20" s="52">
        <v>2.0199999999999999E-2</v>
      </c>
      <c r="Z20" s="111">
        <v>6.3E-2</v>
      </c>
      <c r="AA20" s="52">
        <f t="shared" si="147"/>
        <v>0.1</v>
      </c>
      <c r="AB20" s="52">
        <f t="shared" si="148"/>
        <v>0</v>
      </c>
      <c r="AC20" s="52">
        <f t="shared" si="149"/>
        <v>0.9</v>
      </c>
      <c r="AD20" s="475">
        <f t="shared" si="150"/>
        <v>1.6914419999999999</v>
      </c>
      <c r="AE20" s="474">
        <f t="shared" si="151"/>
        <v>1.6914419999999999</v>
      </c>
      <c r="AF20" s="474">
        <f t="shared" si="152"/>
        <v>0</v>
      </c>
      <c r="AG20" s="474">
        <f t="shared" si="151"/>
        <v>0</v>
      </c>
      <c r="AH20" s="474">
        <f t="shared" si="153"/>
        <v>1.25292</v>
      </c>
      <c r="AI20" s="474">
        <f t="shared" ref="AI20" si="342">AH20</f>
        <v>1.25292</v>
      </c>
      <c r="AJ20" s="508"/>
      <c r="AK20" s="508"/>
      <c r="AL20" s="508"/>
      <c r="AM20" s="508"/>
      <c r="AN20" s="508"/>
      <c r="AO20" s="572"/>
      <c r="AP20" s="481">
        <f t="shared" si="155"/>
        <v>1.6914419999999999</v>
      </c>
      <c r="AQ20" s="474">
        <f t="shared" ref="AQ20" si="343">AP20</f>
        <v>1.6914419999999999</v>
      </c>
      <c r="AR20" s="474">
        <f t="shared" si="157"/>
        <v>0</v>
      </c>
      <c r="AS20" s="474">
        <f t="shared" ref="AS20" si="344">AR20</f>
        <v>0</v>
      </c>
      <c r="AT20" s="474">
        <f t="shared" si="159"/>
        <v>1.25292</v>
      </c>
      <c r="AU20" s="474">
        <f t="shared" ref="AU20" si="345">AT20</f>
        <v>1.25292</v>
      </c>
      <c r="AV20" s="475">
        <f t="shared" si="2"/>
        <v>0</v>
      </c>
      <c r="AW20" s="474">
        <f t="shared" ref="AW20" si="346">AV20</f>
        <v>0</v>
      </c>
      <c r="AX20" s="474">
        <f t="shared" si="3"/>
        <v>1.1276280000000001</v>
      </c>
      <c r="AY20" s="474">
        <f t="shared" ref="AY20" si="347">AX20</f>
        <v>1.1276280000000001</v>
      </c>
      <c r="AZ20" s="474">
        <f t="shared" si="4"/>
        <v>2.0882000000000001</v>
      </c>
      <c r="BA20" s="474">
        <f t="shared" ref="BA20" si="348">AZ20</f>
        <v>2.0882000000000001</v>
      </c>
      <c r="BB20" s="481"/>
      <c r="BC20" s="474"/>
      <c r="BD20" s="474"/>
      <c r="BE20" s="474"/>
      <c r="BF20" s="474"/>
      <c r="BG20" s="474"/>
      <c r="BH20" s="481">
        <f t="shared" si="5"/>
        <v>0</v>
      </c>
      <c r="BI20" s="474">
        <f t="shared" ref="BI20" si="349">BH20</f>
        <v>0</v>
      </c>
      <c r="BJ20" s="474">
        <f t="shared" si="6"/>
        <v>1.1276280000000001</v>
      </c>
      <c r="BK20" s="474">
        <f t="shared" ref="BK20" si="350">BJ20</f>
        <v>1.1276280000000001</v>
      </c>
      <c r="BL20" s="474">
        <f t="shared" si="7"/>
        <v>2.0882000000000001</v>
      </c>
      <c r="BM20" s="474">
        <f t="shared" ref="BM20" si="351">BL20</f>
        <v>2.0882000000000001</v>
      </c>
      <c r="BN20" s="475">
        <f t="shared" si="8"/>
        <v>8.3528000000000005E-3</v>
      </c>
      <c r="BO20" s="474">
        <f t="shared" ref="BO20" si="352">BN20</f>
        <v>8.3528000000000005E-3</v>
      </c>
      <c r="BP20" s="474">
        <f t="shared" si="9"/>
        <v>0.12529199999999999</v>
      </c>
      <c r="BQ20" s="474">
        <f t="shared" ref="BQ20" si="353">BP20</f>
        <v>0.12529199999999999</v>
      </c>
      <c r="BR20" s="474">
        <f t="shared" si="10"/>
        <v>2.2970199999999998</v>
      </c>
      <c r="BS20" s="474">
        <f t="shared" ref="BS20" si="354">BR20</f>
        <v>2.2970199999999998</v>
      </c>
      <c r="BT20" s="481"/>
      <c r="BU20" s="474"/>
      <c r="BV20" s="474"/>
      <c r="BW20" s="474"/>
      <c r="BX20" s="474"/>
      <c r="BY20" s="474"/>
      <c r="BZ20" s="481">
        <f t="shared" si="11"/>
        <v>8.3528000000000005E-3</v>
      </c>
      <c r="CA20" s="474">
        <f t="shared" ref="CA20" si="355">BZ20</f>
        <v>8.3528000000000005E-3</v>
      </c>
      <c r="CB20" s="474">
        <f t="shared" si="12"/>
        <v>0.12529199999999999</v>
      </c>
      <c r="CC20" s="474">
        <f t="shared" ref="CC20" si="356">CB20</f>
        <v>0.12529199999999999</v>
      </c>
      <c r="CD20" s="474">
        <f t="shared" si="13"/>
        <v>2.2970199999999998</v>
      </c>
      <c r="CE20" s="526">
        <f t="shared" ref="CE20" si="357">CD20</f>
        <v>2.2970199999999998</v>
      </c>
      <c r="CF20" s="355">
        <f t="shared" si="173"/>
        <v>0</v>
      </c>
      <c r="CG20" s="615">
        <f t="shared" si="174"/>
        <v>0</v>
      </c>
      <c r="CH20" s="355">
        <f t="shared" si="175"/>
        <v>0</v>
      </c>
      <c r="CI20" s="615">
        <f t="shared" si="14"/>
        <v>0</v>
      </c>
      <c r="CJ20" s="615">
        <f t="shared" si="176"/>
        <v>0</v>
      </c>
      <c r="CK20" s="615">
        <f t="shared" si="15"/>
        <v>0</v>
      </c>
      <c r="CL20" s="122"/>
      <c r="CM20" s="1235">
        <f t="shared" si="16"/>
        <v>195.66433999999998</v>
      </c>
      <c r="CN20" s="1231"/>
      <c r="CO20" s="1230"/>
      <c r="CP20" s="1231"/>
      <c r="CQ20" s="1230">
        <f t="shared" si="177"/>
        <v>195.66433999999998</v>
      </c>
      <c r="CR20" s="1232"/>
      <c r="CS20" s="30">
        <v>0.45</v>
      </c>
      <c r="CT20" s="31">
        <f t="shared" si="178"/>
        <v>0.55000000000000004</v>
      </c>
      <c r="CU20" s="31"/>
      <c r="CV20" s="32"/>
      <c r="CW20" s="1233">
        <f t="shared" si="179"/>
        <v>83.646505349999984</v>
      </c>
      <c r="CX20" s="1234"/>
      <c r="CY20" s="1234">
        <f t="shared" si="180"/>
        <v>102.23461764999999</v>
      </c>
      <c r="CZ20" s="1231"/>
      <c r="DA20" s="369"/>
      <c r="DB20" s="369"/>
      <c r="DC20" s="369"/>
      <c r="DD20" s="373"/>
      <c r="DE20" s="1234">
        <f t="shared" si="17"/>
        <v>83.646505349999984</v>
      </c>
      <c r="DF20" s="1234"/>
      <c r="DG20" s="369">
        <f t="shared" si="341"/>
        <v>102.23461764999999</v>
      </c>
      <c r="DH20" s="372">
        <f t="shared" si="182"/>
        <v>102.23461764999999</v>
      </c>
      <c r="DJ20" s="493">
        <v>0.05</v>
      </c>
      <c r="DK20" s="379"/>
      <c r="DL20" s="1105">
        <f t="shared" si="18"/>
        <v>9.7832170000000005</v>
      </c>
      <c r="DM20" s="1105">
        <f t="shared" si="19"/>
        <v>9.7832170000000005</v>
      </c>
      <c r="DN20" s="369"/>
      <c r="DO20" s="372"/>
      <c r="DP20" s="30">
        <v>1</v>
      </c>
      <c r="DQ20" s="31">
        <f t="shared" si="183"/>
        <v>0.1</v>
      </c>
      <c r="DR20" s="31">
        <f t="shared" si="184"/>
        <v>1</v>
      </c>
      <c r="DS20" s="680">
        <f t="shared" si="185"/>
        <v>0.1</v>
      </c>
      <c r="DT20" s="77">
        <f t="shared" si="186"/>
        <v>1</v>
      </c>
      <c r="DU20" s="31">
        <v>0</v>
      </c>
      <c r="DV20" s="31">
        <v>1</v>
      </c>
      <c r="DW20" s="31">
        <v>0</v>
      </c>
      <c r="DX20" s="31">
        <v>0</v>
      </c>
      <c r="DY20" s="31">
        <v>1</v>
      </c>
      <c r="DZ20" s="31">
        <v>0</v>
      </c>
      <c r="EA20" s="383">
        <f t="shared" si="187"/>
        <v>0</v>
      </c>
      <c r="EB20" s="355">
        <f t="shared" si="188"/>
        <v>0</v>
      </c>
      <c r="EC20" s="355">
        <f t="shared" si="189"/>
        <v>0.91602291250000001</v>
      </c>
      <c r="ED20" s="355">
        <f t="shared" si="190"/>
        <v>9.1602291250000007</v>
      </c>
      <c r="EE20" s="355">
        <f t="shared" si="191"/>
        <v>0</v>
      </c>
      <c r="EF20" s="355">
        <f t="shared" si="192"/>
        <v>0</v>
      </c>
      <c r="EG20" s="366"/>
      <c r="EH20" s="355"/>
      <c r="EI20" s="355"/>
      <c r="EJ20" s="355"/>
      <c r="EK20" s="355"/>
      <c r="EL20" s="356"/>
      <c r="EM20" s="355">
        <f t="shared" si="193"/>
        <v>0.91602291250000001</v>
      </c>
      <c r="EN20" s="134">
        <f t="shared" si="194"/>
        <v>9.1602291250000007</v>
      </c>
      <c r="EP20" s="1171">
        <f t="shared" si="20"/>
        <v>8.3528000000000005E-3</v>
      </c>
      <c r="EQ20" s="1172"/>
      <c r="ER20" s="1172">
        <f t="shared" si="21"/>
        <v>0.12529199999999999</v>
      </c>
      <c r="ES20" s="1172"/>
      <c r="ET20" s="1172">
        <f t="shared" si="22"/>
        <v>2.2970199999999998</v>
      </c>
      <c r="EU20" s="1172"/>
      <c r="EV20" s="366"/>
      <c r="EW20" s="355"/>
      <c r="EX20" s="355"/>
      <c r="EY20" s="355"/>
      <c r="EZ20" s="1172"/>
      <c r="FA20" s="1173"/>
      <c r="FB20" s="368">
        <f t="shared" si="195"/>
        <v>83.646505349999984</v>
      </c>
      <c r="FC20" s="369">
        <f t="shared" si="196"/>
        <v>83.646505349999984</v>
      </c>
      <c r="FD20" s="369"/>
      <c r="FE20" s="61"/>
      <c r="FF20" s="368">
        <f t="shared" si="197"/>
        <v>102.23461764999999</v>
      </c>
      <c r="FG20" s="369">
        <f t="shared" si="24"/>
        <v>102.23461764999999</v>
      </c>
      <c r="FH20" s="369"/>
      <c r="FI20" s="369"/>
      <c r="FJ20" s="30">
        <v>1</v>
      </c>
      <c r="FK20" s="31">
        <v>0.2</v>
      </c>
      <c r="FL20" s="501">
        <v>0.8</v>
      </c>
      <c r="FM20" s="31">
        <f t="shared" si="198"/>
        <v>0.1</v>
      </c>
      <c r="FN20" s="501">
        <f t="shared" si="199"/>
        <v>1</v>
      </c>
      <c r="FO20" s="31">
        <f t="shared" si="200"/>
        <v>0.1</v>
      </c>
      <c r="FP20" s="31">
        <f t="shared" si="201"/>
        <v>1</v>
      </c>
      <c r="FQ20" s="31">
        <v>1</v>
      </c>
      <c r="FR20" s="31">
        <v>0</v>
      </c>
      <c r="FS20" s="89">
        <f t="shared" si="202"/>
        <v>1E-3</v>
      </c>
      <c r="FT20" s="31">
        <f t="shared" si="203"/>
        <v>0.05</v>
      </c>
      <c r="FU20" s="30">
        <v>0.05</v>
      </c>
      <c r="FV20" s="32">
        <f t="shared" si="25"/>
        <v>2.4224999999999997E-2</v>
      </c>
      <c r="FW20" s="31">
        <v>0.1</v>
      </c>
      <c r="FX20" s="77">
        <f t="shared" si="26"/>
        <v>9.0000000000000011E-2</v>
      </c>
      <c r="FY20" s="30"/>
      <c r="FZ20" s="32"/>
      <c r="GA20" s="31"/>
      <c r="GB20" s="77"/>
      <c r="GC20" s="378">
        <f t="shared" si="27"/>
        <v>8.3528000000000005E-3</v>
      </c>
      <c r="GD20" s="379">
        <f t="shared" si="204"/>
        <v>8.3528000000000005E-3</v>
      </c>
      <c r="GE20" s="379">
        <f t="shared" si="28"/>
        <v>0.12529199999999999</v>
      </c>
      <c r="GF20" s="379">
        <f t="shared" si="205"/>
        <v>0.12529199999999999</v>
      </c>
      <c r="GG20" s="379">
        <f t="shared" si="206"/>
        <v>0.45940399999999998</v>
      </c>
      <c r="GH20" s="218">
        <f t="shared" si="207"/>
        <v>1.8376159999999999</v>
      </c>
      <c r="GI20" s="379"/>
      <c r="GJ20" s="379"/>
      <c r="GK20" s="379"/>
      <c r="GL20" s="379"/>
      <c r="GM20" s="379"/>
      <c r="GN20" s="218"/>
      <c r="GO20" s="379">
        <f t="shared" si="208"/>
        <v>0.59304879999999993</v>
      </c>
      <c r="GP20" s="515">
        <f t="shared" si="209"/>
        <v>1.9712607999999998</v>
      </c>
      <c r="GQ20" s="379">
        <f t="shared" si="210"/>
        <v>0.58132989581667183</v>
      </c>
      <c r="GR20" s="379">
        <f>1/2*(($FC20*$FN20)*($FW20+$FX20)+$FC19*$FN19*($FW19+$FX19))</f>
        <v>14.880792213562497</v>
      </c>
      <c r="GS20" s="355">
        <f>1/10*($FF20*$FQ20*$FM20*$FS20+$FF19*$FQ19*$FM19*$FS19+$FF18*$FQ18*$FM18*$FS18+$FF17*$FQ17*$FM17*$FS17+$FF16*$FQ16*$FM16*$FS16+$FF15*$FQ15*$FM15*$FS15+$FF14*$FQ14*$FM14*$FS14+$FF13*$FQ13*$FM13*$FS13)</f>
        <v>4.5909130189999998E-3</v>
      </c>
      <c r="GT20" s="355">
        <f>1/10*($FG20*$FQ20*$FN20*$FT20+$FG19*$FQ19*$FN19*$FT19+$FG18*$FQ18*$FN18*$FT18+$FG17*$FQ17*$FN17*$FT17+$FG16*$FQ16*$FN16*$FT16+$FG15*$FQ15*$FN15*$FT15+$FG14*$FQ14*$FN14*$FT14+$FG13*$FQ13*$FN13*$FT13)</f>
        <v>2.2954565095000001</v>
      </c>
      <c r="GU20" s="355">
        <f>1/10*($FF20*$FR20*$FM20*$FS20+$FF19*$FR19*$FM19*$FS19+$FF18*$FR18*$FM18*$FS18+$FF17*$FR17*$FM17*$FS17+$FF16*$FR16*$FM16*$FS16+$FF15*$FR15*$FM15*$FS15+$FF14*$FR14*$FM14*$FS14+$FF13*$FR13*$FM13*$FS13)</f>
        <v>0</v>
      </c>
      <c r="GV20" s="356">
        <f>1/10*($FG20*$FR20*$FN20*$FT20+$FG19*$FR19*$FN19*$FT19+$FG18*$FR18*$FN18*$FT18+$FG17*$FR17*$FN17*$FT17+$FG16*$FR16*$FN16*$FT16+$FG15*$FR15*$FN15*$FT15+$FG14*$FR14*$FN14*$FT14+$FG13*$FR13*$FN13*$FT13)</f>
        <v>0</v>
      </c>
      <c r="GW20" s="355"/>
      <c r="GX20" s="355"/>
      <c r="GY20" s="355"/>
      <c r="GZ20" s="355"/>
      <c r="HA20" s="355"/>
      <c r="HB20" s="356"/>
      <c r="HC20" s="379">
        <f t="shared" si="212"/>
        <v>0.58592080883567188</v>
      </c>
      <c r="HD20" s="38">
        <f t="shared" si="213"/>
        <v>17.176248723062496</v>
      </c>
      <c r="HF20" s="383">
        <f t="shared" si="29"/>
        <v>1.6914419999999999</v>
      </c>
      <c r="HG20" s="355">
        <f t="shared" si="30"/>
        <v>1.6914419999999999</v>
      </c>
      <c r="HH20" s="355">
        <f t="shared" si="31"/>
        <v>0</v>
      </c>
      <c r="HI20" s="355">
        <f t="shared" si="32"/>
        <v>0</v>
      </c>
      <c r="HJ20" s="355">
        <f t="shared" si="33"/>
        <v>1.25292</v>
      </c>
      <c r="HK20" s="356">
        <f t="shared" si="34"/>
        <v>1.25292</v>
      </c>
      <c r="HL20" s="355">
        <f t="shared" si="35"/>
        <v>0</v>
      </c>
      <c r="HM20" s="355">
        <f t="shared" si="36"/>
        <v>0</v>
      </c>
      <c r="HN20" s="355">
        <f t="shared" si="37"/>
        <v>2.0436509125</v>
      </c>
      <c r="HO20" s="355">
        <f t="shared" si="38"/>
        <v>10.287857125</v>
      </c>
      <c r="HP20" s="355">
        <f t="shared" si="39"/>
        <v>2.0882000000000001</v>
      </c>
      <c r="HQ20" s="524">
        <f t="shared" si="40"/>
        <v>2.0882000000000001</v>
      </c>
      <c r="HR20" s="615">
        <f t="shared" si="214"/>
        <v>0.59427360883567193</v>
      </c>
      <c r="HS20" s="615">
        <f t="shared" si="41"/>
        <v>17.184601523062497</v>
      </c>
      <c r="HT20" s="615">
        <f t="shared" si="42"/>
        <v>0.12529199999999999</v>
      </c>
      <c r="HU20" s="615">
        <f t="shared" si="43"/>
        <v>0.12529199999999999</v>
      </c>
      <c r="HV20" s="615">
        <f t="shared" si="44"/>
        <v>0.45940399999999998</v>
      </c>
      <c r="HW20" s="615">
        <f t="shared" si="45"/>
        <v>1.8376159999999999</v>
      </c>
      <c r="HZ20" s="544"/>
      <c r="IA20" s="1170"/>
      <c r="IB20" s="1176"/>
      <c r="IC20" s="1176"/>
      <c r="ID20" s="1176"/>
      <c r="IE20" s="1170"/>
      <c r="IF20" s="1170"/>
      <c r="IH20" s="884">
        <f t="shared" si="215"/>
        <v>1.8605862000000001E-2</v>
      </c>
      <c r="II20" s="884">
        <f t="shared" si="216"/>
        <v>1.5222978000000002E-2</v>
      </c>
      <c r="IJ20" s="884">
        <f t="shared" si="217"/>
        <v>3.0445956000000003E-2</v>
      </c>
      <c r="IK20" s="474">
        <f t="shared" si="218"/>
        <v>1.5222978000000002E-2</v>
      </c>
      <c r="IL20" s="474">
        <f t="shared" si="219"/>
        <v>1.4292684899999999</v>
      </c>
      <c r="IM20" s="474">
        <f t="shared" si="220"/>
        <v>1.691442E-3</v>
      </c>
      <c r="IN20" s="474">
        <f t="shared" si="221"/>
        <v>1.691442E-3</v>
      </c>
      <c r="IO20" s="884">
        <f t="shared" si="222"/>
        <v>5.5817586000000002E-2</v>
      </c>
      <c r="IP20" s="884">
        <f t="shared" si="223"/>
        <v>6.9349121999999985E-2</v>
      </c>
      <c r="IQ20" s="474">
        <f t="shared" si="224"/>
        <v>8.7954984E-2</v>
      </c>
      <c r="IR20" s="474">
        <f t="shared" si="225"/>
        <v>6.9349121999999985E-2</v>
      </c>
      <c r="IS20" s="474">
        <f t="shared" si="226"/>
        <v>1.4326513739999998</v>
      </c>
      <c r="IT20" s="474">
        <f t="shared" si="227"/>
        <v>1.6914419999999999E-2</v>
      </c>
      <c r="IU20" s="526">
        <f t="shared" si="228"/>
        <v>1.6914419999999999E-2</v>
      </c>
      <c r="IV20" s="884">
        <f t="shared" si="229"/>
        <v>0</v>
      </c>
      <c r="IW20" s="884">
        <f t="shared" si="230"/>
        <v>0</v>
      </c>
      <c r="IX20" s="474">
        <f t="shared" si="49"/>
        <v>0</v>
      </c>
      <c r="IY20" s="474">
        <f t="shared" si="50"/>
        <v>0</v>
      </c>
      <c r="IZ20" s="474">
        <f t="shared" si="51"/>
        <v>0</v>
      </c>
      <c r="JA20" s="474">
        <f t="shared" si="52"/>
        <v>0</v>
      </c>
      <c r="JB20" s="474">
        <f t="shared" si="53"/>
        <v>0</v>
      </c>
      <c r="JC20" s="884">
        <f t="shared" si="231"/>
        <v>0</v>
      </c>
      <c r="JD20" s="884">
        <f t="shared" si="232"/>
        <v>0</v>
      </c>
      <c r="JE20" s="474">
        <f t="shared" si="55"/>
        <v>0</v>
      </c>
      <c r="JF20" s="474">
        <f t="shared" si="56"/>
        <v>0</v>
      </c>
      <c r="JG20" s="474">
        <f t="shared" si="57"/>
        <v>0</v>
      </c>
      <c r="JH20" s="474">
        <f t="shared" si="58"/>
        <v>0</v>
      </c>
      <c r="JI20" s="480">
        <f t="shared" si="59"/>
        <v>0</v>
      </c>
      <c r="JJ20" s="884">
        <f t="shared" si="233"/>
        <v>1.3782120000000002E-2</v>
      </c>
      <c r="JK20" s="884">
        <f t="shared" si="234"/>
        <v>1.1276280000000001E-2</v>
      </c>
      <c r="JL20" s="474">
        <f t="shared" si="61"/>
        <v>2.2552560000000003E-2</v>
      </c>
      <c r="JM20" s="474">
        <f t="shared" si="62"/>
        <v>1.1276280000000001E-2</v>
      </c>
      <c r="JN20" s="474">
        <f t="shared" si="63"/>
        <v>1.0587173999999999</v>
      </c>
      <c r="JO20" s="474">
        <f t="shared" si="64"/>
        <v>1.25292E-3</v>
      </c>
      <c r="JP20" s="474">
        <f t="shared" si="65"/>
        <v>1.25292E-3</v>
      </c>
      <c r="JQ20" s="884">
        <f t="shared" si="235"/>
        <v>4.1346360000000006E-2</v>
      </c>
      <c r="JR20" s="884">
        <f t="shared" si="236"/>
        <v>5.1369719999999994E-2</v>
      </c>
      <c r="JS20" s="474">
        <f t="shared" si="67"/>
        <v>6.5151840000000003E-2</v>
      </c>
      <c r="JT20" s="474">
        <f t="shared" si="68"/>
        <v>5.1369719999999994E-2</v>
      </c>
      <c r="JU20" s="474">
        <f t="shared" si="69"/>
        <v>1.0612232399999999</v>
      </c>
      <c r="JV20" s="474">
        <f t="shared" si="70"/>
        <v>1.2529200000000001E-2</v>
      </c>
      <c r="JW20" s="134">
        <f t="shared" si="71"/>
        <v>1.2529200000000001E-2</v>
      </c>
      <c r="JX20" s="884">
        <f t="shared" si="237"/>
        <v>0</v>
      </c>
      <c r="JY20" s="1033">
        <f t="shared" si="238"/>
        <v>0</v>
      </c>
      <c r="JZ20" s="1033">
        <f t="shared" si="73"/>
        <v>0</v>
      </c>
      <c r="KA20" s="355">
        <f t="shared" si="74"/>
        <v>0</v>
      </c>
      <c r="KB20" s="355">
        <f t="shared" si="75"/>
        <v>0</v>
      </c>
      <c r="KC20" s="355">
        <f t="shared" si="76"/>
        <v>0</v>
      </c>
      <c r="KD20" s="355">
        <f t="shared" si="77"/>
        <v>0</v>
      </c>
      <c r="KE20" s="884">
        <f t="shared" si="239"/>
        <v>0</v>
      </c>
      <c r="KF20" s="884">
        <f t="shared" si="240"/>
        <v>0</v>
      </c>
      <c r="KG20" s="355">
        <f t="shared" si="79"/>
        <v>0</v>
      </c>
      <c r="KH20" s="355">
        <f t="shared" si="80"/>
        <v>0</v>
      </c>
      <c r="KI20" s="355">
        <f t="shared" si="81"/>
        <v>0</v>
      </c>
      <c r="KJ20" s="355">
        <f t="shared" si="82"/>
        <v>0</v>
      </c>
      <c r="KK20" s="526">
        <f t="shared" si="83"/>
        <v>0</v>
      </c>
      <c r="KL20" s="884">
        <f t="shared" si="241"/>
        <v>2.2480160037500002E-2</v>
      </c>
      <c r="KM20" s="884">
        <f t="shared" si="242"/>
        <v>1.8392858212500002E-2</v>
      </c>
      <c r="KN20" s="355">
        <f t="shared" si="85"/>
        <v>3.6785716425000003E-2</v>
      </c>
      <c r="KO20" s="355">
        <f t="shared" si="86"/>
        <v>1.8392858212500002E-2</v>
      </c>
      <c r="KP20" s="355">
        <f t="shared" si="87"/>
        <v>1.7268850210625</v>
      </c>
      <c r="KQ20" s="355">
        <f t="shared" si="88"/>
        <v>2.0436509125000002E-3</v>
      </c>
      <c r="KR20" s="355">
        <f t="shared" si="89"/>
        <v>2.0436509125000002E-3</v>
      </c>
      <c r="KS20" s="884">
        <f t="shared" si="243"/>
        <v>0.33949928512500005</v>
      </c>
      <c r="KT20" s="884">
        <f t="shared" si="244"/>
        <v>0.42180214212499995</v>
      </c>
      <c r="KU20" s="355">
        <f t="shared" si="91"/>
        <v>0.53496857050000002</v>
      </c>
      <c r="KV20" s="355">
        <f t="shared" si="92"/>
        <v>0.42180214212499995</v>
      </c>
      <c r="KW20" s="355">
        <f t="shared" si="93"/>
        <v>8.7138149848750004</v>
      </c>
      <c r="KX20" s="355">
        <f t="shared" si="94"/>
        <v>0.10287857125000001</v>
      </c>
      <c r="KY20" s="480">
        <f t="shared" si="95"/>
        <v>0.10287857125000001</v>
      </c>
      <c r="KZ20" s="884">
        <f t="shared" si="245"/>
        <v>2.2970200000000003E-2</v>
      </c>
      <c r="LA20" s="884">
        <f t="shared" si="246"/>
        <v>1.8793800000000003E-2</v>
      </c>
      <c r="LB20" s="355">
        <f t="shared" si="97"/>
        <v>3.7587600000000006E-2</v>
      </c>
      <c r="LC20" s="355">
        <f t="shared" si="98"/>
        <v>1.8793800000000003E-2</v>
      </c>
      <c r="LD20" s="355">
        <f t="shared" si="99"/>
        <v>1.764529</v>
      </c>
      <c r="LE20" s="355">
        <f t="shared" si="100"/>
        <v>2.0882000000000001E-3</v>
      </c>
      <c r="LF20" s="355">
        <f t="shared" si="101"/>
        <v>2.0882000000000001E-3</v>
      </c>
      <c r="LG20" s="884">
        <f t="shared" si="247"/>
        <v>6.8910600000000002E-2</v>
      </c>
      <c r="LH20" s="884">
        <f t="shared" si="248"/>
        <v>8.561619999999999E-2</v>
      </c>
      <c r="LI20" s="355">
        <f t="shared" si="103"/>
        <v>0.10858640000000001</v>
      </c>
      <c r="LJ20" s="355">
        <f t="shared" si="104"/>
        <v>8.561619999999999E-2</v>
      </c>
      <c r="LK20" s="355">
        <f t="shared" si="105"/>
        <v>1.7687054</v>
      </c>
      <c r="LL20" s="355">
        <f t="shared" si="106"/>
        <v>2.0882000000000001E-2</v>
      </c>
      <c r="LM20" s="134">
        <f t="shared" si="107"/>
        <v>2.0882000000000001E-2</v>
      </c>
      <c r="LN20" s="884">
        <f t="shared" si="249"/>
        <v>6.5370096971923916E-4</v>
      </c>
      <c r="LO20" s="884">
        <f t="shared" si="250"/>
        <v>1.7828208265070156E-4</v>
      </c>
      <c r="LP20" s="355">
        <f t="shared" si="109"/>
        <v>3.0307954050619269E-3</v>
      </c>
      <c r="LQ20" s="474">
        <f t="shared" si="110"/>
        <v>4.8730435924525094E-3</v>
      </c>
      <c r="LR20" s="474">
        <f t="shared" si="111"/>
        <v>0.47541888706853758</v>
      </c>
      <c r="LS20" s="474">
        <f t="shared" si="112"/>
        <v>5.1701803968703455E-3</v>
      </c>
      <c r="LT20" s="474">
        <f t="shared" si="113"/>
        <v>5.9427360883567196E-4</v>
      </c>
      <c r="LU20" s="884">
        <f t="shared" si="251"/>
        <v>1.0310760913837498</v>
      </c>
      <c r="LV20" s="884">
        <f t="shared" si="252"/>
        <v>0.51553804569187489</v>
      </c>
      <c r="LW20" s="355">
        <f t="shared" si="115"/>
        <v>1.2029221066143749</v>
      </c>
      <c r="LX20" s="474">
        <f t="shared" si="116"/>
        <v>1.0310760913837498</v>
      </c>
      <c r="LY20" s="474">
        <f t="shared" si="117"/>
        <v>16.99557090630881</v>
      </c>
      <c r="LZ20" s="474">
        <f t="shared" si="118"/>
        <v>0.17184601523062498</v>
      </c>
      <c r="MA20" s="485">
        <f t="shared" si="119"/>
        <v>0.17184601523062498</v>
      </c>
      <c r="MB20" s="884">
        <f t="shared" si="253"/>
        <v>1.3782119999999998E-4</v>
      </c>
      <c r="MC20" s="884">
        <f t="shared" si="254"/>
        <v>3.7587599999999992E-5</v>
      </c>
      <c r="MD20" s="355">
        <f t="shared" si="121"/>
        <v>6.3898920000000003E-4</v>
      </c>
      <c r="ME20" s="474">
        <f t="shared" si="122"/>
        <v>1.0273943999999998E-3</v>
      </c>
      <c r="MF20" s="474">
        <f t="shared" si="123"/>
        <v>0.10023359999999999</v>
      </c>
      <c r="MG20" s="474">
        <f t="shared" si="124"/>
        <v>1.0900403999999997E-3</v>
      </c>
      <c r="MH20" s="474">
        <f t="shared" si="125"/>
        <v>1.2529199999999999E-4</v>
      </c>
      <c r="MI20" s="884">
        <f t="shared" si="255"/>
        <v>7.5175199999999989E-3</v>
      </c>
      <c r="MJ20" s="884">
        <f t="shared" si="256"/>
        <v>3.7587599999999994E-3</v>
      </c>
      <c r="MK20" s="355">
        <f t="shared" si="127"/>
        <v>8.7704399999999991E-3</v>
      </c>
      <c r="ML20" s="474">
        <f t="shared" si="128"/>
        <v>7.5175199999999989E-3</v>
      </c>
      <c r="MM20" s="474">
        <f t="shared" si="129"/>
        <v>0.123913788</v>
      </c>
      <c r="MN20" s="474">
        <f t="shared" si="130"/>
        <v>1.2529199999999998E-3</v>
      </c>
      <c r="MO20" s="485">
        <f t="shared" si="131"/>
        <v>1.2529199999999998E-3</v>
      </c>
      <c r="MP20" s="884">
        <f t="shared" si="257"/>
        <v>5.0534440000000005E-4</v>
      </c>
      <c r="MQ20" s="884">
        <f t="shared" si="258"/>
        <v>1.3782119999999998E-4</v>
      </c>
      <c r="MR20" s="355">
        <f t="shared" si="133"/>
        <v>2.3429604E-3</v>
      </c>
      <c r="MS20" s="474">
        <f t="shared" si="134"/>
        <v>3.7671127999999994E-3</v>
      </c>
      <c r="MT20" s="474">
        <f t="shared" si="135"/>
        <v>0.36752319999999999</v>
      </c>
      <c r="MU20" s="474">
        <f t="shared" si="136"/>
        <v>3.9968147999999998E-3</v>
      </c>
      <c r="MV20" s="474">
        <f t="shared" si="137"/>
        <v>4.5940400000000001E-4</v>
      </c>
      <c r="MW20" s="884">
        <f t="shared" si="259"/>
        <v>0.11025695999999999</v>
      </c>
      <c r="MX20" s="884">
        <f t="shared" si="260"/>
        <v>5.5128479999999994E-2</v>
      </c>
      <c r="MY20" s="474">
        <f t="shared" si="139"/>
        <v>0.12863312000000002</v>
      </c>
      <c r="MZ20" s="474">
        <f t="shared" si="140"/>
        <v>0.11025695999999999</v>
      </c>
      <c r="NA20" s="474">
        <f t="shared" si="141"/>
        <v>1.8174022240000001</v>
      </c>
      <c r="NB20" s="474">
        <f t="shared" si="142"/>
        <v>1.8376159999999999E-2</v>
      </c>
      <c r="NC20" s="134">
        <f t="shared" si="143"/>
        <v>1.8376159999999999E-2</v>
      </c>
    </row>
    <row r="21" spans="1:367" x14ac:dyDescent="0.25">
      <c r="A21" s="18">
        <v>1966</v>
      </c>
      <c r="B21" s="1271">
        <v>238</v>
      </c>
      <c r="C21" s="1224"/>
      <c r="D21" s="1224">
        <v>0</v>
      </c>
      <c r="E21" s="1272"/>
      <c r="F21" s="1224">
        <f t="shared" si="144"/>
        <v>234.43</v>
      </c>
      <c r="G21" s="1224"/>
      <c r="H21" s="1224">
        <f t="shared" si="145"/>
        <v>0</v>
      </c>
      <c r="I21" s="1224"/>
      <c r="J21" s="1082">
        <v>0</v>
      </c>
      <c r="K21" s="1082">
        <f t="shared" si="0"/>
        <v>0</v>
      </c>
      <c r="L21" s="1224">
        <f t="shared" si="1"/>
        <v>234.43</v>
      </c>
      <c r="M21" s="1228"/>
      <c r="N21" s="193">
        <v>8.0999999999999996E-3</v>
      </c>
      <c r="O21" s="47">
        <v>0</v>
      </c>
      <c r="P21" s="47">
        <v>6.0000000000000001E-3</v>
      </c>
      <c r="Q21" s="192">
        <v>0</v>
      </c>
      <c r="R21" s="47">
        <v>0</v>
      </c>
      <c r="S21" s="47">
        <f t="shared" si="146"/>
        <v>5.4000000000000003E-3</v>
      </c>
      <c r="T21" s="47">
        <v>0.01</v>
      </c>
      <c r="U21" s="47">
        <v>1.8E-3</v>
      </c>
      <c r="V21" s="117">
        <v>4.0000000000000003E-5</v>
      </c>
      <c r="W21" s="47">
        <v>5.9999999999999995E-4</v>
      </c>
      <c r="X21" s="52">
        <v>1.0999999999999999E-2</v>
      </c>
      <c r="Y21" s="52">
        <v>2.0199999999999999E-2</v>
      </c>
      <c r="Z21" s="111">
        <v>6.3E-2</v>
      </c>
      <c r="AA21" s="52">
        <f t="shared" si="147"/>
        <v>0.1</v>
      </c>
      <c r="AB21" s="52">
        <f t="shared" si="148"/>
        <v>0</v>
      </c>
      <c r="AC21" s="52">
        <f t="shared" si="149"/>
        <v>0.9</v>
      </c>
      <c r="AD21" s="475">
        <f t="shared" si="150"/>
        <v>1.8988829999999999</v>
      </c>
      <c r="AE21" s="474">
        <f t="shared" si="151"/>
        <v>1.8988829999999999</v>
      </c>
      <c r="AF21" s="474">
        <f t="shared" si="152"/>
        <v>0</v>
      </c>
      <c r="AG21" s="474">
        <f t="shared" si="151"/>
        <v>0</v>
      </c>
      <c r="AH21" s="474">
        <f t="shared" si="153"/>
        <v>1.4065800000000002</v>
      </c>
      <c r="AI21" s="474">
        <f t="shared" ref="AI21" si="358">AH21</f>
        <v>1.4065800000000002</v>
      </c>
      <c r="AJ21" s="508"/>
      <c r="AK21" s="508"/>
      <c r="AL21" s="508"/>
      <c r="AM21" s="508"/>
      <c r="AN21" s="508"/>
      <c r="AO21" s="572"/>
      <c r="AP21" s="481">
        <f t="shared" si="155"/>
        <v>1.8988829999999999</v>
      </c>
      <c r="AQ21" s="474">
        <f t="shared" ref="AQ21" si="359">AP21</f>
        <v>1.8988829999999999</v>
      </c>
      <c r="AR21" s="474">
        <f t="shared" si="157"/>
        <v>0</v>
      </c>
      <c r="AS21" s="474">
        <f t="shared" ref="AS21" si="360">AR21</f>
        <v>0</v>
      </c>
      <c r="AT21" s="474">
        <f t="shared" si="159"/>
        <v>1.4065800000000002</v>
      </c>
      <c r="AU21" s="474">
        <f t="shared" ref="AU21" si="361">AT21</f>
        <v>1.4065800000000002</v>
      </c>
      <c r="AV21" s="475">
        <f t="shared" si="2"/>
        <v>0</v>
      </c>
      <c r="AW21" s="474">
        <f t="shared" ref="AW21" si="362">AV21</f>
        <v>0</v>
      </c>
      <c r="AX21" s="474">
        <f t="shared" si="3"/>
        <v>1.2659220000000002</v>
      </c>
      <c r="AY21" s="474">
        <f t="shared" ref="AY21" si="363">AX21</f>
        <v>1.2659220000000002</v>
      </c>
      <c r="AZ21" s="474">
        <f t="shared" si="4"/>
        <v>2.3443000000000001</v>
      </c>
      <c r="BA21" s="474">
        <f t="shared" ref="BA21" si="364">AZ21</f>
        <v>2.3443000000000001</v>
      </c>
      <c r="BB21" s="481"/>
      <c r="BC21" s="474"/>
      <c r="BD21" s="474"/>
      <c r="BE21" s="474"/>
      <c r="BF21" s="474"/>
      <c r="BG21" s="474"/>
      <c r="BH21" s="481">
        <f t="shared" si="5"/>
        <v>0</v>
      </c>
      <c r="BI21" s="474">
        <f t="shared" ref="BI21" si="365">BH21</f>
        <v>0</v>
      </c>
      <c r="BJ21" s="474">
        <f t="shared" si="6"/>
        <v>1.2659220000000002</v>
      </c>
      <c r="BK21" s="474">
        <f t="shared" ref="BK21" si="366">BJ21</f>
        <v>1.2659220000000002</v>
      </c>
      <c r="BL21" s="474">
        <f t="shared" si="7"/>
        <v>2.3443000000000001</v>
      </c>
      <c r="BM21" s="474">
        <f t="shared" ref="BM21" si="367">BL21</f>
        <v>2.3443000000000001</v>
      </c>
      <c r="BN21" s="475">
        <f t="shared" si="8"/>
        <v>9.3772000000000005E-3</v>
      </c>
      <c r="BO21" s="474">
        <f t="shared" ref="BO21" si="368">BN21</f>
        <v>9.3772000000000005E-3</v>
      </c>
      <c r="BP21" s="474">
        <f t="shared" si="9"/>
        <v>0.14065800000000001</v>
      </c>
      <c r="BQ21" s="474">
        <f t="shared" ref="BQ21" si="369">BP21</f>
        <v>0.14065800000000001</v>
      </c>
      <c r="BR21" s="474">
        <f t="shared" si="10"/>
        <v>2.5787299999999997</v>
      </c>
      <c r="BS21" s="474">
        <f t="shared" ref="BS21" si="370">BR21</f>
        <v>2.5787299999999997</v>
      </c>
      <c r="BT21" s="481"/>
      <c r="BU21" s="474"/>
      <c r="BV21" s="474"/>
      <c r="BW21" s="474"/>
      <c r="BX21" s="474"/>
      <c r="BY21" s="474"/>
      <c r="BZ21" s="481">
        <f t="shared" si="11"/>
        <v>9.3772000000000005E-3</v>
      </c>
      <c r="CA21" s="474">
        <f t="shared" ref="CA21" si="371">BZ21</f>
        <v>9.3772000000000005E-3</v>
      </c>
      <c r="CB21" s="474">
        <f t="shared" si="12"/>
        <v>0.14065800000000001</v>
      </c>
      <c r="CC21" s="474">
        <f t="shared" ref="CC21" si="372">CB21</f>
        <v>0.14065800000000001</v>
      </c>
      <c r="CD21" s="474">
        <f t="shared" si="13"/>
        <v>2.5787299999999997</v>
      </c>
      <c r="CE21" s="526">
        <f t="shared" ref="CE21" si="373">CD21</f>
        <v>2.5787299999999997</v>
      </c>
      <c r="CF21" s="355">
        <f t="shared" si="173"/>
        <v>0</v>
      </c>
      <c r="CG21" s="615">
        <f t="shared" si="174"/>
        <v>0</v>
      </c>
      <c r="CH21" s="355">
        <f t="shared" si="175"/>
        <v>0</v>
      </c>
      <c r="CI21" s="615">
        <f t="shared" si="14"/>
        <v>0</v>
      </c>
      <c r="CJ21" s="615">
        <f t="shared" si="176"/>
        <v>0</v>
      </c>
      <c r="CK21" s="615">
        <f t="shared" si="15"/>
        <v>0</v>
      </c>
      <c r="CL21" s="122"/>
      <c r="CM21" s="1235">
        <f t="shared" si="16"/>
        <v>219.66091</v>
      </c>
      <c r="CN21" s="1231"/>
      <c r="CO21" s="1230"/>
      <c r="CP21" s="1231"/>
      <c r="CQ21" s="1230">
        <f t="shared" si="177"/>
        <v>219.66091</v>
      </c>
      <c r="CR21" s="1232"/>
      <c r="CS21" s="30">
        <v>0.45</v>
      </c>
      <c r="CT21" s="31">
        <f t="shared" si="178"/>
        <v>0.55000000000000004</v>
      </c>
      <c r="CU21" s="31"/>
      <c r="CV21" s="32"/>
      <c r="CW21" s="1233">
        <f t="shared" si="179"/>
        <v>93.905039025000008</v>
      </c>
      <c r="CX21" s="1234"/>
      <c r="CY21" s="1234">
        <f t="shared" si="180"/>
        <v>114.772825475</v>
      </c>
      <c r="CZ21" s="1231"/>
      <c r="DA21" s="369"/>
      <c r="DB21" s="369"/>
      <c r="DC21" s="369"/>
      <c r="DD21" s="373"/>
      <c r="DE21" s="1234">
        <f t="shared" si="17"/>
        <v>93.905039025000008</v>
      </c>
      <c r="DF21" s="1234"/>
      <c r="DG21" s="369">
        <f t="shared" si="341"/>
        <v>114.772825475</v>
      </c>
      <c r="DH21" s="372">
        <f t="shared" si="182"/>
        <v>114.772825475</v>
      </c>
      <c r="DJ21" s="493">
        <v>0.05</v>
      </c>
      <c r="DK21" s="379"/>
      <c r="DL21" s="1105">
        <f t="shared" si="18"/>
        <v>10.983045500000001</v>
      </c>
      <c r="DM21" s="1105">
        <f t="shared" si="19"/>
        <v>10.983045500000001</v>
      </c>
      <c r="DN21" s="369"/>
      <c r="DO21" s="372"/>
      <c r="DP21" s="30">
        <v>1</v>
      </c>
      <c r="DQ21" s="31">
        <f t="shared" si="183"/>
        <v>0.1</v>
      </c>
      <c r="DR21" s="31">
        <f t="shared" si="184"/>
        <v>1</v>
      </c>
      <c r="DS21" s="680">
        <f t="shared" si="185"/>
        <v>0.1</v>
      </c>
      <c r="DT21" s="77">
        <f t="shared" si="186"/>
        <v>1</v>
      </c>
      <c r="DU21" s="31">
        <v>0</v>
      </c>
      <c r="DV21" s="31">
        <v>1</v>
      </c>
      <c r="DW21" s="31">
        <v>0</v>
      </c>
      <c r="DX21" s="31">
        <v>0</v>
      </c>
      <c r="DY21" s="31">
        <v>1</v>
      </c>
      <c r="DZ21" s="31">
        <v>0</v>
      </c>
      <c r="EA21" s="383">
        <f t="shared" si="187"/>
        <v>0</v>
      </c>
      <c r="EB21" s="355">
        <f t="shared" si="188"/>
        <v>0</v>
      </c>
      <c r="EC21" s="355">
        <f t="shared" si="189"/>
        <v>1.0383131250000002</v>
      </c>
      <c r="ED21" s="355">
        <f t="shared" si="190"/>
        <v>10.383131250000002</v>
      </c>
      <c r="EE21" s="355">
        <f t="shared" si="191"/>
        <v>0</v>
      </c>
      <c r="EF21" s="355">
        <f t="shared" si="192"/>
        <v>0</v>
      </c>
      <c r="EG21" s="366"/>
      <c r="EH21" s="355"/>
      <c r="EI21" s="355"/>
      <c r="EJ21" s="355"/>
      <c r="EK21" s="355"/>
      <c r="EL21" s="356"/>
      <c r="EM21" s="355">
        <f t="shared" si="193"/>
        <v>1.0383131250000002</v>
      </c>
      <c r="EN21" s="134">
        <f t="shared" si="194"/>
        <v>10.383131250000002</v>
      </c>
      <c r="EP21" s="1171">
        <f t="shared" si="20"/>
        <v>9.3772000000000005E-3</v>
      </c>
      <c r="EQ21" s="1172"/>
      <c r="ER21" s="1172">
        <f t="shared" si="21"/>
        <v>0.14065800000000001</v>
      </c>
      <c r="ES21" s="1172"/>
      <c r="ET21" s="1172">
        <f t="shared" si="22"/>
        <v>2.5787299999999997</v>
      </c>
      <c r="EU21" s="1172"/>
      <c r="EV21" s="366"/>
      <c r="EW21" s="355"/>
      <c r="EX21" s="355"/>
      <c r="EY21" s="355"/>
      <c r="EZ21" s="1172"/>
      <c r="FA21" s="1173"/>
      <c r="FB21" s="368">
        <f t="shared" si="195"/>
        <v>93.905039025000008</v>
      </c>
      <c r="FC21" s="369">
        <f t="shared" si="196"/>
        <v>93.905039025000008</v>
      </c>
      <c r="FD21" s="369"/>
      <c r="FE21" s="61"/>
      <c r="FF21" s="368">
        <f t="shared" si="197"/>
        <v>114.772825475</v>
      </c>
      <c r="FG21" s="369">
        <f t="shared" si="24"/>
        <v>114.772825475</v>
      </c>
      <c r="FH21" s="369"/>
      <c r="FI21" s="369"/>
      <c r="FJ21" s="30">
        <v>1</v>
      </c>
      <c r="FK21" s="31">
        <v>0.2</v>
      </c>
      <c r="FL21" s="501">
        <v>0.8</v>
      </c>
      <c r="FM21" s="31">
        <f t="shared" si="198"/>
        <v>0.1</v>
      </c>
      <c r="FN21" s="501">
        <f t="shared" si="199"/>
        <v>1</v>
      </c>
      <c r="FO21" s="31">
        <f t="shared" si="200"/>
        <v>0.1</v>
      </c>
      <c r="FP21" s="31">
        <f t="shared" si="201"/>
        <v>1</v>
      </c>
      <c r="FQ21" s="31">
        <v>1</v>
      </c>
      <c r="FR21" s="31">
        <v>0</v>
      </c>
      <c r="FS21" s="89">
        <f t="shared" si="202"/>
        <v>1E-3</v>
      </c>
      <c r="FT21" s="31">
        <f t="shared" si="203"/>
        <v>0.05</v>
      </c>
      <c r="FU21" s="30">
        <v>0.05</v>
      </c>
      <c r="FV21" s="32">
        <f t="shared" si="25"/>
        <v>2.4224999999999997E-2</v>
      </c>
      <c r="FW21" s="31">
        <v>0.1</v>
      </c>
      <c r="FX21" s="77">
        <f t="shared" si="26"/>
        <v>9.0000000000000011E-2</v>
      </c>
      <c r="FY21" s="30"/>
      <c r="FZ21" s="32"/>
      <c r="GA21" s="31"/>
      <c r="GB21" s="77"/>
      <c r="GC21" s="378">
        <f t="shared" si="27"/>
        <v>9.3772000000000005E-3</v>
      </c>
      <c r="GD21" s="379">
        <f t="shared" si="204"/>
        <v>9.3772000000000005E-3</v>
      </c>
      <c r="GE21" s="379">
        <f t="shared" si="28"/>
        <v>0.14065800000000001</v>
      </c>
      <c r="GF21" s="379">
        <f t="shared" si="205"/>
        <v>0.14065800000000001</v>
      </c>
      <c r="GG21" s="379">
        <f t="shared" si="206"/>
        <v>0.51574599999999993</v>
      </c>
      <c r="GH21" s="218">
        <f t="shared" si="207"/>
        <v>2.0629839999999997</v>
      </c>
      <c r="GI21" s="379"/>
      <c r="GJ21" s="379"/>
      <c r="GK21" s="379"/>
      <c r="GL21" s="379"/>
      <c r="GM21" s="379"/>
      <c r="GN21" s="218"/>
      <c r="GO21" s="379">
        <f t="shared" si="208"/>
        <v>0.66578119999999996</v>
      </c>
      <c r="GP21" s="515">
        <f t="shared" si="209"/>
        <v>2.2130191999999997</v>
      </c>
      <c r="GQ21" s="379">
        <f t="shared" si="210"/>
        <v>0.65893816906171865</v>
      </c>
      <c r="GR21" s="379">
        <f t="shared" si="211"/>
        <v>16.867396715624999</v>
      </c>
      <c r="GS21" s="355">
        <f>1/10*($FF21*$FQ21*$FM21*$FS21+$FF20*$FQ20*$FM20*$FS20+$FF19*$FQ19*$FM19*$FS19+$FF18*$FQ18*$FM18*$FS18+$FF17*$FQ17*$FM17*$FS17+$FF16*$FQ16*$FM16*$FS16+$FF15*$FQ15*$FM15*$FS15+$FF14*$FQ14*$FM14*$FS14+$FF13*$FQ13*$FM13*$FS13)</f>
        <v>5.738641273750001E-3</v>
      </c>
      <c r="GT21" s="355">
        <f>1/10*($FG21*$FQ21*$FN21*$FT21+$FG20*$FQ20*$FN20*$FT20+$FG19*$FQ19*$FN19*$FT19+$FG18*$FQ18*$FN18*$FT18+$FG17*$FQ17*$FN17*$FT17+$FG16*$FQ16*$FN16*$FT16+$FG15*$FQ15*$FN15*$FT15+$FG14*$FQ14*$FN14*$FT14+$FG13*$FQ13*$FN13*$FT13)</f>
        <v>2.8693206368749999</v>
      </c>
      <c r="GU21" s="355">
        <f>1/10*($FF21*$FR21*$FM21*$FS21+$FF20*$FR20*$FM20*$FS20+$FF19*$FR19*$FM19*$FS19+$FF18*$FR18*$FM18*$FS18+$FF17*$FR17*$FM17*$FS17+$FF16*$FR16*$FM16*$FS16+$FF15*$FR15*$FM15*$FS15+$FF14*$FR14*$FM14*$FS14+$FF13*$FR13*$FM13*$FS13)</f>
        <v>0</v>
      </c>
      <c r="GV21" s="356">
        <f>1/10*($FG21*$FR21*$FN21*$FT21+$FG20*$FR20*$FN20*$FT20+$FG19*$FR19*$FN19*$FT19+$FG18*$FR18*$FN18*$FT18+$FG17*$FR17*$FN17*$FT17+$FG16*$FR16*$FN16*$FT16+$FG15*$FR15*$FN15*$FT15+$FG14*$FR14*$FN14*$FT14+$FG13*$FR13*$FN13*$FT13)</f>
        <v>0</v>
      </c>
      <c r="GW21" s="355"/>
      <c r="GX21" s="355"/>
      <c r="GY21" s="355"/>
      <c r="GZ21" s="355"/>
      <c r="HA21" s="355"/>
      <c r="HB21" s="356"/>
      <c r="HC21" s="379">
        <f t="shared" si="212"/>
        <v>0.66467681033546866</v>
      </c>
      <c r="HD21" s="38">
        <f t="shared" si="213"/>
        <v>19.736717352499998</v>
      </c>
      <c r="HF21" s="383">
        <f t="shared" si="29"/>
        <v>1.8988829999999999</v>
      </c>
      <c r="HG21" s="355">
        <f t="shared" si="30"/>
        <v>1.8988829999999999</v>
      </c>
      <c r="HH21" s="355">
        <f t="shared" si="31"/>
        <v>0</v>
      </c>
      <c r="HI21" s="355">
        <f t="shared" si="32"/>
        <v>0</v>
      </c>
      <c r="HJ21" s="355">
        <f t="shared" si="33"/>
        <v>1.4065800000000002</v>
      </c>
      <c r="HK21" s="356">
        <f t="shared" si="34"/>
        <v>1.4065800000000002</v>
      </c>
      <c r="HL21" s="355">
        <f t="shared" si="35"/>
        <v>0</v>
      </c>
      <c r="HM21" s="355">
        <f t="shared" si="36"/>
        <v>0</v>
      </c>
      <c r="HN21" s="355">
        <f t="shared" si="37"/>
        <v>2.3042351250000004</v>
      </c>
      <c r="HO21" s="355">
        <f t="shared" si="38"/>
        <v>11.649053250000001</v>
      </c>
      <c r="HP21" s="355">
        <f t="shared" si="39"/>
        <v>2.3443000000000001</v>
      </c>
      <c r="HQ21" s="524">
        <f t="shared" si="40"/>
        <v>2.3443000000000001</v>
      </c>
      <c r="HR21" s="615">
        <f t="shared" si="214"/>
        <v>0.67405401033546863</v>
      </c>
      <c r="HS21" s="615">
        <f t="shared" si="41"/>
        <v>19.746094552499997</v>
      </c>
      <c r="HT21" s="615">
        <f t="shared" si="42"/>
        <v>0.14065800000000001</v>
      </c>
      <c r="HU21" s="615">
        <f t="shared" si="43"/>
        <v>0.14065800000000001</v>
      </c>
      <c r="HV21" s="615">
        <f t="shared" si="44"/>
        <v>0.51574599999999993</v>
      </c>
      <c r="HW21" s="615">
        <f t="shared" si="45"/>
        <v>2.0629839999999997</v>
      </c>
      <c r="IH21" s="884">
        <f t="shared" si="215"/>
        <v>2.0887713000000002E-2</v>
      </c>
      <c r="II21" s="884">
        <f t="shared" si="216"/>
        <v>1.7089947000000001E-2</v>
      </c>
      <c r="IJ21" s="884">
        <f t="shared" si="217"/>
        <v>3.4179894000000002E-2</v>
      </c>
      <c r="IK21" s="474">
        <f t="shared" si="218"/>
        <v>1.7089947000000001E-2</v>
      </c>
      <c r="IL21" s="474">
        <f t="shared" si="219"/>
        <v>1.6045561349999999</v>
      </c>
      <c r="IM21" s="474">
        <f t="shared" si="220"/>
        <v>1.8988829999999999E-3</v>
      </c>
      <c r="IN21" s="474">
        <f t="shared" si="221"/>
        <v>1.8988829999999999E-3</v>
      </c>
      <c r="IO21" s="884">
        <f t="shared" si="222"/>
        <v>6.2663138999999993E-2</v>
      </c>
      <c r="IP21" s="884">
        <f t="shared" si="223"/>
        <v>7.7854202999999983E-2</v>
      </c>
      <c r="IQ21" s="474">
        <f t="shared" si="224"/>
        <v>9.8741915999999999E-2</v>
      </c>
      <c r="IR21" s="474">
        <f t="shared" si="225"/>
        <v>7.7854202999999983E-2</v>
      </c>
      <c r="IS21" s="474">
        <f t="shared" si="226"/>
        <v>1.6083539009999999</v>
      </c>
      <c r="IT21" s="474">
        <f t="shared" si="227"/>
        <v>1.8988829999999998E-2</v>
      </c>
      <c r="IU21" s="526">
        <f t="shared" si="228"/>
        <v>1.8988829999999998E-2</v>
      </c>
      <c r="IV21" s="884">
        <f t="shared" si="229"/>
        <v>0</v>
      </c>
      <c r="IW21" s="884">
        <f t="shared" si="230"/>
        <v>0</v>
      </c>
      <c r="IX21" s="474">
        <f t="shared" si="49"/>
        <v>0</v>
      </c>
      <c r="IY21" s="474">
        <f t="shared" si="50"/>
        <v>0</v>
      </c>
      <c r="IZ21" s="474">
        <f t="shared" si="51"/>
        <v>0</v>
      </c>
      <c r="JA21" s="474">
        <f t="shared" si="52"/>
        <v>0</v>
      </c>
      <c r="JB21" s="474">
        <f t="shared" si="53"/>
        <v>0</v>
      </c>
      <c r="JC21" s="884">
        <f t="shared" si="231"/>
        <v>0</v>
      </c>
      <c r="JD21" s="884">
        <f t="shared" si="232"/>
        <v>0</v>
      </c>
      <c r="JE21" s="474">
        <f t="shared" si="55"/>
        <v>0</v>
      </c>
      <c r="JF21" s="474">
        <f t="shared" si="56"/>
        <v>0</v>
      </c>
      <c r="JG21" s="474">
        <f t="shared" si="57"/>
        <v>0</v>
      </c>
      <c r="JH21" s="474">
        <f t="shared" si="58"/>
        <v>0</v>
      </c>
      <c r="JI21" s="480">
        <f t="shared" si="59"/>
        <v>0</v>
      </c>
      <c r="JJ21" s="884">
        <f t="shared" si="233"/>
        <v>1.5472380000000003E-2</v>
      </c>
      <c r="JK21" s="884">
        <f t="shared" si="234"/>
        <v>1.2659220000000002E-2</v>
      </c>
      <c r="JL21" s="474">
        <f t="shared" si="61"/>
        <v>2.5318440000000005E-2</v>
      </c>
      <c r="JM21" s="474">
        <f t="shared" si="62"/>
        <v>1.2659220000000002E-2</v>
      </c>
      <c r="JN21" s="474">
        <f t="shared" si="63"/>
        <v>1.1885601000000001</v>
      </c>
      <c r="JO21" s="474">
        <f t="shared" si="64"/>
        <v>1.4065800000000002E-3</v>
      </c>
      <c r="JP21" s="474">
        <f t="shared" si="65"/>
        <v>1.4065800000000002E-3</v>
      </c>
      <c r="JQ21" s="884">
        <f t="shared" si="235"/>
        <v>4.641714000000001E-2</v>
      </c>
      <c r="JR21" s="884">
        <f t="shared" si="236"/>
        <v>5.7669779999999997E-2</v>
      </c>
      <c r="JS21" s="474">
        <f t="shared" si="67"/>
        <v>7.3142160000000012E-2</v>
      </c>
      <c r="JT21" s="474">
        <f t="shared" si="68"/>
        <v>5.7669779999999997E-2</v>
      </c>
      <c r="JU21" s="474">
        <f t="shared" si="69"/>
        <v>1.1913732600000002</v>
      </c>
      <c r="JV21" s="474">
        <f t="shared" si="70"/>
        <v>1.4065800000000002E-2</v>
      </c>
      <c r="JW21" s="134">
        <f t="shared" si="71"/>
        <v>1.4065800000000002E-2</v>
      </c>
      <c r="JX21" s="884">
        <f t="shared" si="237"/>
        <v>0</v>
      </c>
      <c r="JY21" s="1033">
        <f t="shared" si="238"/>
        <v>0</v>
      </c>
      <c r="JZ21" s="1033">
        <f t="shared" si="73"/>
        <v>0</v>
      </c>
      <c r="KA21" s="355">
        <f t="shared" si="74"/>
        <v>0</v>
      </c>
      <c r="KB21" s="355">
        <f t="shared" si="75"/>
        <v>0</v>
      </c>
      <c r="KC21" s="355">
        <f t="shared" si="76"/>
        <v>0</v>
      </c>
      <c r="KD21" s="355">
        <f t="shared" si="77"/>
        <v>0</v>
      </c>
      <c r="KE21" s="884">
        <f t="shared" si="239"/>
        <v>0</v>
      </c>
      <c r="KF21" s="884">
        <f t="shared" si="240"/>
        <v>0</v>
      </c>
      <c r="KG21" s="355">
        <f t="shared" si="79"/>
        <v>0</v>
      </c>
      <c r="KH21" s="355">
        <f t="shared" si="80"/>
        <v>0</v>
      </c>
      <c r="KI21" s="355">
        <f t="shared" si="81"/>
        <v>0</v>
      </c>
      <c r="KJ21" s="355">
        <f t="shared" si="82"/>
        <v>0</v>
      </c>
      <c r="KK21" s="526">
        <f t="shared" si="83"/>
        <v>0</v>
      </c>
      <c r="KL21" s="884">
        <f t="shared" si="241"/>
        <v>2.5346586375000008E-2</v>
      </c>
      <c r="KM21" s="884">
        <f t="shared" si="242"/>
        <v>2.0738116125000004E-2</v>
      </c>
      <c r="KN21" s="355">
        <f t="shared" si="85"/>
        <v>4.1476232250000009E-2</v>
      </c>
      <c r="KO21" s="355">
        <f t="shared" si="86"/>
        <v>2.0738116125000004E-2</v>
      </c>
      <c r="KP21" s="355">
        <f t="shared" si="87"/>
        <v>1.9470786806250002</v>
      </c>
      <c r="KQ21" s="355">
        <f t="shared" si="88"/>
        <v>2.3042351250000003E-3</v>
      </c>
      <c r="KR21" s="355">
        <f t="shared" si="89"/>
        <v>2.3042351250000003E-3</v>
      </c>
      <c r="KS21" s="884">
        <f t="shared" si="243"/>
        <v>0.38441875725000008</v>
      </c>
      <c r="KT21" s="884">
        <f t="shared" si="244"/>
        <v>0.47761118325000002</v>
      </c>
      <c r="KU21" s="355">
        <f t="shared" si="91"/>
        <v>0.60575076900000013</v>
      </c>
      <c r="KV21" s="355">
        <f t="shared" si="92"/>
        <v>0.47761118325000002</v>
      </c>
      <c r="KW21" s="355">
        <f t="shared" si="93"/>
        <v>9.8667481027500017</v>
      </c>
      <c r="KX21" s="355">
        <f t="shared" si="94"/>
        <v>0.11649053250000002</v>
      </c>
      <c r="KY21" s="480">
        <f t="shared" si="95"/>
        <v>0.11649053250000002</v>
      </c>
      <c r="KZ21" s="884">
        <f t="shared" si="245"/>
        <v>2.5787300000000003E-2</v>
      </c>
      <c r="LA21" s="884">
        <f t="shared" si="246"/>
        <v>2.1098700000000001E-2</v>
      </c>
      <c r="LB21" s="355">
        <f t="shared" si="97"/>
        <v>4.2197400000000003E-2</v>
      </c>
      <c r="LC21" s="355">
        <f t="shared" si="98"/>
        <v>2.1098700000000001E-2</v>
      </c>
      <c r="LD21" s="355">
        <f t="shared" si="99"/>
        <v>1.9809334999999999</v>
      </c>
      <c r="LE21" s="355">
        <f t="shared" si="100"/>
        <v>2.3443000000000001E-3</v>
      </c>
      <c r="LF21" s="355">
        <f t="shared" si="101"/>
        <v>2.3443000000000001E-3</v>
      </c>
      <c r="LG21" s="884">
        <f t="shared" si="247"/>
        <v>7.7361900000000011E-2</v>
      </c>
      <c r="LH21" s="884">
        <f t="shared" si="248"/>
        <v>9.6116299999999988E-2</v>
      </c>
      <c r="LI21" s="355">
        <f t="shared" si="103"/>
        <v>0.12190360000000001</v>
      </c>
      <c r="LJ21" s="355">
        <f t="shared" si="104"/>
        <v>9.6116299999999988E-2</v>
      </c>
      <c r="LK21" s="355">
        <f t="shared" si="105"/>
        <v>1.9856221000000001</v>
      </c>
      <c r="LL21" s="355">
        <f t="shared" si="106"/>
        <v>2.3443000000000002E-2</v>
      </c>
      <c r="LM21" s="134">
        <f t="shared" si="107"/>
        <v>2.3443000000000002E-2</v>
      </c>
      <c r="LN21" s="884">
        <f t="shared" si="249"/>
        <v>7.4145941136901554E-4</v>
      </c>
      <c r="LO21" s="884">
        <f t="shared" si="250"/>
        <v>2.0221620310064057E-4</v>
      </c>
      <c r="LP21" s="355">
        <f t="shared" si="109"/>
        <v>3.4376754527108903E-3</v>
      </c>
      <c r="LQ21" s="474">
        <f t="shared" si="110"/>
        <v>5.527242884750842E-3</v>
      </c>
      <c r="LR21" s="474">
        <f t="shared" si="111"/>
        <v>0.53924320826837491</v>
      </c>
      <c r="LS21" s="474">
        <f t="shared" si="112"/>
        <v>5.8642698899185764E-3</v>
      </c>
      <c r="LT21" s="474">
        <f t="shared" si="113"/>
        <v>6.7405401033546869E-4</v>
      </c>
      <c r="LU21" s="884">
        <f t="shared" si="251"/>
        <v>1.1847656731499998</v>
      </c>
      <c r="LV21" s="884">
        <f t="shared" si="252"/>
        <v>0.5923828365749999</v>
      </c>
      <c r="LW21" s="355">
        <f t="shared" si="115"/>
        <v>1.3822266186749999</v>
      </c>
      <c r="LX21" s="474">
        <f t="shared" si="116"/>
        <v>1.1847656731499998</v>
      </c>
      <c r="LY21" s="474">
        <f t="shared" si="117"/>
        <v>19.5288875124225</v>
      </c>
      <c r="LZ21" s="474">
        <f t="shared" si="118"/>
        <v>0.19746094552499999</v>
      </c>
      <c r="MA21" s="485">
        <f t="shared" si="119"/>
        <v>0.19746094552499999</v>
      </c>
      <c r="MB21" s="884">
        <f t="shared" si="253"/>
        <v>1.547238E-4</v>
      </c>
      <c r="MC21" s="884">
        <f t="shared" si="254"/>
        <v>4.2197399999999997E-5</v>
      </c>
      <c r="MD21" s="355">
        <f t="shared" si="121"/>
        <v>7.1735580000000009E-4</v>
      </c>
      <c r="ME21" s="474">
        <f t="shared" si="122"/>
        <v>1.1533956E-3</v>
      </c>
      <c r="MF21" s="474">
        <f t="shared" si="123"/>
        <v>0.11252640000000001</v>
      </c>
      <c r="MG21" s="474">
        <f t="shared" si="124"/>
        <v>1.2237246E-3</v>
      </c>
      <c r="MH21" s="474">
        <f t="shared" si="125"/>
        <v>1.4065800000000002E-4</v>
      </c>
      <c r="MI21" s="884">
        <f t="shared" si="255"/>
        <v>8.4394799999999992E-3</v>
      </c>
      <c r="MJ21" s="884">
        <f t="shared" si="256"/>
        <v>4.2197399999999996E-3</v>
      </c>
      <c r="MK21" s="355">
        <f t="shared" si="127"/>
        <v>9.846060000000002E-3</v>
      </c>
      <c r="ML21" s="474">
        <f t="shared" si="128"/>
        <v>8.4394799999999992E-3</v>
      </c>
      <c r="MM21" s="474">
        <f t="shared" si="129"/>
        <v>0.13911076200000003</v>
      </c>
      <c r="MN21" s="474">
        <f t="shared" si="130"/>
        <v>1.4065800000000002E-3</v>
      </c>
      <c r="MO21" s="485">
        <f t="shared" si="131"/>
        <v>1.4065800000000002E-3</v>
      </c>
      <c r="MP21" s="884">
        <f t="shared" si="257"/>
        <v>5.6732059999999994E-4</v>
      </c>
      <c r="MQ21" s="884">
        <f t="shared" si="258"/>
        <v>1.5472379999999998E-4</v>
      </c>
      <c r="MR21" s="355">
        <f t="shared" si="133"/>
        <v>2.6303045999999997E-3</v>
      </c>
      <c r="MS21" s="474">
        <f t="shared" si="134"/>
        <v>4.2291171999999985E-3</v>
      </c>
      <c r="MT21" s="474">
        <f t="shared" si="135"/>
        <v>0.41259679999999999</v>
      </c>
      <c r="MU21" s="474">
        <f t="shared" si="136"/>
        <v>4.4869901999999989E-3</v>
      </c>
      <c r="MV21" s="474">
        <f t="shared" si="137"/>
        <v>5.1574599999999998E-4</v>
      </c>
      <c r="MW21" s="884">
        <f t="shared" si="259"/>
        <v>0.12377903999999998</v>
      </c>
      <c r="MX21" s="884">
        <f t="shared" si="260"/>
        <v>6.188951999999999E-2</v>
      </c>
      <c r="MY21" s="474">
        <f t="shared" si="139"/>
        <v>0.14440887999999999</v>
      </c>
      <c r="MZ21" s="474">
        <f t="shared" si="140"/>
        <v>0.12377903999999998</v>
      </c>
      <c r="NA21" s="474">
        <f t="shared" si="141"/>
        <v>2.0402911759999998</v>
      </c>
      <c r="NB21" s="474">
        <f t="shared" si="142"/>
        <v>2.0629839999999997E-2</v>
      </c>
      <c r="NC21" s="134">
        <f t="shared" si="143"/>
        <v>2.0629839999999997E-2</v>
      </c>
    </row>
    <row r="22" spans="1:367" x14ac:dyDescent="0.25">
      <c r="A22" s="18">
        <v>1967</v>
      </c>
      <c r="B22" s="1271">
        <v>265</v>
      </c>
      <c r="C22" s="1224"/>
      <c r="D22" s="1224">
        <v>0</v>
      </c>
      <c r="E22" s="1272"/>
      <c r="F22" s="1224">
        <f t="shared" si="144"/>
        <v>261.02499999999998</v>
      </c>
      <c r="G22" s="1224"/>
      <c r="H22" s="1224">
        <f t="shared" si="145"/>
        <v>0</v>
      </c>
      <c r="I22" s="1224"/>
      <c r="J22" s="1082">
        <v>0</v>
      </c>
      <c r="K22" s="1082">
        <f t="shared" si="0"/>
        <v>0</v>
      </c>
      <c r="L22" s="1224">
        <f t="shared" si="1"/>
        <v>261.02499999999998</v>
      </c>
      <c r="M22" s="1228"/>
      <c r="N22" s="193">
        <v>8.0999999999999996E-3</v>
      </c>
      <c r="O22" s="47">
        <v>0</v>
      </c>
      <c r="P22" s="47">
        <v>6.0000000000000001E-3</v>
      </c>
      <c r="Q22" s="192">
        <v>0</v>
      </c>
      <c r="R22" s="47">
        <v>0</v>
      </c>
      <c r="S22" s="47">
        <f t="shared" si="146"/>
        <v>5.4000000000000003E-3</v>
      </c>
      <c r="T22" s="47">
        <v>0.01</v>
      </c>
      <c r="U22" s="47">
        <v>1.8E-3</v>
      </c>
      <c r="V22" s="117">
        <v>4.0000000000000003E-5</v>
      </c>
      <c r="W22" s="47">
        <v>5.9999999999999995E-4</v>
      </c>
      <c r="X22" s="52">
        <v>1.0999999999999999E-2</v>
      </c>
      <c r="Y22" s="52">
        <v>2.0199999999999999E-2</v>
      </c>
      <c r="Z22" s="111">
        <v>6.3E-2</v>
      </c>
      <c r="AA22" s="52">
        <f t="shared" si="147"/>
        <v>0.1</v>
      </c>
      <c r="AB22" s="52">
        <f t="shared" si="148"/>
        <v>0</v>
      </c>
      <c r="AC22" s="52">
        <f t="shared" si="149"/>
        <v>0.9</v>
      </c>
      <c r="AD22" s="475">
        <f t="shared" si="150"/>
        <v>2.1143024999999995</v>
      </c>
      <c r="AE22" s="474">
        <f t="shared" si="151"/>
        <v>2.1143024999999995</v>
      </c>
      <c r="AF22" s="474">
        <f t="shared" si="152"/>
        <v>0</v>
      </c>
      <c r="AG22" s="474">
        <f t="shared" si="151"/>
        <v>0</v>
      </c>
      <c r="AH22" s="474">
        <f t="shared" si="153"/>
        <v>1.5661499999999999</v>
      </c>
      <c r="AI22" s="474">
        <f t="shared" ref="AI22" si="374">AH22</f>
        <v>1.5661499999999999</v>
      </c>
      <c r="AJ22" s="508"/>
      <c r="AK22" s="508"/>
      <c r="AL22" s="508"/>
      <c r="AM22" s="508"/>
      <c r="AN22" s="508"/>
      <c r="AO22" s="572"/>
      <c r="AP22" s="481">
        <f t="shared" si="155"/>
        <v>2.1143024999999995</v>
      </c>
      <c r="AQ22" s="474">
        <f t="shared" ref="AQ22" si="375">AP22</f>
        <v>2.1143024999999995</v>
      </c>
      <c r="AR22" s="474">
        <f t="shared" si="157"/>
        <v>0</v>
      </c>
      <c r="AS22" s="474">
        <f t="shared" ref="AS22" si="376">AR22</f>
        <v>0</v>
      </c>
      <c r="AT22" s="474">
        <f t="shared" si="159"/>
        <v>1.5661499999999999</v>
      </c>
      <c r="AU22" s="474">
        <f t="shared" ref="AU22" si="377">AT22</f>
        <v>1.5661499999999999</v>
      </c>
      <c r="AV22" s="475">
        <f t="shared" si="2"/>
        <v>0</v>
      </c>
      <c r="AW22" s="474">
        <f t="shared" ref="AW22" si="378">AV22</f>
        <v>0</v>
      </c>
      <c r="AX22" s="474">
        <f t="shared" si="3"/>
        <v>1.409535</v>
      </c>
      <c r="AY22" s="474">
        <f t="shared" ref="AY22" si="379">AX22</f>
        <v>1.409535</v>
      </c>
      <c r="AZ22" s="474">
        <f t="shared" si="4"/>
        <v>2.6102499999999997</v>
      </c>
      <c r="BA22" s="474">
        <f t="shared" ref="BA22" si="380">AZ22</f>
        <v>2.6102499999999997</v>
      </c>
      <c r="BB22" s="481"/>
      <c r="BC22" s="474"/>
      <c r="BD22" s="474"/>
      <c r="BE22" s="474"/>
      <c r="BF22" s="474"/>
      <c r="BG22" s="474"/>
      <c r="BH22" s="481">
        <f t="shared" si="5"/>
        <v>0</v>
      </c>
      <c r="BI22" s="474">
        <f t="shared" ref="BI22" si="381">BH22</f>
        <v>0</v>
      </c>
      <c r="BJ22" s="474">
        <f t="shared" si="6"/>
        <v>1.409535</v>
      </c>
      <c r="BK22" s="474">
        <f t="shared" ref="BK22" si="382">BJ22</f>
        <v>1.409535</v>
      </c>
      <c r="BL22" s="474">
        <f t="shared" si="7"/>
        <v>2.6102499999999997</v>
      </c>
      <c r="BM22" s="474">
        <f t="shared" ref="BM22" si="383">BL22</f>
        <v>2.6102499999999997</v>
      </c>
      <c r="BN22" s="475">
        <f t="shared" si="8"/>
        <v>1.0441000000000001E-2</v>
      </c>
      <c r="BO22" s="474">
        <f t="shared" ref="BO22" si="384">BN22</f>
        <v>1.0441000000000001E-2</v>
      </c>
      <c r="BP22" s="474">
        <f t="shared" si="9"/>
        <v>0.15661499999999998</v>
      </c>
      <c r="BQ22" s="474">
        <f t="shared" ref="BQ22" si="385">BP22</f>
        <v>0.15661499999999998</v>
      </c>
      <c r="BR22" s="474">
        <f t="shared" si="10"/>
        <v>2.8712749999999998</v>
      </c>
      <c r="BS22" s="474">
        <f t="shared" ref="BS22" si="386">BR22</f>
        <v>2.8712749999999998</v>
      </c>
      <c r="BT22" s="481"/>
      <c r="BU22" s="474"/>
      <c r="BV22" s="474"/>
      <c r="BW22" s="474"/>
      <c r="BX22" s="474"/>
      <c r="BY22" s="474"/>
      <c r="BZ22" s="481">
        <f t="shared" si="11"/>
        <v>1.0441000000000001E-2</v>
      </c>
      <c r="CA22" s="474">
        <f t="shared" ref="CA22" si="387">BZ22</f>
        <v>1.0441000000000001E-2</v>
      </c>
      <c r="CB22" s="474">
        <f t="shared" si="12"/>
        <v>0.15661499999999998</v>
      </c>
      <c r="CC22" s="474">
        <f t="shared" ref="CC22" si="388">CB22</f>
        <v>0.15661499999999998</v>
      </c>
      <c r="CD22" s="474">
        <f t="shared" si="13"/>
        <v>2.8712749999999998</v>
      </c>
      <c r="CE22" s="526">
        <f t="shared" ref="CE22" si="389">CD22</f>
        <v>2.8712749999999998</v>
      </c>
      <c r="CF22" s="355">
        <f t="shared" si="173"/>
        <v>0</v>
      </c>
      <c r="CG22" s="615">
        <f t="shared" si="174"/>
        <v>0</v>
      </c>
      <c r="CH22" s="355">
        <f t="shared" si="175"/>
        <v>0</v>
      </c>
      <c r="CI22" s="615">
        <f t="shared" si="14"/>
        <v>0</v>
      </c>
      <c r="CJ22" s="615">
        <f t="shared" si="176"/>
        <v>0</v>
      </c>
      <c r="CK22" s="615">
        <f t="shared" si="15"/>
        <v>0</v>
      </c>
      <c r="CL22" s="122"/>
      <c r="CM22" s="1235">
        <f t="shared" si="16"/>
        <v>244.58042499999999</v>
      </c>
      <c r="CN22" s="1231"/>
      <c r="CO22" s="1230"/>
      <c r="CP22" s="1231"/>
      <c r="CQ22" s="1230">
        <f t="shared" si="177"/>
        <v>244.58042499999999</v>
      </c>
      <c r="CR22" s="1232"/>
      <c r="CS22" s="30">
        <v>0.45</v>
      </c>
      <c r="CT22" s="31">
        <f t="shared" si="178"/>
        <v>0.55000000000000004</v>
      </c>
      <c r="CU22" s="31"/>
      <c r="CV22" s="32"/>
      <c r="CW22" s="1233">
        <f t="shared" si="179"/>
        <v>104.55813168749999</v>
      </c>
      <c r="CX22" s="1234"/>
      <c r="CY22" s="1234">
        <f t="shared" si="180"/>
        <v>127.79327206249999</v>
      </c>
      <c r="CZ22" s="1231"/>
      <c r="DA22" s="369"/>
      <c r="DB22" s="369"/>
      <c r="DC22" s="369"/>
      <c r="DD22" s="373"/>
      <c r="DE22" s="1234">
        <f t="shared" si="17"/>
        <v>104.55813168749999</v>
      </c>
      <c r="DF22" s="1234"/>
      <c r="DG22" s="369">
        <f t="shared" si="341"/>
        <v>127.79327206249999</v>
      </c>
      <c r="DH22" s="372">
        <f t="shared" si="182"/>
        <v>127.79327206249999</v>
      </c>
      <c r="DJ22" s="493">
        <v>0.05</v>
      </c>
      <c r="DK22" s="379"/>
      <c r="DL22" s="1105">
        <f t="shared" si="18"/>
        <v>12.229021250000001</v>
      </c>
      <c r="DM22" s="1105">
        <f t="shared" si="19"/>
        <v>12.229021250000001</v>
      </c>
      <c r="DN22" s="369"/>
      <c r="DO22" s="372"/>
      <c r="DP22" s="30">
        <v>1</v>
      </c>
      <c r="DQ22" s="31">
        <f t="shared" si="183"/>
        <v>0.1</v>
      </c>
      <c r="DR22" s="31">
        <f t="shared" si="184"/>
        <v>1</v>
      </c>
      <c r="DS22" s="680">
        <f t="shared" si="185"/>
        <v>0.1</v>
      </c>
      <c r="DT22" s="77">
        <f t="shared" si="186"/>
        <v>1</v>
      </c>
      <c r="DU22" s="31">
        <v>0</v>
      </c>
      <c r="DV22" s="31">
        <v>1</v>
      </c>
      <c r="DW22" s="31">
        <v>0</v>
      </c>
      <c r="DX22" s="31">
        <v>0</v>
      </c>
      <c r="DY22" s="31">
        <v>1</v>
      </c>
      <c r="DZ22" s="31">
        <v>0</v>
      </c>
      <c r="EA22" s="383">
        <f t="shared" si="187"/>
        <v>0</v>
      </c>
      <c r="EB22" s="355">
        <f t="shared" si="188"/>
        <v>0</v>
      </c>
      <c r="EC22" s="355">
        <f t="shared" si="189"/>
        <v>1.1606033375</v>
      </c>
      <c r="ED22" s="355">
        <f t="shared" si="190"/>
        <v>11.606033375000001</v>
      </c>
      <c r="EE22" s="355">
        <f t="shared" si="191"/>
        <v>0</v>
      </c>
      <c r="EF22" s="355">
        <f t="shared" si="192"/>
        <v>0</v>
      </c>
      <c r="EG22" s="366"/>
      <c r="EH22" s="355"/>
      <c r="EI22" s="355"/>
      <c r="EJ22" s="355"/>
      <c r="EK22" s="355"/>
      <c r="EL22" s="356"/>
      <c r="EM22" s="355">
        <f t="shared" si="193"/>
        <v>1.1606033375</v>
      </c>
      <c r="EN22" s="134">
        <f t="shared" si="194"/>
        <v>11.606033375000001</v>
      </c>
      <c r="EP22" s="1171">
        <f t="shared" si="20"/>
        <v>1.0441000000000001E-2</v>
      </c>
      <c r="EQ22" s="1172"/>
      <c r="ER22" s="1172">
        <f t="shared" si="21"/>
        <v>0.15661499999999998</v>
      </c>
      <c r="ES22" s="1172"/>
      <c r="ET22" s="1172">
        <f t="shared" si="22"/>
        <v>2.8712749999999998</v>
      </c>
      <c r="EU22" s="1172"/>
      <c r="EV22" s="366"/>
      <c r="EW22" s="355"/>
      <c r="EX22" s="355"/>
      <c r="EY22" s="355"/>
      <c r="EZ22" s="1172"/>
      <c r="FA22" s="1173"/>
      <c r="FB22" s="368">
        <f t="shared" si="195"/>
        <v>104.55813168749999</v>
      </c>
      <c r="FC22" s="369">
        <f t="shared" si="196"/>
        <v>104.55813168749999</v>
      </c>
      <c r="FD22" s="369"/>
      <c r="FE22" s="61"/>
      <c r="FF22" s="368">
        <f t="shared" si="197"/>
        <v>127.79327206249999</v>
      </c>
      <c r="FG22" s="369">
        <f t="shared" si="24"/>
        <v>127.79327206249999</v>
      </c>
      <c r="FH22" s="369"/>
      <c r="FI22" s="369"/>
      <c r="FJ22" s="30">
        <v>1</v>
      </c>
      <c r="FK22" s="31">
        <v>0.2</v>
      </c>
      <c r="FL22" s="501">
        <v>0.8</v>
      </c>
      <c r="FM22" s="31">
        <f t="shared" si="198"/>
        <v>0.1</v>
      </c>
      <c r="FN22" s="501">
        <f t="shared" si="199"/>
        <v>1</v>
      </c>
      <c r="FO22" s="31">
        <f t="shared" si="200"/>
        <v>0.1</v>
      </c>
      <c r="FP22" s="31">
        <f t="shared" si="201"/>
        <v>1</v>
      </c>
      <c r="FQ22" s="31">
        <v>1</v>
      </c>
      <c r="FR22" s="31">
        <v>0</v>
      </c>
      <c r="FS22" s="89">
        <f t="shared" si="202"/>
        <v>1E-3</v>
      </c>
      <c r="FT22" s="31">
        <f t="shared" si="203"/>
        <v>0.05</v>
      </c>
      <c r="FU22" s="30">
        <v>0.05</v>
      </c>
      <c r="FV22" s="32">
        <f t="shared" si="25"/>
        <v>2.4224999999999997E-2</v>
      </c>
      <c r="FW22" s="31">
        <v>0.1</v>
      </c>
      <c r="FX22" s="77">
        <f t="shared" si="26"/>
        <v>9.0000000000000011E-2</v>
      </c>
      <c r="FY22" s="30"/>
      <c r="FZ22" s="32"/>
      <c r="GA22" s="31"/>
      <c r="GB22" s="77"/>
      <c r="GC22" s="378">
        <f t="shared" si="27"/>
        <v>1.0441000000000001E-2</v>
      </c>
      <c r="GD22" s="379">
        <f t="shared" si="204"/>
        <v>1.0441000000000001E-2</v>
      </c>
      <c r="GE22" s="379">
        <f t="shared" si="28"/>
        <v>0.15661499999999998</v>
      </c>
      <c r="GF22" s="379">
        <f t="shared" si="205"/>
        <v>0.15661499999999998</v>
      </c>
      <c r="GG22" s="379">
        <f t="shared" si="206"/>
        <v>0.57425499999999996</v>
      </c>
      <c r="GH22" s="218">
        <f t="shared" si="207"/>
        <v>2.2970199999999998</v>
      </c>
      <c r="GI22" s="379"/>
      <c r="GJ22" s="379"/>
      <c r="GK22" s="379"/>
      <c r="GL22" s="379"/>
      <c r="GM22" s="379"/>
      <c r="GN22" s="218"/>
      <c r="GO22" s="379">
        <f t="shared" si="208"/>
        <v>0.74131099999999994</v>
      </c>
      <c r="GP22" s="515">
        <f t="shared" si="209"/>
        <v>2.4640759999999999</v>
      </c>
      <c r="GQ22" s="379">
        <f t="shared" si="210"/>
        <v>0.73654644230676558</v>
      </c>
      <c r="GR22" s="379">
        <f t="shared" si="211"/>
        <v>18.8540012176875</v>
      </c>
      <c r="GS22" s="355">
        <f t="shared" ref="GS22:GS53" si="390">1/10*($FF22*$FQ22*$FM22*$FS22+$FF21*$FQ21*$FM21*$FS21+$FF20*$FQ20*$FM20*$FS20+$FF19*$FQ19*$FM19*$FS19+$FF18*$FQ18*$FM18*$FS18+$FF17*$FQ17*$FM17*$FS17+$FF16*$FQ16*$FM16*$FS16+$FF15*$FQ15*$FM15*$FS15+$FF14*$FQ14*$FM14*$FS14+$FF13*$FQ13*$FM13*$FS13)</f>
        <v>7.0165739943750015E-3</v>
      </c>
      <c r="GT22" s="355">
        <f t="shared" ref="GT22:GT53" si="391">1/10*($FG22*$FQ22*$FN22*$FT22+$FG21*$FQ21*$FN21*$FT21+$FG20*$FQ20*$FN20*$FT20+$FG19*$FQ19*$FN19*$FT19+$FG18*$FQ18*$FN18*$FT18+$FG17*$FQ17*$FN17*$FT17+$FG16*$FQ16*$FN16*$FT16+$FG15*$FQ15*$FN15*$FT15+$FG14*$FQ14*$FN14*$FT14+$FG13*$FQ13*$FN13*$FT13)</f>
        <v>3.5082869971875006</v>
      </c>
      <c r="GU22" s="355">
        <f t="shared" ref="GU22:GU53" si="392">1/10*($FF22*$FR22*$FM22*$FS22+$FF21*$FR21*$FM21*$FS21+$FF20*$FR20*$FM20*$FS20+$FF19*$FR19*$FM19*$FS19+$FF18*$FR18*$FM18*$FS18+$FF17*$FR17*$FM17*$FS17+$FF16*$FR16*$FM16*$FS16+$FF15*$FR15*$FM15*$FS15+$FF14*$FR14*$FM14*$FS14+$FF13*$FR13*$FM13*$FS13)</f>
        <v>0</v>
      </c>
      <c r="GV22" s="356">
        <f t="shared" ref="GV22:GV53" si="393">1/10*($FG22*$FR22*$FN22*$FT22+$FG21*$FR21*$FN21*$FT21+$FG20*$FR20*$FN20*$FT20+$FG19*$FR19*$FN19*$FT19+$FG18*$FR18*$FN18*$FT18+$FG17*$FR17*$FN17*$FT17+$FG16*$FR16*$FN16*$FT16+$FG15*$FR15*$FN15*$FT15+$FG14*$FR14*$FN14*$FT14+$FG13*$FR13*$FN13*$FT13)</f>
        <v>0</v>
      </c>
      <c r="GW22" s="355"/>
      <c r="GX22" s="355"/>
      <c r="GY22" s="355"/>
      <c r="GZ22" s="355"/>
      <c r="HA22" s="355"/>
      <c r="HB22" s="356"/>
      <c r="HC22" s="379">
        <f t="shared" si="212"/>
        <v>0.74356301630114063</v>
      </c>
      <c r="HD22" s="38">
        <f t="shared" si="213"/>
        <v>22.362288214875001</v>
      </c>
      <c r="HE22" s="527"/>
      <c r="HF22" s="355">
        <f t="shared" si="29"/>
        <v>2.1143024999999995</v>
      </c>
      <c r="HG22" s="355">
        <f t="shared" si="30"/>
        <v>2.1143024999999995</v>
      </c>
      <c r="HH22" s="355">
        <f t="shared" si="31"/>
        <v>0</v>
      </c>
      <c r="HI22" s="355">
        <f t="shared" si="32"/>
        <v>0</v>
      </c>
      <c r="HJ22" s="355">
        <f t="shared" si="33"/>
        <v>1.5661499999999999</v>
      </c>
      <c r="HK22" s="524">
        <f t="shared" si="34"/>
        <v>1.5661499999999999</v>
      </c>
      <c r="HL22" s="355">
        <f t="shared" si="35"/>
        <v>0</v>
      </c>
      <c r="HM22" s="355">
        <f t="shared" si="36"/>
        <v>0</v>
      </c>
      <c r="HN22" s="355">
        <f t="shared" si="37"/>
        <v>2.5701383375</v>
      </c>
      <c r="HO22" s="355">
        <f t="shared" si="38"/>
        <v>13.015568375000001</v>
      </c>
      <c r="HP22" s="355">
        <f t="shared" si="39"/>
        <v>2.6102499999999997</v>
      </c>
      <c r="HQ22" s="524">
        <f t="shared" si="40"/>
        <v>2.6102499999999997</v>
      </c>
      <c r="HR22" s="615">
        <f t="shared" si="214"/>
        <v>0.75400401630114067</v>
      </c>
      <c r="HS22" s="615">
        <f t="shared" si="41"/>
        <v>22.372729214875001</v>
      </c>
      <c r="HT22" s="615">
        <f t="shared" si="42"/>
        <v>0.15661499999999998</v>
      </c>
      <c r="HU22" s="615">
        <f t="shared" si="43"/>
        <v>0.15661499999999998</v>
      </c>
      <c r="HV22" s="615">
        <f t="shared" si="44"/>
        <v>0.57425499999999996</v>
      </c>
      <c r="HW22" s="615">
        <f t="shared" si="45"/>
        <v>2.2970199999999998</v>
      </c>
      <c r="IG22" s="560"/>
      <c r="IH22" s="884">
        <f t="shared" si="215"/>
        <v>2.3257327499999998E-2</v>
      </c>
      <c r="II22" s="884">
        <f t="shared" si="216"/>
        <v>1.9028722499999998E-2</v>
      </c>
      <c r="IJ22" s="474">
        <f t="shared" si="217"/>
        <v>3.8057444999999995E-2</v>
      </c>
      <c r="IK22" s="474">
        <f t="shared" si="218"/>
        <v>1.9028722499999998E-2</v>
      </c>
      <c r="IL22" s="474">
        <f t="shared" si="219"/>
        <v>1.7865856124999995</v>
      </c>
      <c r="IM22" s="474">
        <f t="shared" si="220"/>
        <v>2.1143024999999995E-3</v>
      </c>
      <c r="IN22" s="474">
        <f t="shared" si="221"/>
        <v>2.1143024999999995E-3</v>
      </c>
      <c r="IO22" s="884">
        <f t="shared" si="222"/>
        <v>6.9771982499999982E-2</v>
      </c>
      <c r="IP22" s="884">
        <f t="shared" si="223"/>
        <v>8.6686402499999968E-2</v>
      </c>
      <c r="IQ22" s="474">
        <f t="shared" si="224"/>
        <v>0.10994372999999999</v>
      </c>
      <c r="IR22" s="474">
        <f t="shared" si="225"/>
        <v>8.6686402499999968E-2</v>
      </c>
      <c r="IS22" s="474">
        <f t="shared" si="226"/>
        <v>1.7908142174999995</v>
      </c>
      <c r="IT22" s="474">
        <f t="shared" si="227"/>
        <v>2.1143024999999996E-2</v>
      </c>
      <c r="IU22" s="526">
        <f t="shared" si="228"/>
        <v>2.1143024999999996E-2</v>
      </c>
      <c r="IV22" s="884">
        <f t="shared" si="229"/>
        <v>0</v>
      </c>
      <c r="IW22" s="884">
        <f t="shared" si="230"/>
        <v>0</v>
      </c>
      <c r="IX22" s="474">
        <f t="shared" si="49"/>
        <v>0</v>
      </c>
      <c r="IY22" s="474">
        <f t="shared" si="50"/>
        <v>0</v>
      </c>
      <c r="IZ22" s="474">
        <f t="shared" si="51"/>
        <v>0</v>
      </c>
      <c r="JA22" s="474">
        <f t="shared" si="52"/>
        <v>0</v>
      </c>
      <c r="JB22" s="474">
        <f t="shared" si="53"/>
        <v>0</v>
      </c>
      <c r="JC22" s="884">
        <f t="shared" si="231"/>
        <v>0</v>
      </c>
      <c r="JD22" s="884">
        <f t="shared" si="232"/>
        <v>0</v>
      </c>
      <c r="JE22" s="474">
        <f t="shared" si="55"/>
        <v>0</v>
      </c>
      <c r="JF22" s="474">
        <f t="shared" si="56"/>
        <v>0</v>
      </c>
      <c r="JG22" s="474">
        <f t="shared" si="57"/>
        <v>0</v>
      </c>
      <c r="JH22" s="474">
        <f t="shared" si="58"/>
        <v>0</v>
      </c>
      <c r="JI22" s="480">
        <f t="shared" si="59"/>
        <v>0</v>
      </c>
      <c r="JJ22" s="884">
        <f t="shared" si="233"/>
        <v>1.7227650000000001E-2</v>
      </c>
      <c r="JK22" s="884">
        <f t="shared" si="234"/>
        <v>1.4095350000000001E-2</v>
      </c>
      <c r="JL22" s="474">
        <f t="shared" si="61"/>
        <v>2.8190700000000003E-2</v>
      </c>
      <c r="JM22" s="474">
        <f t="shared" si="62"/>
        <v>1.4095350000000001E-2</v>
      </c>
      <c r="JN22" s="474">
        <f t="shared" si="63"/>
        <v>1.3233967499999999</v>
      </c>
      <c r="JO22" s="474">
        <f t="shared" si="64"/>
        <v>1.5661499999999999E-3</v>
      </c>
      <c r="JP22" s="474">
        <f t="shared" si="65"/>
        <v>1.5661499999999999E-3</v>
      </c>
      <c r="JQ22" s="884">
        <f t="shared" si="235"/>
        <v>5.1682949999999998E-2</v>
      </c>
      <c r="JR22" s="884">
        <f t="shared" si="236"/>
        <v>6.4212149999999996E-2</v>
      </c>
      <c r="JS22" s="474">
        <f t="shared" si="67"/>
        <v>8.1439800000000007E-2</v>
      </c>
      <c r="JT22" s="474">
        <f t="shared" si="68"/>
        <v>6.4212149999999996E-2</v>
      </c>
      <c r="JU22" s="474">
        <f t="shared" si="69"/>
        <v>1.32652905</v>
      </c>
      <c r="JV22" s="474">
        <f t="shared" si="70"/>
        <v>1.5661499999999998E-2</v>
      </c>
      <c r="JW22" s="134">
        <f t="shared" si="71"/>
        <v>1.5661499999999998E-2</v>
      </c>
      <c r="JX22" s="884">
        <f t="shared" si="237"/>
        <v>0</v>
      </c>
      <c r="JY22" s="884">
        <f t="shared" si="238"/>
        <v>0</v>
      </c>
      <c r="JZ22" s="355">
        <f t="shared" si="73"/>
        <v>0</v>
      </c>
      <c r="KA22" s="355">
        <f t="shared" si="74"/>
        <v>0</v>
      </c>
      <c r="KB22" s="355">
        <f t="shared" si="75"/>
        <v>0</v>
      </c>
      <c r="KC22" s="355">
        <f t="shared" si="76"/>
        <v>0</v>
      </c>
      <c r="KD22" s="355">
        <f t="shared" si="77"/>
        <v>0</v>
      </c>
      <c r="KE22" s="884">
        <f t="shared" si="239"/>
        <v>0</v>
      </c>
      <c r="KF22" s="884">
        <f t="shared" si="240"/>
        <v>0</v>
      </c>
      <c r="KG22" s="355">
        <f t="shared" si="79"/>
        <v>0</v>
      </c>
      <c r="KH22" s="355">
        <f t="shared" si="80"/>
        <v>0</v>
      </c>
      <c r="KI22" s="355">
        <f t="shared" si="81"/>
        <v>0</v>
      </c>
      <c r="KJ22" s="355">
        <f t="shared" si="82"/>
        <v>0</v>
      </c>
      <c r="KK22" s="526">
        <f t="shared" si="83"/>
        <v>0</v>
      </c>
      <c r="KL22" s="884">
        <f t="shared" si="241"/>
        <v>2.8271521712500004E-2</v>
      </c>
      <c r="KM22" s="884">
        <f t="shared" si="242"/>
        <v>2.3131245037500001E-2</v>
      </c>
      <c r="KN22" s="355">
        <f t="shared" si="85"/>
        <v>4.6262490075000003E-2</v>
      </c>
      <c r="KO22" s="355">
        <f t="shared" si="86"/>
        <v>2.3131245037500001E-2</v>
      </c>
      <c r="KP22" s="355">
        <f t="shared" si="87"/>
        <v>2.1717668951875</v>
      </c>
      <c r="KQ22" s="355">
        <f t="shared" si="88"/>
        <v>2.5701383375000002E-3</v>
      </c>
      <c r="KR22" s="355">
        <f t="shared" si="89"/>
        <v>2.5701383375000002E-3</v>
      </c>
      <c r="KS22" s="884">
        <f t="shared" si="243"/>
        <v>0.42951375637500006</v>
      </c>
      <c r="KT22" s="884">
        <f t="shared" si="244"/>
        <v>0.53363830337499996</v>
      </c>
      <c r="KU22" s="355">
        <f t="shared" si="91"/>
        <v>0.6768095555000001</v>
      </c>
      <c r="KV22" s="355">
        <f t="shared" si="92"/>
        <v>0.53363830337499996</v>
      </c>
      <c r="KW22" s="355">
        <f t="shared" si="93"/>
        <v>11.024186413625001</v>
      </c>
      <c r="KX22" s="355">
        <f t="shared" si="94"/>
        <v>0.13015568375</v>
      </c>
      <c r="KY22" s="480">
        <f t="shared" si="95"/>
        <v>0.13015568375</v>
      </c>
      <c r="KZ22" s="884">
        <f t="shared" si="245"/>
        <v>2.8712749999999999E-2</v>
      </c>
      <c r="LA22" s="884">
        <f t="shared" si="246"/>
        <v>2.3492249999999999E-2</v>
      </c>
      <c r="LB22" s="355">
        <f t="shared" si="97"/>
        <v>4.6984499999999998E-2</v>
      </c>
      <c r="LC22" s="355">
        <f t="shared" si="98"/>
        <v>2.3492249999999999E-2</v>
      </c>
      <c r="LD22" s="355">
        <f t="shared" si="99"/>
        <v>2.2056612499999999</v>
      </c>
      <c r="LE22" s="355">
        <f t="shared" si="100"/>
        <v>2.6102499999999997E-3</v>
      </c>
      <c r="LF22" s="355">
        <f t="shared" si="101"/>
        <v>2.6102499999999997E-3</v>
      </c>
      <c r="LG22" s="884">
        <f t="shared" si="247"/>
        <v>8.613825E-2</v>
      </c>
      <c r="LH22" s="884">
        <f t="shared" si="248"/>
        <v>0.10702024999999997</v>
      </c>
      <c r="LI22" s="355">
        <f t="shared" si="103"/>
        <v>0.13573299999999999</v>
      </c>
      <c r="LJ22" s="355">
        <f t="shared" si="104"/>
        <v>0.10702024999999997</v>
      </c>
      <c r="LK22" s="355">
        <f t="shared" si="105"/>
        <v>2.2108817499999995</v>
      </c>
      <c r="LL22" s="355">
        <f t="shared" si="106"/>
        <v>2.6102499999999997E-2</v>
      </c>
      <c r="LM22" s="134">
        <f t="shared" si="107"/>
        <v>2.6102499999999997E-2</v>
      </c>
      <c r="LN22" s="884">
        <f t="shared" si="249"/>
        <v>8.2940441793125476E-4</v>
      </c>
      <c r="LO22" s="884">
        <f t="shared" si="250"/>
        <v>2.2620120489034217E-4</v>
      </c>
      <c r="LP22" s="355">
        <f t="shared" si="109"/>
        <v>3.8454204831358178E-3</v>
      </c>
      <c r="LQ22" s="474">
        <f t="shared" si="110"/>
        <v>6.1828329336693529E-3</v>
      </c>
      <c r="LR22" s="474">
        <f t="shared" si="111"/>
        <v>0.60320321304091262</v>
      </c>
      <c r="LS22" s="474">
        <f t="shared" si="112"/>
        <v>6.5598349418199238E-3</v>
      </c>
      <c r="LT22" s="474">
        <f t="shared" si="113"/>
        <v>7.5400401630114073E-4</v>
      </c>
      <c r="LU22" s="884">
        <f t="shared" si="251"/>
        <v>1.3423637528925001</v>
      </c>
      <c r="LV22" s="884">
        <f t="shared" si="252"/>
        <v>0.67118187644625005</v>
      </c>
      <c r="LW22" s="355">
        <f t="shared" si="115"/>
        <v>1.5660910450412502</v>
      </c>
      <c r="LX22" s="474">
        <f t="shared" si="116"/>
        <v>1.3423637528925001</v>
      </c>
      <c r="LY22" s="474">
        <f t="shared" si="117"/>
        <v>22.126629193511377</v>
      </c>
      <c r="LZ22" s="474">
        <f t="shared" si="118"/>
        <v>0.22372729214875001</v>
      </c>
      <c r="MA22" s="485">
        <f t="shared" si="119"/>
        <v>0.22372729214875001</v>
      </c>
      <c r="MB22" s="884">
        <f t="shared" si="253"/>
        <v>1.722765E-4</v>
      </c>
      <c r="MC22" s="884">
        <f t="shared" si="254"/>
        <v>4.698449999999999E-5</v>
      </c>
      <c r="MD22" s="355">
        <f t="shared" si="121"/>
        <v>7.9873649999999993E-4</v>
      </c>
      <c r="ME22" s="474">
        <f t="shared" si="122"/>
        <v>1.2842429999999996E-3</v>
      </c>
      <c r="MF22" s="474">
        <f t="shared" si="123"/>
        <v>0.12529199999999999</v>
      </c>
      <c r="MG22" s="474">
        <f t="shared" si="124"/>
        <v>1.3625504999999997E-3</v>
      </c>
      <c r="MH22" s="474">
        <f t="shared" si="125"/>
        <v>1.5661499999999998E-4</v>
      </c>
      <c r="MI22" s="884">
        <f t="shared" si="255"/>
        <v>9.396899999999998E-3</v>
      </c>
      <c r="MJ22" s="884">
        <f t="shared" si="256"/>
        <v>4.698449999999999E-3</v>
      </c>
      <c r="MK22" s="355">
        <f t="shared" si="127"/>
        <v>1.096305E-2</v>
      </c>
      <c r="ML22" s="474">
        <f t="shared" si="128"/>
        <v>9.396899999999998E-3</v>
      </c>
      <c r="MM22" s="474">
        <f t="shared" si="129"/>
        <v>0.15489223499999999</v>
      </c>
      <c r="MN22" s="474">
        <f t="shared" si="130"/>
        <v>1.5661499999999999E-3</v>
      </c>
      <c r="MO22" s="485">
        <f t="shared" si="131"/>
        <v>1.5661499999999999E-3</v>
      </c>
      <c r="MP22" s="884">
        <f t="shared" si="257"/>
        <v>6.3168049999999998E-4</v>
      </c>
      <c r="MQ22" s="884">
        <f t="shared" si="258"/>
        <v>1.7227649999999997E-4</v>
      </c>
      <c r="MR22" s="355">
        <f t="shared" si="133"/>
        <v>2.9287005E-3</v>
      </c>
      <c r="MS22" s="474">
        <f t="shared" si="134"/>
        <v>4.7088909999999989E-3</v>
      </c>
      <c r="MT22" s="474">
        <f t="shared" si="135"/>
        <v>0.45940399999999998</v>
      </c>
      <c r="MU22" s="474">
        <f t="shared" si="136"/>
        <v>4.9960184999999994E-3</v>
      </c>
      <c r="MV22" s="474">
        <f t="shared" si="137"/>
        <v>5.7425499999999997E-4</v>
      </c>
      <c r="MW22" s="884">
        <f t="shared" si="259"/>
        <v>0.13782119999999998</v>
      </c>
      <c r="MX22" s="884">
        <f t="shared" si="260"/>
        <v>6.8910599999999989E-2</v>
      </c>
      <c r="MY22" s="474">
        <f t="shared" si="139"/>
        <v>0.1607914</v>
      </c>
      <c r="MZ22" s="474">
        <f t="shared" si="140"/>
        <v>0.13782119999999998</v>
      </c>
      <c r="NA22" s="474">
        <f t="shared" si="141"/>
        <v>2.2717527799999999</v>
      </c>
      <c r="NB22" s="474">
        <f t="shared" si="142"/>
        <v>2.29702E-2</v>
      </c>
      <c r="NC22" s="134">
        <f t="shared" si="143"/>
        <v>2.29702E-2</v>
      </c>
    </row>
    <row r="23" spans="1:367" x14ac:dyDescent="0.25">
      <c r="A23" s="18">
        <v>1968</v>
      </c>
      <c r="B23" s="1271">
        <v>291</v>
      </c>
      <c r="C23" s="1224"/>
      <c r="D23" s="1224">
        <v>0</v>
      </c>
      <c r="E23" s="1272"/>
      <c r="F23" s="1224">
        <f t="shared" si="144"/>
        <v>286.63499999999999</v>
      </c>
      <c r="G23" s="1224"/>
      <c r="H23" s="1224">
        <f t="shared" si="145"/>
        <v>0</v>
      </c>
      <c r="I23" s="1224"/>
      <c r="J23" s="1082">
        <v>0</v>
      </c>
      <c r="K23" s="1082">
        <f t="shared" si="0"/>
        <v>0</v>
      </c>
      <c r="L23" s="1224">
        <f t="shared" si="1"/>
        <v>286.63499999999999</v>
      </c>
      <c r="M23" s="1228"/>
      <c r="N23" s="193">
        <v>8.0999999999999996E-3</v>
      </c>
      <c r="O23" s="47">
        <v>0</v>
      </c>
      <c r="P23" s="47">
        <v>6.0000000000000001E-3</v>
      </c>
      <c r="Q23" s="192">
        <v>0</v>
      </c>
      <c r="R23" s="47">
        <v>0</v>
      </c>
      <c r="S23" s="47">
        <f t="shared" si="146"/>
        <v>5.4000000000000003E-3</v>
      </c>
      <c r="T23" s="47">
        <v>0.01</v>
      </c>
      <c r="U23" s="47">
        <v>1.8E-3</v>
      </c>
      <c r="V23" s="117">
        <v>4.0000000000000003E-5</v>
      </c>
      <c r="W23" s="47">
        <v>5.9999999999999995E-4</v>
      </c>
      <c r="X23" s="52">
        <v>1.0999999999999999E-2</v>
      </c>
      <c r="Y23" s="52">
        <v>2.0199999999999999E-2</v>
      </c>
      <c r="Z23" s="111">
        <v>6.3E-2</v>
      </c>
      <c r="AA23" s="52">
        <f t="shared" si="147"/>
        <v>0.1</v>
      </c>
      <c r="AB23" s="52">
        <f t="shared" si="148"/>
        <v>0</v>
      </c>
      <c r="AC23" s="52">
        <f t="shared" si="149"/>
        <v>0.9</v>
      </c>
      <c r="AD23" s="475">
        <f t="shared" si="150"/>
        <v>2.3217434999999997</v>
      </c>
      <c r="AE23" s="474">
        <f t="shared" si="151"/>
        <v>2.3217434999999997</v>
      </c>
      <c r="AF23" s="474">
        <f t="shared" si="152"/>
        <v>0</v>
      </c>
      <c r="AG23" s="474">
        <f t="shared" si="151"/>
        <v>0</v>
      </c>
      <c r="AH23" s="474">
        <f t="shared" si="153"/>
        <v>1.7198100000000001</v>
      </c>
      <c r="AI23" s="474">
        <f t="shared" ref="AI23" si="394">AH23</f>
        <v>1.7198100000000001</v>
      </c>
      <c r="AJ23" s="508"/>
      <c r="AK23" s="508"/>
      <c r="AL23" s="508"/>
      <c r="AM23" s="508"/>
      <c r="AN23" s="508"/>
      <c r="AO23" s="572"/>
      <c r="AP23" s="481">
        <f t="shared" si="155"/>
        <v>2.3217434999999997</v>
      </c>
      <c r="AQ23" s="474">
        <f t="shared" ref="AQ23" si="395">AP23</f>
        <v>2.3217434999999997</v>
      </c>
      <c r="AR23" s="474">
        <f t="shared" si="157"/>
        <v>0</v>
      </c>
      <c r="AS23" s="474">
        <f t="shared" ref="AS23" si="396">AR23</f>
        <v>0</v>
      </c>
      <c r="AT23" s="474">
        <f t="shared" si="159"/>
        <v>1.7198100000000001</v>
      </c>
      <c r="AU23" s="474">
        <f t="shared" ref="AU23" si="397">AT23</f>
        <v>1.7198100000000001</v>
      </c>
      <c r="AV23" s="475">
        <f t="shared" si="2"/>
        <v>0</v>
      </c>
      <c r="AW23" s="474">
        <f t="shared" ref="AW23" si="398">AV23</f>
        <v>0</v>
      </c>
      <c r="AX23" s="474">
        <f t="shared" si="3"/>
        <v>1.5478290000000001</v>
      </c>
      <c r="AY23" s="474">
        <f t="shared" ref="AY23" si="399">AX23</f>
        <v>1.5478290000000001</v>
      </c>
      <c r="AZ23" s="474">
        <f t="shared" si="4"/>
        <v>2.8663500000000002</v>
      </c>
      <c r="BA23" s="474">
        <f t="shared" ref="BA23" si="400">AZ23</f>
        <v>2.8663500000000002</v>
      </c>
      <c r="BB23" s="481"/>
      <c r="BC23" s="474"/>
      <c r="BD23" s="474"/>
      <c r="BE23" s="474"/>
      <c r="BF23" s="474"/>
      <c r="BG23" s="474"/>
      <c r="BH23" s="481">
        <f t="shared" si="5"/>
        <v>0</v>
      </c>
      <c r="BI23" s="474">
        <f t="shared" ref="BI23" si="401">BH23</f>
        <v>0</v>
      </c>
      <c r="BJ23" s="474">
        <f t="shared" si="6"/>
        <v>1.5478290000000001</v>
      </c>
      <c r="BK23" s="474">
        <f t="shared" ref="BK23" si="402">BJ23</f>
        <v>1.5478290000000001</v>
      </c>
      <c r="BL23" s="474">
        <f t="shared" si="7"/>
        <v>2.8663500000000002</v>
      </c>
      <c r="BM23" s="474">
        <f t="shared" ref="BM23" si="403">BL23</f>
        <v>2.8663500000000002</v>
      </c>
      <c r="BN23" s="475">
        <f t="shared" si="8"/>
        <v>1.1465400000000001E-2</v>
      </c>
      <c r="BO23" s="474">
        <f t="shared" ref="BO23" si="404">BN23</f>
        <v>1.1465400000000001E-2</v>
      </c>
      <c r="BP23" s="474">
        <f t="shared" si="9"/>
        <v>0.17198099999999997</v>
      </c>
      <c r="BQ23" s="474">
        <f t="shared" ref="BQ23" si="405">BP23</f>
        <v>0.17198099999999997</v>
      </c>
      <c r="BR23" s="474">
        <f t="shared" si="10"/>
        <v>3.1529849999999997</v>
      </c>
      <c r="BS23" s="474">
        <f t="shared" ref="BS23" si="406">BR23</f>
        <v>3.1529849999999997</v>
      </c>
      <c r="BT23" s="481"/>
      <c r="BU23" s="474"/>
      <c r="BV23" s="474"/>
      <c r="BW23" s="474"/>
      <c r="BX23" s="474"/>
      <c r="BY23" s="474"/>
      <c r="BZ23" s="481">
        <f t="shared" si="11"/>
        <v>1.1465400000000001E-2</v>
      </c>
      <c r="CA23" s="474">
        <f t="shared" ref="CA23" si="407">BZ23</f>
        <v>1.1465400000000001E-2</v>
      </c>
      <c r="CB23" s="474">
        <f t="shared" si="12"/>
        <v>0.17198099999999997</v>
      </c>
      <c r="CC23" s="474">
        <f t="shared" ref="CC23" si="408">CB23</f>
        <v>0.17198099999999997</v>
      </c>
      <c r="CD23" s="474">
        <f t="shared" si="13"/>
        <v>3.1529849999999997</v>
      </c>
      <c r="CE23" s="526">
        <f t="shared" ref="CE23" si="409">CD23</f>
        <v>3.1529849999999997</v>
      </c>
      <c r="CF23" s="355">
        <f t="shared" si="173"/>
        <v>0</v>
      </c>
      <c r="CG23" s="615">
        <f t="shared" si="174"/>
        <v>0</v>
      </c>
      <c r="CH23" s="355">
        <f t="shared" si="175"/>
        <v>0</v>
      </c>
      <c r="CI23" s="615">
        <f t="shared" si="14"/>
        <v>0</v>
      </c>
      <c r="CJ23" s="615">
        <f t="shared" si="176"/>
        <v>0</v>
      </c>
      <c r="CK23" s="615">
        <f t="shared" si="15"/>
        <v>0</v>
      </c>
      <c r="CL23" s="122"/>
      <c r="CM23" s="1235">
        <f t="shared" si="16"/>
        <v>268.57699500000001</v>
      </c>
      <c r="CN23" s="1231"/>
      <c r="CO23" s="1230"/>
      <c r="CP23" s="1231"/>
      <c r="CQ23" s="1230">
        <f t="shared" si="177"/>
        <v>268.57699500000001</v>
      </c>
      <c r="CR23" s="1232"/>
      <c r="CS23" s="30">
        <v>0.45</v>
      </c>
      <c r="CT23" s="31">
        <f t="shared" si="178"/>
        <v>0.55000000000000004</v>
      </c>
      <c r="CU23" s="31"/>
      <c r="CV23" s="32"/>
      <c r="CW23" s="1233">
        <f t="shared" si="179"/>
        <v>114.8166653625</v>
      </c>
      <c r="CX23" s="1234"/>
      <c r="CY23" s="1234">
        <f t="shared" si="180"/>
        <v>140.33147988750002</v>
      </c>
      <c r="CZ23" s="1231"/>
      <c r="DA23" s="369"/>
      <c r="DB23" s="369"/>
      <c r="DC23" s="369"/>
      <c r="DD23" s="373"/>
      <c r="DE23" s="1234">
        <f t="shared" si="17"/>
        <v>114.8166653625</v>
      </c>
      <c r="DF23" s="1234"/>
      <c r="DG23" s="369">
        <f t="shared" si="341"/>
        <v>140.33147988750002</v>
      </c>
      <c r="DH23" s="372">
        <f t="shared" si="182"/>
        <v>140.33147988750002</v>
      </c>
      <c r="DJ23" s="493">
        <v>0.05</v>
      </c>
      <c r="DK23" s="379"/>
      <c r="DL23" s="1105">
        <f t="shared" si="18"/>
        <v>13.428849750000001</v>
      </c>
      <c r="DM23" s="1105">
        <f t="shared" si="19"/>
        <v>13.428849750000001</v>
      </c>
      <c r="DN23" s="369"/>
      <c r="DO23" s="372"/>
      <c r="DP23" s="30">
        <v>1</v>
      </c>
      <c r="DQ23" s="31">
        <f t="shared" si="183"/>
        <v>0.1</v>
      </c>
      <c r="DR23" s="31">
        <f t="shared" si="184"/>
        <v>1</v>
      </c>
      <c r="DS23" s="680">
        <f t="shared" si="185"/>
        <v>0.1</v>
      </c>
      <c r="DT23" s="77">
        <f t="shared" si="186"/>
        <v>1</v>
      </c>
      <c r="DU23" s="31">
        <v>0</v>
      </c>
      <c r="DV23" s="31">
        <v>1</v>
      </c>
      <c r="DW23" s="31">
        <v>0</v>
      </c>
      <c r="DX23" s="31">
        <v>0</v>
      </c>
      <c r="DY23" s="31">
        <v>1</v>
      </c>
      <c r="DZ23" s="31">
        <v>0</v>
      </c>
      <c r="EA23" s="383">
        <f t="shared" si="187"/>
        <v>0</v>
      </c>
      <c r="EB23" s="355">
        <f t="shared" si="188"/>
        <v>0</v>
      </c>
      <c r="EC23" s="355">
        <f t="shared" si="189"/>
        <v>1.2828935500000003</v>
      </c>
      <c r="ED23" s="355">
        <f t="shared" si="190"/>
        <v>12.8289355</v>
      </c>
      <c r="EE23" s="355">
        <f t="shared" si="191"/>
        <v>0</v>
      </c>
      <c r="EF23" s="355">
        <f t="shared" si="192"/>
        <v>0</v>
      </c>
      <c r="EG23" s="366"/>
      <c r="EH23" s="355"/>
      <c r="EI23" s="355"/>
      <c r="EJ23" s="355"/>
      <c r="EK23" s="355"/>
      <c r="EL23" s="356"/>
      <c r="EM23" s="355">
        <f t="shared" si="193"/>
        <v>1.2828935500000003</v>
      </c>
      <c r="EN23" s="134">
        <f t="shared" si="194"/>
        <v>12.8289355</v>
      </c>
      <c r="EP23" s="1171">
        <f t="shared" si="20"/>
        <v>1.1465400000000001E-2</v>
      </c>
      <c r="EQ23" s="1172"/>
      <c r="ER23" s="1172">
        <f t="shared" si="21"/>
        <v>0.17198099999999997</v>
      </c>
      <c r="ES23" s="1172"/>
      <c r="ET23" s="1172">
        <f t="shared" si="22"/>
        <v>3.1529849999999997</v>
      </c>
      <c r="EU23" s="1172"/>
      <c r="EV23" s="366"/>
      <c r="EW23" s="355"/>
      <c r="EX23" s="355"/>
      <c r="EY23" s="355"/>
      <c r="EZ23" s="1172"/>
      <c r="FA23" s="1173"/>
      <c r="FB23" s="368">
        <f t="shared" si="195"/>
        <v>114.8166653625</v>
      </c>
      <c r="FC23" s="369">
        <f t="shared" si="196"/>
        <v>114.8166653625</v>
      </c>
      <c r="FD23" s="369"/>
      <c r="FE23" s="61"/>
      <c r="FF23" s="368">
        <f t="shared" si="197"/>
        <v>140.33147988750002</v>
      </c>
      <c r="FG23" s="369">
        <f>FF23</f>
        <v>140.33147988750002</v>
      </c>
      <c r="FH23" s="369"/>
      <c r="FI23" s="369"/>
      <c r="FJ23" s="30">
        <v>1</v>
      </c>
      <c r="FK23" s="31">
        <v>0.2</v>
      </c>
      <c r="FL23" s="501">
        <v>0.8</v>
      </c>
      <c r="FM23" s="31">
        <f t="shared" si="198"/>
        <v>0.1</v>
      </c>
      <c r="FN23" s="501">
        <f t="shared" si="199"/>
        <v>1</v>
      </c>
      <c r="FO23" s="31">
        <f t="shared" si="200"/>
        <v>0.1</v>
      </c>
      <c r="FP23" s="31">
        <f t="shared" si="201"/>
        <v>1</v>
      </c>
      <c r="FQ23" s="31">
        <v>1</v>
      </c>
      <c r="FR23" s="31">
        <v>0</v>
      </c>
      <c r="FS23" s="89">
        <f t="shared" si="202"/>
        <v>1E-3</v>
      </c>
      <c r="FT23" s="31">
        <f t="shared" si="203"/>
        <v>0.05</v>
      </c>
      <c r="FU23" s="30">
        <v>0.05</v>
      </c>
      <c r="FV23" s="32">
        <f t="shared" si="25"/>
        <v>2.4224999999999997E-2</v>
      </c>
      <c r="FW23" s="31">
        <v>0.1</v>
      </c>
      <c r="FX23" s="77">
        <f t="shared" si="26"/>
        <v>9.0000000000000011E-2</v>
      </c>
      <c r="FY23" s="30"/>
      <c r="FZ23" s="32"/>
      <c r="GA23" s="31"/>
      <c r="GB23" s="77"/>
      <c r="GC23" s="378">
        <f t="shared" si="27"/>
        <v>1.1465400000000001E-2</v>
      </c>
      <c r="GD23" s="379">
        <f t="shared" si="204"/>
        <v>1.1465400000000001E-2</v>
      </c>
      <c r="GE23" s="379">
        <f t="shared" si="28"/>
        <v>0.17198099999999997</v>
      </c>
      <c r="GF23" s="379">
        <f t="shared" si="205"/>
        <v>0.17198099999999997</v>
      </c>
      <c r="GG23" s="379">
        <f t="shared" si="206"/>
        <v>0.63059699999999996</v>
      </c>
      <c r="GH23" s="218">
        <f t="shared" si="207"/>
        <v>2.5223879999999999</v>
      </c>
      <c r="GI23" s="379"/>
      <c r="GJ23" s="379"/>
      <c r="GK23" s="379"/>
      <c r="GL23" s="379"/>
      <c r="GM23" s="379"/>
      <c r="GN23" s="218"/>
      <c r="GO23" s="379">
        <f t="shared" si="208"/>
        <v>0.81404339999999986</v>
      </c>
      <c r="GP23" s="515">
        <f t="shared" si="209"/>
        <v>2.7058343999999996</v>
      </c>
      <c r="GQ23" s="379">
        <f t="shared" si="210"/>
        <v>0.81415471555181251</v>
      </c>
      <c r="GR23" s="379">
        <f t="shared" si="211"/>
        <v>20.840605719750002</v>
      </c>
      <c r="GS23" s="355">
        <f t="shared" si="390"/>
        <v>8.294506715000002E-3</v>
      </c>
      <c r="GT23" s="355">
        <f t="shared" si="391"/>
        <v>4.1472533575000012</v>
      </c>
      <c r="GU23" s="355">
        <f>1/10*($FF23*$FR23*$FM23*$FS23+$FF22*$FR22*$FM22*$FS22+$FF21*$FR21*$FM21*$FS21+$FF20*$FR20*$FM20*$FS20+$FF19*$FR19*$FM19*$FS19+$FF18*$FR18*$FM18*$FS18+$FF17*$FR17*$FM17*$FS17+$FF16*$FR16*$FM16*$FS16+$FF15*$FR15*$FM15*$FS15+$FF14*$FR14*$FM14*$FS14)</f>
        <v>0</v>
      </c>
      <c r="GV23" s="356">
        <f t="shared" si="393"/>
        <v>0</v>
      </c>
      <c r="GW23" s="355"/>
      <c r="GX23" s="355"/>
      <c r="GY23" s="355"/>
      <c r="GZ23" s="355"/>
      <c r="HA23" s="355"/>
      <c r="HB23" s="356"/>
      <c r="HC23" s="379">
        <f t="shared" si="212"/>
        <v>0.8224492222668125</v>
      </c>
      <c r="HD23" s="38">
        <f t="shared" si="213"/>
        <v>24.987859077250004</v>
      </c>
      <c r="HE23" s="527"/>
      <c r="HF23" s="529">
        <f t="shared" si="29"/>
        <v>2.3217434999999997</v>
      </c>
      <c r="HG23" s="529">
        <f t="shared" si="30"/>
        <v>2.3217434999999997</v>
      </c>
      <c r="HH23" s="529">
        <f t="shared" si="31"/>
        <v>0</v>
      </c>
      <c r="HI23" s="529">
        <f t="shared" si="32"/>
        <v>0</v>
      </c>
      <c r="HJ23" s="529">
        <f t="shared" si="33"/>
        <v>1.7198100000000001</v>
      </c>
      <c r="HK23" s="524">
        <f t="shared" si="34"/>
        <v>1.7198100000000001</v>
      </c>
      <c r="HL23" s="529">
        <f t="shared" si="35"/>
        <v>0</v>
      </c>
      <c r="HM23" s="529">
        <f t="shared" si="36"/>
        <v>0</v>
      </c>
      <c r="HN23" s="529">
        <f t="shared" si="37"/>
        <v>2.8307225500000004</v>
      </c>
      <c r="HO23" s="529">
        <f t="shared" si="38"/>
        <v>14.3767645</v>
      </c>
      <c r="HP23" s="529">
        <f t="shared" si="39"/>
        <v>2.8663500000000002</v>
      </c>
      <c r="HQ23" s="524">
        <f t="shared" si="40"/>
        <v>2.8663500000000002</v>
      </c>
      <c r="HR23" s="615">
        <f t="shared" si="214"/>
        <v>0.83391462226681246</v>
      </c>
      <c r="HS23" s="615">
        <f t="shared" si="41"/>
        <v>24.999324477250003</v>
      </c>
      <c r="HT23" s="615">
        <f t="shared" si="42"/>
        <v>0.17198099999999997</v>
      </c>
      <c r="HU23" s="615">
        <f t="shared" si="43"/>
        <v>0.17198099999999997</v>
      </c>
      <c r="HV23" s="615">
        <f t="shared" si="44"/>
        <v>0.63059699999999996</v>
      </c>
      <c r="HW23" s="615">
        <f t="shared" si="45"/>
        <v>2.5223879999999999</v>
      </c>
      <c r="IG23" s="560"/>
      <c r="IH23" s="529">
        <f t="shared" si="215"/>
        <v>2.5539178499999999E-2</v>
      </c>
      <c r="II23" s="529">
        <f t="shared" si="216"/>
        <v>2.0895691500000001E-2</v>
      </c>
      <c r="IJ23" s="529">
        <f t="shared" si="217"/>
        <v>4.1791383000000001E-2</v>
      </c>
      <c r="IK23" s="529">
        <f t="shared" si="218"/>
        <v>2.0895691500000001E-2</v>
      </c>
      <c r="IL23" s="529">
        <f t="shared" si="219"/>
        <v>1.9618732574999997</v>
      </c>
      <c r="IM23" s="529">
        <f t="shared" si="220"/>
        <v>2.3217435E-3</v>
      </c>
      <c r="IN23" s="529">
        <f t="shared" si="221"/>
        <v>2.3217435E-3</v>
      </c>
      <c r="IO23" s="529">
        <f t="shared" si="222"/>
        <v>7.66175355E-2</v>
      </c>
      <c r="IP23" s="529">
        <f t="shared" si="223"/>
        <v>9.5191483499999979E-2</v>
      </c>
      <c r="IQ23" s="529">
        <f t="shared" si="224"/>
        <v>0.120730662</v>
      </c>
      <c r="IR23" s="529">
        <f t="shared" si="225"/>
        <v>9.5191483499999979E-2</v>
      </c>
      <c r="IS23" s="529">
        <f t="shared" si="226"/>
        <v>1.9665167444999998</v>
      </c>
      <c r="IT23" s="529">
        <f t="shared" si="227"/>
        <v>2.3217434999999998E-2</v>
      </c>
      <c r="IU23" s="526">
        <f t="shared" si="228"/>
        <v>2.3217434999999998E-2</v>
      </c>
      <c r="IV23" s="884">
        <f t="shared" si="229"/>
        <v>0</v>
      </c>
      <c r="IW23" s="884">
        <f t="shared" si="230"/>
        <v>0</v>
      </c>
      <c r="IX23" s="529">
        <f t="shared" si="49"/>
        <v>0</v>
      </c>
      <c r="IY23" s="529">
        <f t="shared" si="50"/>
        <v>0</v>
      </c>
      <c r="IZ23" s="529">
        <f t="shared" si="51"/>
        <v>0</v>
      </c>
      <c r="JA23" s="529">
        <f t="shared" si="52"/>
        <v>0</v>
      </c>
      <c r="JB23" s="529">
        <f t="shared" si="53"/>
        <v>0</v>
      </c>
      <c r="JC23" s="529">
        <f t="shared" si="231"/>
        <v>0</v>
      </c>
      <c r="JD23" s="529">
        <f t="shared" si="232"/>
        <v>0</v>
      </c>
      <c r="JE23" s="529">
        <f t="shared" si="55"/>
        <v>0</v>
      </c>
      <c r="JF23" s="529">
        <f t="shared" si="56"/>
        <v>0</v>
      </c>
      <c r="JG23" s="529">
        <f t="shared" si="57"/>
        <v>0</v>
      </c>
      <c r="JH23" s="529">
        <f t="shared" si="58"/>
        <v>0</v>
      </c>
      <c r="JI23" s="480">
        <f t="shared" si="59"/>
        <v>0</v>
      </c>
      <c r="JJ23" s="884">
        <f t="shared" si="233"/>
        <v>1.8917910000000003E-2</v>
      </c>
      <c r="JK23" s="884">
        <f t="shared" si="234"/>
        <v>1.5478290000000002E-2</v>
      </c>
      <c r="JL23" s="529">
        <f t="shared" si="61"/>
        <v>3.0956580000000004E-2</v>
      </c>
      <c r="JM23" s="529">
        <f t="shared" si="62"/>
        <v>1.5478290000000002E-2</v>
      </c>
      <c r="JN23" s="529">
        <f t="shared" si="63"/>
        <v>1.4532394500000001</v>
      </c>
      <c r="JO23" s="529">
        <f t="shared" si="64"/>
        <v>1.71981E-3</v>
      </c>
      <c r="JP23" s="529">
        <f t="shared" si="65"/>
        <v>1.71981E-3</v>
      </c>
      <c r="JQ23" s="529">
        <f t="shared" si="235"/>
        <v>5.6753730000000002E-2</v>
      </c>
      <c r="JR23" s="529">
        <f t="shared" si="236"/>
        <v>7.0512209999999992E-2</v>
      </c>
      <c r="JS23" s="474">
        <f t="shared" si="67"/>
        <v>8.9430120000000016E-2</v>
      </c>
      <c r="JT23" s="474">
        <f t="shared" si="68"/>
        <v>7.0512209999999992E-2</v>
      </c>
      <c r="JU23" s="474">
        <f t="shared" si="69"/>
        <v>1.4566790700000001</v>
      </c>
      <c r="JV23" s="474">
        <f t="shared" si="70"/>
        <v>1.7198100000000001E-2</v>
      </c>
      <c r="JW23" s="134">
        <f t="shared" si="71"/>
        <v>1.7198100000000001E-2</v>
      </c>
      <c r="JX23" s="884">
        <f t="shared" si="237"/>
        <v>0</v>
      </c>
      <c r="JY23" s="884">
        <f t="shared" si="238"/>
        <v>0</v>
      </c>
      <c r="JZ23" s="529">
        <f t="shared" si="73"/>
        <v>0</v>
      </c>
      <c r="KA23" s="529">
        <f t="shared" si="74"/>
        <v>0</v>
      </c>
      <c r="KB23" s="529">
        <f t="shared" si="75"/>
        <v>0</v>
      </c>
      <c r="KC23" s="529">
        <f t="shared" si="76"/>
        <v>0</v>
      </c>
      <c r="KD23" s="529">
        <f t="shared" si="77"/>
        <v>0</v>
      </c>
      <c r="KE23" s="529">
        <f t="shared" si="239"/>
        <v>0</v>
      </c>
      <c r="KF23" s="529">
        <f t="shared" si="240"/>
        <v>0</v>
      </c>
      <c r="KG23" s="529">
        <f t="shared" si="79"/>
        <v>0</v>
      </c>
      <c r="KH23" s="529">
        <f t="shared" si="80"/>
        <v>0</v>
      </c>
      <c r="KI23" s="529">
        <f t="shared" si="81"/>
        <v>0</v>
      </c>
      <c r="KJ23" s="529">
        <f t="shared" si="82"/>
        <v>0</v>
      </c>
      <c r="KK23" s="526">
        <f t="shared" si="83"/>
        <v>0</v>
      </c>
      <c r="KL23" s="884">
        <f t="shared" si="241"/>
        <v>3.1137948050000006E-2</v>
      </c>
      <c r="KM23" s="884">
        <f t="shared" si="242"/>
        <v>2.5476502950000007E-2</v>
      </c>
      <c r="KN23" s="529">
        <f t="shared" si="85"/>
        <v>5.0953005900000015E-2</v>
      </c>
      <c r="KO23" s="529">
        <f t="shared" si="86"/>
        <v>2.5476502950000007E-2</v>
      </c>
      <c r="KP23" s="529">
        <f t="shared" si="87"/>
        <v>2.3919605547500002</v>
      </c>
      <c r="KQ23" s="529">
        <f t="shared" si="88"/>
        <v>2.8307225500000003E-3</v>
      </c>
      <c r="KR23" s="529">
        <f t="shared" si="89"/>
        <v>2.8307225500000003E-3</v>
      </c>
      <c r="KS23" s="529">
        <f t="shared" si="243"/>
        <v>0.47443322850000003</v>
      </c>
      <c r="KT23" s="529">
        <f t="shared" si="244"/>
        <v>0.58944734449999991</v>
      </c>
      <c r="KU23" s="529">
        <f t="shared" si="91"/>
        <v>0.74759175400000011</v>
      </c>
      <c r="KV23" s="529">
        <f t="shared" si="92"/>
        <v>0.58944734449999991</v>
      </c>
      <c r="KW23" s="529">
        <f t="shared" si="93"/>
        <v>12.177119531499999</v>
      </c>
      <c r="KX23" s="529">
        <f t="shared" si="94"/>
        <v>0.143767645</v>
      </c>
      <c r="KY23" s="480">
        <f t="shared" si="95"/>
        <v>0.143767645</v>
      </c>
      <c r="KZ23" s="884">
        <f t="shared" si="245"/>
        <v>3.1529850000000005E-2</v>
      </c>
      <c r="LA23" s="884">
        <f t="shared" si="246"/>
        <v>2.5797150000000005E-2</v>
      </c>
      <c r="LB23" s="529">
        <f t="shared" si="97"/>
        <v>5.159430000000001E-2</v>
      </c>
      <c r="LC23" s="529">
        <f t="shared" si="98"/>
        <v>2.5797150000000005E-2</v>
      </c>
      <c r="LD23" s="529">
        <f t="shared" si="99"/>
        <v>2.4220657500000002</v>
      </c>
      <c r="LE23" s="529">
        <f t="shared" si="100"/>
        <v>2.8663500000000001E-3</v>
      </c>
      <c r="LF23" s="529">
        <f t="shared" si="101"/>
        <v>2.8663500000000001E-3</v>
      </c>
      <c r="LG23" s="529">
        <f t="shared" si="247"/>
        <v>9.4589550000000008E-2</v>
      </c>
      <c r="LH23" s="529">
        <f t="shared" si="248"/>
        <v>0.11752035</v>
      </c>
      <c r="LI23" s="355">
        <f t="shared" si="103"/>
        <v>0.14905020000000002</v>
      </c>
      <c r="LJ23" s="355">
        <f t="shared" si="104"/>
        <v>0.11752035</v>
      </c>
      <c r="LK23" s="355">
        <f t="shared" si="105"/>
        <v>2.4277984500000001</v>
      </c>
      <c r="LL23" s="355">
        <f t="shared" si="106"/>
        <v>2.8663500000000001E-2</v>
      </c>
      <c r="LM23" s="134">
        <f t="shared" si="107"/>
        <v>2.8663500000000001E-2</v>
      </c>
      <c r="LN23" s="884">
        <f t="shared" si="249"/>
        <v>9.173060844934938E-4</v>
      </c>
      <c r="LO23" s="884">
        <f t="shared" si="250"/>
        <v>2.501743866800437E-4</v>
      </c>
      <c r="LP23" s="529">
        <f t="shared" si="109"/>
        <v>4.2529645735607437E-3</v>
      </c>
      <c r="LQ23" s="529">
        <f t="shared" si="110"/>
        <v>6.8380999025878615E-3</v>
      </c>
      <c r="LR23" s="529">
        <f t="shared" si="111"/>
        <v>0.66713169781345005</v>
      </c>
      <c r="LS23" s="529">
        <f t="shared" si="112"/>
        <v>7.2550572137212678E-3</v>
      </c>
      <c r="LT23" s="529">
        <f t="shared" si="113"/>
        <v>8.3391462226681246E-4</v>
      </c>
      <c r="LU23" s="529">
        <f t="shared" si="251"/>
        <v>1.4999594686350002</v>
      </c>
      <c r="LV23" s="529">
        <f t="shared" si="252"/>
        <v>0.74997973431750009</v>
      </c>
      <c r="LW23" s="529">
        <f t="shared" si="115"/>
        <v>1.7499527134075004</v>
      </c>
      <c r="LX23" s="529">
        <f t="shared" si="116"/>
        <v>1.4999594686350002</v>
      </c>
      <c r="LY23" s="529">
        <f t="shared" si="117"/>
        <v>24.724331908000256</v>
      </c>
      <c r="LZ23" s="529">
        <f t="shared" si="118"/>
        <v>0.24999324477250004</v>
      </c>
      <c r="MA23" s="485">
        <f t="shared" si="119"/>
        <v>0.24999324477250004</v>
      </c>
      <c r="MB23" s="884">
        <f t="shared" si="253"/>
        <v>1.8917909999999997E-4</v>
      </c>
      <c r="MC23" s="884">
        <f t="shared" si="254"/>
        <v>5.1594299999999988E-5</v>
      </c>
      <c r="MD23" s="529">
        <f t="shared" si="121"/>
        <v>8.7710309999999988E-4</v>
      </c>
      <c r="ME23" s="529">
        <f t="shared" si="122"/>
        <v>1.4102441999999996E-3</v>
      </c>
      <c r="MF23" s="529">
        <f t="shared" si="123"/>
        <v>0.13758479999999998</v>
      </c>
      <c r="MG23" s="529">
        <f t="shared" si="124"/>
        <v>1.4962346999999995E-3</v>
      </c>
      <c r="MH23" s="529">
        <f t="shared" si="125"/>
        <v>1.7198099999999998E-4</v>
      </c>
      <c r="MI23" s="529">
        <f t="shared" si="255"/>
        <v>1.0318859999999997E-2</v>
      </c>
      <c r="MJ23" s="529">
        <f t="shared" si="256"/>
        <v>5.1594299999999987E-3</v>
      </c>
      <c r="MK23" s="529">
        <f t="shared" si="127"/>
        <v>1.203867E-2</v>
      </c>
      <c r="ML23" s="529">
        <f t="shared" si="128"/>
        <v>1.0318859999999997E-2</v>
      </c>
      <c r="MM23" s="529">
        <f t="shared" si="129"/>
        <v>0.17008920899999999</v>
      </c>
      <c r="MN23" s="529">
        <f t="shared" si="130"/>
        <v>1.7198099999999998E-3</v>
      </c>
      <c r="MO23" s="485">
        <f t="shared" si="131"/>
        <v>1.7198099999999998E-3</v>
      </c>
      <c r="MP23" s="884">
        <f t="shared" si="257"/>
        <v>6.9365669999999998E-4</v>
      </c>
      <c r="MQ23" s="884">
        <f t="shared" si="258"/>
        <v>1.8917909999999997E-4</v>
      </c>
      <c r="MR23" s="529">
        <f t="shared" si="133"/>
        <v>3.2160447000000002E-3</v>
      </c>
      <c r="MS23" s="529">
        <f t="shared" si="134"/>
        <v>5.1708953999999993E-3</v>
      </c>
      <c r="MT23" s="529">
        <f t="shared" si="135"/>
        <v>0.50447759999999997</v>
      </c>
      <c r="MU23" s="529">
        <f t="shared" si="136"/>
        <v>5.4861938999999993E-3</v>
      </c>
      <c r="MV23" s="529">
        <f t="shared" si="137"/>
        <v>6.3059699999999999E-4</v>
      </c>
      <c r="MW23" s="529">
        <f t="shared" si="259"/>
        <v>0.15134328</v>
      </c>
      <c r="MX23" s="529">
        <f t="shared" si="260"/>
        <v>7.5671639999999998E-2</v>
      </c>
      <c r="MY23" s="474">
        <f t="shared" si="139"/>
        <v>0.17656716</v>
      </c>
      <c r="MZ23" s="474">
        <f t="shared" si="140"/>
        <v>0.15134328</v>
      </c>
      <c r="NA23" s="474">
        <f t="shared" si="141"/>
        <v>2.4946417320000003</v>
      </c>
      <c r="NB23" s="474">
        <f t="shared" si="142"/>
        <v>2.5223880000000001E-2</v>
      </c>
      <c r="NC23" s="134">
        <f t="shared" si="143"/>
        <v>2.5223880000000001E-2</v>
      </c>
    </row>
    <row r="24" spans="1:367" x14ac:dyDescent="0.25">
      <c r="A24" s="18">
        <v>1969</v>
      </c>
      <c r="B24" s="1271">
        <v>318</v>
      </c>
      <c r="C24" s="1224"/>
      <c r="D24" s="1224">
        <v>0</v>
      </c>
      <c r="E24" s="1272"/>
      <c r="F24" s="1224">
        <f t="shared" si="144"/>
        <v>313.23</v>
      </c>
      <c r="G24" s="1224"/>
      <c r="H24" s="1224">
        <f t="shared" si="145"/>
        <v>0</v>
      </c>
      <c r="I24" s="1224"/>
      <c r="J24" s="1082">
        <v>0</v>
      </c>
      <c r="K24" s="1082">
        <f t="shared" si="0"/>
        <v>0</v>
      </c>
      <c r="L24" s="1224">
        <f t="shared" si="1"/>
        <v>313.23</v>
      </c>
      <c r="M24" s="1228"/>
      <c r="N24" s="193">
        <v>8.0999999999999996E-3</v>
      </c>
      <c r="O24" s="47">
        <v>0</v>
      </c>
      <c r="P24" s="47">
        <v>6.0000000000000001E-3</v>
      </c>
      <c r="Q24" s="192">
        <v>0</v>
      </c>
      <c r="R24" s="47">
        <v>0</v>
      </c>
      <c r="S24" s="47">
        <f t="shared" si="146"/>
        <v>5.4000000000000003E-3</v>
      </c>
      <c r="T24" s="47">
        <v>0.01</v>
      </c>
      <c r="U24" s="47">
        <v>1.8E-3</v>
      </c>
      <c r="V24" s="117">
        <v>4.0000000000000003E-5</v>
      </c>
      <c r="W24" s="47">
        <v>5.9999999999999995E-4</v>
      </c>
      <c r="X24" s="52">
        <v>1.0999999999999999E-2</v>
      </c>
      <c r="Y24" s="52">
        <v>2.0199999999999999E-2</v>
      </c>
      <c r="Z24" s="111">
        <v>6.3E-2</v>
      </c>
      <c r="AA24" s="52">
        <f t="shared" si="147"/>
        <v>0.1</v>
      </c>
      <c r="AB24" s="52">
        <f t="shared" si="148"/>
        <v>0</v>
      </c>
      <c r="AC24" s="52">
        <f t="shared" si="149"/>
        <v>0.9</v>
      </c>
      <c r="AD24" s="475">
        <f t="shared" si="150"/>
        <v>2.5371630000000001</v>
      </c>
      <c r="AE24" s="474">
        <f t="shared" si="151"/>
        <v>2.5371630000000001</v>
      </c>
      <c r="AF24" s="474">
        <f t="shared" si="152"/>
        <v>0</v>
      </c>
      <c r="AG24" s="474">
        <f t="shared" si="151"/>
        <v>0</v>
      </c>
      <c r="AH24" s="474">
        <f t="shared" si="153"/>
        <v>1.8793800000000001</v>
      </c>
      <c r="AI24" s="474">
        <f t="shared" ref="AI24" si="410">AH24</f>
        <v>1.8793800000000001</v>
      </c>
      <c r="AJ24" s="508"/>
      <c r="AK24" s="508"/>
      <c r="AL24" s="508"/>
      <c r="AM24" s="508"/>
      <c r="AN24" s="508"/>
      <c r="AO24" s="572"/>
      <c r="AP24" s="481">
        <f t="shared" si="155"/>
        <v>2.5371630000000001</v>
      </c>
      <c r="AQ24" s="474">
        <f t="shared" ref="AQ24" si="411">AP24</f>
        <v>2.5371630000000001</v>
      </c>
      <c r="AR24" s="474">
        <f t="shared" si="157"/>
        <v>0</v>
      </c>
      <c r="AS24" s="474">
        <f t="shared" ref="AS24" si="412">AR24</f>
        <v>0</v>
      </c>
      <c r="AT24" s="474">
        <f t="shared" si="159"/>
        <v>1.8793800000000001</v>
      </c>
      <c r="AU24" s="474">
        <f t="shared" ref="AU24" si="413">AT24</f>
        <v>1.8793800000000001</v>
      </c>
      <c r="AV24" s="475">
        <f t="shared" si="2"/>
        <v>0</v>
      </c>
      <c r="AW24" s="474">
        <f t="shared" ref="AW24" si="414">AV24</f>
        <v>0</v>
      </c>
      <c r="AX24" s="474">
        <f t="shared" si="3"/>
        <v>1.6914420000000001</v>
      </c>
      <c r="AY24" s="474">
        <f t="shared" ref="AY24" si="415">AX24</f>
        <v>1.6914420000000001</v>
      </c>
      <c r="AZ24" s="474">
        <f t="shared" si="4"/>
        <v>3.1323000000000003</v>
      </c>
      <c r="BA24" s="474">
        <f t="shared" ref="BA24" si="416">AZ24</f>
        <v>3.1323000000000003</v>
      </c>
      <c r="BB24" s="481"/>
      <c r="BC24" s="474"/>
      <c r="BD24" s="474"/>
      <c r="BE24" s="474"/>
      <c r="BF24" s="474"/>
      <c r="BG24" s="474"/>
      <c r="BH24" s="481">
        <f t="shared" si="5"/>
        <v>0</v>
      </c>
      <c r="BI24" s="474">
        <f t="shared" ref="BI24" si="417">BH24</f>
        <v>0</v>
      </c>
      <c r="BJ24" s="474">
        <f t="shared" si="6"/>
        <v>1.6914420000000001</v>
      </c>
      <c r="BK24" s="474">
        <f t="shared" ref="BK24" si="418">BJ24</f>
        <v>1.6914420000000001</v>
      </c>
      <c r="BL24" s="474">
        <f t="shared" si="7"/>
        <v>3.1323000000000003</v>
      </c>
      <c r="BM24" s="474">
        <f t="shared" ref="BM24" si="419">BL24</f>
        <v>3.1323000000000003</v>
      </c>
      <c r="BN24" s="475">
        <f t="shared" si="8"/>
        <v>1.2529200000000002E-2</v>
      </c>
      <c r="BO24" s="474">
        <f t="shared" ref="BO24" si="420">BN24</f>
        <v>1.2529200000000002E-2</v>
      </c>
      <c r="BP24" s="474">
        <f t="shared" si="9"/>
        <v>0.18793799999999999</v>
      </c>
      <c r="BQ24" s="474">
        <f t="shared" ref="BQ24" si="421">BP24</f>
        <v>0.18793799999999999</v>
      </c>
      <c r="BR24" s="474">
        <f t="shared" si="10"/>
        <v>3.4455300000000002</v>
      </c>
      <c r="BS24" s="474">
        <f t="shared" ref="BS24" si="422">BR24</f>
        <v>3.4455300000000002</v>
      </c>
      <c r="BT24" s="481"/>
      <c r="BU24" s="474"/>
      <c r="BV24" s="474"/>
      <c r="BW24" s="474"/>
      <c r="BX24" s="474"/>
      <c r="BY24" s="474"/>
      <c r="BZ24" s="481">
        <f t="shared" si="11"/>
        <v>1.2529200000000002E-2</v>
      </c>
      <c r="CA24" s="474">
        <f t="shared" ref="CA24" si="423">BZ24</f>
        <v>1.2529200000000002E-2</v>
      </c>
      <c r="CB24" s="474">
        <f t="shared" si="12"/>
        <v>0.18793799999999999</v>
      </c>
      <c r="CC24" s="474">
        <f t="shared" ref="CC24" si="424">CB24</f>
        <v>0.18793799999999999</v>
      </c>
      <c r="CD24" s="474">
        <f t="shared" si="13"/>
        <v>3.4455300000000002</v>
      </c>
      <c r="CE24" s="526">
        <f t="shared" ref="CE24" si="425">CD24</f>
        <v>3.4455300000000002</v>
      </c>
      <c r="CF24" s="355">
        <f t="shared" si="173"/>
        <v>0</v>
      </c>
      <c r="CG24" s="615">
        <f t="shared" si="174"/>
        <v>0</v>
      </c>
      <c r="CH24" s="355">
        <f t="shared" si="175"/>
        <v>0</v>
      </c>
      <c r="CI24" s="615">
        <f t="shared" si="14"/>
        <v>0</v>
      </c>
      <c r="CJ24" s="615">
        <f t="shared" si="176"/>
        <v>0</v>
      </c>
      <c r="CK24" s="615">
        <f t="shared" si="15"/>
        <v>0</v>
      </c>
      <c r="CL24" s="122"/>
      <c r="CM24" s="1235">
        <f t="shared" si="16"/>
        <v>293.49651</v>
      </c>
      <c r="CN24" s="1231"/>
      <c r="CO24" s="1230"/>
      <c r="CP24" s="1231"/>
      <c r="CQ24" s="1230">
        <f t="shared" si="177"/>
        <v>293.49651</v>
      </c>
      <c r="CR24" s="1232"/>
      <c r="CS24" s="30">
        <v>0.45</v>
      </c>
      <c r="CT24" s="31">
        <f t="shared" si="178"/>
        <v>0.55000000000000004</v>
      </c>
      <c r="CU24" s="31"/>
      <c r="CV24" s="32"/>
      <c r="CW24" s="1233">
        <f t="shared" si="179"/>
        <v>125.469758025</v>
      </c>
      <c r="CX24" s="1234"/>
      <c r="CY24" s="1234">
        <f t="shared" si="180"/>
        <v>153.35192647500003</v>
      </c>
      <c r="CZ24" s="1231"/>
      <c r="DA24" s="369"/>
      <c r="DB24" s="369"/>
      <c r="DC24" s="369"/>
      <c r="DD24" s="373"/>
      <c r="DE24" s="1234">
        <f t="shared" si="17"/>
        <v>125.469758025</v>
      </c>
      <c r="DF24" s="1234"/>
      <c r="DG24" s="369">
        <f t="shared" si="341"/>
        <v>153.35192647500003</v>
      </c>
      <c r="DH24" s="372">
        <f t="shared" si="182"/>
        <v>153.35192647500003</v>
      </c>
      <c r="DJ24" s="493">
        <v>0.05</v>
      </c>
      <c r="DK24" s="379"/>
      <c r="DL24" s="1105">
        <f t="shared" si="18"/>
        <v>14.674825500000001</v>
      </c>
      <c r="DM24" s="1105">
        <f t="shared" si="19"/>
        <v>14.674825500000001</v>
      </c>
      <c r="DN24" s="369"/>
      <c r="DO24" s="372"/>
      <c r="DP24" s="30">
        <v>1</v>
      </c>
      <c r="DQ24" s="31">
        <f t="shared" si="183"/>
        <v>0.1</v>
      </c>
      <c r="DR24" s="31">
        <f t="shared" si="184"/>
        <v>1</v>
      </c>
      <c r="DS24" s="680">
        <f t="shared" si="185"/>
        <v>0.1</v>
      </c>
      <c r="DT24" s="77">
        <f t="shared" si="186"/>
        <v>1</v>
      </c>
      <c r="DU24" s="31">
        <v>0</v>
      </c>
      <c r="DV24" s="31">
        <v>1</v>
      </c>
      <c r="DW24" s="31">
        <v>0</v>
      </c>
      <c r="DX24" s="31">
        <v>0</v>
      </c>
      <c r="DY24" s="31">
        <v>1</v>
      </c>
      <c r="DZ24" s="31">
        <v>0</v>
      </c>
      <c r="EA24" s="383">
        <f t="shared" si="187"/>
        <v>0</v>
      </c>
      <c r="EB24" s="355">
        <f t="shared" si="188"/>
        <v>0</v>
      </c>
      <c r="EC24" s="355">
        <f t="shared" si="189"/>
        <v>1.4051837625000001</v>
      </c>
      <c r="ED24" s="355">
        <f t="shared" si="190"/>
        <v>14.051837625000001</v>
      </c>
      <c r="EE24" s="355">
        <f t="shared" si="191"/>
        <v>0</v>
      </c>
      <c r="EF24" s="355">
        <f t="shared" si="192"/>
        <v>0</v>
      </c>
      <c r="EG24" s="366"/>
      <c r="EH24" s="355"/>
      <c r="EI24" s="355"/>
      <c r="EJ24" s="355"/>
      <c r="EK24" s="355"/>
      <c r="EL24" s="356"/>
      <c r="EM24" s="355">
        <f t="shared" si="193"/>
        <v>1.4051837625000001</v>
      </c>
      <c r="EN24" s="134">
        <f t="shared" si="194"/>
        <v>14.051837625000001</v>
      </c>
      <c r="EP24" s="1171">
        <f t="shared" si="20"/>
        <v>1.2529200000000002E-2</v>
      </c>
      <c r="EQ24" s="1172"/>
      <c r="ER24" s="1172">
        <f t="shared" si="21"/>
        <v>0.18793799999999999</v>
      </c>
      <c r="ES24" s="1172"/>
      <c r="ET24" s="1172">
        <f t="shared" si="22"/>
        <v>3.4455300000000002</v>
      </c>
      <c r="EU24" s="1172"/>
      <c r="EV24" s="366"/>
      <c r="EW24" s="355"/>
      <c r="EX24" s="355"/>
      <c r="EY24" s="355"/>
      <c r="EZ24" s="1172"/>
      <c r="FA24" s="1173"/>
      <c r="FB24" s="368">
        <f t="shared" si="195"/>
        <v>125.469758025</v>
      </c>
      <c r="FC24" s="369">
        <f t="shared" si="196"/>
        <v>125.469758025</v>
      </c>
      <c r="FD24" s="369"/>
      <c r="FE24" s="61"/>
      <c r="FF24" s="368">
        <f t="shared" si="197"/>
        <v>153.35192647500003</v>
      </c>
      <c r="FG24" s="369">
        <f t="shared" ref="FG24:FG57" si="426">FF24</f>
        <v>153.35192647500003</v>
      </c>
      <c r="FH24" s="369"/>
      <c r="FI24" s="369"/>
      <c r="FJ24" s="30">
        <v>1</v>
      </c>
      <c r="FK24" s="31">
        <v>0.2</v>
      </c>
      <c r="FL24" s="501">
        <v>0.8</v>
      </c>
      <c r="FM24" s="31">
        <f t="shared" si="198"/>
        <v>0.1</v>
      </c>
      <c r="FN24" s="501">
        <f t="shared" si="199"/>
        <v>1</v>
      </c>
      <c r="FO24" s="31">
        <f t="shared" si="200"/>
        <v>0.1</v>
      </c>
      <c r="FP24" s="31">
        <f t="shared" si="201"/>
        <v>1</v>
      </c>
      <c r="FQ24" s="31">
        <v>1</v>
      </c>
      <c r="FR24" s="31">
        <v>0</v>
      </c>
      <c r="FS24" s="89">
        <f t="shared" si="202"/>
        <v>1E-3</v>
      </c>
      <c r="FT24" s="31">
        <f t="shared" si="203"/>
        <v>0.05</v>
      </c>
      <c r="FU24" s="30">
        <v>0.05</v>
      </c>
      <c r="FV24" s="32">
        <f t="shared" si="25"/>
        <v>2.4224999999999997E-2</v>
      </c>
      <c r="FW24" s="31">
        <v>0.1</v>
      </c>
      <c r="FX24" s="77">
        <f t="shared" si="26"/>
        <v>9.0000000000000011E-2</v>
      </c>
      <c r="FY24" s="30"/>
      <c r="FZ24" s="32"/>
      <c r="GA24" s="31"/>
      <c r="GB24" s="77"/>
      <c r="GC24" s="378">
        <f t="shared" si="27"/>
        <v>1.2529200000000002E-2</v>
      </c>
      <c r="GD24" s="379">
        <f t="shared" si="204"/>
        <v>1.2529200000000002E-2</v>
      </c>
      <c r="GE24" s="379">
        <f t="shared" si="28"/>
        <v>0.18793799999999999</v>
      </c>
      <c r="GF24" s="379">
        <f t="shared" si="205"/>
        <v>0.18793799999999999</v>
      </c>
      <c r="GG24" s="379">
        <f t="shared" si="206"/>
        <v>0.68910600000000011</v>
      </c>
      <c r="GH24" s="218">
        <f t="shared" si="207"/>
        <v>2.7564240000000004</v>
      </c>
      <c r="GI24" s="379"/>
      <c r="GJ24" s="379"/>
      <c r="GK24" s="379"/>
      <c r="GL24" s="379"/>
      <c r="GM24" s="379"/>
      <c r="GN24" s="218"/>
      <c r="GO24" s="379">
        <f t="shared" si="208"/>
        <v>0.88957320000000006</v>
      </c>
      <c r="GP24" s="515">
        <f t="shared" si="209"/>
        <v>2.9568912000000003</v>
      </c>
      <c r="GQ24" s="379">
        <f>1/2*(($FB24*$FM24)*($FU24+$FV24)+$FB23*$FM23*($FU23+$FV23))</f>
        <v>0.89176298879685945</v>
      </c>
      <c r="GR24" s="379">
        <f t="shared" si="211"/>
        <v>22.8272102218125</v>
      </c>
      <c r="GS24" s="355">
        <f t="shared" si="390"/>
        <v>9.5724394356249999E-3</v>
      </c>
      <c r="GT24" s="355">
        <f t="shared" si="391"/>
        <v>4.786219717812501</v>
      </c>
      <c r="GU24" s="355">
        <f>1/10*($FF24*$FR24*$FM24*$FS24+$FF23*$FR23*$FM23*$FS23+$FF22*$FR22*$FM22*$FS22+$FF21*$FR21*$FM21*$FS21+$FF20*$FR20*$FM20*$FS20+$FF19*$FR19*$FM19*$FS19+$FF18*$FR18*$FM18*$FS18+$FF17*$FR17*$FM17*$FS17+$FF16*$FR16*$FM16*$FS16+$FF15*$FR15*$FM15*$FS15)</f>
        <v>0</v>
      </c>
      <c r="GV24" s="356">
        <f t="shared" si="393"/>
        <v>0</v>
      </c>
      <c r="GW24" s="355"/>
      <c r="GX24" s="355"/>
      <c r="GY24" s="355"/>
      <c r="GZ24" s="355"/>
      <c r="HA24" s="355"/>
      <c r="HB24" s="356"/>
      <c r="HC24" s="379">
        <f t="shared" si="212"/>
        <v>0.90133542823248447</v>
      </c>
      <c r="HD24" s="38">
        <f t="shared" si="213"/>
        <v>27.613429939625</v>
      </c>
      <c r="HE24" s="527"/>
      <c r="HF24" s="529">
        <f t="shared" si="29"/>
        <v>2.5371630000000001</v>
      </c>
      <c r="HG24" s="529">
        <f t="shared" si="30"/>
        <v>2.5371630000000001</v>
      </c>
      <c r="HH24" s="529">
        <f t="shared" si="31"/>
        <v>0</v>
      </c>
      <c r="HI24" s="529">
        <f t="shared" si="32"/>
        <v>0</v>
      </c>
      <c r="HJ24" s="529">
        <f t="shared" si="33"/>
        <v>1.8793800000000001</v>
      </c>
      <c r="HK24" s="524">
        <f t="shared" si="34"/>
        <v>1.8793800000000001</v>
      </c>
      <c r="HL24" s="529">
        <f t="shared" si="35"/>
        <v>0</v>
      </c>
      <c r="HM24" s="529">
        <f t="shared" si="36"/>
        <v>0</v>
      </c>
      <c r="HN24" s="529">
        <f t="shared" si="37"/>
        <v>3.0966257625000004</v>
      </c>
      <c r="HO24" s="529">
        <f t="shared" si="38"/>
        <v>15.743279625000001</v>
      </c>
      <c r="HP24" s="529">
        <f t="shared" si="39"/>
        <v>3.1323000000000003</v>
      </c>
      <c r="HQ24" s="524">
        <f t="shared" si="40"/>
        <v>3.1323000000000003</v>
      </c>
      <c r="HR24" s="615">
        <f t="shared" si="214"/>
        <v>0.91386462823248449</v>
      </c>
      <c r="HS24" s="615">
        <f t="shared" si="41"/>
        <v>27.625959139624999</v>
      </c>
      <c r="HT24" s="615">
        <f t="shared" si="42"/>
        <v>0.18793799999999999</v>
      </c>
      <c r="HU24" s="615">
        <f t="shared" si="43"/>
        <v>0.18793799999999999</v>
      </c>
      <c r="HV24" s="615">
        <f t="shared" si="44"/>
        <v>0.68910600000000011</v>
      </c>
      <c r="HW24" s="615">
        <f t="shared" si="45"/>
        <v>2.7564240000000004</v>
      </c>
      <c r="IG24" s="560"/>
      <c r="IH24" s="529">
        <f t="shared" si="215"/>
        <v>2.7908793000000005E-2</v>
      </c>
      <c r="II24" s="529">
        <f t="shared" si="216"/>
        <v>2.2834467000000004E-2</v>
      </c>
      <c r="IJ24" s="529">
        <f t="shared" si="217"/>
        <v>4.5668934000000008E-2</v>
      </c>
      <c r="IK24" s="529">
        <f t="shared" si="218"/>
        <v>2.2834467000000004E-2</v>
      </c>
      <c r="IL24" s="529">
        <f t="shared" si="219"/>
        <v>2.1439027350000002</v>
      </c>
      <c r="IM24" s="529">
        <f t="shared" si="220"/>
        <v>2.5371630000000003E-3</v>
      </c>
      <c r="IN24" s="529">
        <f t="shared" si="221"/>
        <v>2.5371630000000003E-3</v>
      </c>
      <c r="IO24" s="529">
        <f t="shared" si="222"/>
        <v>8.3726379000000004E-2</v>
      </c>
      <c r="IP24" s="529">
        <f t="shared" si="223"/>
        <v>0.10402368299999999</v>
      </c>
      <c r="IQ24" s="529">
        <f t="shared" si="224"/>
        <v>0.13193247600000002</v>
      </c>
      <c r="IR24" s="529">
        <f t="shared" si="225"/>
        <v>0.10402368299999999</v>
      </c>
      <c r="IS24" s="529">
        <f t="shared" si="226"/>
        <v>2.1489770610000001</v>
      </c>
      <c r="IT24" s="529">
        <f t="shared" si="227"/>
        <v>2.5371630000000003E-2</v>
      </c>
      <c r="IU24" s="526">
        <f t="shared" si="228"/>
        <v>2.5371630000000003E-2</v>
      </c>
      <c r="IV24" s="884">
        <f t="shared" si="229"/>
        <v>0</v>
      </c>
      <c r="IW24" s="884">
        <f t="shared" si="230"/>
        <v>0</v>
      </c>
      <c r="IX24" s="529">
        <f t="shared" si="49"/>
        <v>0</v>
      </c>
      <c r="IY24" s="529">
        <f t="shared" si="50"/>
        <v>0</v>
      </c>
      <c r="IZ24" s="529">
        <f t="shared" si="51"/>
        <v>0</v>
      </c>
      <c r="JA24" s="529">
        <f t="shared" si="52"/>
        <v>0</v>
      </c>
      <c r="JB24" s="529">
        <f t="shared" si="53"/>
        <v>0</v>
      </c>
      <c r="JC24" s="529">
        <f t="shared" si="231"/>
        <v>0</v>
      </c>
      <c r="JD24" s="529">
        <f t="shared" si="232"/>
        <v>0</v>
      </c>
      <c r="JE24" s="529">
        <f t="shared" si="55"/>
        <v>0</v>
      </c>
      <c r="JF24" s="529">
        <f t="shared" si="56"/>
        <v>0</v>
      </c>
      <c r="JG24" s="529">
        <f t="shared" si="57"/>
        <v>0</v>
      </c>
      <c r="JH24" s="529">
        <f t="shared" si="58"/>
        <v>0</v>
      </c>
      <c r="JI24" s="480">
        <f t="shared" si="59"/>
        <v>0</v>
      </c>
      <c r="JJ24" s="884">
        <f t="shared" si="233"/>
        <v>2.0673180000000003E-2</v>
      </c>
      <c r="JK24" s="884">
        <f t="shared" si="234"/>
        <v>1.6914420000000003E-2</v>
      </c>
      <c r="JL24" s="529">
        <f t="shared" si="61"/>
        <v>3.3828840000000006E-2</v>
      </c>
      <c r="JM24" s="529">
        <f t="shared" si="62"/>
        <v>1.6914420000000003E-2</v>
      </c>
      <c r="JN24" s="529">
        <f t="shared" si="63"/>
        <v>1.5880761000000001</v>
      </c>
      <c r="JO24" s="529">
        <f t="shared" si="64"/>
        <v>1.8793800000000002E-3</v>
      </c>
      <c r="JP24" s="529">
        <f t="shared" si="65"/>
        <v>1.8793800000000002E-3</v>
      </c>
      <c r="JQ24" s="529">
        <f t="shared" si="235"/>
        <v>6.2019540000000005E-2</v>
      </c>
      <c r="JR24" s="529">
        <f t="shared" si="236"/>
        <v>7.7054579999999998E-2</v>
      </c>
      <c r="JS24" s="474">
        <f t="shared" si="67"/>
        <v>9.7727760000000011E-2</v>
      </c>
      <c r="JT24" s="474">
        <f t="shared" si="68"/>
        <v>7.7054579999999998E-2</v>
      </c>
      <c r="JU24" s="474">
        <f t="shared" si="69"/>
        <v>1.5918348600000001</v>
      </c>
      <c r="JV24" s="474">
        <f t="shared" si="70"/>
        <v>1.8793799999999999E-2</v>
      </c>
      <c r="JW24" s="134">
        <f t="shared" si="71"/>
        <v>1.8793799999999999E-2</v>
      </c>
      <c r="JX24" s="884">
        <f t="shared" si="237"/>
        <v>0</v>
      </c>
      <c r="JY24" s="884">
        <f t="shared" si="238"/>
        <v>0</v>
      </c>
      <c r="JZ24" s="529">
        <f t="shared" si="73"/>
        <v>0</v>
      </c>
      <c r="KA24" s="529">
        <f t="shared" si="74"/>
        <v>0</v>
      </c>
      <c r="KB24" s="529">
        <f t="shared" si="75"/>
        <v>0</v>
      </c>
      <c r="KC24" s="529">
        <f t="shared" si="76"/>
        <v>0</v>
      </c>
      <c r="KD24" s="529">
        <f t="shared" si="77"/>
        <v>0</v>
      </c>
      <c r="KE24" s="529">
        <f t="shared" si="239"/>
        <v>0</v>
      </c>
      <c r="KF24" s="529">
        <f t="shared" si="240"/>
        <v>0</v>
      </c>
      <c r="KG24" s="529">
        <f t="shared" si="79"/>
        <v>0</v>
      </c>
      <c r="KH24" s="529">
        <f t="shared" si="80"/>
        <v>0</v>
      </c>
      <c r="KI24" s="529">
        <f t="shared" si="81"/>
        <v>0</v>
      </c>
      <c r="KJ24" s="529">
        <f t="shared" si="82"/>
        <v>0</v>
      </c>
      <c r="KK24" s="526">
        <f t="shared" si="83"/>
        <v>0</v>
      </c>
      <c r="KL24" s="884">
        <f t="shared" si="241"/>
        <v>3.4062883387500006E-2</v>
      </c>
      <c r="KM24" s="884">
        <f t="shared" si="242"/>
        <v>2.7869631862500008E-2</v>
      </c>
      <c r="KN24" s="529">
        <f t="shared" si="85"/>
        <v>5.5739263725000016E-2</v>
      </c>
      <c r="KO24" s="529">
        <f t="shared" si="86"/>
        <v>2.7869631862500008E-2</v>
      </c>
      <c r="KP24" s="529">
        <f t="shared" si="87"/>
        <v>2.6166487693125005</v>
      </c>
      <c r="KQ24" s="529">
        <f t="shared" si="88"/>
        <v>3.0966257625000006E-3</v>
      </c>
      <c r="KR24" s="529">
        <f t="shared" si="89"/>
        <v>3.0966257625000006E-3</v>
      </c>
      <c r="KS24" s="529">
        <f t="shared" si="243"/>
        <v>0.51952822762500006</v>
      </c>
      <c r="KT24" s="529">
        <f t="shared" si="244"/>
        <v>0.64547446462500002</v>
      </c>
      <c r="KU24" s="529">
        <f t="shared" si="91"/>
        <v>0.81865054050000019</v>
      </c>
      <c r="KV24" s="529">
        <f t="shared" si="92"/>
        <v>0.64547446462500002</v>
      </c>
      <c r="KW24" s="529">
        <f t="shared" si="93"/>
        <v>13.334557842375</v>
      </c>
      <c r="KX24" s="529">
        <f t="shared" si="94"/>
        <v>0.15743279625000001</v>
      </c>
      <c r="KY24" s="480">
        <f t="shared" si="95"/>
        <v>0.15743279625000001</v>
      </c>
      <c r="KZ24" s="884">
        <f t="shared" si="245"/>
        <v>3.4455300000000008E-2</v>
      </c>
      <c r="LA24" s="884">
        <f t="shared" si="246"/>
        <v>2.8190700000000006E-2</v>
      </c>
      <c r="LB24" s="529">
        <f t="shared" si="97"/>
        <v>5.6381400000000012E-2</v>
      </c>
      <c r="LC24" s="529">
        <f t="shared" si="98"/>
        <v>2.8190700000000006E-2</v>
      </c>
      <c r="LD24" s="529">
        <f t="shared" si="99"/>
        <v>2.6467935000000002</v>
      </c>
      <c r="LE24" s="529">
        <f t="shared" si="100"/>
        <v>3.1323000000000002E-3</v>
      </c>
      <c r="LF24" s="529">
        <f t="shared" si="101"/>
        <v>3.1323000000000002E-3</v>
      </c>
      <c r="LG24" s="529">
        <f t="shared" si="247"/>
        <v>0.10336590000000001</v>
      </c>
      <c r="LH24" s="529">
        <f t="shared" si="248"/>
        <v>0.12842429999999999</v>
      </c>
      <c r="LI24" s="355">
        <f t="shared" si="103"/>
        <v>0.16287960000000004</v>
      </c>
      <c r="LJ24" s="355">
        <f t="shared" si="104"/>
        <v>0.12842429999999999</v>
      </c>
      <c r="LK24" s="355">
        <f t="shared" si="105"/>
        <v>2.6530581</v>
      </c>
      <c r="LL24" s="355">
        <f t="shared" si="106"/>
        <v>3.1323000000000004E-2</v>
      </c>
      <c r="LM24" s="134">
        <f t="shared" si="107"/>
        <v>3.1323000000000004E-2</v>
      </c>
      <c r="LN24" s="884">
        <f t="shared" si="249"/>
        <v>1.005251091055733E-3</v>
      </c>
      <c r="LO24" s="884">
        <f t="shared" si="250"/>
        <v>2.7415938846974531E-4</v>
      </c>
      <c r="LP24" s="529">
        <f t="shared" si="109"/>
        <v>4.6607096039856712E-3</v>
      </c>
      <c r="LQ24" s="529">
        <f t="shared" si="110"/>
        <v>7.4936899515063715E-3</v>
      </c>
      <c r="LR24" s="529">
        <f t="shared" si="111"/>
        <v>0.73109170258598766</v>
      </c>
      <c r="LS24" s="529">
        <f t="shared" si="112"/>
        <v>7.9506222656226151E-3</v>
      </c>
      <c r="LT24" s="529">
        <f t="shared" si="113"/>
        <v>9.138646282324845E-4</v>
      </c>
      <c r="LU24" s="529">
        <f t="shared" si="251"/>
        <v>1.6575575483774998</v>
      </c>
      <c r="LV24" s="529">
        <f t="shared" si="252"/>
        <v>0.8287787741887499</v>
      </c>
      <c r="LW24" s="529">
        <f t="shared" si="115"/>
        <v>1.9338171397737502</v>
      </c>
      <c r="LX24" s="529">
        <f t="shared" si="116"/>
        <v>1.6575575483774998</v>
      </c>
      <c r="LY24" s="529">
        <f t="shared" si="117"/>
        <v>27.322073589089126</v>
      </c>
      <c r="LZ24" s="529">
        <f t="shared" si="118"/>
        <v>0.27625959139625</v>
      </c>
      <c r="MA24" s="485">
        <f t="shared" si="119"/>
        <v>0.27625959139625</v>
      </c>
      <c r="MB24" s="884">
        <f t="shared" si="253"/>
        <v>2.0673180000000001E-4</v>
      </c>
      <c r="MC24" s="884">
        <f t="shared" si="254"/>
        <v>5.6381399999999995E-5</v>
      </c>
      <c r="MD24" s="529">
        <f t="shared" si="121"/>
        <v>9.5848380000000005E-4</v>
      </c>
      <c r="ME24" s="529">
        <f t="shared" si="122"/>
        <v>1.5410915999999998E-3</v>
      </c>
      <c r="MF24" s="529">
        <f t="shared" si="123"/>
        <v>0.1503504</v>
      </c>
      <c r="MG24" s="529">
        <f t="shared" si="124"/>
        <v>1.6350605999999998E-3</v>
      </c>
      <c r="MH24" s="529">
        <f t="shared" si="125"/>
        <v>1.8793799999999999E-4</v>
      </c>
      <c r="MI24" s="529">
        <f t="shared" si="255"/>
        <v>1.127628E-2</v>
      </c>
      <c r="MJ24" s="529">
        <f t="shared" si="256"/>
        <v>5.6381399999999998E-3</v>
      </c>
      <c r="MK24" s="529">
        <f t="shared" si="127"/>
        <v>1.3155660000000001E-2</v>
      </c>
      <c r="ML24" s="529">
        <f t="shared" si="128"/>
        <v>1.127628E-2</v>
      </c>
      <c r="MM24" s="529">
        <f t="shared" si="129"/>
        <v>0.18587068200000001</v>
      </c>
      <c r="MN24" s="529">
        <f t="shared" si="130"/>
        <v>1.8793799999999999E-3</v>
      </c>
      <c r="MO24" s="485">
        <f t="shared" si="131"/>
        <v>1.8793799999999999E-3</v>
      </c>
      <c r="MP24" s="884">
        <f t="shared" si="257"/>
        <v>7.5801660000000012E-4</v>
      </c>
      <c r="MQ24" s="884">
        <f t="shared" si="258"/>
        <v>2.0673180000000001E-4</v>
      </c>
      <c r="MR24" s="529">
        <f t="shared" si="133"/>
        <v>3.5144406000000008E-3</v>
      </c>
      <c r="MS24" s="529">
        <f t="shared" si="134"/>
        <v>5.6506692000000006E-3</v>
      </c>
      <c r="MT24" s="529">
        <f t="shared" si="135"/>
        <v>0.55128480000000013</v>
      </c>
      <c r="MU24" s="529">
        <f t="shared" si="136"/>
        <v>5.9952222000000006E-3</v>
      </c>
      <c r="MV24" s="529">
        <f t="shared" si="137"/>
        <v>6.8910600000000009E-4</v>
      </c>
      <c r="MW24" s="529">
        <f t="shared" si="259"/>
        <v>0.16538544000000002</v>
      </c>
      <c r="MX24" s="529">
        <f t="shared" si="260"/>
        <v>8.2692720000000011E-2</v>
      </c>
      <c r="MY24" s="474">
        <f t="shared" si="139"/>
        <v>0.19294968000000004</v>
      </c>
      <c r="MZ24" s="474">
        <f t="shared" si="140"/>
        <v>0.16538544000000002</v>
      </c>
      <c r="NA24" s="474">
        <f t="shared" si="141"/>
        <v>2.7261033360000009</v>
      </c>
      <c r="NB24" s="474">
        <f t="shared" si="142"/>
        <v>2.7564240000000004E-2</v>
      </c>
      <c r="NC24" s="134">
        <f t="shared" si="143"/>
        <v>2.7564240000000004E-2</v>
      </c>
    </row>
    <row r="25" spans="1:367" x14ac:dyDescent="0.25">
      <c r="A25" s="18">
        <v>1970</v>
      </c>
      <c r="B25" s="1271">
        <v>344</v>
      </c>
      <c r="C25" s="1224"/>
      <c r="D25" s="1224">
        <v>0</v>
      </c>
      <c r="E25" s="1272"/>
      <c r="F25" s="1224">
        <f t="shared" si="144"/>
        <v>338.84</v>
      </c>
      <c r="G25" s="1224"/>
      <c r="H25" s="1224">
        <f t="shared" si="145"/>
        <v>0</v>
      </c>
      <c r="I25" s="1224"/>
      <c r="J25" s="1082">
        <v>0</v>
      </c>
      <c r="K25" s="1082">
        <f t="shared" si="0"/>
        <v>0</v>
      </c>
      <c r="L25" s="1224">
        <f t="shared" si="1"/>
        <v>338.84</v>
      </c>
      <c r="M25" s="1228"/>
      <c r="N25" s="193">
        <v>8.0999999999999996E-3</v>
      </c>
      <c r="O25" s="47">
        <v>0</v>
      </c>
      <c r="P25" s="47">
        <v>6.0000000000000001E-3</v>
      </c>
      <c r="Q25" s="192">
        <v>0</v>
      </c>
      <c r="R25" s="47">
        <v>0</v>
      </c>
      <c r="S25" s="47">
        <f t="shared" si="146"/>
        <v>5.4000000000000003E-3</v>
      </c>
      <c r="T25" s="47">
        <v>0.01</v>
      </c>
      <c r="U25" s="47">
        <v>1.8E-3</v>
      </c>
      <c r="V25" s="117">
        <v>4.0000000000000003E-5</v>
      </c>
      <c r="W25" s="47">
        <v>5.9999999999999995E-4</v>
      </c>
      <c r="X25" s="52">
        <v>1.0999999999999999E-2</v>
      </c>
      <c r="Y25" s="52">
        <v>2.0199999999999999E-2</v>
      </c>
      <c r="Z25" s="111">
        <v>6.3E-2</v>
      </c>
      <c r="AA25" s="52">
        <f t="shared" si="147"/>
        <v>0.1</v>
      </c>
      <c r="AB25" s="52">
        <f t="shared" si="148"/>
        <v>0</v>
      </c>
      <c r="AC25" s="52">
        <f t="shared" si="149"/>
        <v>0.9</v>
      </c>
      <c r="AD25" s="475">
        <f t="shared" si="150"/>
        <v>2.7446039999999998</v>
      </c>
      <c r="AE25" s="474">
        <f t="shared" si="151"/>
        <v>2.7446039999999998</v>
      </c>
      <c r="AF25" s="474">
        <f t="shared" si="152"/>
        <v>0</v>
      </c>
      <c r="AG25" s="474">
        <f t="shared" si="151"/>
        <v>0</v>
      </c>
      <c r="AH25" s="474">
        <f t="shared" si="153"/>
        <v>2.0330399999999997</v>
      </c>
      <c r="AI25" s="474">
        <f t="shared" ref="AI25" si="427">AH25</f>
        <v>2.0330399999999997</v>
      </c>
      <c r="AJ25" s="508"/>
      <c r="AK25" s="508"/>
      <c r="AL25" s="508"/>
      <c r="AM25" s="508"/>
      <c r="AN25" s="508"/>
      <c r="AO25" s="572"/>
      <c r="AP25" s="481">
        <f t="shared" si="155"/>
        <v>2.7446039999999998</v>
      </c>
      <c r="AQ25" s="474">
        <f t="shared" ref="AQ25" si="428">AP25</f>
        <v>2.7446039999999998</v>
      </c>
      <c r="AR25" s="474">
        <f t="shared" si="157"/>
        <v>0</v>
      </c>
      <c r="AS25" s="474">
        <f t="shared" ref="AS25" si="429">AR25</f>
        <v>0</v>
      </c>
      <c r="AT25" s="474">
        <f t="shared" si="159"/>
        <v>2.0330399999999997</v>
      </c>
      <c r="AU25" s="474">
        <f t="shared" ref="AU25" si="430">AT25</f>
        <v>2.0330399999999997</v>
      </c>
      <c r="AV25" s="475">
        <f t="shared" si="2"/>
        <v>0</v>
      </c>
      <c r="AW25" s="474">
        <f t="shared" ref="AW25" si="431">AV25</f>
        <v>0</v>
      </c>
      <c r="AX25" s="474">
        <f t="shared" si="3"/>
        <v>1.829736</v>
      </c>
      <c r="AY25" s="474">
        <f t="shared" ref="AY25" si="432">AX25</f>
        <v>1.829736</v>
      </c>
      <c r="AZ25" s="474">
        <f t="shared" si="4"/>
        <v>3.3883999999999999</v>
      </c>
      <c r="BA25" s="474">
        <f t="shared" ref="BA25" si="433">AZ25</f>
        <v>3.3883999999999999</v>
      </c>
      <c r="BB25" s="481"/>
      <c r="BC25" s="474"/>
      <c r="BD25" s="474"/>
      <c r="BE25" s="474"/>
      <c r="BF25" s="474"/>
      <c r="BG25" s="474"/>
      <c r="BH25" s="481">
        <f t="shared" si="5"/>
        <v>0</v>
      </c>
      <c r="BI25" s="474">
        <f t="shared" ref="BI25" si="434">BH25</f>
        <v>0</v>
      </c>
      <c r="BJ25" s="474">
        <f t="shared" si="6"/>
        <v>1.829736</v>
      </c>
      <c r="BK25" s="474">
        <f t="shared" ref="BK25" si="435">BJ25</f>
        <v>1.829736</v>
      </c>
      <c r="BL25" s="474">
        <f t="shared" si="7"/>
        <v>3.3883999999999999</v>
      </c>
      <c r="BM25" s="474">
        <f t="shared" ref="BM25" si="436">BL25</f>
        <v>3.3883999999999999</v>
      </c>
      <c r="BN25" s="475">
        <f t="shared" si="8"/>
        <v>1.3553600000000001E-2</v>
      </c>
      <c r="BO25" s="474">
        <f t="shared" ref="BO25" si="437">BN25</f>
        <v>1.3553600000000001E-2</v>
      </c>
      <c r="BP25" s="474">
        <f t="shared" si="9"/>
        <v>0.20330399999999996</v>
      </c>
      <c r="BQ25" s="474">
        <f t="shared" ref="BQ25" si="438">BP25</f>
        <v>0.20330399999999996</v>
      </c>
      <c r="BR25" s="474">
        <f t="shared" si="10"/>
        <v>3.7272399999999997</v>
      </c>
      <c r="BS25" s="474">
        <f t="shared" ref="BS25" si="439">BR25</f>
        <v>3.7272399999999997</v>
      </c>
      <c r="BT25" s="481"/>
      <c r="BU25" s="474"/>
      <c r="BV25" s="474"/>
      <c r="BW25" s="474"/>
      <c r="BX25" s="474"/>
      <c r="BY25" s="474"/>
      <c r="BZ25" s="481">
        <f t="shared" si="11"/>
        <v>1.3553600000000001E-2</v>
      </c>
      <c r="CA25" s="474">
        <f t="shared" ref="CA25" si="440">BZ25</f>
        <v>1.3553600000000001E-2</v>
      </c>
      <c r="CB25" s="474">
        <f t="shared" si="12"/>
        <v>0.20330399999999996</v>
      </c>
      <c r="CC25" s="474">
        <f t="shared" ref="CC25" si="441">CB25</f>
        <v>0.20330399999999996</v>
      </c>
      <c r="CD25" s="474">
        <f t="shared" si="13"/>
        <v>3.7272399999999997</v>
      </c>
      <c r="CE25" s="526">
        <f t="shared" ref="CE25" si="442">CD25</f>
        <v>3.7272399999999997</v>
      </c>
      <c r="CF25" s="355">
        <f t="shared" si="173"/>
        <v>0</v>
      </c>
      <c r="CG25" s="615">
        <f t="shared" si="174"/>
        <v>0</v>
      </c>
      <c r="CH25" s="355">
        <f t="shared" si="175"/>
        <v>0</v>
      </c>
      <c r="CI25" s="615">
        <f t="shared" si="14"/>
        <v>0</v>
      </c>
      <c r="CJ25" s="615">
        <f t="shared" si="176"/>
        <v>0</v>
      </c>
      <c r="CK25" s="615">
        <f t="shared" si="15"/>
        <v>0</v>
      </c>
      <c r="CL25" s="122"/>
      <c r="CM25" s="1235">
        <f t="shared" si="16"/>
        <v>317.49307999999996</v>
      </c>
      <c r="CN25" s="1231"/>
      <c r="CO25" s="1230"/>
      <c r="CP25" s="1231"/>
      <c r="CQ25" s="1230">
        <f t="shared" si="177"/>
        <v>317.49307999999996</v>
      </c>
      <c r="CR25" s="1232"/>
      <c r="CS25" s="30">
        <v>0.45</v>
      </c>
      <c r="CT25" s="31">
        <f t="shared" si="178"/>
        <v>0.55000000000000004</v>
      </c>
      <c r="CU25" s="31"/>
      <c r="CV25" s="32"/>
      <c r="CW25" s="1233">
        <f t="shared" si="179"/>
        <v>135.72829169999997</v>
      </c>
      <c r="CX25" s="1234"/>
      <c r="CY25" s="1234">
        <f t="shared" si="180"/>
        <v>165.89013429999997</v>
      </c>
      <c r="CZ25" s="1231"/>
      <c r="DA25" s="369"/>
      <c r="DB25" s="369"/>
      <c r="DC25" s="369"/>
      <c r="DD25" s="373"/>
      <c r="DE25" s="1234">
        <f t="shared" si="17"/>
        <v>135.72829169999997</v>
      </c>
      <c r="DF25" s="1234"/>
      <c r="DG25" s="369">
        <f t="shared" si="341"/>
        <v>165.89013429999997</v>
      </c>
      <c r="DH25" s="372">
        <f t="shared" si="182"/>
        <v>165.89013429999997</v>
      </c>
      <c r="DJ25" s="493">
        <v>0.05</v>
      </c>
      <c r="DK25" s="379"/>
      <c r="DL25" s="1105">
        <f t="shared" si="18"/>
        <v>15.874654</v>
      </c>
      <c r="DM25" s="1105">
        <f t="shared" si="19"/>
        <v>15.874654</v>
      </c>
      <c r="DN25" s="369"/>
      <c r="DO25" s="372"/>
      <c r="DP25" s="30">
        <v>1</v>
      </c>
      <c r="DQ25" s="31">
        <f t="shared" si="183"/>
        <v>0.1</v>
      </c>
      <c r="DR25" s="31">
        <f t="shared" si="184"/>
        <v>1</v>
      </c>
      <c r="DS25" s="680">
        <f t="shared" si="185"/>
        <v>0.1</v>
      </c>
      <c r="DT25" s="77">
        <f t="shared" si="186"/>
        <v>1</v>
      </c>
      <c r="DU25" s="31">
        <v>0</v>
      </c>
      <c r="DV25" s="31">
        <v>1</v>
      </c>
      <c r="DW25" s="31">
        <v>0</v>
      </c>
      <c r="DX25" s="31">
        <v>0</v>
      </c>
      <c r="DY25" s="31">
        <v>1</v>
      </c>
      <c r="DZ25" s="31">
        <v>0</v>
      </c>
      <c r="EA25" s="383">
        <f t="shared" si="187"/>
        <v>0</v>
      </c>
      <c r="EB25" s="355">
        <f t="shared" si="188"/>
        <v>0</v>
      </c>
      <c r="EC25" s="355">
        <f t="shared" si="189"/>
        <v>1.5274739750000002</v>
      </c>
      <c r="ED25" s="355">
        <f t="shared" si="190"/>
        <v>15.27473975</v>
      </c>
      <c r="EE25" s="355">
        <f t="shared" si="191"/>
        <v>0</v>
      </c>
      <c r="EF25" s="355">
        <f t="shared" si="192"/>
        <v>0</v>
      </c>
      <c r="EG25" s="366"/>
      <c r="EH25" s="355"/>
      <c r="EI25" s="355"/>
      <c r="EJ25" s="355"/>
      <c r="EK25" s="355"/>
      <c r="EL25" s="356"/>
      <c r="EM25" s="355">
        <f t="shared" si="193"/>
        <v>1.5274739750000002</v>
      </c>
      <c r="EN25" s="134">
        <f t="shared" si="194"/>
        <v>15.27473975</v>
      </c>
      <c r="EP25" s="1171">
        <f t="shared" si="20"/>
        <v>1.3553600000000001E-2</v>
      </c>
      <c r="EQ25" s="1172"/>
      <c r="ER25" s="1172">
        <f t="shared" si="21"/>
        <v>0.20330399999999996</v>
      </c>
      <c r="ES25" s="1172"/>
      <c r="ET25" s="1172">
        <f t="shared" si="22"/>
        <v>3.7272399999999997</v>
      </c>
      <c r="EU25" s="1172"/>
      <c r="EV25" s="366"/>
      <c r="EW25" s="355"/>
      <c r="EX25" s="355"/>
      <c r="EY25" s="355"/>
      <c r="EZ25" s="1172"/>
      <c r="FA25" s="1173"/>
      <c r="FB25" s="368">
        <f t="shared" si="195"/>
        <v>135.72829169999997</v>
      </c>
      <c r="FC25" s="369">
        <f t="shared" si="196"/>
        <v>135.72829169999997</v>
      </c>
      <c r="FD25" s="369"/>
      <c r="FE25" s="61"/>
      <c r="FF25" s="368">
        <f t="shared" si="197"/>
        <v>165.89013429999997</v>
      </c>
      <c r="FG25" s="369">
        <f t="shared" si="426"/>
        <v>165.89013429999997</v>
      </c>
      <c r="FH25" s="369"/>
      <c r="FI25" s="369"/>
      <c r="FJ25" s="30">
        <v>1</v>
      </c>
      <c r="FK25" s="31">
        <v>0.2</v>
      </c>
      <c r="FL25" s="501">
        <v>0.8</v>
      </c>
      <c r="FM25" s="31">
        <f t="shared" si="198"/>
        <v>0.1</v>
      </c>
      <c r="FN25" s="501">
        <f t="shared" si="199"/>
        <v>1</v>
      </c>
      <c r="FO25" s="31">
        <f t="shared" si="200"/>
        <v>0.1</v>
      </c>
      <c r="FP25" s="31">
        <f t="shared" si="201"/>
        <v>1</v>
      </c>
      <c r="FQ25" s="31">
        <v>1</v>
      </c>
      <c r="FR25" s="31">
        <v>0</v>
      </c>
      <c r="FS25" s="89">
        <f t="shared" si="202"/>
        <v>1E-3</v>
      </c>
      <c r="FT25" s="31">
        <f t="shared" si="203"/>
        <v>0.05</v>
      </c>
      <c r="FU25" s="30">
        <v>0.05</v>
      </c>
      <c r="FV25" s="32">
        <f t="shared" si="25"/>
        <v>2.4224999999999997E-2</v>
      </c>
      <c r="FW25" s="31">
        <v>0.1</v>
      </c>
      <c r="FX25" s="77">
        <f t="shared" si="26"/>
        <v>9.0000000000000011E-2</v>
      </c>
      <c r="FY25" s="30"/>
      <c r="FZ25" s="32"/>
      <c r="GA25" s="31"/>
      <c r="GB25" s="77"/>
      <c r="GC25" s="378">
        <f t="shared" si="27"/>
        <v>1.3553600000000001E-2</v>
      </c>
      <c r="GD25" s="379">
        <f t="shared" si="204"/>
        <v>1.3553600000000001E-2</v>
      </c>
      <c r="GE25" s="379">
        <f t="shared" si="28"/>
        <v>0.20330399999999996</v>
      </c>
      <c r="GF25" s="379">
        <f t="shared" si="205"/>
        <v>0.20330399999999996</v>
      </c>
      <c r="GG25" s="379">
        <f t="shared" si="206"/>
        <v>0.745448</v>
      </c>
      <c r="GH25" s="218">
        <f t="shared" si="207"/>
        <v>2.981792</v>
      </c>
      <c r="GI25" s="379"/>
      <c r="GJ25" s="379"/>
      <c r="GK25" s="379"/>
      <c r="GL25" s="379"/>
      <c r="GM25" s="379"/>
      <c r="GN25" s="218"/>
      <c r="GO25" s="379">
        <f t="shared" si="208"/>
        <v>0.96230559999999998</v>
      </c>
      <c r="GP25" s="515">
        <f t="shared" si="209"/>
        <v>3.1986496</v>
      </c>
      <c r="GQ25" s="379">
        <f t="shared" si="210"/>
        <v>0.96937126204190616</v>
      </c>
      <c r="GR25" s="379">
        <f t="shared" si="211"/>
        <v>24.813814723874998</v>
      </c>
      <c r="GS25" s="355">
        <f t="shared" si="390"/>
        <v>1.085037215625E-2</v>
      </c>
      <c r="GT25" s="355">
        <f t="shared" si="391"/>
        <v>5.4251860781250008</v>
      </c>
      <c r="GU25" s="355">
        <f t="shared" si="392"/>
        <v>0</v>
      </c>
      <c r="GV25" s="356">
        <f t="shared" si="393"/>
        <v>0</v>
      </c>
      <c r="GW25" s="355"/>
      <c r="GX25" s="355"/>
      <c r="GY25" s="355"/>
      <c r="GZ25" s="355"/>
      <c r="HA25" s="355"/>
      <c r="HB25" s="356"/>
      <c r="HC25" s="379">
        <f t="shared" si="212"/>
        <v>0.98022163419815611</v>
      </c>
      <c r="HD25" s="38">
        <f t="shared" si="213"/>
        <v>30.239000802</v>
      </c>
      <c r="HE25" s="527"/>
      <c r="HF25" s="529">
        <f t="shared" si="29"/>
        <v>2.7446039999999998</v>
      </c>
      <c r="HG25" s="529">
        <f t="shared" si="30"/>
        <v>2.7446039999999998</v>
      </c>
      <c r="HH25" s="529">
        <f t="shared" si="31"/>
        <v>0</v>
      </c>
      <c r="HI25" s="529">
        <f t="shared" si="32"/>
        <v>0</v>
      </c>
      <c r="HJ25" s="529">
        <f t="shared" si="33"/>
        <v>2.0330399999999997</v>
      </c>
      <c r="HK25" s="524">
        <f t="shared" si="34"/>
        <v>2.0330399999999997</v>
      </c>
      <c r="HL25" s="529">
        <f t="shared" si="35"/>
        <v>0</v>
      </c>
      <c r="HM25" s="529">
        <f t="shared" si="36"/>
        <v>0</v>
      </c>
      <c r="HN25" s="529">
        <f t="shared" si="37"/>
        <v>3.357209975</v>
      </c>
      <c r="HO25" s="529">
        <f t="shared" si="38"/>
        <v>17.104475749999999</v>
      </c>
      <c r="HP25" s="529">
        <f t="shared" si="39"/>
        <v>3.3883999999999999</v>
      </c>
      <c r="HQ25" s="524">
        <f t="shared" si="40"/>
        <v>3.3883999999999999</v>
      </c>
      <c r="HR25" s="615">
        <f t="shared" si="214"/>
        <v>0.99377523419815617</v>
      </c>
      <c r="HS25" s="615">
        <f t="shared" si="41"/>
        <v>30.252554402000001</v>
      </c>
      <c r="HT25" s="615">
        <f t="shared" si="42"/>
        <v>0.20330399999999996</v>
      </c>
      <c r="HU25" s="615">
        <f t="shared" si="43"/>
        <v>0.20330399999999996</v>
      </c>
      <c r="HV25" s="615">
        <f t="shared" si="44"/>
        <v>0.745448</v>
      </c>
      <c r="HW25" s="615">
        <f t="shared" si="45"/>
        <v>2.981792</v>
      </c>
      <c r="HZ25" s="542"/>
      <c r="IA25" s="543"/>
      <c r="IB25" s="542"/>
      <c r="IC25" s="542"/>
      <c r="ID25" s="542"/>
      <c r="IE25" s="543"/>
      <c r="IF25" s="543"/>
      <c r="IG25" s="560"/>
      <c r="IH25" s="529">
        <f t="shared" si="215"/>
        <v>3.0190644000000003E-2</v>
      </c>
      <c r="II25" s="529">
        <f t="shared" si="216"/>
        <v>2.4701436E-2</v>
      </c>
      <c r="IJ25" s="529">
        <f t="shared" si="217"/>
        <v>4.9402872E-2</v>
      </c>
      <c r="IK25" s="529">
        <f t="shared" si="218"/>
        <v>2.4701436E-2</v>
      </c>
      <c r="IL25" s="529">
        <f t="shared" si="219"/>
        <v>2.3191903799999998</v>
      </c>
      <c r="IM25" s="529">
        <f t="shared" si="220"/>
        <v>2.7446039999999999E-3</v>
      </c>
      <c r="IN25" s="529">
        <f t="shared" si="221"/>
        <v>2.7446039999999999E-3</v>
      </c>
      <c r="IO25" s="529">
        <f t="shared" si="222"/>
        <v>9.0571931999999994E-2</v>
      </c>
      <c r="IP25" s="529">
        <f t="shared" si="223"/>
        <v>0.11252876399999998</v>
      </c>
      <c r="IQ25" s="529">
        <f t="shared" si="224"/>
        <v>0.14271940799999999</v>
      </c>
      <c r="IR25" s="529">
        <f t="shared" si="225"/>
        <v>0.11252876399999998</v>
      </c>
      <c r="IS25" s="529">
        <f t="shared" si="226"/>
        <v>2.324679588</v>
      </c>
      <c r="IT25" s="529">
        <f t="shared" si="227"/>
        <v>2.7446039999999998E-2</v>
      </c>
      <c r="IU25" s="526">
        <f t="shared" si="228"/>
        <v>2.7446039999999998E-2</v>
      </c>
      <c r="IV25" s="884">
        <f t="shared" si="229"/>
        <v>0</v>
      </c>
      <c r="IW25" s="884">
        <f t="shared" si="230"/>
        <v>0</v>
      </c>
      <c r="IX25" s="529">
        <f t="shared" si="49"/>
        <v>0</v>
      </c>
      <c r="IY25" s="529">
        <f t="shared" si="50"/>
        <v>0</v>
      </c>
      <c r="IZ25" s="529">
        <f t="shared" si="51"/>
        <v>0</v>
      </c>
      <c r="JA25" s="529">
        <f t="shared" si="52"/>
        <v>0</v>
      </c>
      <c r="JB25" s="529">
        <f t="shared" si="53"/>
        <v>0</v>
      </c>
      <c r="JC25" s="529">
        <f t="shared" si="231"/>
        <v>0</v>
      </c>
      <c r="JD25" s="529">
        <f t="shared" si="232"/>
        <v>0</v>
      </c>
      <c r="JE25" s="529">
        <f t="shared" si="55"/>
        <v>0</v>
      </c>
      <c r="JF25" s="529">
        <f t="shared" si="56"/>
        <v>0</v>
      </c>
      <c r="JG25" s="529">
        <f t="shared" si="57"/>
        <v>0</v>
      </c>
      <c r="JH25" s="529">
        <f t="shared" si="58"/>
        <v>0</v>
      </c>
      <c r="JI25" s="480">
        <f t="shared" si="59"/>
        <v>0</v>
      </c>
      <c r="JJ25" s="884">
        <f t="shared" si="233"/>
        <v>2.2363439999999998E-2</v>
      </c>
      <c r="JK25" s="884">
        <f t="shared" si="234"/>
        <v>1.8297359999999999E-2</v>
      </c>
      <c r="JL25" s="529">
        <f t="shared" si="61"/>
        <v>3.6594719999999997E-2</v>
      </c>
      <c r="JM25" s="529">
        <f t="shared" si="62"/>
        <v>1.8297359999999999E-2</v>
      </c>
      <c r="JN25" s="529">
        <f t="shared" si="63"/>
        <v>1.7179187999999996</v>
      </c>
      <c r="JO25" s="529">
        <f t="shared" si="64"/>
        <v>2.0330399999999998E-3</v>
      </c>
      <c r="JP25" s="529">
        <f t="shared" si="65"/>
        <v>2.0330399999999998E-3</v>
      </c>
      <c r="JQ25" s="529">
        <f t="shared" si="235"/>
        <v>6.7090319999999995E-2</v>
      </c>
      <c r="JR25" s="529">
        <f t="shared" si="236"/>
        <v>8.335463999999998E-2</v>
      </c>
      <c r="JS25" s="474">
        <f t="shared" si="67"/>
        <v>0.10571807999999999</v>
      </c>
      <c r="JT25" s="474">
        <f t="shared" si="68"/>
        <v>8.335463999999998E-2</v>
      </c>
      <c r="JU25" s="474">
        <f t="shared" si="69"/>
        <v>1.7219848799999997</v>
      </c>
      <c r="JV25" s="474">
        <f t="shared" si="70"/>
        <v>2.0330399999999998E-2</v>
      </c>
      <c r="JW25" s="134">
        <f t="shared" si="71"/>
        <v>2.0330399999999998E-2</v>
      </c>
      <c r="JX25" s="884">
        <f t="shared" si="237"/>
        <v>0</v>
      </c>
      <c r="JY25" s="884">
        <f t="shared" si="238"/>
        <v>0</v>
      </c>
      <c r="JZ25" s="529">
        <f t="shared" si="73"/>
        <v>0</v>
      </c>
      <c r="KA25" s="529">
        <f t="shared" si="74"/>
        <v>0</v>
      </c>
      <c r="KB25" s="529">
        <f t="shared" si="75"/>
        <v>0</v>
      </c>
      <c r="KC25" s="529">
        <f t="shared" si="76"/>
        <v>0</v>
      </c>
      <c r="KD25" s="529">
        <f t="shared" si="77"/>
        <v>0</v>
      </c>
      <c r="KE25" s="529">
        <f t="shared" si="239"/>
        <v>0</v>
      </c>
      <c r="KF25" s="529">
        <f t="shared" si="240"/>
        <v>0</v>
      </c>
      <c r="KG25" s="529">
        <f t="shared" si="79"/>
        <v>0</v>
      </c>
      <c r="KH25" s="529">
        <f t="shared" si="80"/>
        <v>0</v>
      </c>
      <c r="KI25" s="529">
        <f t="shared" si="81"/>
        <v>0</v>
      </c>
      <c r="KJ25" s="529">
        <f t="shared" si="82"/>
        <v>0</v>
      </c>
      <c r="KK25" s="526">
        <f t="shared" si="83"/>
        <v>0</v>
      </c>
      <c r="KL25" s="884">
        <f t="shared" si="241"/>
        <v>3.6929309725000005E-2</v>
      </c>
      <c r="KM25" s="884">
        <f t="shared" si="242"/>
        <v>3.0214889775000003E-2</v>
      </c>
      <c r="KN25" s="529">
        <f t="shared" si="85"/>
        <v>6.0429779550000007E-2</v>
      </c>
      <c r="KO25" s="529">
        <f t="shared" si="86"/>
        <v>3.0214889775000003E-2</v>
      </c>
      <c r="KP25" s="529">
        <f t="shared" si="87"/>
        <v>2.8368424288749998</v>
      </c>
      <c r="KQ25" s="529">
        <f t="shared" si="88"/>
        <v>3.3572099749999999E-3</v>
      </c>
      <c r="KR25" s="529">
        <f t="shared" si="89"/>
        <v>3.3572099749999999E-3</v>
      </c>
      <c r="KS25" s="529">
        <f t="shared" si="243"/>
        <v>0.56444769974999998</v>
      </c>
      <c r="KT25" s="529">
        <f t="shared" si="244"/>
        <v>0.70128350574999987</v>
      </c>
      <c r="KU25" s="529">
        <f t="shared" si="91"/>
        <v>0.88943273899999997</v>
      </c>
      <c r="KV25" s="529">
        <f t="shared" si="92"/>
        <v>0.70128350574999987</v>
      </c>
      <c r="KW25" s="529">
        <f t="shared" si="93"/>
        <v>14.487490960249998</v>
      </c>
      <c r="KX25" s="529">
        <f t="shared" si="94"/>
        <v>0.17104475750000001</v>
      </c>
      <c r="KY25" s="480">
        <f t="shared" si="95"/>
        <v>0.17104475750000001</v>
      </c>
      <c r="KZ25" s="884">
        <f t="shared" si="245"/>
        <v>3.7272400000000004E-2</v>
      </c>
      <c r="LA25" s="884">
        <f t="shared" si="246"/>
        <v>3.0495600000000001E-2</v>
      </c>
      <c r="LB25" s="529">
        <f t="shared" si="97"/>
        <v>6.0991200000000002E-2</v>
      </c>
      <c r="LC25" s="529">
        <f t="shared" si="98"/>
        <v>3.0495600000000001E-2</v>
      </c>
      <c r="LD25" s="529">
        <f t="shared" si="99"/>
        <v>2.8631979999999997</v>
      </c>
      <c r="LE25" s="529">
        <f t="shared" si="100"/>
        <v>3.3883999999999997E-3</v>
      </c>
      <c r="LF25" s="529">
        <f t="shared" si="101"/>
        <v>3.3883999999999997E-3</v>
      </c>
      <c r="LG25" s="529">
        <f t="shared" si="247"/>
        <v>0.11181720000000001</v>
      </c>
      <c r="LH25" s="529">
        <f t="shared" si="248"/>
        <v>0.13892439999999998</v>
      </c>
      <c r="LI25" s="355">
        <f t="shared" si="103"/>
        <v>0.17619680000000001</v>
      </c>
      <c r="LJ25" s="355">
        <f t="shared" si="104"/>
        <v>0.13892439999999998</v>
      </c>
      <c r="LK25" s="355">
        <f t="shared" si="105"/>
        <v>2.8699747999999996</v>
      </c>
      <c r="LL25" s="355">
        <f t="shared" si="106"/>
        <v>3.3883999999999997E-2</v>
      </c>
      <c r="LM25" s="134">
        <f t="shared" si="107"/>
        <v>3.3883999999999997E-2</v>
      </c>
      <c r="LN25" s="884">
        <f t="shared" si="249"/>
        <v>1.0931527576179718E-3</v>
      </c>
      <c r="LO25" s="884">
        <f t="shared" si="250"/>
        <v>2.9813257025944681E-4</v>
      </c>
      <c r="LP25" s="529">
        <f t="shared" si="109"/>
        <v>5.0682536944105967E-3</v>
      </c>
      <c r="LQ25" s="529">
        <f t="shared" si="110"/>
        <v>8.1489569204248793E-3</v>
      </c>
      <c r="LR25" s="529">
        <f t="shared" si="111"/>
        <v>0.79502018735852498</v>
      </c>
      <c r="LS25" s="529">
        <f t="shared" si="112"/>
        <v>8.6458445375239574E-3</v>
      </c>
      <c r="LT25" s="529">
        <f t="shared" si="113"/>
        <v>9.9377523419815622E-4</v>
      </c>
      <c r="LU25" s="529">
        <f t="shared" si="251"/>
        <v>1.8151532641200001</v>
      </c>
      <c r="LV25" s="529">
        <f t="shared" si="252"/>
        <v>0.90757663206000005</v>
      </c>
      <c r="LW25" s="529">
        <f t="shared" si="115"/>
        <v>2.1176788081400004</v>
      </c>
      <c r="LX25" s="529">
        <f t="shared" si="116"/>
        <v>1.8151532641200001</v>
      </c>
      <c r="LY25" s="529">
        <f t="shared" si="117"/>
        <v>29.919776303578004</v>
      </c>
      <c r="LZ25" s="529">
        <f t="shared" si="118"/>
        <v>0.30252554402000004</v>
      </c>
      <c r="MA25" s="485">
        <f t="shared" si="119"/>
        <v>0.30252554402000004</v>
      </c>
      <c r="MB25" s="884">
        <f t="shared" si="253"/>
        <v>2.2363439999999995E-4</v>
      </c>
      <c r="MC25" s="884">
        <f t="shared" si="254"/>
        <v>6.0991199999999979E-5</v>
      </c>
      <c r="MD25" s="529">
        <f t="shared" si="121"/>
        <v>1.0368503999999999E-3</v>
      </c>
      <c r="ME25" s="529">
        <f t="shared" si="122"/>
        <v>1.6670927999999994E-3</v>
      </c>
      <c r="MF25" s="529">
        <f t="shared" si="123"/>
        <v>0.16264319999999999</v>
      </c>
      <c r="MG25" s="529">
        <f t="shared" si="124"/>
        <v>1.7687447999999995E-3</v>
      </c>
      <c r="MH25" s="529">
        <f t="shared" si="125"/>
        <v>2.0330399999999996E-4</v>
      </c>
      <c r="MI25" s="529">
        <f t="shared" si="255"/>
        <v>1.2198239999999997E-2</v>
      </c>
      <c r="MJ25" s="529">
        <f t="shared" si="256"/>
        <v>6.0991199999999987E-3</v>
      </c>
      <c r="MK25" s="529">
        <f t="shared" si="127"/>
        <v>1.4231279999999999E-2</v>
      </c>
      <c r="ML25" s="529">
        <f t="shared" si="128"/>
        <v>1.2198239999999997E-2</v>
      </c>
      <c r="MM25" s="529">
        <f t="shared" si="129"/>
        <v>0.20106765599999998</v>
      </c>
      <c r="MN25" s="529">
        <f t="shared" si="130"/>
        <v>2.0330399999999994E-3</v>
      </c>
      <c r="MO25" s="485">
        <f t="shared" si="131"/>
        <v>2.0330399999999994E-3</v>
      </c>
      <c r="MP25" s="884">
        <f t="shared" si="257"/>
        <v>8.1999280000000002E-4</v>
      </c>
      <c r="MQ25" s="884">
        <f t="shared" si="258"/>
        <v>2.2363439999999998E-4</v>
      </c>
      <c r="MR25" s="529">
        <f t="shared" si="133"/>
        <v>3.8017848000000002E-3</v>
      </c>
      <c r="MS25" s="529">
        <f t="shared" si="134"/>
        <v>6.1126735999999992E-3</v>
      </c>
      <c r="MT25" s="529">
        <f t="shared" si="135"/>
        <v>0.59635840000000007</v>
      </c>
      <c r="MU25" s="529">
        <f t="shared" si="136"/>
        <v>6.4853975999999997E-3</v>
      </c>
      <c r="MV25" s="529">
        <f t="shared" si="137"/>
        <v>7.4544800000000001E-4</v>
      </c>
      <c r="MW25" s="529">
        <f t="shared" si="259"/>
        <v>0.17890751999999999</v>
      </c>
      <c r="MX25" s="529">
        <f t="shared" si="260"/>
        <v>8.9453759999999993E-2</v>
      </c>
      <c r="MY25" s="474">
        <f t="shared" si="139"/>
        <v>0.20872544000000001</v>
      </c>
      <c r="MZ25" s="474">
        <f t="shared" si="140"/>
        <v>0.17890751999999999</v>
      </c>
      <c r="NA25" s="474">
        <f t="shared" si="141"/>
        <v>2.9489922880000004</v>
      </c>
      <c r="NB25" s="474">
        <f t="shared" si="142"/>
        <v>2.9817920000000001E-2</v>
      </c>
      <c r="NC25" s="134">
        <f t="shared" si="143"/>
        <v>2.9817920000000001E-2</v>
      </c>
    </row>
    <row r="26" spans="1:367" x14ac:dyDescent="0.25">
      <c r="A26" s="18">
        <v>1971</v>
      </c>
      <c r="B26" s="1271">
        <v>370</v>
      </c>
      <c r="C26" s="1224"/>
      <c r="D26" s="1224">
        <v>0</v>
      </c>
      <c r="E26" s="1272"/>
      <c r="F26" s="1224">
        <f t="shared" si="144"/>
        <v>364.45</v>
      </c>
      <c r="G26" s="1224"/>
      <c r="H26" s="1224">
        <f t="shared" si="145"/>
        <v>0</v>
      </c>
      <c r="I26" s="1224"/>
      <c r="J26" s="1082">
        <v>0</v>
      </c>
      <c r="K26" s="1082">
        <f t="shared" si="0"/>
        <v>0</v>
      </c>
      <c r="L26" s="1224">
        <f t="shared" si="1"/>
        <v>364.45</v>
      </c>
      <c r="M26" s="1228"/>
      <c r="N26" s="193">
        <v>8.0999999999999996E-3</v>
      </c>
      <c r="O26" s="47">
        <v>0</v>
      </c>
      <c r="P26" s="47">
        <v>6.0000000000000001E-3</v>
      </c>
      <c r="Q26" s="192">
        <v>0</v>
      </c>
      <c r="R26" s="47">
        <v>0</v>
      </c>
      <c r="S26" s="47">
        <f t="shared" si="146"/>
        <v>5.4000000000000003E-3</v>
      </c>
      <c r="T26" s="47">
        <v>0.01</v>
      </c>
      <c r="U26" s="47">
        <v>1.8E-3</v>
      </c>
      <c r="V26" s="117">
        <v>4.0000000000000003E-5</v>
      </c>
      <c r="W26" s="47">
        <v>5.9999999999999995E-4</v>
      </c>
      <c r="X26" s="52">
        <v>1.0999999999999999E-2</v>
      </c>
      <c r="Y26" s="52">
        <v>2.0199999999999999E-2</v>
      </c>
      <c r="Z26" s="111">
        <v>6.3E-2</v>
      </c>
      <c r="AA26" s="52">
        <f t="shared" si="147"/>
        <v>0.1</v>
      </c>
      <c r="AB26" s="52">
        <f t="shared" si="148"/>
        <v>0</v>
      </c>
      <c r="AC26" s="52">
        <f t="shared" si="149"/>
        <v>0.9</v>
      </c>
      <c r="AD26" s="475">
        <f t="shared" si="150"/>
        <v>2.9520449999999996</v>
      </c>
      <c r="AE26" s="474">
        <f t="shared" si="151"/>
        <v>2.9520449999999996</v>
      </c>
      <c r="AF26" s="474">
        <f t="shared" si="152"/>
        <v>0</v>
      </c>
      <c r="AG26" s="474">
        <f t="shared" si="151"/>
        <v>0</v>
      </c>
      <c r="AH26" s="474">
        <f t="shared" si="153"/>
        <v>2.1867000000000001</v>
      </c>
      <c r="AI26" s="474">
        <f t="shared" ref="AI26" si="443">AH26</f>
        <v>2.1867000000000001</v>
      </c>
      <c r="AJ26" s="508"/>
      <c r="AK26" s="508"/>
      <c r="AL26" s="508"/>
      <c r="AM26" s="508"/>
      <c r="AN26" s="508"/>
      <c r="AO26" s="572"/>
      <c r="AP26" s="481">
        <f t="shared" si="155"/>
        <v>2.9520449999999996</v>
      </c>
      <c r="AQ26" s="474">
        <f t="shared" ref="AQ26" si="444">AP26</f>
        <v>2.9520449999999996</v>
      </c>
      <c r="AR26" s="474">
        <f t="shared" si="157"/>
        <v>0</v>
      </c>
      <c r="AS26" s="474">
        <f t="shared" ref="AS26" si="445">AR26</f>
        <v>0</v>
      </c>
      <c r="AT26" s="474">
        <f t="shared" si="159"/>
        <v>2.1867000000000001</v>
      </c>
      <c r="AU26" s="474">
        <f t="shared" ref="AU26" si="446">AT26</f>
        <v>2.1867000000000001</v>
      </c>
      <c r="AV26" s="475">
        <f t="shared" si="2"/>
        <v>0</v>
      </c>
      <c r="AW26" s="474">
        <f t="shared" ref="AW26" si="447">AV26</f>
        <v>0</v>
      </c>
      <c r="AX26" s="474">
        <f t="shared" si="3"/>
        <v>1.9680299999999999</v>
      </c>
      <c r="AY26" s="474">
        <f t="shared" ref="AY26" si="448">AX26</f>
        <v>1.9680299999999999</v>
      </c>
      <c r="AZ26" s="474">
        <f t="shared" si="4"/>
        <v>3.6444999999999999</v>
      </c>
      <c r="BA26" s="474">
        <f t="shared" ref="BA26" si="449">AZ26</f>
        <v>3.6444999999999999</v>
      </c>
      <c r="BB26" s="481"/>
      <c r="BC26" s="474"/>
      <c r="BD26" s="474"/>
      <c r="BE26" s="474"/>
      <c r="BF26" s="474"/>
      <c r="BG26" s="474"/>
      <c r="BH26" s="481">
        <f t="shared" si="5"/>
        <v>0</v>
      </c>
      <c r="BI26" s="474">
        <f t="shared" ref="BI26" si="450">BH26</f>
        <v>0</v>
      </c>
      <c r="BJ26" s="474">
        <f t="shared" si="6"/>
        <v>1.9680299999999999</v>
      </c>
      <c r="BK26" s="474">
        <f t="shared" ref="BK26" si="451">BJ26</f>
        <v>1.9680299999999999</v>
      </c>
      <c r="BL26" s="474">
        <f t="shared" si="7"/>
        <v>3.6444999999999999</v>
      </c>
      <c r="BM26" s="474">
        <f t="shared" ref="BM26" si="452">BL26</f>
        <v>3.6444999999999999</v>
      </c>
      <c r="BN26" s="475">
        <f t="shared" si="8"/>
        <v>1.4578000000000001E-2</v>
      </c>
      <c r="BO26" s="474">
        <f t="shared" ref="BO26" si="453">BN26</f>
        <v>1.4578000000000001E-2</v>
      </c>
      <c r="BP26" s="474">
        <f t="shared" si="9"/>
        <v>0.21866999999999998</v>
      </c>
      <c r="BQ26" s="474">
        <f t="shared" ref="BQ26" si="454">BP26</f>
        <v>0.21866999999999998</v>
      </c>
      <c r="BR26" s="474">
        <f t="shared" si="10"/>
        <v>4.0089499999999996</v>
      </c>
      <c r="BS26" s="474">
        <f t="shared" ref="BS26" si="455">BR26</f>
        <v>4.0089499999999996</v>
      </c>
      <c r="BT26" s="481"/>
      <c r="BU26" s="474"/>
      <c r="BV26" s="474"/>
      <c r="BW26" s="474"/>
      <c r="BX26" s="474"/>
      <c r="BY26" s="474"/>
      <c r="BZ26" s="481">
        <f t="shared" si="11"/>
        <v>1.4578000000000001E-2</v>
      </c>
      <c r="CA26" s="474">
        <f t="shared" ref="CA26" si="456">BZ26</f>
        <v>1.4578000000000001E-2</v>
      </c>
      <c r="CB26" s="474">
        <f t="shared" si="12"/>
        <v>0.21866999999999998</v>
      </c>
      <c r="CC26" s="474">
        <f t="shared" ref="CC26" si="457">CB26</f>
        <v>0.21866999999999998</v>
      </c>
      <c r="CD26" s="474">
        <f t="shared" si="13"/>
        <v>4.0089499999999996</v>
      </c>
      <c r="CE26" s="526">
        <f t="shared" ref="CE26" si="458">CD26</f>
        <v>4.0089499999999996</v>
      </c>
      <c r="CF26" s="355">
        <f t="shared" si="173"/>
        <v>0</v>
      </c>
      <c r="CG26" s="615">
        <f t="shared" si="174"/>
        <v>0</v>
      </c>
      <c r="CH26" s="355">
        <f t="shared" si="175"/>
        <v>0</v>
      </c>
      <c r="CI26" s="615">
        <f t="shared" si="14"/>
        <v>0</v>
      </c>
      <c r="CJ26" s="615">
        <f t="shared" si="176"/>
        <v>0</v>
      </c>
      <c r="CK26" s="615">
        <f t="shared" si="15"/>
        <v>0</v>
      </c>
      <c r="CL26" s="122"/>
      <c r="CM26" s="1235">
        <f t="shared" si="16"/>
        <v>341.48964999999998</v>
      </c>
      <c r="CN26" s="1231"/>
      <c r="CO26" s="1230"/>
      <c r="CP26" s="1231"/>
      <c r="CQ26" s="1230">
        <f t="shared" si="177"/>
        <v>341.48964999999998</v>
      </c>
      <c r="CR26" s="1232"/>
      <c r="CS26" s="30">
        <v>0.45</v>
      </c>
      <c r="CT26" s="31">
        <f t="shared" si="178"/>
        <v>0.55000000000000004</v>
      </c>
      <c r="CU26" s="31"/>
      <c r="CV26" s="32"/>
      <c r="CW26" s="1233">
        <f t="shared" si="179"/>
        <v>145.986825375</v>
      </c>
      <c r="CX26" s="1234"/>
      <c r="CY26" s="1234">
        <f t="shared" si="180"/>
        <v>178.428342125</v>
      </c>
      <c r="CZ26" s="1231"/>
      <c r="DA26" s="369"/>
      <c r="DB26" s="369"/>
      <c r="DC26" s="369"/>
      <c r="DD26" s="373"/>
      <c r="DE26" s="1234">
        <f t="shared" si="17"/>
        <v>145.986825375</v>
      </c>
      <c r="DF26" s="1234"/>
      <c r="DG26" s="369">
        <f t="shared" si="341"/>
        <v>178.428342125</v>
      </c>
      <c r="DH26" s="372">
        <f t="shared" si="182"/>
        <v>178.428342125</v>
      </c>
      <c r="DJ26" s="493">
        <v>0.05</v>
      </c>
      <c r="DK26" s="379"/>
      <c r="DL26" s="1105">
        <f t="shared" si="18"/>
        <v>17.074482499999998</v>
      </c>
      <c r="DM26" s="1105">
        <f t="shared" si="19"/>
        <v>17.074482499999998</v>
      </c>
      <c r="DN26" s="369"/>
      <c r="DO26" s="372"/>
      <c r="DP26" s="30">
        <v>1</v>
      </c>
      <c r="DQ26" s="31">
        <f t="shared" si="183"/>
        <v>0.1</v>
      </c>
      <c r="DR26" s="31">
        <f t="shared" si="184"/>
        <v>1</v>
      </c>
      <c r="DS26" s="680">
        <f t="shared" si="185"/>
        <v>0.1</v>
      </c>
      <c r="DT26" s="77">
        <f t="shared" si="186"/>
        <v>1</v>
      </c>
      <c r="DU26" s="31">
        <v>0</v>
      </c>
      <c r="DV26" s="31">
        <v>1</v>
      </c>
      <c r="DW26" s="31">
        <v>0</v>
      </c>
      <c r="DX26" s="31">
        <v>0</v>
      </c>
      <c r="DY26" s="31">
        <v>1</v>
      </c>
      <c r="DZ26" s="31">
        <v>0</v>
      </c>
      <c r="EA26" s="383">
        <f t="shared" si="187"/>
        <v>0</v>
      </c>
      <c r="EB26" s="355">
        <f t="shared" si="188"/>
        <v>0</v>
      </c>
      <c r="EC26" s="355">
        <f t="shared" si="189"/>
        <v>1.6474568249999999</v>
      </c>
      <c r="ED26" s="355">
        <f t="shared" si="190"/>
        <v>16.474568249999997</v>
      </c>
      <c r="EE26" s="355">
        <f t="shared" si="191"/>
        <v>0</v>
      </c>
      <c r="EF26" s="355">
        <f t="shared" si="192"/>
        <v>0</v>
      </c>
      <c r="EG26" s="366"/>
      <c r="EH26" s="355"/>
      <c r="EI26" s="355"/>
      <c r="EJ26" s="355"/>
      <c r="EK26" s="355"/>
      <c r="EL26" s="356"/>
      <c r="EM26" s="355">
        <f t="shared" si="193"/>
        <v>1.6474568249999999</v>
      </c>
      <c r="EN26" s="134">
        <f t="shared" si="194"/>
        <v>16.474568249999997</v>
      </c>
      <c r="EP26" s="1171">
        <f t="shared" si="20"/>
        <v>1.4578000000000001E-2</v>
      </c>
      <c r="EQ26" s="1172"/>
      <c r="ER26" s="1172">
        <f t="shared" si="21"/>
        <v>0.21866999999999998</v>
      </c>
      <c r="ES26" s="1172"/>
      <c r="ET26" s="1172">
        <f t="shared" si="22"/>
        <v>4.0089499999999996</v>
      </c>
      <c r="EU26" s="1172"/>
      <c r="EV26" s="366"/>
      <c r="EW26" s="355"/>
      <c r="EX26" s="355"/>
      <c r="EY26" s="355"/>
      <c r="EZ26" s="1172"/>
      <c r="FA26" s="1173"/>
      <c r="FB26" s="368">
        <f t="shared" si="195"/>
        <v>145.986825375</v>
      </c>
      <c r="FC26" s="369">
        <f t="shared" si="196"/>
        <v>145.986825375</v>
      </c>
      <c r="FD26" s="369"/>
      <c r="FE26" s="61"/>
      <c r="FF26" s="368">
        <f t="shared" si="197"/>
        <v>178.428342125</v>
      </c>
      <c r="FG26" s="369">
        <f t="shared" si="426"/>
        <v>178.428342125</v>
      </c>
      <c r="FH26" s="369"/>
      <c r="FI26" s="369"/>
      <c r="FJ26" s="30">
        <v>1</v>
      </c>
      <c r="FK26" s="31">
        <v>0.2</v>
      </c>
      <c r="FL26" s="501">
        <v>0.8</v>
      </c>
      <c r="FM26" s="31">
        <f t="shared" si="198"/>
        <v>0.1</v>
      </c>
      <c r="FN26" s="501">
        <f t="shared" si="199"/>
        <v>1</v>
      </c>
      <c r="FO26" s="31">
        <f t="shared" si="200"/>
        <v>0.1</v>
      </c>
      <c r="FP26" s="31">
        <f t="shared" si="201"/>
        <v>1</v>
      </c>
      <c r="FQ26" s="31">
        <v>1</v>
      </c>
      <c r="FR26" s="31">
        <v>0</v>
      </c>
      <c r="FS26" s="89">
        <f t="shared" si="202"/>
        <v>1E-3</v>
      </c>
      <c r="FT26" s="31">
        <f t="shared" si="203"/>
        <v>0.05</v>
      </c>
      <c r="FU26" s="30">
        <v>0.05</v>
      </c>
      <c r="FV26" s="32">
        <f t="shared" si="25"/>
        <v>2.4224999999999997E-2</v>
      </c>
      <c r="FW26" s="31">
        <v>0.1</v>
      </c>
      <c r="FX26" s="77">
        <f t="shared" si="26"/>
        <v>9.0000000000000011E-2</v>
      </c>
      <c r="FY26" s="30"/>
      <c r="FZ26" s="32"/>
      <c r="GA26" s="31"/>
      <c r="GB26" s="77"/>
      <c r="GC26" s="378">
        <f t="shared" si="27"/>
        <v>1.4578000000000001E-2</v>
      </c>
      <c r="GD26" s="379">
        <f t="shared" si="204"/>
        <v>1.4578000000000001E-2</v>
      </c>
      <c r="GE26" s="379">
        <f t="shared" si="28"/>
        <v>0.21866999999999998</v>
      </c>
      <c r="GF26" s="379">
        <f t="shared" si="205"/>
        <v>0.21866999999999998</v>
      </c>
      <c r="GG26" s="379">
        <f t="shared" si="206"/>
        <v>0.80179</v>
      </c>
      <c r="GH26" s="218">
        <f t="shared" si="207"/>
        <v>3.20716</v>
      </c>
      <c r="GI26" s="379"/>
      <c r="GJ26" s="379"/>
      <c r="GK26" s="379"/>
      <c r="GL26" s="379"/>
      <c r="GM26" s="379"/>
      <c r="GN26" s="218"/>
      <c r="GO26" s="379">
        <f t="shared" si="208"/>
        <v>1.0350379999999999</v>
      </c>
      <c r="GP26" s="515">
        <f t="shared" si="209"/>
        <v>3.4404080000000001</v>
      </c>
      <c r="GQ26" s="379">
        <f t="shared" si="210"/>
        <v>1.0455152282445936</v>
      </c>
      <c r="GR26" s="379">
        <f t="shared" si="211"/>
        <v>26.762936122124998</v>
      </c>
      <c r="GS26" s="355">
        <f t="shared" si="390"/>
        <v>1.212348248925E-2</v>
      </c>
      <c r="GT26" s="355">
        <f t="shared" si="391"/>
        <v>6.0617412446250007</v>
      </c>
      <c r="GU26" s="355">
        <f t="shared" si="392"/>
        <v>0</v>
      </c>
      <c r="GV26" s="356">
        <f t="shared" si="393"/>
        <v>0</v>
      </c>
      <c r="GW26" s="355"/>
      <c r="GX26" s="355"/>
      <c r="GY26" s="355"/>
      <c r="GZ26" s="355"/>
      <c r="HA26" s="355"/>
      <c r="HB26" s="356"/>
      <c r="HC26" s="379">
        <f t="shared" si="212"/>
        <v>1.0576387107338436</v>
      </c>
      <c r="HD26" s="38">
        <f t="shared" si="213"/>
        <v>32.824677366749995</v>
      </c>
      <c r="HE26" s="527"/>
      <c r="HF26" s="529">
        <f t="shared" si="29"/>
        <v>2.9520449999999996</v>
      </c>
      <c r="HG26" s="529">
        <f t="shared" si="30"/>
        <v>2.9520449999999996</v>
      </c>
      <c r="HH26" s="529">
        <f t="shared" si="31"/>
        <v>0</v>
      </c>
      <c r="HI26" s="529">
        <f t="shared" si="32"/>
        <v>0</v>
      </c>
      <c r="HJ26" s="529">
        <f t="shared" si="33"/>
        <v>2.1867000000000001</v>
      </c>
      <c r="HK26" s="524">
        <f t="shared" si="34"/>
        <v>2.1867000000000001</v>
      </c>
      <c r="HL26" s="529">
        <f t="shared" si="35"/>
        <v>0</v>
      </c>
      <c r="HM26" s="529">
        <f t="shared" si="36"/>
        <v>0</v>
      </c>
      <c r="HN26" s="529">
        <f t="shared" si="37"/>
        <v>3.6154868249999996</v>
      </c>
      <c r="HO26" s="529">
        <f t="shared" si="38"/>
        <v>18.442598249999996</v>
      </c>
      <c r="HP26" s="529">
        <f t="shared" si="39"/>
        <v>3.6444999999999999</v>
      </c>
      <c r="HQ26" s="524">
        <f t="shared" si="40"/>
        <v>3.6444999999999999</v>
      </c>
      <c r="HR26" s="615">
        <f t="shared" si="214"/>
        <v>1.0722167107338436</v>
      </c>
      <c r="HS26" s="615">
        <f t="shared" si="41"/>
        <v>32.839255366749995</v>
      </c>
      <c r="HT26" s="615">
        <f t="shared" si="42"/>
        <v>0.21866999999999998</v>
      </c>
      <c r="HU26" s="615">
        <f t="shared" si="43"/>
        <v>0.21866999999999998</v>
      </c>
      <c r="HV26" s="615">
        <f t="shared" si="44"/>
        <v>0.80179</v>
      </c>
      <c r="HW26" s="615">
        <f t="shared" si="45"/>
        <v>3.20716</v>
      </c>
      <c r="HZ26" s="542"/>
      <c r="IA26" s="543"/>
      <c r="IB26" s="542"/>
      <c r="IC26" s="542"/>
      <c r="ID26" s="542"/>
      <c r="IE26" s="543"/>
      <c r="IF26" s="543"/>
      <c r="IG26" s="560"/>
      <c r="IH26" s="529">
        <f t="shared" si="215"/>
        <v>3.2472494999999997E-2</v>
      </c>
      <c r="II26" s="529">
        <f t="shared" si="216"/>
        <v>2.6568405E-2</v>
      </c>
      <c r="IJ26" s="529">
        <f t="shared" si="217"/>
        <v>5.313681E-2</v>
      </c>
      <c r="IK26" s="529">
        <f t="shared" si="218"/>
        <v>2.6568405E-2</v>
      </c>
      <c r="IL26" s="529">
        <f t="shared" si="219"/>
        <v>2.4944780249999994</v>
      </c>
      <c r="IM26" s="529">
        <f t="shared" si="220"/>
        <v>2.9520449999999995E-3</v>
      </c>
      <c r="IN26" s="529">
        <f t="shared" si="221"/>
        <v>2.9520449999999995E-3</v>
      </c>
      <c r="IO26" s="529">
        <f t="shared" si="222"/>
        <v>9.7417484999999984E-2</v>
      </c>
      <c r="IP26" s="529">
        <f t="shared" si="223"/>
        <v>0.12103384499999997</v>
      </c>
      <c r="IQ26" s="529">
        <f t="shared" si="224"/>
        <v>0.15350633999999999</v>
      </c>
      <c r="IR26" s="529">
        <f t="shared" si="225"/>
        <v>0.12103384499999997</v>
      </c>
      <c r="IS26" s="529">
        <f t="shared" si="226"/>
        <v>2.5003821149999994</v>
      </c>
      <c r="IT26" s="529">
        <f t="shared" si="227"/>
        <v>2.9520449999999997E-2</v>
      </c>
      <c r="IU26" s="526">
        <f t="shared" si="228"/>
        <v>2.9520449999999997E-2</v>
      </c>
      <c r="IV26" s="884">
        <f t="shared" si="229"/>
        <v>0</v>
      </c>
      <c r="IW26" s="884">
        <f t="shared" si="230"/>
        <v>0</v>
      </c>
      <c r="IX26" s="529">
        <f t="shared" si="49"/>
        <v>0</v>
      </c>
      <c r="IY26" s="529">
        <f t="shared" si="50"/>
        <v>0</v>
      </c>
      <c r="IZ26" s="529">
        <f t="shared" si="51"/>
        <v>0</v>
      </c>
      <c r="JA26" s="529">
        <f t="shared" si="52"/>
        <v>0</v>
      </c>
      <c r="JB26" s="529">
        <f t="shared" si="53"/>
        <v>0</v>
      </c>
      <c r="JC26" s="529">
        <f t="shared" si="231"/>
        <v>0</v>
      </c>
      <c r="JD26" s="529">
        <f t="shared" si="232"/>
        <v>0</v>
      </c>
      <c r="JE26" s="529">
        <f t="shared" si="55"/>
        <v>0</v>
      </c>
      <c r="JF26" s="529">
        <f t="shared" si="56"/>
        <v>0</v>
      </c>
      <c r="JG26" s="529">
        <f t="shared" si="57"/>
        <v>0</v>
      </c>
      <c r="JH26" s="529">
        <f t="shared" si="58"/>
        <v>0</v>
      </c>
      <c r="JI26" s="480">
        <f t="shared" si="59"/>
        <v>0</v>
      </c>
      <c r="JJ26" s="884">
        <f t="shared" si="233"/>
        <v>2.4053700000000004E-2</v>
      </c>
      <c r="JK26" s="884">
        <f t="shared" si="234"/>
        <v>1.9680300000000005E-2</v>
      </c>
      <c r="JL26" s="529">
        <f t="shared" si="61"/>
        <v>3.9360600000000009E-2</v>
      </c>
      <c r="JM26" s="529">
        <f t="shared" si="62"/>
        <v>1.9680300000000005E-2</v>
      </c>
      <c r="JN26" s="529">
        <f t="shared" si="63"/>
        <v>1.8477615000000001</v>
      </c>
      <c r="JO26" s="529">
        <f t="shared" si="64"/>
        <v>2.1867000000000002E-3</v>
      </c>
      <c r="JP26" s="529">
        <f t="shared" si="65"/>
        <v>2.1867000000000002E-3</v>
      </c>
      <c r="JQ26" s="529">
        <f t="shared" si="235"/>
        <v>7.2161100000000006E-2</v>
      </c>
      <c r="JR26" s="529">
        <f t="shared" si="236"/>
        <v>8.965469999999999E-2</v>
      </c>
      <c r="JS26" s="474">
        <f t="shared" si="67"/>
        <v>0.11370840000000002</v>
      </c>
      <c r="JT26" s="474">
        <f t="shared" si="68"/>
        <v>8.965469999999999E-2</v>
      </c>
      <c r="JU26" s="474">
        <f t="shared" si="69"/>
        <v>1.8521349</v>
      </c>
      <c r="JV26" s="474">
        <f t="shared" si="70"/>
        <v>2.1867000000000001E-2</v>
      </c>
      <c r="JW26" s="134">
        <f t="shared" si="71"/>
        <v>2.1867000000000001E-2</v>
      </c>
      <c r="JX26" s="884">
        <f t="shared" si="237"/>
        <v>0</v>
      </c>
      <c r="JY26" s="884">
        <f t="shared" si="238"/>
        <v>0</v>
      </c>
      <c r="JZ26" s="529">
        <f t="shared" si="73"/>
        <v>0</v>
      </c>
      <c r="KA26" s="529">
        <f t="shared" si="74"/>
        <v>0</v>
      </c>
      <c r="KB26" s="529">
        <f t="shared" si="75"/>
        <v>0</v>
      </c>
      <c r="KC26" s="529">
        <f t="shared" si="76"/>
        <v>0</v>
      </c>
      <c r="KD26" s="529">
        <f t="shared" si="77"/>
        <v>0</v>
      </c>
      <c r="KE26" s="529">
        <f t="shared" si="239"/>
        <v>0</v>
      </c>
      <c r="KF26" s="529">
        <f t="shared" si="240"/>
        <v>0</v>
      </c>
      <c r="KG26" s="529">
        <f t="shared" si="79"/>
        <v>0</v>
      </c>
      <c r="KH26" s="529">
        <f t="shared" si="80"/>
        <v>0</v>
      </c>
      <c r="KI26" s="529">
        <f t="shared" si="81"/>
        <v>0</v>
      </c>
      <c r="KJ26" s="529">
        <f t="shared" si="82"/>
        <v>0</v>
      </c>
      <c r="KK26" s="526">
        <f t="shared" si="83"/>
        <v>0</v>
      </c>
      <c r="KL26" s="884">
        <f t="shared" si="241"/>
        <v>3.9770355075E-2</v>
      </c>
      <c r="KM26" s="884">
        <f t="shared" si="242"/>
        <v>3.2539381425E-2</v>
      </c>
      <c r="KN26" s="529">
        <f t="shared" si="85"/>
        <v>6.5078762849999999E-2</v>
      </c>
      <c r="KO26" s="529">
        <f t="shared" si="86"/>
        <v>3.2539381425E-2</v>
      </c>
      <c r="KP26" s="529">
        <f t="shared" si="87"/>
        <v>3.0550863671249995</v>
      </c>
      <c r="KQ26" s="529">
        <f t="shared" si="88"/>
        <v>3.6154868249999995E-3</v>
      </c>
      <c r="KR26" s="529">
        <f t="shared" si="89"/>
        <v>3.6154868249999995E-3</v>
      </c>
      <c r="KS26" s="529">
        <f t="shared" si="243"/>
        <v>0.60860574224999986</v>
      </c>
      <c r="KT26" s="529">
        <f t="shared" si="244"/>
        <v>0.75614652824999973</v>
      </c>
      <c r="KU26" s="529">
        <f t="shared" si="91"/>
        <v>0.95901510899999987</v>
      </c>
      <c r="KV26" s="529">
        <f t="shared" si="92"/>
        <v>0.75614652824999973</v>
      </c>
      <c r="KW26" s="529">
        <f t="shared" si="93"/>
        <v>15.620880717749996</v>
      </c>
      <c r="KX26" s="529">
        <f t="shared" si="94"/>
        <v>0.18442598249999997</v>
      </c>
      <c r="KY26" s="480">
        <f t="shared" si="95"/>
        <v>0.18442598249999997</v>
      </c>
      <c r="KZ26" s="884">
        <f t="shared" si="245"/>
        <v>4.00895E-2</v>
      </c>
      <c r="LA26" s="884">
        <f t="shared" si="246"/>
        <v>3.2800500000000003E-2</v>
      </c>
      <c r="LB26" s="529">
        <f t="shared" si="97"/>
        <v>6.5601000000000007E-2</v>
      </c>
      <c r="LC26" s="529">
        <f t="shared" si="98"/>
        <v>3.2800500000000003E-2</v>
      </c>
      <c r="LD26" s="529">
        <f t="shared" si="99"/>
        <v>3.0796024999999996</v>
      </c>
      <c r="LE26" s="529">
        <f t="shared" si="100"/>
        <v>3.6444999999999997E-3</v>
      </c>
      <c r="LF26" s="529">
        <f t="shared" si="101"/>
        <v>3.6444999999999997E-3</v>
      </c>
      <c r="LG26" s="529">
        <f t="shared" si="247"/>
        <v>0.1202685</v>
      </c>
      <c r="LH26" s="529">
        <f t="shared" si="248"/>
        <v>0.14942449999999999</v>
      </c>
      <c r="LI26" s="355">
        <f t="shared" si="103"/>
        <v>0.18951400000000002</v>
      </c>
      <c r="LJ26" s="355">
        <f t="shared" si="104"/>
        <v>0.14942449999999999</v>
      </c>
      <c r="LK26" s="355">
        <f t="shared" si="105"/>
        <v>3.0868914999999997</v>
      </c>
      <c r="LL26" s="355">
        <f t="shared" si="106"/>
        <v>3.6444999999999998E-2</v>
      </c>
      <c r="LM26" s="134">
        <f t="shared" si="107"/>
        <v>3.6444999999999998E-2</v>
      </c>
      <c r="LN26" s="884">
        <f t="shared" si="249"/>
        <v>1.1794383818072281E-3</v>
      </c>
      <c r="LO26" s="884">
        <f t="shared" si="250"/>
        <v>3.2166501322015306E-4</v>
      </c>
      <c r="LP26" s="529">
        <f t="shared" si="109"/>
        <v>5.4683052247426027E-3</v>
      </c>
      <c r="LQ26" s="529">
        <f t="shared" si="110"/>
        <v>8.7921770280175171E-3</v>
      </c>
      <c r="LR26" s="529">
        <f t="shared" si="111"/>
        <v>0.85777336858707498</v>
      </c>
      <c r="LS26" s="529">
        <f t="shared" si="112"/>
        <v>9.3282853833844392E-3</v>
      </c>
      <c r="LT26" s="529">
        <f t="shared" si="113"/>
        <v>1.0722167107338437E-3</v>
      </c>
      <c r="LU26" s="529">
        <f t="shared" si="251"/>
        <v>1.9703553220049996</v>
      </c>
      <c r="LV26" s="529">
        <f t="shared" si="252"/>
        <v>0.98517766100249982</v>
      </c>
      <c r="LW26" s="529">
        <f t="shared" si="115"/>
        <v>2.2987478756724999</v>
      </c>
      <c r="LX26" s="529">
        <f t="shared" si="116"/>
        <v>1.9703553220049996</v>
      </c>
      <c r="LY26" s="529">
        <f t="shared" si="117"/>
        <v>32.478023557715751</v>
      </c>
      <c r="LZ26" s="529">
        <f t="shared" si="118"/>
        <v>0.32839255366749998</v>
      </c>
      <c r="MA26" s="485">
        <f t="shared" si="119"/>
        <v>0.32839255366749998</v>
      </c>
      <c r="MB26" s="884">
        <f t="shared" si="253"/>
        <v>2.4053699999999998E-4</v>
      </c>
      <c r="MC26" s="884">
        <f t="shared" si="254"/>
        <v>6.5600999999999984E-5</v>
      </c>
      <c r="MD26" s="529">
        <f t="shared" si="121"/>
        <v>1.1152169999999999E-3</v>
      </c>
      <c r="ME26" s="529">
        <f t="shared" si="122"/>
        <v>1.7930939999999996E-3</v>
      </c>
      <c r="MF26" s="529">
        <f t="shared" si="123"/>
        <v>0.17493599999999998</v>
      </c>
      <c r="MG26" s="529">
        <f t="shared" si="124"/>
        <v>1.9024289999999998E-3</v>
      </c>
      <c r="MH26" s="529">
        <f t="shared" si="125"/>
        <v>2.1866999999999999E-4</v>
      </c>
      <c r="MI26" s="529">
        <f t="shared" si="255"/>
        <v>1.3120199999999999E-2</v>
      </c>
      <c r="MJ26" s="529">
        <f t="shared" si="256"/>
        <v>6.5600999999999993E-3</v>
      </c>
      <c r="MK26" s="529">
        <f t="shared" si="127"/>
        <v>1.53069E-2</v>
      </c>
      <c r="ML26" s="529">
        <f t="shared" si="128"/>
        <v>1.3120199999999999E-2</v>
      </c>
      <c r="MM26" s="529">
        <f t="shared" si="129"/>
        <v>0.21626462999999999</v>
      </c>
      <c r="MN26" s="529">
        <f t="shared" si="130"/>
        <v>2.1866999999999998E-3</v>
      </c>
      <c r="MO26" s="485">
        <f t="shared" si="131"/>
        <v>2.1866999999999998E-3</v>
      </c>
      <c r="MP26" s="884">
        <f t="shared" si="257"/>
        <v>8.8196900000000003E-4</v>
      </c>
      <c r="MQ26" s="884">
        <f t="shared" si="258"/>
        <v>2.4053699999999998E-4</v>
      </c>
      <c r="MR26" s="529">
        <f t="shared" si="133"/>
        <v>4.0891290000000004E-3</v>
      </c>
      <c r="MS26" s="529">
        <f t="shared" si="134"/>
        <v>6.5746779999999996E-3</v>
      </c>
      <c r="MT26" s="529">
        <f t="shared" si="135"/>
        <v>0.641432</v>
      </c>
      <c r="MU26" s="529">
        <f t="shared" si="136"/>
        <v>6.9755729999999997E-3</v>
      </c>
      <c r="MV26" s="529">
        <f t="shared" si="137"/>
        <v>8.0179000000000003E-4</v>
      </c>
      <c r="MW26" s="529">
        <f t="shared" si="259"/>
        <v>0.19242960000000001</v>
      </c>
      <c r="MX26" s="529">
        <f t="shared" si="260"/>
        <v>9.6214800000000003E-2</v>
      </c>
      <c r="MY26" s="474">
        <f t="shared" si="139"/>
        <v>0.22450120000000001</v>
      </c>
      <c r="MZ26" s="474">
        <f t="shared" si="140"/>
        <v>0.19242960000000001</v>
      </c>
      <c r="NA26" s="474">
        <f t="shared" si="141"/>
        <v>3.1718812400000003</v>
      </c>
      <c r="NB26" s="474">
        <f t="shared" si="142"/>
        <v>3.2071599999999999E-2</v>
      </c>
      <c r="NC26" s="134">
        <f t="shared" si="143"/>
        <v>3.2071599999999999E-2</v>
      </c>
    </row>
    <row r="27" spans="1:367" x14ac:dyDescent="0.25">
      <c r="A27" s="18">
        <v>1972</v>
      </c>
      <c r="B27" s="1271">
        <v>397</v>
      </c>
      <c r="C27" s="1224"/>
      <c r="D27" s="1224">
        <v>0</v>
      </c>
      <c r="E27" s="1272"/>
      <c r="F27" s="1224">
        <f t="shared" si="144"/>
        <v>391.04500000000002</v>
      </c>
      <c r="G27" s="1224"/>
      <c r="H27" s="1224">
        <f t="shared" si="145"/>
        <v>0</v>
      </c>
      <c r="I27" s="1224"/>
      <c r="J27" s="1082">
        <v>0</v>
      </c>
      <c r="K27" s="1082">
        <f t="shared" si="0"/>
        <v>0</v>
      </c>
      <c r="L27" s="1224">
        <f t="shared" si="1"/>
        <v>391.04500000000002</v>
      </c>
      <c r="M27" s="1228"/>
      <c r="N27" s="193">
        <v>8.0999999999999996E-3</v>
      </c>
      <c r="O27" s="47">
        <v>0</v>
      </c>
      <c r="P27" s="47">
        <v>6.0000000000000001E-3</v>
      </c>
      <c r="Q27" s="192">
        <v>0</v>
      </c>
      <c r="R27" s="47">
        <v>0</v>
      </c>
      <c r="S27" s="47">
        <f t="shared" si="146"/>
        <v>5.4000000000000003E-3</v>
      </c>
      <c r="T27" s="47">
        <v>0.01</v>
      </c>
      <c r="U27" s="47">
        <v>1.8E-3</v>
      </c>
      <c r="V27" s="117">
        <v>4.0000000000000003E-5</v>
      </c>
      <c r="W27" s="47">
        <v>5.9999999999999995E-4</v>
      </c>
      <c r="X27" s="52">
        <v>1.0999999999999999E-2</v>
      </c>
      <c r="Y27" s="52">
        <v>2.0199999999999999E-2</v>
      </c>
      <c r="Z27" s="111">
        <v>6.3E-2</v>
      </c>
      <c r="AA27" s="52">
        <f t="shared" si="147"/>
        <v>0.1</v>
      </c>
      <c r="AB27" s="52">
        <f t="shared" si="148"/>
        <v>0</v>
      </c>
      <c r="AC27" s="52">
        <f t="shared" si="149"/>
        <v>0.9</v>
      </c>
      <c r="AD27" s="475">
        <f t="shared" si="150"/>
        <v>3.1674644999999999</v>
      </c>
      <c r="AE27" s="474">
        <f t="shared" si="151"/>
        <v>3.1674644999999999</v>
      </c>
      <c r="AF27" s="474">
        <f t="shared" si="152"/>
        <v>0</v>
      </c>
      <c r="AG27" s="474">
        <f t="shared" si="151"/>
        <v>0</v>
      </c>
      <c r="AH27" s="474">
        <f t="shared" si="153"/>
        <v>2.3462700000000001</v>
      </c>
      <c r="AI27" s="474">
        <f t="shared" ref="AI27" si="459">AH27</f>
        <v>2.3462700000000001</v>
      </c>
      <c r="AJ27" s="508"/>
      <c r="AK27" s="508"/>
      <c r="AL27" s="508"/>
      <c r="AM27" s="508"/>
      <c r="AN27" s="508"/>
      <c r="AO27" s="572"/>
      <c r="AP27" s="481">
        <f t="shared" si="155"/>
        <v>3.1674644999999999</v>
      </c>
      <c r="AQ27" s="474">
        <f t="shared" ref="AQ27" si="460">AP27</f>
        <v>3.1674644999999999</v>
      </c>
      <c r="AR27" s="474">
        <f t="shared" si="157"/>
        <v>0</v>
      </c>
      <c r="AS27" s="474">
        <f t="shared" ref="AS27" si="461">AR27</f>
        <v>0</v>
      </c>
      <c r="AT27" s="474">
        <f t="shared" si="159"/>
        <v>2.3462700000000001</v>
      </c>
      <c r="AU27" s="474">
        <f t="shared" ref="AU27" si="462">AT27</f>
        <v>2.3462700000000001</v>
      </c>
      <c r="AV27" s="475">
        <f t="shared" si="2"/>
        <v>0</v>
      </c>
      <c r="AW27" s="474">
        <f t="shared" ref="AW27" si="463">AV27</f>
        <v>0</v>
      </c>
      <c r="AX27" s="474">
        <f t="shared" si="3"/>
        <v>2.1116430000000004</v>
      </c>
      <c r="AY27" s="474">
        <f t="shared" ref="AY27" si="464">AX27</f>
        <v>2.1116430000000004</v>
      </c>
      <c r="AZ27" s="474">
        <f t="shared" si="4"/>
        <v>3.9104500000000004</v>
      </c>
      <c r="BA27" s="474">
        <f t="shared" ref="BA27" si="465">AZ27</f>
        <v>3.9104500000000004</v>
      </c>
      <c r="BB27" s="481"/>
      <c r="BC27" s="474"/>
      <c r="BD27" s="474"/>
      <c r="BE27" s="474"/>
      <c r="BF27" s="474"/>
      <c r="BG27" s="474"/>
      <c r="BH27" s="481">
        <f t="shared" si="5"/>
        <v>0</v>
      </c>
      <c r="BI27" s="474">
        <f t="shared" ref="BI27" si="466">BH27</f>
        <v>0</v>
      </c>
      <c r="BJ27" s="474">
        <f t="shared" si="6"/>
        <v>2.1116430000000004</v>
      </c>
      <c r="BK27" s="474">
        <f t="shared" ref="BK27" si="467">BJ27</f>
        <v>2.1116430000000004</v>
      </c>
      <c r="BL27" s="474">
        <f t="shared" si="7"/>
        <v>3.9104500000000004</v>
      </c>
      <c r="BM27" s="474">
        <f t="shared" ref="BM27" si="468">BL27</f>
        <v>3.9104500000000004</v>
      </c>
      <c r="BN27" s="475">
        <f t="shared" si="8"/>
        <v>1.5641800000000001E-2</v>
      </c>
      <c r="BO27" s="474">
        <f t="shared" ref="BO27" si="469">BN27</f>
        <v>1.5641800000000001E-2</v>
      </c>
      <c r="BP27" s="474">
        <f t="shared" si="9"/>
        <v>0.234627</v>
      </c>
      <c r="BQ27" s="474">
        <f t="shared" ref="BQ27" si="470">BP27</f>
        <v>0.234627</v>
      </c>
      <c r="BR27" s="474">
        <f t="shared" si="10"/>
        <v>4.3014950000000001</v>
      </c>
      <c r="BS27" s="474">
        <f t="shared" ref="BS27" si="471">BR27</f>
        <v>4.3014950000000001</v>
      </c>
      <c r="BT27" s="481"/>
      <c r="BU27" s="474"/>
      <c r="BV27" s="474"/>
      <c r="BW27" s="474"/>
      <c r="BX27" s="474"/>
      <c r="BY27" s="474"/>
      <c r="BZ27" s="481">
        <f t="shared" si="11"/>
        <v>1.5641800000000001E-2</v>
      </c>
      <c r="CA27" s="474">
        <f t="shared" ref="CA27" si="472">BZ27</f>
        <v>1.5641800000000001E-2</v>
      </c>
      <c r="CB27" s="474">
        <f t="shared" si="12"/>
        <v>0.234627</v>
      </c>
      <c r="CC27" s="474">
        <f t="shared" ref="CC27" si="473">CB27</f>
        <v>0.234627</v>
      </c>
      <c r="CD27" s="474">
        <f t="shared" si="13"/>
        <v>4.3014950000000001</v>
      </c>
      <c r="CE27" s="526">
        <f t="shared" ref="CE27" si="474">CD27</f>
        <v>4.3014950000000001</v>
      </c>
      <c r="CF27" s="355">
        <f t="shared" si="173"/>
        <v>0</v>
      </c>
      <c r="CG27" s="615">
        <f t="shared" si="174"/>
        <v>0</v>
      </c>
      <c r="CH27" s="355">
        <f t="shared" si="175"/>
        <v>0</v>
      </c>
      <c r="CI27" s="615">
        <f>CH27</f>
        <v>0</v>
      </c>
      <c r="CJ27" s="615">
        <f t="shared" si="176"/>
        <v>0</v>
      </c>
      <c r="CK27" s="615">
        <f>CJ27</f>
        <v>0</v>
      </c>
      <c r="CL27" s="122"/>
      <c r="CM27" s="1235">
        <f t="shared" si="16"/>
        <v>366.40916500000003</v>
      </c>
      <c r="CN27" s="1231"/>
      <c r="CO27" s="1230"/>
      <c r="CP27" s="1231"/>
      <c r="CQ27" s="1230">
        <f t="shared" si="177"/>
        <v>366.40916500000003</v>
      </c>
      <c r="CR27" s="1232"/>
      <c r="CS27" s="30">
        <v>0.45</v>
      </c>
      <c r="CT27" s="31">
        <f t="shared" si="178"/>
        <v>0.55000000000000004</v>
      </c>
      <c r="CU27" s="31"/>
      <c r="CV27" s="32"/>
      <c r="CW27" s="1233">
        <f t="shared" si="179"/>
        <v>156.63991803750002</v>
      </c>
      <c r="CX27" s="1234"/>
      <c r="CY27" s="1234">
        <f t="shared" si="180"/>
        <v>191.44878871250003</v>
      </c>
      <c r="CZ27" s="1231"/>
      <c r="DA27" s="369"/>
      <c r="DB27" s="369"/>
      <c r="DC27" s="369"/>
      <c r="DD27" s="373"/>
      <c r="DE27" s="1234">
        <f t="shared" si="17"/>
        <v>156.63991803750002</v>
      </c>
      <c r="DF27" s="1234"/>
      <c r="DG27" s="369">
        <f t="shared" si="341"/>
        <v>191.44878871250003</v>
      </c>
      <c r="DH27" s="372">
        <f t="shared" si="182"/>
        <v>191.44878871250003</v>
      </c>
      <c r="DJ27" s="493">
        <v>0.05</v>
      </c>
      <c r="DK27" s="379"/>
      <c r="DL27" s="1105">
        <f t="shared" si="18"/>
        <v>18.320458250000001</v>
      </c>
      <c r="DM27" s="1105">
        <f t="shared" si="19"/>
        <v>18.320458250000001</v>
      </c>
      <c r="DN27" s="369"/>
      <c r="DO27" s="372"/>
      <c r="DP27" s="30">
        <v>1</v>
      </c>
      <c r="DQ27" s="31">
        <f t="shared" si="183"/>
        <v>0.1</v>
      </c>
      <c r="DR27" s="31">
        <f t="shared" si="184"/>
        <v>1</v>
      </c>
      <c r="DS27" s="680">
        <f t="shared" si="185"/>
        <v>0.1</v>
      </c>
      <c r="DT27" s="77">
        <f t="shared" si="186"/>
        <v>1</v>
      </c>
      <c r="DU27" s="31">
        <v>0</v>
      </c>
      <c r="DV27" s="31">
        <v>1</v>
      </c>
      <c r="DW27" s="31">
        <v>0</v>
      </c>
      <c r="DX27" s="31">
        <v>0</v>
      </c>
      <c r="DY27" s="31">
        <v>1</v>
      </c>
      <c r="DZ27" s="31">
        <v>0</v>
      </c>
      <c r="EA27" s="383">
        <f t="shared" si="187"/>
        <v>0</v>
      </c>
      <c r="EB27" s="355">
        <f t="shared" si="188"/>
        <v>0</v>
      </c>
      <c r="EC27" s="355">
        <f t="shared" si="189"/>
        <v>1.7697470375000002</v>
      </c>
      <c r="ED27" s="355">
        <f t="shared" si="190"/>
        <v>17.697470375000002</v>
      </c>
      <c r="EE27" s="355">
        <f t="shared" si="191"/>
        <v>0</v>
      </c>
      <c r="EF27" s="355">
        <f t="shared" si="192"/>
        <v>0</v>
      </c>
      <c r="EG27" s="366"/>
      <c r="EH27" s="355"/>
      <c r="EI27" s="355"/>
      <c r="EJ27" s="355"/>
      <c r="EK27" s="355"/>
      <c r="EL27" s="356"/>
      <c r="EM27" s="355">
        <f t="shared" si="193"/>
        <v>1.7697470375000002</v>
      </c>
      <c r="EN27" s="134">
        <f t="shared" si="194"/>
        <v>17.697470375000002</v>
      </c>
      <c r="EP27" s="1171">
        <f t="shared" si="20"/>
        <v>1.5641800000000001E-2</v>
      </c>
      <c r="EQ27" s="1172"/>
      <c r="ER27" s="1172">
        <f t="shared" si="21"/>
        <v>0.234627</v>
      </c>
      <c r="ES27" s="1172"/>
      <c r="ET27" s="1172">
        <f t="shared" si="22"/>
        <v>4.3014950000000001</v>
      </c>
      <c r="EU27" s="1172"/>
      <c r="EV27" s="366"/>
      <c r="EW27" s="355"/>
      <c r="EX27" s="355"/>
      <c r="EY27" s="355"/>
      <c r="EZ27" s="1172"/>
      <c r="FA27" s="1173"/>
      <c r="FB27" s="368">
        <f t="shared" si="195"/>
        <v>156.63991803750002</v>
      </c>
      <c r="FC27" s="369">
        <f t="shared" si="196"/>
        <v>156.63991803750002</v>
      </c>
      <c r="FD27" s="369"/>
      <c r="FE27" s="61"/>
      <c r="FF27" s="368">
        <f t="shared" si="197"/>
        <v>191.44878871250003</v>
      </c>
      <c r="FG27" s="369">
        <f t="shared" si="426"/>
        <v>191.44878871250003</v>
      </c>
      <c r="FH27" s="369"/>
      <c r="FI27" s="369"/>
      <c r="FJ27" s="30">
        <v>1</v>
      </c>
      <c r="FK27" s="31">
        <v>0.2</v>
      </c>
      <c r="FL27" s="501">
        <v>0.8</v>
      </c>
      <c r="FM27" s="31">
        <f t="shared" si="198"/>
        <v>0.1</v>
      </c>
      <c r="FN27" s="501">
        <f t="shared" si="199"/>
        <v>1</v>
      </c>
      <c r="FO27" s="31">
        <f t="shared" si="200"/>
        <v>0.1</v>
      </c>
      <c r="FP27" s="31">
        <f t="shared" si="201"/>
        <v>1</v>
      </c>
      <c r="FQ27" s="31">
        <v>1</v>
      </c>
      <c r="FR27" s="31">
        <v>0</v>
      </c>
      <c r="FS27" s="89">
        <f t="shared" si="202"/>
        <v>1E-3</v>
      </c>
      <c r="FT27" s="31">
        <f t="shared" si="203"/>
        <v>0.05</v>
      </c>
      <c r="FU27" s="30">
        <v>0.05</v>
      </c>
      <c r="FV27" s="32">
        <f t="shared" si="25"/>
        <v>2.4224999999999997E-2</v>
      </c>
      <c r="FW27" s="31">
        <v>0.1</v>
      </c>
      <c r="FX27" s="77">
        <f t="shared" si="26"/>
        <v>9.0000000000000011E-2</v>
      </c>
      <c r="FY27" s="30"/>
      <c r="FZ27" s="32"/>
      <c r="GA27" s="31"/>
      <c r="GB27" s="77"/>
      <c r="GC27" s="378">
        <f t="shared" si="27"/>
        <v>1.5641800000000001E-2</v>
      </c>
      <c r="GD27" s="379">
        <f t="shared" si="204"/>
        <v>1.5641800000000001E-2</v>
      </c>
      <c r="GE27" s="379">
        <f t="shared" si="28"/>
        <v>0.234627</v>
      </c>
      <c r="GF27" s="379">
        <f t="shared" si="205"/>
        <v>0.234627</v>
      </c>
      <c r="GG27" s="379">
        <f t="shared" si="206"/>
        <v>0.86029900000000004</v>
      </c>
      <c r="GH27" s="218">
        <f t="shared" si="207"/>
        <v>3.4411960000000001</v>
      </c>
      <c r="GI27" s="379"/>
      <c r="GJ27" s="379"/>
      <c r="GK27" s="379"/>
      <c r="GL27" s="379"/>
      <c r="GM27" s="379"/>
      <c r="GN27" s="218"/>
      <c r="GO27" s="379">
        <f t="shared" si="208"/>
        <v>1.1105678000000001</v>
      </c>
      <c r="GP27" s="515">
        <f t="shared" si="209"/>
        <v>3.6914648000000003</v>
      </c>
      <c r="GQ27" s="379">
        <f t="shared" si="210"/>
        <v>1.1231235014896406</v>
      </c>
      <c r="GR27" s="379">
        <f t="shared" si="211"/>
        <v>28.749540624187503</v>
      </c>
      <c r="GS27" s="355">
        <f t="shared" si="390"/>
        <v>1.3401415209875001E-2</v>
      </c>
      <c r="GT27" s="355">
        <f t="shared" si="391"/>
        <v>6.7007076049375005</v>
      </c>
      <c r="GU27" s="355">
        <f t="shared" si="392"/>
        <v>0</v>
      </c>
      <c r="GV27" s="356">
        <f t="shared" si="393"/>
        <v>0</v>
      </c>
      <c r="GW27" s="355"/>
      <c r="GX27" s="355"/>
      <c r="GY27" s="355"/>
      <c r="GZ27" s="355"/>
      <c r="HA27" s="355"/>
      <c r="HB27" s="356"/>
      <c r="HC27" s="379">
        <f t="shared" si="212"/>
        <v>1.1365249166995155</v>
      </c>
      <c r="HD27" s="38">
        <f t="shared" si="213"/>
        <v>35.450248229125002</v>
      </c>
      <c r="HE27" s="527"/>
      <c r="HF27" s="529">
        <f t="shared" si="29"/>
        <v>3.1674644999999999</v>
      </c>
      <c r="HG27" s="529">
        <f t="shared" si="30"/>
        <v>3.1674644999999999</v>
      </c>
      <c r="HH27" s="529">
        <f t="shared" si="31"/>
        <v>0</v>
      </c>
      <c r="HI27" s="529">
        <f t="shared" si="32"/>
        <v>0</v>
      </c>
      <c r="HJ27" s="529">
        <f t="shared" si="33"/>
        <v>2.3462700000000001</v>
      </c>
      <c r="HK27" s="524">
        <f t="shared" si="34"/>
        <v>2.3462700000000001</v>
      </c>
      <c r="HL27" s="529">
        <f t="shared" si="35"/>
        <v>0</v>
      </c>
      <c r="HM27" s="529">
        <f t="shared" si="36"/>
        <v>0</v>
      </c>
      <c r="HN27" s="529">
        <f t="shared" si="37"/>
        <v>3.8813900375000006</v>
      </c>
      <c r="HO27" s="529">
        <f t="shared" si="38"/>
        <v>19.809113375000003</v>
      </c>
      <c r="HP27" s="529">
        <f t="shared" si="39"/>
        <v>3.9104500000000004</v>
      </c>
      <c r="HQ27" s="524">
        <f t="shared" si="40"/>
        <v>3.9104500000000004</v>
      </c>
      <c r="HR27" s="615">
        <f t="shared" si="214"/>
        <v>1.1521667166995155</v>
      </c>
      <c r="HS27" s="615">
        <f t="shared" si="41"/>
        <v>35.465890029125006</v>
      </c>
      <c r="HT27" s="615">
        <f t="shared" si="42"/>
        <v>0.234627</v>
      </c>
      <c r="HU27" s="615">
        <f t="shared" si="43"/>
        <v>0.234627</v>
      </c>
      <c r="HV27" s="615">
        <f t="shared" si="44"/>
        <v>0.86029900000000004</v>
      </c>
      <c r="HW27" s="615">
        <f t="shared" si="45"/>
        <v>3.4411960000000001</v>
      </c>
      <c r="HZ27" s="220"/>
      <c r="IA27" s="220"/>
      <c r="IB27" s="220"/>
      <c r="IC27" s="220"/>
      <c r="ID27" s="220"/>
      <c r="IE27" s="220"/>
      <c r="IF27" s="220"/>
      <c r="IG27" s="560"/>
      <c r="IH27" s="529">
        <f t="shared" si="215"/>
        <v>3.4842109500000003E-2</v>
      </c>
      <c r="II27" s="529">
        <f t="shared" si="216"/>
        <v>2.8507180500000003E-2</v>
      </c>
      <c r="IJ27" s="529">
        <f t="shared" si="217"/>
        <v>5.7014361000000006E-2</v>
      </c>
      <c r="IK27" s="529">
        <f t="shared" si="218"/>
        <v>2.8507180500000003E-2</v>
      </c>
      <c r="IL27" s="529">
        <f t="shared" si="219"/>
        <v>2.6765075024999998</v>
      </c>
      <c r="IM27" s="529">
        <f t="shared" si="220"/>
        <v>3.1674644999999998E-3</v>
      </c>
      <c r="IN27" s="529">
        <f t="shared" si="221"/>
        <v>3.1674644999999998E-3</v>
      </c>
      <c r="IO27" s="529">
        <f t="shared" si="222"/>
        <v>0.1045263285</v>
      </c>
      <c r="IP27" s="529">
        <f t="shared" si="223"/>
        <v>0.12986604449999997</v>
      </c>
      <c r="IQ27" s="529">
        <f t="shared" si="224"/>
        <v>0.16470815400000002</v>
      </c>
      <c r="IR27" s="529">
        <f t="shared" si="225"/>
        <v>0.12986604449999997</v>
      </c>
      <c r="IS27" s="529">
        <f t="shared" si="226"/>
        <v>2.6828424314999997</v>
      </c>
      <c r="IT27" s="529">
        <f t="shared" si="227"/>
        <v>3.1674645000000001E-2</v>
      </c>
      <c r="IU27" s="526">
        <f t="shared" si="228"/>
        <v>3.1674645000000001E-2</v>
      </c>
      <c r="IV27" s="884">
        <f t="shared" si="229"/>
        <v>0</v>
      </c>
      <c r="IW27" s="884">
        <f t="shared" si="230"/>
        <v>0</v>
      </c>
      <c r="IX27" s="529">
        <f t="shared" si="49"/>
        <v>0</v>
      </c>
      <c r="IY27" s="529">
        <f t="shared" si="50"/>
        <v>0</v>
      </c>
      <c r="IZ27" s="529">
        <f t="shared" si="51"/>
        <v>0</v>
      </c>
      <c r="JA27" s="529">
        <f t="shared" si="52"/>
        <v>0</v>
      </c>
      <c r="JB27" s="529">
        <f t="shared" si="53"/>
        <v>0</v>
      </c>
      <c r="JC27" s="529">
        <f t="shared" si="231"/>
        <v>0</v>
      </c>
      <c r="JD27" s="529">
        <f t="shared" si="232"/>
        <v>0</v>
      </c>
      <c r="JE27" s="529">
        <f t="shared" si="55"/>
        <v>0</v>
      </c>
      <c r="JF27" s="529">
        <f t="shared" si="56"/>
        <v>0</v>
      </c>
      <c r="JG27" s="529">
        <f t="shared" si="57"/>
        <v>0</v>
      </c>
      <c r="JH27" s="529">
        <f t="shared" si="58"/>
        <v>0</v>
      </c>
      <c r="JI27" s="480">
        <f t="shared" si="59"/>
        <v>0</v>
      </c>
      <c r="JJ27" s="884">
        <f t="shared" si="233"/>
        <v>2.5808970000000004E-2</v>
      </c>
      <c r="JK27" s="884">
        <f t="shared" si="234"/>
        <v>2.1116430000000002E-2</v>
      </c>
      <c r="JL27" s="529">
        <f t="shared" si="61"/>
        <v>4.2232860000000004E-2</v>
      </c>
      <c r="JM27" s="529">
        <f t="shared" si="62"/>
        <v>2.1116430000000002E-2</v>
      </c>
      <c r="JN27" s="529">
        <f t="shared" si="63"/>
        <v>1.9825981500000001</v>
      </c>
      <c r="JO27" s="529">
        <f t="shared" si="64"/>
        <v>2.3462700000000001E-3</v>
      </c>
      <c r="JP27" s="529">
        <f t="shared" si="65"/>
        <v>2.3462700000000001E-3</v>
      </c>
      <c r="JQ27" s="529">
        <f t="shared" si="235"/>
        <v>7.7426910000000002E-2</v>
      </c>
      <c r="JR27" s="529">
        <f t="shared" si="236"/>
        <v>9.6197069999999996E-2</v>
      </c>
      <c r="JS27" s="474">
        <f t="shared" si="67"/>
        <v>0.12200604000000001</v>
      </c>
      <c r="JT27" s="474">
        <f t="shared" si="68"/>
        <v>9.6197069999999996E-2</v>
      </c>
      <c r="JU27" s="474">
        <f t="shared" si="69"/>
        <v>1.98729069</v>
      </c>
      <c r="JV27" s="474">
        <f t="shared" si="70"/>
        <v>2.3462700000000003E-2</v>
      </c>
      <c r="JW27" s="134">
        <f t="shared" si="71"/>
        <v>2.3462700000000003E-2</v>
      </c>
      <c r="JX27" s="884">
        <f t="shared" si="237"/>
        <v>0</v>
      </c>
      <c r="JY27" s="884">
        <f t="shared" si="238"/>
        <v>0</v>
      </c>
      <c r="JZ27" s="529">
        <f t="shared" si="73"/>
        <v>0</v>
      </c>
      <c r="KA27" s="529">
        <f t="shared" si="74"/>
        <v>0</v>
      </c>
      <c r="KB27" s="529">
        <f t="shared" si="75"/>
        <v>0</v>
      </c>
      <c r="KC27" s="529">
        <f t="shared" si="76"/>
        <v>0</v>
      </c>
      <c r="KD27" s="529">
        <f t="shared" si="77"/>
        <v>0</v>
      </c>
      <c r="KE27" s="529">
        <f t="shared" si="239"/>
        <v>0</v>
      </c>
      <c r="KF27" s="529">
        <f t="shared" si="240"/>
        <v>0</v>
      </c>
      <c r="KG27" s="529">
        <f t="shared" si="79"/>
        <v>0</v>
      </c>
      <c r="KH27" s="529">
        <f t="shared" si="80"/>
        <v>0</v>
      </c>
      <c r="KI27" s="529">
        <f t="shared" si="81"/>
        <v>0</v>
      </c>
      <c r="KJ27" s="529">
        <f t="shared" si="82"/>
        <v>0</v>
      </c>
      <c r="KK27" s="526">
        <f t="shared" si="83"/>
        <v>0</v>
      </c>
      <c r="KL27" s="884">
        <f t="shared" si="241"/>
        <v>4.269529041250001E-2</v>
      </c>
      <c r="KM27" s="884">
        <f t="shared" si="242"/>
        <v>3.4932510337500007E-2</v>
      </c>
      <c r="KN27" s="529">
        <f t="shared" si="85"/>
        <v>6.9865020675000014E-2</v>
      </c>
      <c r="KO27" s="529">
        <f t="shared" si="86"/>
        <v>3.4932510337500007E-2</v>
      </c>
      <c r="KP27" s="529">
        <f t="shared" si="87"/>
        <v>3.2797745816875006</v>
      </c>
      <c r="KQ27" s="529">
        <f t="shared" si="88"/>
        <v>3.8813900375000007E-3</v>
      </c>
      <c r="KR27" s="529">
        <f t="shared" si="89"/>
        <v>3.8813900375000007E-3</v>
      </c>
      <c r="KS27" s="529">
        <f t="shared" si="243"/>
        <v>0.65370074137500012</v>
      </c>
      <c r="KT27" s="529">
        <f t="shared" si="244"/>
        <v>0.81217364837500006</v>
      </c>
      <c r="KU27" s="529">
        <f t="shared" si="91"/>
        <v>1.0300738955000002</v>
      </c>
      <c r="KV27" s="529">
        <f t="shared" si="92"/>
        <v>0.81217364837500006</v>
      </c>
      <c r="KW27" s="529">
        <f t="shared" si="93"/>
        <v>16.778319028625003</v>
      </c>
      <c r="KX27" s="529">
        <f t="shared" si="94"/>
        <v>0.19809113375000004</v>
      </c>
      <c r="KY27" s="480">
        <f t="shared" si="95"/>
        <v>0.19809113375000004</v>
      </c>
      <c r="KZ27" s="884">
        <f t="shared" si="245"/>
        <v>4.301495000000001E-2</v>
      </c>
      <c r="LA27" s="884">
        <f t="shared" si="246"/>
        <v>3.5194050000000004E-2</v>
      </c>
      <c r="LB27" s="529">
        <f t="shared" si="97"/>
        <v>7.0388100000000009E-2</v>
      </c>
      <c r="LC27" s="529">
        <f t="shared" si="98"/>
        <v>3.5194050000000004E-2</v>
      </c>
      <c r="LD27" s="529">
        <f t="shared" si="99"/>
        <v>3.3043302500000005</v>
      </c>
      <c r="LE27" s="529">
        <f t="shared" si="100"/>
        <v>3.9104500000000002E-3</v>
      </c>
      <c r="LF27" s="529">
        <f t="shared" si="101"/>
        <v>3.9104500000000002E-3</v>
      </c>
      <c r="LG27" s="529">
        <f t="shared" si="247"/>
        <v>0.12904485000000002</v>
      </c>
      <c r="LH27" s="529">
        <f t="shared" si="248"/>
        <v>0.16032844999999998</v>
      </c>
      <c r="LI27" s="355">
        <f t="shared" si="103"/>
        <v>0.20334340000000004</v>
      </c>
      <c r="LJ27" s="355">
        <f t="shared" si="104"/>
        <v>0.16032844999999998</v>
      </c>
      <c r="LK27" s="355">
        <f t="shared" si="105"/>
        <v>3.31215115</v>
      </c>
      <c r="LL27" s="355">
        <f t="shared" si="106"/>
        <v>3.9104500000000007E-2</v>
      </c>
      <c r="LM27" s="134">
        <f t="shared" si="107"/>
        <v>3.9104500000000007E-2</v>
      </c>
      <c r="LN27" s="884">
        <f t="shared" si="249"/>
        <v>1.2673833883694672E-3</v>
      </c>
      <c r="LO27" s="884">
        <f t="shared" si="250"/>
        <v>3.4565001500985461E-4</v>
      </c>
      <c r="LP27" s="529">
        <f t="shared" si="109"/>
        <v>5.8760502551675293E-3</v>
      </c>
      <c r="LQ27" s="529">
        <f t="shared" si="110"/>
        <v>9.4477670769360263E-3</v>
      </c>
      <c r="LR27" s="529">
        <f t="shared" si="111"/>
        <v>0.92173337335961247</v>
      </c>
      <c r="LS27" s="529">
        <f t="shared" si="112"/>
        <v>1.0023850435285784E-2</v>
      </c>
      <c r="LT27" s="529">
        <f t="shared" si="113"/>
        <v>1.1521667166995155E-3</v>
      </c>
      <c r="LU27" s="529">
        <f t="shared" si="251"/>
        <v>2.1279534017475004</v>
      </c>
      <c r="LV27" s="529">
        <f t="shared" si="252"/>
        <v>1.0639767008737502</v>
      </c>
      <c r="LW27" s="529">
        <f t="shared" si="115"/>
        <v>2.4826123020387505</v>
      </c>
      <c r="LX27" s="529">
        <f t="shared" si="116"/>
        <v>2.1279534017475004</v>
      </c>
      <c r="LY27" s="529">
        <f t="shared" si="117"/>
        <v>35.075765238804635</v>
      </c>
      <c r="LZ27" s="529">
        <f t="shared" si="118"/>
        <v>0.35465890029125008</v>
      </c>
      <c r="MA27" s="485">
        <f t="shared" si="119"/>
        <v>0.35465890029125008</v>
      </c>
      <c r="MB27" s="884">
        <f t="shared" si="253"/>
        <v>2.580897E-4</v>
      </c>
      <c r="MC27" s="884">
        <f t="shared" si="254"/>
        <v>7.0388099999999998E-5</v>
      </c>
      <c r="MD27" s="529">
        <f t="shared" si="121"/>
        <v>1.1965977E-3</v>
      </c>
      <c r="ME27" s="529">
        <f t="shared" si="122"/>
        <v>1.9239413999999997E-3</v>
      </c>
      <c r="MF27" s="529">
        <f t="shared" si="123"/>
        <v>0.18770160000000002</v>
      </c>
      <c r="MG27" s="529">
        <f t="shared" si="124"/>
        <v>2.0412549E-3</v>
      </c>
      <c r="MH27" s="529">
        <f t="shared" si="125"/>
        <v>2.34627E-4</v>
      </c>
      <c r="MI27" s="529">
        <f t="shared" si="255"/>
        <v>1.4077619999999999E-2</v>
      </c>
      <c r="MJ27" s="529">
        <f t="shared" si="256"/>
        <v>7.0388099999999995E-3</v>
      </c>
      <c r="MK27" s="529">
        <f t="shared" si="127"/>
        <v>1.642389E-2</v>
      </c>
      <c r="ML27" s="529">
        <f t="shared" si="128"/>
        <v>1.4077619999999999E-2</v>
      </c>
      <c r="MM27" s="529">
        <f t="shared" si="129"/>
        <v>0.23204610300000003</v>
      </c>
      <c r="MN27" s="529">
        <f t="shared" si="130"/>
        <v>2.3462700000000001E-3</v>
      </c>
      <c r="MO27" s="485">
        <f t="shared" si="131"/>
        <v>2.3462700000000001E-3</v>
      </c>
      <c r="MP27" s="884">
        <f t="shared" si="257"/>
        <v>9.4632890000000006E-4</v>
      </c>
      <c r="MQ27" s="884">
        <f t="shared" si="258"/>
        <v>2.580897E-4</v>
      </c>
      <c r="MR27" s="529">
        <f t="shared" si="133"/>
        <v>4.3875249000000002E-3</v>
      </c>
      <c r="MS27" s="529">
        <f t="shared" si="134"/>
        <v>7.0544517999999992E-3</v>
      </c>
      <c r="MT27" s="529">
        <f t="shared" si="135"/>
        <v>0.68823920000000005</v>
      </c>
      <c r="MU27" s="529">
        <f t="shared" si="136"/>
        <v>7.4846013000000001E-3</v>
      </c>
      <c r="MV27" s="529">
        <f t="shared" si="137"/>
        <v>8.6029900000000002E-4</v>
      </c>
      <c r="MW27" s="529">
        <f t="shared" si="259"/>
        <v>0.20647176</v>
      </c>
      <c r="MX27" s="529">
        <f t="shared" si="260"/>
        <v>0.10323588</v>
      </c>
      <c r="MY27" s="474">
        <f t="shared" si="139"/>
        <v>0.24088372000000002</v>
      </c>
      <c r="MZ27" s="474">
        <f t="shared" si="140"/>
        <v>0.20647176</v>
      </c>
      <c r="NA27" s="474">
        <f t="shared" si="141"/>
        <v>3.4033428440000004</v>
      </c>
      <c r="NB27" s="474">
        <f t="shared" si="142"/>
        <v>3.4411960000000005E-2</v>
      </c>
      <c r="NC27" s="134">
        <f t="shared" si="143"/>
        <v>3.4411960000000005E-2</v>
      </c>
    </row>
    <row r="28" spans="1:367" x14ac:dyDescent="0.25">
      <c r="A28" s="18">
        <v>1973</v>
      </c>
      <c r="B28" s="1271">
        <v>423</v>
      </c>
      <c r="C28" s="1224"/>
      <c r="D28" s="1224">
        <v>0</v>
      </c>
      <c r="E28" s="1272"/>
      <c r="F28" s="1226">
        <f t="shared" si="144"/>
        <v>416.65499999999997</v>
      </c>
      <c r="G28" s="1226"/>
      <c r="H28" s="1224">
        <f t="shared" si="145"/>
        <v>0</v>
      </c>
      <c r="I28" s="1224"/>
      <c r="J28" s="1082">
        <v>0</v>
      </c>
      <c r="K28" s="1082">
        <f t="shared" si="0"/>
        <v>0</v>
      </c>
      <c r="L28" s="1226">
        <f t="shared" si="1"/>
        <v>416.65499999999997</v>
      </c>
      <c r="M28" s="1227"/>
      <c r="N28" s="193">
        <v>8.0999999999999996E-3</v>
      </c>
      <c r="O28" s="47">
        <v>0</v>
      </c>
      <c r="P28" s="47">
        <v>6.0000000000000001E-3</v>
      </c>
      <c r="Q28" s="192">
        <v>0</v>
      </c>
      <c r="R28" s="47">
        <v>0</v>
      </c>
      <c r="S28" s="47">
        <f t="shared" si="146"/>
        <v>5.4000000000000003E-3</v>
      </c>
      <c r="T28" s="47">
        <v>0.01</v>
      </c>
      <c r="U28" s="47">
        <v>1.8E-3</v>
      </c>
      <c r="V28" s="117">
        <v>4.0000000000000003E-5</v>
      </c>
      <c r="W28" s="47">
        <v>5.9999999999999995E-4</v>
      </c>
      <c r="X28" s="52">
        <v>1.0999999999999999E-2</v>
      </c>
      <c r="Y28" s="52">
        <v>2.0199999999999999E-2</v>
      </c>
      <c r="Z28" s="111">
        <v>6.3E-2</v>
      </c>
      <c r="AA28" s="52">
        <f t="shared" si="147"/>
        <v>0.1</v>
      </c>
      <c r="AB28" s="52">
        <f t="shared" si="148"/>
        <v>0</v>
      </c>
      <c r="AC28" s="52">
        <f t="shared" si="149"/>
        <v>0.9</v>
      </c>
      <c r="AD28" s="475">
        <f t="shared" si="150"/>
        <v>3.3749054999999997</v>
      </c>
      <c r="AE28" s="474">
        <f t="shared" si="151"/>
        <v>3.3749054999999997</v>
      </c>
      <c r="AF28" s="474">
        <f t="shared" si="152"/>
        <v>0</v>
      </c>
      <c r="AG28" s="474">
        <f t="shared" si="151"/>
        <v>0</v>
      </c>
      <c r="AH28" s="474">
        <f t="shared" si="153"/>
        <v>2.49993</v>
      </c>
      <c r="AI28" s="474">
        <f t="shared" ref="AI28" si="475">AH28</f>
        <v>2.49993</v>
      </c>
      <c r="AJ28" s="508"/>
      <c r="AK28" s="508"/>
      <c r="AL28" s="508"/>
      <c r="AM28" s="508"/>
      <c r="AN28" s="508"/>
      <c r="AO28" s="572"/>
      <c r="AP28" s="481">
        <f t="shared" si="155"/>
        <v>3.3749054999999997</v>
      </c>
      <c r="AQ28" s="474">
        <f t="shared" ref="AQ28" si="476">AP28</f>
        <v>3.3749054999999997</v>
      </c>
      <c r="AR28" s="474">
        <f t="shared" si="157"/>
        <v>0</v>
      </c>
      <c r="AS28" s="474">
        <f t="shared" ref="AS28" si="477">AR28</f>
        <v>0</v>
      </c>
      <c r="AT28" s="474">
        <f t="shared" si="159"/>
        <v>2.49993</v>
      </c>
      <c r="AU28" s="474">
        <f t="shared" ref="AU28" si="478">AT28</f>
        <v>2.49993</v>
      </c>
      <c r="AV28" s="475">
        <f t="shared" si="2"/>
        <v>0</v>
      </c>
      <c r="AW28" s="474">
        <f t="shared" ref="AW28" si="479">AV28</f>
        <v>0</v>
      </c>
      <c r="AX28" s="474">
        <f t="shared" si="3"/>
        <v>2.2499370000000001</v>
      </c>
      <c r="AY28" s="474">
        <f t="shared" ref="AY28" si="480">AX28</f>
        <v>2.2499370000000001</v>
      </c>
      <c r="AZ28" s="474">
        <f t="shared" si="4"/>
        <v>4.16655</v>
      </c>
      <c r="BA28" s="474">
        <f t="shared" ref="BA28" si="481">AZ28</f>
        <v>4.16655</v>
      </c>
      <c r="BB28" s="481"/>
      <c r="BC28" s="474"/>
      <c r="BD28" s="474"/>
      <c r="BE28" s="474"/>
      <c r="BF28" s="474"/>
      <c r="BG28" s="474"/>
      <c r="BH28" s="481">
        <f t="shared" si="5"/>
        <v>0</v>
      </c>
      <c r="BI28" s="474">
        <f t="shared" ref="BI28" si="482">BH28</f>
        <v>0</v>
      </c>
      <c r="BJ28" s="474">
        <f t="shared" si="6"/>
        <v>2.2499370000000001</v>
      </c>
      <c r="BK28" s="474">
        <f t="shared" ref="BK28" si="483">BJ28</f>
        <v>2.2499370000000001</v>
      </c>
      <c r="BL28" s="474">
        <f t="shared" si="7"/>
        <v>4.16655</v>
      </c>
      <c r="BM28" s="474">
        <f t="shared" ref="BM28" si="484">BL28</f>
        <v>4.16655</v>
      </c>
      <c r="BN28" s="475">
        <f t="shared" si="8"/>
        <v>1.6666199999999999E-2</v>
      </c>
      <c r="BO28" s="474">
        <f t="shared" ref="BO28" si="485">BN28</f>
        <v>1.6666199999999999E-2</v>
      </c>
      <c r="BP28" s="474">
        <f t="shared" si="9"/>
        <v>0.24999299999999997</v>
      </c>
      <c r="BQ28" s="474">
        <f t="shared" ref="BQ28" si="486">BP28</f>
        <v>0.24999299999999997</v>
      </c>
      <c r="BR28" s="474">
        <f t="shared" si="10"/>
        <v>4.5832049999999995</v>
      </c>
      <c r="BS28" s="474">
        <f t="shared" ref="BS28" si="487">BR28</f>
        <v>4.5832049999999995</v>
      </c>
      <c r="BT28" s="481"/>
      <c r="BU28" s="474"/>
      <c r="BV28" s="474"/>
      <c r="BW28" s="474"/>
      <c r="BX28" s="474"/>
      <c r="BY28" s="474"/>
      <c r="BZ28" s="481">
        <f t="shared" si="11"/>
        <v>1.6666199999999999E-2</v>
      </c>
      <c r="CA28" s="474">
        <f t="shared" ref="CA28" si="488">BZ28</f>
        <v>1.6666199999999999E-2</v>
      </c>
      <c r="CB28" s="474">
        <f t="shared" si="12"/>
        <v>0.24999299999999997</v>
      </c>
      <c r="CC28" s="474">
        <f t="shared" ref="CC28" si="489">CB28</f>
        <v>0.24999299999999997</v>
      </c>
      <c r="CD28" s="474">
        <f t="shared" si="13"/>
        <v>4.5832049999999995</v>
      </c>
      <c r="CE28" s="526">
        <f t="shared" ref="CE28" si="490">CD28</f>
        <v>4.5832049999999995</v>
      </c>
      <c r="CF28" s="355">
        <f t="shared" si="173"/>
        <v>0</v>
      </c>
      <c r="CG28" s="615">
        <f t="shared" si="174"/>
        <v>0</v>
      </c>
      <c r="CH28" s="355">
        <f t="shared" si="175"/>
        <v>0</v>
      </c>
      <c r="CI28" s="615">
        <f t="shared" ref="CI28:CI57" si="491">CH28</f>
        <v>0</v>
      </c>
      <c r="CJ28" s="615">
        <f t="shared" si="176"/>
        <v>0</v>
      </c>
      <c r="CK28" s="615">
        <f t="shared" ref="CK28:CK57" si="492">CJ28</f>
        <v>0</v>
      </c>
      <c r="CL28" s="122"/>
      <c r="CM28" s="1235">
        <f t="shared" si="16"/>
        <v>390.40573499999999</v>
      </c>
      <c r="CN28" s="1231"/>
      <c r="CO28" s="1230"/>
      <c r="CP28" s="1231"/>
      <c r="CQ28" s="1230">
        <f t="shared" si="177"/>
        <v>390.40573499999999</v>
      </c>
      <c r="CR28" s="1232"/>
      <c r="CS28" s="30">
        <v>0.45</v>
      </c>
      <c r="CT28" s="31">
        <f t="shared" si="178"/>
        <v>0.55000000000000004</v>
      </c>
      <c r="CU28" s="31"/>
      <c r="CV28" s="32"/>
      <c r="CW28" s="1233">
        <f t="shared" si="179"/>
        <v>166.89845171249999</v>
      </c>
      <c r="CX28" s="1234"/>
      <c r="CY28" s="1234">
        <f t="shared" si="180"/>
        <v>203.9869965375</v>
      </c>
      <c r="CZ28" s="1231"/>
      <c r="DA28" s="369"/>
      <c r="DB28" s="369"/>
      <c r="DC28" s="369"/>
      <c r="DD28" s="373"/>
      <c r="DE28" s="1234">
        <f t="shared" si="17"/>
        <v>166.89845171249999</v>
      </c>
      <c r="DF28" s="1234"/>
      <c r="DG28" s="369">
        <f t="shared" si="341"/>
        <v>203.9869965375</v>
      </c>
      <c r="DH28" s="372">
        <f t="shared" si="182"/>
        <v>203.9869965375</v>
      </c>
      <c r="DJ28" s="493">
        <v>0.05</v>
      </c>
      <c r="DK28" s="379"/>
      <c r="DL28" s="1105">
        <f t="shared" si="18"/>
        <v>19.52028675</v>
      </c>
      <c r="DM28" s="1105">
        <f t="shared" si="19"/>
        <v>19.52028675</v>
      </c>
      <c r="DN28" s="369"/>
      <c r="DO28" s="372"/>
      <c r="DP28" s="30">
        <v>1</v>
      </c>
      <c r="DQ28" s="31">
        <f t="shared" si="183"/>
        <v>0.1</v>
      </c>
      <c r="DR28" s="31">
        <f t="shared" si="184"/>
        <v>1</v>
      </c>
      <c r="DS28" s="680">
        <f t="shared" si="185"/>
        <v>0.1</v>
      </c>
      <c r="DT28" s="77">
        <f t="shared" si="186"/>
        <v>1</v>
      </c>
      <c r="DU28" s="31">
        <v>0</v>
      </c>
      <c r="DV28" s="31">
        <v>1</v>
      </c>
      <c r="DW28" s="31">
        <v>0</v>
      </c>
      <c r="DX28" s="31">
        <v>0</v>
      </c>
      <c r="DY28" s="31">
        <v>1</v>
      </c>
      <c r="DZ28" s="31">
        <v>0</v>
      </c>
      <c r="EA28" s="383">
        <f t="shared" si="187"/>
        <v>0</v>
      </c>
      <c r="EB28" s="355">
        <f t="shared" si="188"/>
        <v>0</v>
      </c>
      <c r="EC28" s="355">
        <f t="shared" si="189"/>
        <v>1.8920372500000002</v>
      </c>
      <c r="ED28" s="355">
        <f t="shared" si="190"/>
        <v>18.920372499999999</v>
      </c>
      <c r="EE28" s="355">
        <f t="shared" si="191"/>
        <v>0</v>
      </c>
      <c r="EF28" s="355">
        <f t="shared" si="192"/>
        <v>0</v>
      </c>
      <c r="EG28" s="366"/>
      <c r="EH28" s="355"/>
      <c r="EI28" s="355"/>
      <c r="EJ28" s="355"/>
      <c r="EK28" s="355"/>
      <c r="EL28" s="356"/>
      <c r="EM28" s="355">
        <f t="shared" si="193"/>
        <v>1.8920372500000002</v>
      </c>
      <c r="EN28" s="134">
        <f t="shared" si="194"/>
        <v>18.920372499999999</v>
      </c>
      <c r="EP28" s="1171">
        <f t="shared" si="20"/>
        <v>1.6666199999999999E-2</v>
      </c>
      <c r="EQ28" s="1172"/>
      <c r="ER28" s="1172">
        <f t="shared" si="21"/>
        <v>0.24999299999999997</v>
      </c>
      <c r="ES28" s="1172"/>
      <c r="ET28" s="1172">
        <f t="shared" si="22"/>
        <v>4.5832049999999995</v>
      </c>
      <c r="EU28" s="1172"/>
      <c r="EV28" s="366"/>
      <c r="EW28" s="355"/>
      <c r="EX28" s="355"/>
      <c r="EY28" s="355"/>
      <c r="EZ28" s="1172"/>
      <c r="FA28" s="1173"/>
      <c r="FB28" s="368">
        <f t="shared" si="195"/>
        <v>166.89845171249999</v>
      </c>
      <c r="FC28" s="369">
        <f t="shared" si="196"/>
        <v>166.89845171249999</v>
      </c>
      <c r="FD28" s="369"/>
      <c r="FE28" s="61"/>
      <c r="FF28" s="368">
        <f t="shared" si="197"/>
        <v>203.9869965375</v>
      </c>
      <c r="FG28" s="369">
        <f t="shared" si="426"/>
        <v>203.9869965375</v>
      </c>
      <c r="FH28" s="369"/>
      <c r="FI28" s="369"/>
      <c r="FJ28" s="30">
        <v>1</v>
      </c>
      <c r="FK28" s="31">
        <v>0.2</v>
      </c>
      <c r="FL28" s="501">
        <v>0.8</v>
      </c>
      <c r="FM28" s="31">
        <f t="shared" si="198"/>
        <v>0.1</v>
      </c>
      <c r="FN28" s="501">
        <f t="shared" si="199"/>
        <v>1</v>
      </c>
      <c r="FO28" s="31">
        <f t="shared" si="200"/>
        <v>0.1</v>
      </c>
      <c r="FP28" s="31">
        <f t="shared" si="201"/>
        <v>1</v>
      </c>
      <c r="FQ28" s="31">
        <v>1</v>
      </c>
      <c r="FR28" s="31">
        <v>0</v>
      </c>
      <c r="FS28" s="89">
        <f t="shared" si="202"/>
        <v>1E-3</v>
      </c>
      <c r="FT28" s="31">
        <f t="shared" si="203"/>
        <v>0.05</v>
      </c>
      <c r="FU28" s="30">
        <v>0.05</v>
      </c>
      <c r="FV28" s="32">
        <f t="shared" si="25"/>
        <v>2.4224999999999997E-2</v>
      </c>
      <c r="FW28" s="31">
        <v>0.1</v>
      </c>
      <c r="FX28" s="77">
        <f t="shared" si="26"/>
        <v>9.0000000000000011E-2</v>
      </c>
      <c r="FY28" s="30"/>
      <c r="FZ28" s="32"/>
      <c r="GA28" s="31"/>
      <c r="GB28" s="77"/>
      <c r="GC28" s="378">
        <f t="shared" si="27"/>
        <v>1.6666199999999999E-2</v>
      </c>
      <c r="GD28" s="379">
        <f t="shared" si="204"/>
        <v>1.6666199999999999E-2</v>
      </c>
      <c r="GE28" s="379">
        <f t="shared" si="28"/>
        <v>0.24999299999999997</v>
      </c>
      <c r="GF28" s="379">
        <f t="shared" si="205"/>
        <v>0.24999299999999997</v>
      </c>
      <c r="GG28" s="379">
        <f t="shared" si="206"/>
        <v>0.91664099999999993</v>
      </c>
      <c r="GH28" s="218">
        <f t="shared" si="207"/>
        <v>3.6665639999999997</v>
      </c>
      <c r="GI28" s="379"/>
      <c r="GJ28" s="379"/>
      <c r="GK28" s="379"/>
      <c r="GL28" s="379"/>
      <c r="GM28" s="379"/>
      <c r="GN28" s="218"/>
      <c r="GO28" s="379">
        <f t="shared" si="208"/>
        <v>1.1833001999999999</v>
      </c>
      <c r="GP28" s="515">
        <f t="shared" si="209"/>
        <v>3.9332231999999996</v>
      </c>
      <c r="GQ28" s="379">
        <f t="shared" si="210"/>
        <v>1.2007317747346875</v>
      </c>
      <c r="GR28" s="379">
        <f t="shared" si="211"/>
        <v>30.736145126250001</v>
      </c>
      <c r="GS28" s="355">
        <f t="shared" si="390"/>
        <v>1.4674525542875001E-2</v>
      </c>
      <c r="GT28" s="355">
        <f t="shared" si="391"/>
        <v>7.3372627714375014</v>
      </c>
      <c r="GU28" s="355">
        <f t="shared" si="392"/>
        <v>0</v>
      </c>
      <c r="GV28" s="356">
        <f t="shared" si="393"/>
        <v>0</v>
      </c>
      <c r="GW28" s="355"/>
      <c r="GX28" s="355"/>
      <c r="GY28" s="355"/>
      <c r="GZ28" s="355"/>
      <c r="HA28" s="355"/>
      <c r="HB28" s="356"/>
      <c r="HC28" s="379">
        <f t="shared" si="212"/>
        <v>1.2154063002775626</v>
      </c>
      <c r="HD28" s="38">
        <f t="shared" si="213"/>
        <v>38.073407897687503</v>
      </c>
      <c r="HE28" s="527"/>
      <c r="HF28" s="529">
        <f t="shared" si="29"/>
        <v>3.3749054999999997</v>
      </c>
      <c r="HG28" s="529">
        <f t="shared" si="30"/>
        <v>3.3749054999999997</v>
      </c>
      <c r="HH28" s="529">
        <f t="shared" si="31"/>
        <v>0</v>
      </c>
      <c r="HI28" s="529">
        <f t="shared" si="32"/>
        <v>0</v>
      </c>
      <c r="HJ28" s="529">
        <f t="shared" si="33"/>
        <v>2.49993</v>
      </c>
      <c r="HK28" s="524">
        <f t="shared" si="34"/>
        <v>2.49993</v>
      </c>
      <c r="HL28" s="529">
        <f t="shared" si="35"/>
        <v>0</v>
      </c>
      <c r="HM28" s="529">
        <f t="shared" si="36"/>
        <v>0</v>
      </c>
      <c r="HN28" s="529">
        <f t="shared" si="37"/>
        <v>4.1419742500000005</v>
      </c>
      <c r="HO28" s="529">
        <f t="shared" si="38"/>
        <v>21.170309499999998</v>
      </c>
      <c r="HP28" s="529">
        <f t="shared" si="39"/>
        <v>4.16655</v>
      </c>
      <c r="HQ28" s="524">
        <f t="shared" si="40"/>
        <v>4.16655</v>
      </c>
      <c r="HR28" s="615">
        <f t="shared" si="214"/>
        <v>1.2320725002775625</v>
      </c>
      <c r="HS28" s="615">
        <f t="shared" si="41"/>
        <v>38.090074097687506</v>
      </c>
      <c r="HT28" s="615">
        <f t="shared" si="42"/>
        <v>0.24999299999999997</v>
      </c>
      <c r="HU28" s="615">
        <f t="shared" si="43"/>
        <v>0.24999299999999997</v>
      </c>
      <c r="HV28" s="615">
        <f t="shared" si="44"/>
        <v>0.91664099999999993</v>
      </c>
      <c r="HW28" s="615">
        <f t="shared" si="45"/>
        <v>3.6665639999999997</v>
      </c>
      <c r="HZ28" s="220"/>
      <c r="IA28" s="220"/>
      <c r="IB28" s="220"/>
      <c r="IC28" s="220"/>
      <c r="ID28" s="220"/>
      <c r="IE28" s="220"/>
      <c r="IF28" s="220"/>
      <c r="IG28" s="560"/>
      <c r="IH28" s="529">
        <f t="shared" si="215"/>
        <v>3.7123960499999997E-2</v>
      </c>
      <c r="II28" s="529">
        <f t="shared" si="216"/>
        <v>3.0374149499999999E-2</v>
      </c>
      <c r="IJ28" s="529">
        <f t="shared" si="217"/>
        <v>6.0748298999999999E-2</v>
      </c>
      <c r="IK28" s="529">
        <f t="shared" si="218"/>
        <v>3.0374149499999999E-2</v>
      </c>
      <c r="IL28" s="529">
        <f t="shared" si="219"/>
        <v>2.8517951474999998</v>
      </c>
      <c r="IM28" s="529">
        <f t="shared" si="220"/>
        <v>3.3749054999999998E-3</v>
      </c>
      <c r="IN28" s="529">
        <f t="shared" si="221"/>
        <v>3.3749054999999998E-3</v>
      </c>
      <c r="IO28" s="529">
        <f t="shared" si="222"/>
        <v>0.11137188149999999</v>
      </c>
      <c r="IP28" s="529">
        <f t="shared" si="223"/>
        <v>0.13837112549999997</v>
      </c>
      <c r="IQ28" s="529">
        <f t="shared" si="224"/>
        <v>0.17549508599999999</v>
      </c>
      <c r="IR28" s="529">
        <f t="shared" si="225"/>
        <v>0.13837112549999997</v>
      </c>
      <c r="IS28" s="529">
        <f t="shared" si="226"/>
        <v>2.8585449584999996</v>
      </c>
      <c r="IT28" s="529">
        <f t="shared" si="227"/>
        <v>3.3749055E-2</v>
      </c>
      <c r="IU28" s="526">
        <f t="shared" si="228"/>
        <v>3.3749055E-2</v>
      </c>
      <c r="IV28" s="884">
        <f t="shared" si="229"/>
        <v>0</v>
      </c>
      <c r="IW28" s="884">
        <f t="shared" si="230"/>
        <v>0</v>
      </c>
      <c r="IX28" s="529">
        <f t="shared" si="49"/>
        <v>0</v>
      </c>
      <c r="IY28" s="529">
        <f t="shared" si="50"/>
        <v>0</v>
      </c>
      <c r="IZ28" s="529">
        <f t="shared" si="51"/>
        <v>0</v>
      </c>
      <c r="JA28" s="529">
        <f t="shared" si="52"/>
        <v>0</v>
      </c>
      <c r="JB28" s="529">
        <f t="shared" si="53"/>
        <v>0</v>
      </c>
      <c r="JC28" s="529">
        <f t="shared" si="231"/>
        <v>0</v>
      </c>
      <c r="JD28" s="529">
        <f t="shared" si="232"/>
        <v>0</v>
      </c>
      <c r="JE28" s="529">
        <f t="shared" si="55"/>
        <v>0</v>
      </c>
      <c r="JF28" s="529">
        <f t="shared" si="56"/>
        <v>0</v>
      </c>
      <c r="JG28" s="529">
        <f t="shared" si="57"/>
        <v>0</v>
      </c>
      <c r="JH28" s="529">
        <f t="shared" si="58"/>
        <v>0</v>
      </c>
      <c r="JI28" s="480">
        <f t="shared" si="59"/>
        <v>0</v>
      </c>
      <c r="JJ28" s="884">
        <f t="shared" si="233"/>
        <v>2.7499230000000003E-2</v>
      </c>
      <c r="JK28" s="884">
        <f t="shared" si="234"/>
        <v>2.2499370000000001E-2</v>
      </c>
      <c r="JL28" s="529">
        <f t="shared" si="61"/>
        <v>4.4998740000000002E-2</v>
      </c>
      <c r="JM28" s="529">
        <f t="shared" si="62"/>
        <v>2.2499370000000001E-2</v>
      </c>
      <c r="JN28" s="529">
        <f t="shared" si="63"/>
        <v>2.11244085</v>
      </c>
      <c r="JO28" s="529">
        <f t="shared" si="64"/>
        <v>2.49993E-3</v>
      </c>
      <c r="JP28" s="529">
        <f t="shared" si="65"/>
        <v>2.49993E-3</v>
      </c>
      <c r="JQ28" s="529">
        <f t="shared" si="235"/>
        <v>8.2497689999999999E-2</v>
      </c>
      <c r="JR28" s="529">
        <f t="shared" si="236"/>
        <v>0.10249712999999999</v>
      </c>
      <c r="JS28" s="474">
        <f t="shared" si="67"/>
        <v>0.12999636000000001</v>
      </c>
      <c r="JT28" s="474">
        <f t="shared" si="68"/>
        <v>0.10249712999999999</v>
      </c>
      <c r="JU28" s="474">
        <f t="shared" si="69"/>
        <v>2.1174407099999999</v>
      </c>
      <c r="JV28" s="474">
        <f t="shared" si="70"/>
        <v>2.4999300000000002E-2</v>
      </c>
      <c r="JW28" s="134">
        <f t="shared" si="71"/>
        <v>2.4999300000000002E-2</v>
      </c>
      <c r="JX28" s="884">
        <f t="shared" si="237"/>
        <v>0</v>
      </c>
      <c r="JY28" s="884">
        <f t="shared" si="238"/>
        <v>0</v>
      </c>
      <c r="JZ28" s="529">
        <f t="shared" si="73"/>
        <v>0</v>
      </c>
      <c r="KA28" s="529">
        <f t="shared" si="74"/>
        <v>0</v>
      </c>
      <c r="KB28" s="529">
        <f t="shared" si="75"/>
        <v>0</v>
      </c>
      <c r="KC28" s="529">
        <f t="shared" si="76"/>
        <v>0</v>
      </c>
      <c r="KD28" s="529">
        <f t="shared" si="77"/>
        <v>0</v>
      </c>
      <c r="KE28" s="529">
        <f t="shared" si="239"/>
        <v>0</v>
      </c>
      <c r="KF28" s="529">
        <f t="shared" si="240"/>
        <v>0</v>
      </c>
      <c r="KG28" s="529">
        <f t="shared" si="79"/>
        <v>0</v>
      </c>
      <c r="KH28" s="529">
        <f t="shared" si="80"/>
        <v>0</v>
      </c>
      <c r="KI28" s="529">
        <f t="shared" si="81"/>
        <v>0</v>
      </c>
      <c r="KJ28" s="529">
        <f t="shared" si="82"/>
        <v>0</v>
      </c>
      <c r="KK28" s="526">
        <f t="shared" si="83"/>
        <v>0</v>
      </c>
      <c r="KL28" s="884">
        <f t="shared" si="241"/>
        <v>4.5561716750000009E-2</v>
      </c>
      <c r="KM28" s="884">
        <f t="shared" si="242"/>
        <v>3.727776825000001E-2</v>
      </c>
      <c r="KN28" s="529">
        <f t="shared" si="85"/>
        <v>7.4555536500000019E-2</v>
      </c>
      <c r="KO28" s="529">
        <f t="shared" si="86"/>
        <v>3.727776825000001E-2</v>
      </c>
      <c r="KP28" s="529">
        <f t="shared" si="87"/>
        <v>3.4999682412500004</v>
      </c>
      <c r="KQ28" s="529">
        <f t="shared" si="88"/>
        <v>4.1419742500000004E-3</v>
      </c>
      <c r="KR28" s="529">
        <f t="shared" si="89"/>
        <v>4.1419742500000004E-3</v>
      </c>
      <c r="KS28" s="529">
        <f t="shared" si="243"/>
        <v>0.69862021350000003</v>
      </c>
      <c r="KT28" s="529">
        <f t="shared" si="244"/>
        <v>0.86798268949999979</v>
      </c>
      <c r="KU28" s="529">
        <f t="shared" si="91"/>
        <v>1.1008560940000001</v>
      </c>
      <c r="KV28" s="529">
        <f t="shared" si="92"/>
        <v>0.86798268949999979</v>
      </c>
      <c r="KW28" s="529">
        <f t="shared" si="93"/>
        <v>17.931252146499997</v>
      </c>
      <c r="KX28" s="529">
        <f t="shared" si="94"/>
        <v>0.21170309499999998</v>
      </c>
      <c r="KY28" s="480">
        <f t="shared" si="95"/>
        <v>0.21170309499999998</v>
      </c>
      <c r="KZ28" s="884">
        <f t="shared" si="245"/>
        <v>4.5832050000000006E-2</v>
      </c>
      <c r="LA28" s="884">
        <f t="shared" si="246"/>
        <v>3.7498950000000003E-2</v>
      </c>
      <c r="LB28" s="529">
        <f t="shared" si="97"/>
        <v>7.4997900000000006E-2</v>
      </c>
      <c r="LC28" s="529">
        <f t="shared" si="98"/>
        <v>3.7498950000000003E-2</v>
      </c>
      <c r="LD28" s="529">
        <f t="shared" si="99"/>
        <v>3.5207347499999999</v>
      </c>
      <c r="LE28" s="529">
        <f t="shared" si="100"/>
        <v>4.1665499999999998E-3</v>
      </c>
      <c r="LF28" s="529">
        <f t="shared" si="101"/>
        <v>4.1665499999999998E-3</v>
      </c>
      <c r="LG28" s="529">
        <f t="shared" si="247"/>
        <v>0.13749615000000001</v>
      </c>
      <c r="LH28" s="529">
        <f t="shared" si="248"/>
        <v>0.17082854999999997</v>
      </c>
      <c r="LI28" s="355">
        <f t="shared" si="103"/>
        <v>0.21666060000000001</v>
      </c>
      <c r="LJ28" s="355">
        <f t="shared" si="104"/>
        <v>0.17082854999999997</v>
      </c>
      <c r="LK28" s="355">
        <f t="shared" si="105"/>
        <v>3.5290678499999997</v>
      </c>
      <c r="LL28" s="355">
        <f t="shared" si="106"/>
        <v>4.1665500000000001E-2</v>
      </c>
      <c r="LM28" s="134">
        <f t="shared" si="107"/>
        <v>4.1665500000000001E-2</v>
      </c>
      <c r="LN28" s="884">
        <f t="shared" si="249"/>
        <v>1.3552797503053188E-3</v>
      </c>
      <c r="LO28" s="884">
        <f t="shared" si="250"/>
        <v>3.6962175008326871E-4</v>
      </c>
      <c r="LP28" s="529">
        <f t="shared" si="109"/>
        <v>6.2835697514155697E-3</v>
      </c>
      <c r="LQ28" s="529">
        <f t="shared" si="110"/>
        <v>1.0102994502276011E-2</v>
      </c>
      <c r="LR28" s="529">
        <f t="shared" si="111"/>
        <v>0.98565800022205008</v>
      </c>
      <c r="LS28" s="529">
        <f t="shared" si="112"/>
        <v>1.0719030752414793E-2</v>
      </c>
      <c r="LT28" s="529">
        <f t="shared" si="113"/>
        <v>1.2320725002775625E-3</v>
      </c>
      <c r="LU28" s="529">
        <f t="shared" si="251"/>
        <v>2.2854044458612504</v>
      </c>
      <c r="LV28" s="529">
        <f t="shared" si="252"/>
        <v>1.1427022229306252</v>
      </c>
      <c r="LW28" s="529">
        <f t="shared" si="115"/>
        <v>2.6663051868381258</v>
      </c>
      <c r="LX28" s="529">
        <f t="shared" si="116"/>
        <v>2.2854044458612504</v>
      </c>
      <c r="LY28" s="529">
        <f t="shared" si="117"/>
        <v>37.671083282612948</v>
      </c>
      <c r="LZ28" s="529">
        <f t="shared" si="118"/>
        <v>0.38090074097687504</v>
      </c>
      <c r="MA28" s="485">
        <f t="shared" si="119"/>
        <v>0.38090074097687504</v>
      </c>
      <c r="MB28" s="884">
        <f t="shared" si="253"/>
        <v>2.7499229999999999E-4</v>
      </c>
      <c r="MC28" s="884">
        <f t="shared" si="254"/>
        <v>7.4997899999999982E-5</v>
      </c>
      <c r="MD28" s="529">
        <f t="shared" si="121"/>
        <v>1.2749642999999998E-3</v>
      </c>
      <c r="ME28" s="529">
        <f t="shared" si="122"/>
        <v>2.0499425999999992E-3</v>
      </c>
      <c r="MF28" s="529">
        <f t="shared" si="123"/>
        <v>0.19999439999999999</v>
      </c>
      <c r="MG28" s="529">
        <f t="shared" si="124"/>
        <v>2.1749390999999995E-3</v>
      </c>
      <c r="MH28" s="529">
        <f t="shared" si="125"/>
        <v>2.4999299999999995E-4</v>
      </c>
      <c r="MI28" s="529">
        <f t="shared" si="255"/>
        <v>1.4999579999999997E-2</v>
      </c>
      <c r="MJ28" s="529">
        <f t="shared" si="256"/>
        <v>7.4997899999999984E-3</v>
      </c>
      <c r="MK28" s="529">
        <f t="shared" si="127"/>
        <v>1.7499509999999999E-2</v>
      </c>
      <c r="ML28" s="529">
        <f t="shared" si="128"/>
        <v>1.4999579999999997E-2</v>
      </c>
      <c r="MM28" s="529">
        <f t="shared" si="129"/>
        <v>0.24724307699999998</v>
      </c>
      <c r="MN28" s="529">
        <f t="shared" si="130"/>
        <v>2.4999299999999996E-3</v>
      </c>
      <c r="MO28" s="485">
        <f t="shared" si="131"/>
        <v>2.4999299999999996E-3</v>
      </c>
      <c r="MP28" s="884">
        <f t="shared" si="257"/>
        <v>1.0083051E-3</v>
      </c>
      <c r="MQ28" s="884">
        <f t="shared" si="258"/>
        <v>2.7499229999999994E-4</v>
      </c>
      <c r="MR28" s="529">
        <f t="shared" si="133"/>
        <v>4.6748691000000004E-3</v>
      </c>
      <c r="MS28" s="529">
        <f t="shared" si="134"/>
        <v>7.5164561999999987E-3</v>
      </c>
      <c r="MT28" s="529">
        <f t="shared" si="135"/>
        <v>0.73331279999999999</v>
      </c>
      <c r="MU28" s="529">
        <f t="shared" si="136"/>
        <v>7.9747766999999983E-3</v>
      </c>
      <c r="MV28" s="529">
        <f t="shared" si="137"/>
        <v>9.1664099999999994E-4</v>
      </c>
      <c r="MW28" s="529">
        <f t="shared" si="259"/>
        <v>0.21999383999999997</v>
      </c>
      <c r="MX28" s="529">
        <f t="shared" si="260"/>
        <v>0.10999691999999998</v>
      </c>
      <c r="MY28" s="474">
        <f t="shared" si="139"/>
        <v>0.25665948</v>
      </c>
      <c r="MZ28" s="474">
        <f t="shared" si="140"/>
        <v>0.21999383999999997</v>
      </c>
      <c r="NA28" s="474">
        <f t="shared" si="141"/>
        <v>3.6262317959999999</v>
      </c>
      <c r="NB28" s="474">
        <f t="shared" si="142"/>
        <v>3.6665639999999999E-2</v>
      </c>
      <c r="NC28" s="134">
        <f t="shared" si="143"/>
        <v>3.6665639999999999E-2</v>
      </c>
    </row>
    <row r="29" spans="1:367" x14ac:dyDescent="0.25">
      <c r="A29" s="18">
        <v>1974</v>
      </c>
      <c r="B29" s="1271">
        <v>450</v>
      </c>
      <c r="C29" s="1224"/>
      <c r="D29" s="1224">
        <v>0</v>
      </c>
      <c r="E29" s="1272"/>
      <c r="F29" s="1226">
        <f t="shared" si="144"/>
        <v>443.25</v>
      </c>
      <c r="G29" s="1226"/>
      <c r="H29" s="1224">
        <f t="shared" si="145"/>
        <v>0</v>
      </c>
      <c r="I29" s="1224"/>
      <c r="J29" s="1082">
        <v>0</v>
      </c>
      <c r="K29" s="1082">
        <f t="shared" si="0"/>
        <v>0</v>
      </c>
      <c r="L29" s="1226">
        <f t="shared" si="1"/>
        <v>443.25</v>
      </c>
      <c r="M29" s="1227"/>
      <c r="N29" s="193">
        <v>8.0999999999999996E-3</v>
      </c>
      <c r="O29" s="47">
        <v>0</v>
      </c>
      <c r="P29" s="47">
        <v>6.0000000000000001E-3</v>
      </c>
      <c r="Q29" s="192">
        <v>0</v>
      </c>
      <c r="R29" s="47">
        <v>0</v>
      </c>
      <c r="S29" s="47">
        <f t="shared" si="146"/>
        <v>5.4000000000000003E-3</v>
      </c>
      <c r="T29" s="47">
        <v>0.01</v>
      </c>
      <c r="U29" s="47">
        <v>1.8E-3</v>
      </c>
      <c r="V29" s="117">
        <v>4.0000000000000003E-5</v>
      </c>
      <c r="W29" s="47">
        <v>5.9999999999999995E-4</v>
      </c>
      <c r="X29" s="52">
        <v>1.0999999999999999E-2</v>
      </c>
      <c r="Y29" s="52">
        <v>2.0199999999999999E-2</v>
      </c>
      <c r="Z29" s="111">
        <v>6.3E-2</v>
      </c>
      <c r="AA29" s="52">
        <f t="shared" si="147"/>
        <v>0.1</v>
      </c>
      <c r="AB29" s="52">
        <f t="shared" si="148"/>
        <v>0</v>
      </c>
      <c r="AC29" s="52">
        <f t="shared" si="149"/>
        <v>0.9</v>
      </c>
      <c r="AD29" s="475">
        <f t="shared" si="150"/>
        <v>3.590325</v>
      </c>
      <c r="AE29" s="474">
        <f t="shared" si="151"/>
        <v>3.590325</v>
      </c>
      <c r="AF29" s="474">
        <f t="shared" si="152"/>
        <v>0</v>
      </c>
      <c r="AG29" s="474">
        <f t="shared" si="151"/>
        <v>0</v>
      </c>
      <c r="AH29" s="474">
        <f t="shared" si="153"/>
        <v>2.6595</v>
      </c>
      <c r="AI29" s="474">
        <f t="shared" ref="AI29" si="493">AH29</f>
        <v>2.6595</v>
      </c>
      <c r="AJ29" s="508"/>
      <c r="AK29" s="508"/>
      <c r="AL29" s="508"/>
      <c r="AM29" s="508"/>
      <c r="AN29" s="508"/>
      <c r="AO29" s="572"/>
      <c r="AP29" s="481">
        <f t="shared" si="155"/>
        <v>3.590325</v>
      </c>
      <c r="AQ29" s="474">
        <f t="shared" ref="AQ29" si="494">AP29</f>
        <v>3.590325</v>
      </c>
      <c r="AR29" s="474">
        <f t="shared" si="157"/>
        <v>0</v>
      </c>
      <c r="AS29" s="474">
        <f t="shared" ref="AS29" si="495">AR29</f>
        <v>0</v>
      </c>
      <c r="AT29" s="474">
        <f t="shared" si="159"/>
        <v>2.6595</v>
      </c>
      <c r="AU29" s="474">
        <f t="shared" ref="AU29" si="496">AT29</f>
        <v>2.6595</v>
      </c>
      <c r="AV29" s="475">
        <f t="shared" si="2"/>
        <v>0</v>
      </c>
      <c r="AW29" s="474">
        <f t="shared" ref="AW29" si="497">AV29</f>
        <v>0</v>
      </c>
      <c r="AX29" s="474">
        <f t="shared" si="3"/>
        <v>2.3935500000000003</v>
      </c>
      <c r="AY29" s="474">
        <f t="shared" ref="AY29" si="498">AX29</f>
        <v>2.3935500000000003</v>
      </c>
      <c r="AZ29" s="474">
        <f t="shared" si="4"/>
        <v>4.4325000000000001</v>
      </c>
      <c r="BA29" s="474">
        <f t="shared" ref="BA29" si="499">AZ29</f>
        <v>4.4325000000000001</v>
      </c>
      <c r="BB29" s="481"/>
      <c r="BC29" s="474"/>
      <c r="BD29" s="474"/>
      <c r="BE29" s="474"/>
      <c r="BF29" s="474"/>
      <c r="BG29" s="474"/>
      <c r="BH29" s="481">
        <f t="shared" si="5"/>
        <v>0</v>
      </c>
      <c r="BI29" s="474">
        <f t="shared" ref="BI29" si="500">BH29</f>
        <v>0</v>
      </c>
      <c r="BJ29" s="474">
        <f t="shared" si="6"/>
        <v>2.3935500000000003</v>
      </c>
      <c r="BK29" s="474">
        <f t="shared" ref="BK29" si="501">BJ29</f>
        <v>2.3935500000000003</v>
      </c>
      <c r="BL29" s="474">
        <f t="shared" si="7"/>
        <v>4.4325000000000001</v>
      </c>
      <c r="BM29" s="474">
        <f t="shared" ref="BM29" si="502">BL29</f>
        <v>4.4325000000000001</v>
      </c>
      <c r="BN29" s="475">
        <f t="shared" si="8"/>
        <v>1.7730000000000003E-2</v>
      </c>
      <c r="BO29" s="474">
        <f t="shared" ref="BO29" si="503">BN29</f>
        <v>1.7730000000000003E-2</v>
      </c>
      <c r="BP29" s="474">
        <f t="shared" si="9"/>
        <v>0.26594999999999996</v>
      </c>
      <c r="BQ29" s="474">
        <f t="shared" ref="BQ29" si="504">BP29</f>
        <v>0.26594999999999996</v>
      </c>
      <c r="BR29" s="474">
        <f t="shared" si="10"/>
        <v>4.87575</v>
      </c>
      <c r="BS29" s="474">
        <f t="shared" ref="BS29" si="505">BR29</f>
        <v>4.87575</v>
      </c>
      <c r="BT29" s="481"/>
      <c r="BU29" s="474"/>
      <c r="BV29" s="474"/>
      <c r="BW29" s="474"/>
      <c r="BX29" s="474"/>
      <c r="BY29" s="474"/>
      <c r="BZ29" s="481">
        <f t="shared" si="11"/>
        <v>1.7730000000000003E-2</v>
      </c>
      <c r="CA29" s="474">
        <f t="shared" ref="CA29" si="506">BZ29</f>
        <v>1.7730000000000003E-2</v>
      </c>
      <c r="CB29" s="474">
        <f t="shared" si="12"/>
        <v>0.26594999999999996</v>
      </c>
      <c r="CC29" s="474">
        <f t="shared" ref="CC29" si="507">CB29</f>
        <v>0.26594999999999996</v>
      </c>
      <c r="CD29" s="474">
        <f t="shared" si="13"/>
        <v>4.87575</v>
      </c>
      <c r="CE29" s="526">
        <f t="shared" ref="CE29" si="508">CD29</f>
        <v>4.87575</v>
      </c>
      <c r="CF29" s="355">
        <f t="shared" si="173"/>
        <v>0</v>
      </c>
      <c r="CG29" s="615">
        <f t="shared" si="174"/>
        <v>0</v>
      </c>
      <c r="CH29" s="355">
        <f t="shared" si="175"/>
        <v>0</v>
      </c>
      <c r="CI29" s="615">
        <f t="shared" si="491"/>
        <v>0</v>
      </c>
      <c r="CJ29" s="615">
        <f t="shared" si="176"/>
        <v>0</v>
      </c>
      <c r="CK29" s="615">
        <f t="shared" si="492"/>
        <v>0</v>
      </c>
      <c r="CL29" s="122"/>
      <c r="CM29" s="1235">
        <f t="shared" si="16"/>
        <v>415.32524999999998</v>
      </c>
      <c r="CN29" s="1231"/>
      <c r="CO29" s="1230"/>
      <c r="CP29" s="1231"/>
      <c r="CQ29" s="1230">
        <f t="shared" si="177"/>
        <v>415.32524999999998</v>
      </c>
      <c r="CR29" s="1232"/>
      <c r="CS29" s="30">
        <v>0.45</v>
      </c>
      <c r="CT29" s="31">
        <f t="shared" si="178"/>
        <v>0.55000000000000004</v>
      </c>
      <c r="CU29" s="31"/>
      <c r="CV29" s="32"/>
      <c r="CW29" s="1233">
        <f t="shared" si="179"/>
        <v>177.55154437499999</v>
      </c>
      <c r="CX29" s="1234"/>
      <c r="CY29" s="1234">
        <f t="shared" si="180"/>
        <v>217.00744312499998</v>
      </c>
      <c r="CZ29" s="1231"/>
      <c r="DA29" s="369"/>
      <c r="DB29" s="369"/>
      <c r="DC29" s="369"/>
      <c r="DD29" s="373"/>
      <c r="DE29" s="1234">
        <f t="shared" si="17"/>
        <v>177.55154437499999</v>
      </c>
      <c r="DF29" s="1234"/>
      <c r="DG29" s="369">
        <f t="shared" si="341"/>
        <v>217.00744312499998</v>
      </c>
      <c r="DH29" s="372">
        <f t="shared" si="182"/>
        <v>217.00744312499998</v>
      </c>
      <c r="DJ29" s="493">
        <v>0.05</v>
      </c>
      <c r="DK29" s="379"/>
      <c r="DL29" s="1105">
        <f t="shared" si="18"/>
        <v>20.7662625</v>
      </c>
      <c r="DM29" s="1105">
        <f t="shared" si="19"/>
        <v>20.7662625</v>
      </c>
      <c r="DN29" s="369"/>
      <c r="DO29" s="372"/>
      <c r="DP29" s="30">
        <v>1</v>
      </c>
      <c r="DQ29" s="31">
        <f t="shared" si="183"/>
        <v>0.1</v>
      </c>
      <c r="DR29" s="31">
        <f t="shared" si="184"/>
        <v>1</v>
      </c>
      <c r="DS29" s="680">
        <f t="shared" si="185"/>
        <v>0.1</v>
      </c>
      <c r="DT29" s="77">
        <f t="shared" si="186"/>
        <v>1</v>
      </c>
      <c r="DU29" s="31">
        <v>0</v>
      </c>
      <c r="DV29" s="31">
        <v>1</v>
      </c>
      <c r="DW29" s="31">
        <v>0</v>
      </c>
      <c r="DX29" s="31">
        <v>0</v>
      </c>
      <c r="DY29" s="31">
        <v>1</v>
      </c>
      <c r="DZ29" s="31">
        <v>0</v>
      </c>
      <c r="EA29" s="383">
        <f t="shared" si="187"/>
        <v>0</v>
      </c>
      <c r="EB29" s="355">
        <f t="shared" si="188"/>
        <v>0</v>
      </c>
      <c r="EC29" s="355">
        <f t="shared" si="189"/>
        <v>2.0143274624999998</v>
      </c>
      <c r="ED29" s="355">
        <f t="shared" si="190"/>
        <v>20.143274625</v>
      </c>
      <c r="EE29" s="355">
        <f t="shared" si="191"/>
        <v>0</v>
      </c>
      <c r="EF29" s="355">
        <f t="shared" si="192"/>
        <v>0</v>
      </c>
      <c r="EG29" s="366"/>
      <c r="EH29" s="355"/>
      <c r="EI29" s="355"/>
      <c r="EJ29" s="355"/>
      <c r="EK29" s="355"/>
      <c r="EL29" s="356"/>
      <c r="EM29" s="355">
        <f t="shared" si="193"/>
        <v>2.0143274624999998</v>
      </c>
      <c r="EN29" s="134">
        <f t="shared" si="194"/>
        <v>20.143274625</v>
      </c>
      <c r="EP29" s="1171">
        <f t="shared" si="20"/>
        <v>1.7730000000000003E-2</v>
      </c>
      <c r="EQ29" s="1172"/>
      <c r="ER29" s="1172">
        <f t="shared" si="21"/>
        <v>0.26594999999999996</v>
      </c>
      <c r="ES29" s="1172"/>
      <c r="ET29" s="1172">
        <f t="shared" si="22"/>
        <v>4.87575</v>
      </c>
      <c r="EU29" s="1172"/>
      <c r="EV29" s="366"/>
      <c r="EW29" s="355"/>
      <c r="EX29" s="355"/>
      <c r="EY29" s="355"/>
      <c r="EZ29" s="1172"/>
      <c r="FA29" s="1173"/>
      <c r="FB29" s="368">
        <f t="shared" si="195"/>
        <v>177.55154437499999</v>
      </c>
      <c r="FC29" s="369">
        <f t="shared" si="196"/>
        <v>177.55154437499999</v>
      </c>
      <c r="FD29" s="369"/>
      <c r="FE29" s="61"/>
      <c r="FF29" s="368">
        <f t="shared" si="197"/>
        <v>217.00744312499998</v>
      </c>
      <c r="FG29" s="369">
        <f t="shared" si="426"/>
        <v>217.00744312499998</v>
      </c>
      <c r="FH29" s="369"/>
      <c r="FI29" s="369"/>
      <c r="FJ29" s="30">
        <v>1</v>
      </c>
      <c r="FK29" s="31">
        <v>0.2</v>
      </c>
      <c r="FL29" s="501">
        <v>0.8</v>
      </c>
      <c r="FM29" s="31">
        <f t="shared" si="198"/>
        <v>0.1</v>
      </c>
      <c r="FN29" s="501">
        <f t="shared" si="199"/>
        <v>1</v>
      </c>
      <c r="FO29" s="31">
        <f t="shared" si="200"/>
        <v>0.1</v>
      </c>
      <c r="FP29" s="31">
        <f t="shared" si="201"/>
        <v>1</v>
      </c>
      <c r="FQ29" s="31">
        <v>1</v>
      </c>
      <c r="FR29" s="31">
        <v>0</v>
      </c>
      <c r="FS29" s="89">
        <f t="shared" si="202"/>
        <v>1E-3</v>
      </c>
      <c r="FT29" s="31">
        <f t="shared" si="203"/>
        <v>0.05</v>
      </c>
      <c r="FU29" s="30">
        <v>0.05</v>
      </c>
      <c r="FV29" s="32">
        <f t="shared" si="25"/>
        <v>2.4224999999999997E-2</v>
      </c>
      <c r="FW29" s="31">
        <v>0.1</v>
      </c>
      <c r="FX29" s="77">
        <f t="shared" si="26"/>
        <v>9.0000000000000011E-2</v>
      </c>
      <c r="FY29" s="30"/>
      <c r="FZ29" s="32"/>
      <c r="GA29" s="31"/>
      <c r="GB29" s="77"/>
      <c r="GC29" s="378">
        <f t="shared" si="27"/>
        <v>1.7730000000000003E-2</v>
      </c>
      <c r="GD29" s="379">
        <f t="shared" si="204"/>
        <v>1.7730000000000003E-2</v>
      </c>
      <c r="GE29" s="379">
        <f t="shared" si="28"/>
        <v>0.26594999999999996</v>
      </c>
      <c r="GF29" s="379">
        <f t="shared" si="205"/>
        <v>0.26594999999999996</v>
      </c>
      <c r="GG29" s="379">
        <f t="shared" si="206"/>
        <v>0.97515000000000007</v>
      </c>
      <c r="GH29" s="218">
        <f t="shared" si="207"/>
        <v>3.9006000000000003</v>
      </c>
      <c r="GI29" s="379"/>
      <c r="GJ29" s="379"/>
      <c r="GK29" s="379"/>
      <c r="GL29" s="379"/>
      <c r="GM29" s="379"/>
      <c r="GN29" s="218"/>
      <c r="GO29" s="379">
        <f t="shared" si="208"/>
        <v>1.2588300000000001</v>
      </c>
      <c r="GP29" s="515">
        <f t="shared" si="209"/>
        <v>4.1842800000000002</v>
      </c>
      <c r="GQ29" s="379">
        <f t="shared" si="210"/>
        <v>1.2783400479797344</v>
      </c>
      <c r="GR29" s="379">
        <f t="shared" si="211"/>
        <v>32.722749628312499</v>
      </c>
      <c r="GS29" s="355">
        <f t="shared" si="390"/>
        <v>1.5952458263499999E-2</v>
      </c>
      <c r="GT29" s="355">
        <f t="shared" si="391"/>
        <v>7.9762291317500003</v>
      </c>
      <c r="GU29" s="355">
        <f t="shared" si="392"/>
        <v>0</v>
      </c>
      <c r="GV29" s="356">
        <f t="shared" si="393"/>
        <v>0</v>
      </c>
      <c r="GW29" s="355"/>
      <c r="GX29" s="355"/>
      <c r="GY29" s="355"/>
      <c r="GZ29" s="355"/>
      <c r="HA29" s="355"/>
      <c r="HB29" s="356"/>
      <c r="HC29" s="379">
        <f t="shared" si="212"/>
        <v>1.2942925062432344</v>
      </c>
      <c r="HD29" s="38">
        <f t="shared" si="213"/>
        <v>40.698978760062502</v>
      </c>
      <c r="HE29" s="527"/>
      <c r="HF29" s="529">
        <f t="shared" si="29"/>
        <v>3.590325</v>
      </c>
      <c r="HG29" s="529">
        <f t="shared" si="30"/>
        <v>3.590325</v>
      </c>
      <c r="HH29" s="529">
        <f t="shared" si="31"/>
        <v>0</v>
      </c>
      <c r="HI29" s="529">
        <f t="shared" si="32"/>
        <v>0</v>
      </c>
      <c r="HJ29" s="529">
        <f t="shared" si="33"/>
        <v>2.6595</v>
      </c>
      <c r="HK29" s="524">
        <f t="shared" si="34"/>
        <v>2.6595</v>
      </c>
      <c r="HL29" s="529">
        <f t="shared" si="35"/>
        <v>0</v>
      </c>
      <c r="HM29" s="529">
        <f t="shared" si="36"/>
        <v>0</v>
      </c>
      <c r="HN29" s="529">
        <f t="shared" si="37"/>
        <v>4.4078774625000001</v>
      </c>
      <c r="HO29" s="529">
        <f t="shared" si="38"/>
        <v>22.536824625000001</v>
      </c>
      <c r="HP29" s="529">
        <f t="shared" si="39"/>
        <v>4.4325000000000001</v>
      </c>
      <c r="HQ29" s="524">
        <f t="shared" si="40"/>
        <v>4.4325000000000001</v>
      </c>
      <c r="HR29" s="615">
        <f t="shared" si="214"/>
        <v>1.3120225062432345</v>
      </c>
      <c r="HS29" s="615">
        <f t="shared" si="41"/>
        <v>40.716708760062502</v>
      </c>
      <c r="HT29" s="615">
        <f t="shared" si="42"/>
        <v>0.26594999999999996</v>
      </c>
      <c r="HU29" s="615">
        <f t="shared" si="43"/>
        <v>0.26594999999999996</v>
      </c>
      <c r="HV29" s="615">
        <f t="shared" si="44"/>
        <v>0.97515000000000007</v>
      </c>
      <c r="HW29" s="615">
        <f t="shared" si="45"/>
        <v>3.9006000000000003</v>
      </c>
      <c r="HZ29" s="220"/>
      <c r="IA29" s="220"/>
      <c r="IB29" s="220"/>
      <c r="IC29" s="220"/>
      <c r="ID29" s="220"/>
      <c r="IE29" s="220"/>
      <c r="IF29" s="220"/>
      <c r="IG29" s="560"/>
      <c r="IH29" s="529">
        <f t="shared" si="215"/>
        <v>3.9493575000000003E-2</v>
      </c>
      <c r="II29" s="529">
        <f t="shared" si="216"/>
        <v>3.2312925000000006E-2</v>
      </c>
      <c r="IJ29" s="529">
        <f t="shared" si="217"/>
        <v>6.4625850000000012E-2</v>
      </c>
      <c r="IK29" s="529">
        <f t="shared" si="218"/>
        <v>3.2312925000000006E-2</v>
      </c>
      <c r="IL29" s="529">
        <f t="shared" si="219"/>
        <v>3.0338246249999998</v>
      </c>
      <c r="IM29" s="529">
        <f t="shared" si="220"/>
        <v>3.5903250000000001E-3</v>
      </c>
      <c r="IN29" s="529">
        <f t="shared" si="221"/>
        <v>3.5903250000000001E-3</v>
      </c>
      <c r="IO29" s="529">
        <f t="shared" si="222"/>
        <v>0.11848072500000001</v>
      </c>
      <c r="IP29" s="529">
        <f t="shared" si="223"/>
        <v>0.14720332499999997</v>
      </c>
      <c r="IQ29" s="529">
        <f t="shared" si="224"/>
        <v>0.18669690000000003</v>
      </c>
      <c r="IR29" s="529">
        <f t="shared" si="225"/>
        <v>0.14720332499999997</v>
      </c>
      <c r="IS29" s="529">
        <f t="shared" si="226"/>
        <v>3.0410052749999998</v>
      </c>
      <c r="IT29" s="529">
        <f t="shared" si="227"/>
        <v>3.5903249999999998E-2</v>
      </c>
      <c r="IU29" s="526">
        <f t="shared" si="228"/>
        <v>3.5903249999999998E-2</v>
      </c>
      <c r="IV29" s="884">
        <f t="shared" si="229"/>
        <v>0</v>
      </c>
      <c r="IW29" s="884">
        <f t="shared" si="230"/>
        <v>0</v>
      </c>
      <c r="IX29" s="529">
        <f t="shared" si="49"/>
        <v>0</v>
      </c>
      <c r="IY29" s="529">
        <f t="shared" si="50"/>
        <v>0</v>
      </c>
      <c r="IZ29" s="529">
        <f t="shared" si="51"/>
        <v>0</v>
      </c>
      <c r="JA29" s="529">
        <f t="shared" si="52"/>
        <v>0</v>
      </c>
      <c r="JB29" s="529">
        <f t="shared" si="53"/>
        <v>0</v>
      </c>
      <c r="JC29" s="529">
        <f t="shared" si="231"/>
        <v>0</v>
      </c>
      <c r="JD29" s="529">
        <f t="shared" si="232"/>
        <v>0</v>
      </c>
      <c r="JE29" s="529">
        <f t="shared" si="55"/>
        <v>0</v>
      </c>
      <c r="JF29" s="529">
        <f t="shared" si="56"/>
        <v>0</v>
      </c>
      <c r="JG29" s="529">
        <f t="shared" si="57"/>
        <v>0</v>
      </c>
      <c r="JH29" s="529">
        <f t="shared" si="58"/>
        <v>0</v>
      </c>
      <c r="JI29" s="480">
        <f t="shared" si="59"/>
        <v>0</v>
      </c>
      <c r="JJ29" s="884">
        <f t="shared" si="233"/>
        <v>2.9254500000000003E-2</v>
      </c>
      <c r="JK29" s="884">
        <f t="shared" si="234"/>
        <v>2.3935500000000002E-2</v>
      </c>
      <c r="JL29" s="529">
        <f t="shared" si="61"/>
        <v>4.7871000000000004E-2</v>
      </c>
      <c r="JM29" s="529">
        <f t="shared" si="62"/>
        <v>2.3935500000000002E-2</v>
      </c>
      <c r="JN29" s="529">
        <f t="shared" si="63"/>
        <v>2.2472775</v>
      </c>
      <c r="JO29" s="529">
        <f t="shared" si="64"/>
        <v>2.6595E-3</v>
      </c>
      <c r="JP29" s="529">
        <f t="shared" si="65"/>
        <v>2.6595E-3</v>
      </c>
      <c r="JQ29" s="529">
        <f t="shared" si="235"/>
        <v>8.7763500000000008E-2</v>
      </c>
      <c r="JR29" s="529">
        <f t="shared" si="236"/>
        <v>0.10903949999999998</v>
      </c>
      <c r="JS29" s="474">
        <f t="shared" si="67"/>
        <v>0.138294</v>
      </c>
      <c r="JT29" s="474">
        <f t="shared" si="68"/>
        <v>0.10903949999999998</v>
      </c>
      <c r="JU29" s="474">
        <f t="shared" si="69"/>
        <v>2.2525965000000001</v>
      </c>
      <c r="JV29" s="474">
        <f t="shared" si="70"/>
        <v>2.6595000000000001E-2</v>
      </c>
      <c r="JW29" s="134">
        <f t="shared" si="71"/>
        <v>2.6595000000000001E-2</v>
      </c>
      <c r="JX29" s="884">
        <f t="shared" si="237"/>
        <v>0</v>
      </c>
      <c r="JY29" s="884">
        <f t="shared" si="238"/>
        <v>0</v>
      </c>
      <c r="JZ29" s="529">
        <f t="shared" si="73"/>
        <v>0</v>
      </c>
      <c r="KA29" s="529">
        <f t="shared" si="74"/>
        <v>0</v>
      </c>
      <c r="KB29" s="529">
        <f t="shared" si="75"/>
        <v>0</v>
      </c>
      <c r="KC29" s="529">
        <f t="shared" si="76"/>
        <v>0</v>
      </c>
      <c r="KD29" s="529">
        <f t="shared" si="77"/>
        <v>0</v>
      </c>
      <c r="KE29" s="529">
        <f t="shared" si="239"/>
        <v>0</v>
      </c>
      <c r="KF29" s="529">
        <f t="shared" si="240"/>
        <v>0</v>
      </c>
      <c r="KG29" s="529">
        <f t="shared" si="79"/>
        <v>0</v>
      </c>
      <c r="KH29" s="529">
        <f t="shared" si="80"/>
        <v>0</v>
      </c>
      <c r="KI29" s="529">
        <f t="shared" si="81"/>
        <v>0</v>
      </c>
      <c r="KJ29" s="529">
        <f t="shared" si="82"/>
        <v>0</v>
      </c>
      <c r="KK29" s="526">
        <f t="shared" si="83"/>
        <v>0</v>
      </c>
      <c r="KL29" s="884">
        <f t="shared" si="241"/>
        <v>4.8486652087500005E-2</v>
      </c>
      <c r="KM29" s="884">
        <f t="shared" si="242"/>
        <v>3.9670897162500003E-2</v>
      </c>
      <c r="KN29" s="529">
        <f t="shared" si="85"/>
        <v>7.9341794325000006E-2</v>
      </c>
      <c r="KO29" s="529">
        <f t="shared" si="86"/>
        <v>3.9670897162500003E-2</v>
      </c>
      <c r="KP29" s="529">
        <f t="shared" si="87"/>
        <v>3.7246564558125002</v>
      </c>
      <c r="KQ29" s="529">
        <f t="shared" si="88"/>
        <v>4.4078774625000003E-3</v>
      </c>
      <c r="KR29" s="529">
        <f t="shared" si="89"/>
        <v>4.4078774625000003E-3</v>
      </c>
      <c r="KS29" s="529">
        <f t="shared" si="243"/>
        <v>0.74371521262500007</v>
      </c>
      <c r="KT29" s="529">
        <f t="shared" si="244"/>
        <v>0.9240098096249999</v>
      </c>
      <c r="KU29" s="529">
        <f t="shared" si="91"/>
        <v>1.1719148805000001</v>
      </c>
      <c r="KV29" s="529">
        <f t="shared" si="92"/>
        <v>0.9240098096249999</v>
      </c>
      <c r="KW29" s="529">
        <f t="shared" si="93"/>
        <v>19.088690457375002</v>
      </c>
      <c r="KX29" s="529">
        <f t="shared" si="94"/>
        <v>0.22536824625000001</v>
      </c>
      <c r="KY29" s="480">
        <f t="shared" si="95"/>
        <v>0.22536824625000001</v>
      </c>
      <c r="KZ29" s="884">
        <f t="shared" si="245"/>
        <v>4.8757500000000009E-2</v>
      </c>
      <c r="LA29" s="884">
        <f t="shared" si="246"/>
        <v>3.9892500000000004E-2</v>
      </c>
      <c r="LB29" s="529">
        <f t="shared" si="97"/>
        <v>7.9785000000000009E-2</v>
      </c>
      <c r="LC29" s="529">
        <f t="shared" si="98"/>
        <v>3.9892500000000004E-2</v>
      </c>
      <c r="LD29" s="529">
        <f t="shared" si="99"/>
        <v>3.7454624999999999</v>
      </c>
      <c r="LE29" s="529">
        <f t="shared" si="100"/>
        <v>4.4324999999999998E-3</v>
      </c>
      <c r="LF29" s="529">
        <f t="shared" si="101"/>
        <v>4.4324999999999998E-3</v>
      </c>
      <c r="LG29" s="529">
        <f t="shared" si="247"/>
        <v>0.1462725</v>
      </c>
      <c r="LH29" s="529">
        <f t="shared" si="248"/>
        <v>0.18173249999999999</v>
      </c>
      <c r="LI29" s="355">
        <f t="shared" si="103"/>
        <v>0.23049000000000003</v>
      </c>
      <c r="LJ29" s="355">
        <f t="shared" si="104"/>
        <v>0.18173249999999999</v>
      </c>
      <c r="LK29" s="355">
        <f t="shared" si="105"/>
        <v>3.7543275</v>
      </c>
      <c r="LL29" s="355">
        <f t="shared" si="106"/>
        <v>4.4325000000000003E-2</v>
      </c>
      <c r="LM29" s="134">
        <f t="shared" si="107"/>
        <v>4.4325000000000003E-2</v>
      </c>
      <c r="LN29" s="884">
        <f t="shared" si="249"/>
        <v>1.4432247568675581E-3</v>
      </c>
      <c r="LO29" s="884">
        <f t="shared" si="250"/>
        <v>3.9360675187297031E-4</v>
      </c>
      <c r="LP29" s="529">
        <f t="shared" si="109"/>
        <v>6.6913147818404963E-3</v>
      </c>
      <c r="LQ29" s="529">
        <f t="shared" si="110"/>
        <v>1.075858455119452E-2</v>
      </c>
      <c r="LR29" s="529">
        <f t="shared" si="111"/>
        <v>1.0496180049945876</v>
      </c>
      <c r="LS29" s="529">
        <f t="shared" si="112"/>
        <v>1.1414595804316139E-2</v>
      </c>
      <c r="LT29" s="529">
        <f t="shared" si="113"/>
        <v>1.3120225062432345E-3</v>
      </c>
      <c r="LU29" s="529">
        <f t="shared" si="251"/>
        <v>2.4430025256037502</v>
      </c>
      <c r="LV29" s="529">
        <f t="shared" si="252"/>
        <v>1.2215012628018751</v>
      </c>
      <c r="LW29" s="529">
        <f t="shared" si="115"/>
        <v>2.8501696132043755</v>
      </c>
      <c r="LX29" s="529">
        <f t="shared" si="116"/>
        <v>2.4430025256037502</v>
      </c>
      <c r="LY29" s="529">
        <f t="shared" si="117"/>
        <v>40.268824963701817</v>
      </c>
      <c r="LZ29" s="529">
        <f t="shared" si="118"/>
        <v>0.40716708760062503</v>
      </c>
      <c r="MA29" s="485">
        <f t="shared" si="119"/>
        <v>0.40716708760062503</v>
      </c>
      <c r="MB29" s="884">
        <f t="shared" si="253"/>
        <v>2.9254499999999996E-4</v>
      </c>
      <c r="MC29" s="884">
        <f t="shared" si="254"/>
        <v>7.9784999999999982E-5</v>
      </c>
      <c r="MD29" s="529">
        <f t="shared" si="121"/>
        <v>1.3563449999999999E-3</v>
      </c>
      <c r="ME29" s="529">
        <f t="shared" si="122"/>
        <v>2.1807899999999993E-3</v>
      </c>
      <c r="MF29" s="529">
        <f t="shared" si="123"/>
        <v>0.21275999999999998</v>
      </c>
      <c r="MG29" s="529">
        <f t="shared" si="124"/>
        <v>2.3137649999999997E-3</v>
      </c>
      <c r="MH29" s="529">
        <f t="shared" si="125"/>
        <v>2.6594999999999999E-4</v>
      </c>
      <c r="MI29" s="529">
        <f t="shared" si="255"/>
        <v>1.5956999999999999E-2</v>
      </c>
      <c r="MJ29" s="529">
        <f t="shared" si="256"/>
        <v>7.9784999999999995E-3</v>
      </c>
      <c r="MK29" s="529">
        <f t="shared" si="127"/>
        <v>1.8616499999999998E-2</v>
      </c>
      <c r="ML29" s="529">
        <f t="shared" si="128"/>
        <v>1.5956999999999999E-2</v>
      </c>
      <c r="MM29" s="529">
        <f t="shared" si="129"/>
        <v>0.26302454999999997</v>
      </c>
      <c r="MN29" s="529">
        <f t="shared" si="130"/>
        <v>2.6594999999999995E-3</v>
      </c>
      <c r="MO29" s="485">
        <f t="shared" si="131"/>
        <v>2.6594999999999995E-3</v>
      </c>
      <c r="MP29" s="884">
        <f t="shared" si="257"/>
        <v>1.0726650000000002E-3</v>
      </c>
      <c r="MQ29" s="884">
        <f t="shared" si="258"/>
        <v>2.9254500000000001E-4</v>
      </c>
      <c r="MR29" s="529">
        <f t="shared" si="133"/>
        <v>4.973265000000001E-3</v>
      </c>
      <c r="MS29" s="529">
        <f t="shared" si="134"/>
        <v>7.99623E-3</v>
      </c>
      <c r="MT29" s="529">
        <f t="shared" si="135"/>
        <v>0.78012000000000015</v>
      </c>
      <c r="MU29" s="529">
        <f t="shared" si="136"/>
        <v>8.4838050000000005E-3</v>
      </c>
      <c r="MV29" s="529">
        <f t="shared" si="137"/>
        <v>9.7515000000000004E-4</v>
      </c>
      <c r="MW29" s="529">
        <f t="shared" si="259"/>
        <v>0.23403600000000002</v>
      </c>
      <c r="MX29" s="529">
        <f t="shared" si="260"/>
        <v>0.11701800000000001</v>
      </c>
      <c r="MY29" s="474">
        <f t="shared" si="139"/>
        <v>0.27304200000000006</v>
      </c>
      <c r="MZ29" s="474">
        <f t="shared" si="140"/>
        <v>0.23403600000000002</v>
      </c>
      <c r="NA29" s="474">
        <f t="shared" si="141"/>
        <v>3.8576934000000005</v>
      </c>
      <c r="NB29" s="474">
        <f t="shared" si="142"/>
        <v>3.9006000000000006E-2</v>
      </c>
      <c r="NC29" s="134">
        <f t="shared" si="143"/>
        <v>3.9006000000000006E-2</v>
      </c>
    </row>
    <row r="30" spans="1:367" x14ac:dyDescent="0.25">
      <c r="A30" s="18">
        <v>1975</v>
      </c>
      <c r="B30" s="1271">
        <v>476</v>
      </c>
      <c r="C30" s="1224"/>
      <c r="D30" s="1224">
        <v>0</v>
      </c>
      <c r="E30" s="1272"/>
      <c r="F30" s="1226">
        <f t="shared" si="144"/>
        <v>468.86</v>
      </c>
      <c r="G30" s="1226"/>
      <c r="H30" s="1224">
        <f t="shared" si="145"/>
        <v>0</v>
      </c>
      <c r="I30" s="1224"/>
      <c r="J30" s="1082">
        <v>0</v>
      </c>
      <c r="K30" s="1082">
        <f t="shared" si="0"/>
        <v>0</v>
      </c>
      <c r="L30" s="1226">
        <f t="shared" si="1"/>
        <v>468.86</v>
      </c>
      <c r="M30" s="1227"/>
      <c r="N30" s="193">
        <v>8.0999999999999996E-3</v>
      </c>
      <c r="O30" s="47">
        <v>0</v>
      </c>
      <c r="P30" s="47">
        <v>6.0000000000000001E-3</v>
      </c>
      <c r="Q30" s="192">
        <v>0</v>
      </c>
      <c r="R30" s="47">
        <v>0</v>
      </c>
      <c r="S30" s="47">
        <f t="shared" si="146"/>
        <v>5.4000000000000003E-3</v>
      </c>
      <c r="T30" s="47">
        <v>0.01</v>
      </c>
      <c r="U30" s="47">
        <v>1.8E-3</v>
      </c>
      <c r="V30" s="117">
        <v>4.0000000000000003E-5</v>
      </c>
      <c r="W30" s="47">
        <v>5.9999999999999995E-4</v>
      </c>
      <c r="X30" s="52">
        <v>1.0999999999999999E-2</v>
      </c>
      <c r="Y30" s="52">
        <v>2.0199999999999999E-2</v>
      </c>
      <c r="Z30" s="111">
        <v>6.3E-2</v>
      </c>
      <c r="AA30" s="52">
        <f t="shared" si="147"/>
        <v>0.1</v>
      </c>
      <c r="AB30" s="52">
        <f t="shared" si="148"/>
        <v>0</v>
      </c>
      <c r="AC30" s="52">
        <f t="shared" si="149"/>
        <v>0.9</v>
      </c>
      <c r="AD30" s="475">
        <f t="shared" si="150"/>
        <v>3.7977659999999998</v>
      </c>
      <c r="AE30" s="474">
        <f t="shared" si="151"/>
        <v>3.7977659999999998</v>
      </c>
      <c r="AF30" s="474">
        <f t="shared" si="152"/>
        <v>0</v>
      </c>
      <c r="AG30" s="474">
        <f t="shared" si="151"/>
        <v>0</v>
      </c>
      <c r="AH30" s="474">
        <f t="shared" si="153"/>
        <v>2.8131600000000003</v>
      </c>
      <c r="AI30" s="474">
        <f t="shared" ref="AI30" si="509">AH30</f>
        <v>2.8131600000000003</v>
      </c>
      <c r="AJ30" s="508"/>
      <c r="AK30" s="508"/>
      <c r="AL30" s="508"/>
      <c r="AM30" s="508"/>
      <c r="AN30" s="508"/>
      <c r="AO30" s="572"/>
      <c r="AP30" s="481">
        <f t="shared" si="155"/>
        <v>3.7977659999999998</v>
      </c>
      <c r="AQ30" s="474">
        <f t="shared" ref="AQ30" si="510">AP30</f>
        <v>3.7977659999999998</v>
      </c>
      <c r="AR30" s="474">
        <f t="shared" si="157"/>
        <v>0</v>
      </c>
      <c r="AS30" s="474">
        <f t="shared" ref="AS30" si="511">AR30</f>
        <v>0</v>
      </c>
      <c r="AT30" s="474">
        <f t="shared" si="159"/>
        <v>2.8131600000000003</v>
      </c>
      <c r="AU30" s="474">
        <f t="shared" ref="AU30" si="512">AT30</f>
        <v>2.8131600000000003</v>
      </c>
      <c r="AV30" s="475">
        <f t="shared" si="2"/>
        <v>0</v>
      </c>
      <c r="AW30" s="474">
        <f t="shared" ref="AW30" si="513">AV30</f>
        <v>0</v>
      </c>
      <c r="AX30" s="474">
        <f t="shared" si="3"/>
        <v>2.5318440000000004</v>
      </c>
      <c r="AY30" s="474">
        <f t="shared" ref="AY30" si="514">AX30</f>
        <v>2.5318440000000004</v>
      </c>
      <c r="AZ30" s="474">
        <f t="shared" si="4"/>
        <v>4.6886000000000001</v>
      </c>
      <c r="BA30" s="474">
        <f t="shared" ref="BA30" si="515">AZ30</f>
        <v>4.6886000000000001</v>
      </c>
      <c r="BB30" s="481"/>
      <c r="BC30" s="474"/>
      <c r="BD30" s="474"/>
      <c r="BE30" s="474"/>
      <c r="BF30" s="474"/>
      <c r="BG30" s="474"/>
      <c r="BH30" s="481">
        <f t="shared" si="5"/>
        <v>0</v>
      </c>
      <c r="BI30" s="474">
        <f t="shared" ref="BI30" si="516">BH30</f>
        <v>0</v>
      </c>
      <c r="BJ30" s="474">
        <f t="shared" si="6"/>
        <v>2.5318440000000004</v>
      </c>
      <c r="BK30" s="474">
        <f t="shared" ref="BK30" si="517">BJ30</f>
        <v>2.5318440000000004</v>
      </c>
      <c r="BL30" s="474">
        <f t="shared" si="7"/>
        <v>4.6886000000000001</v>
      </c>
      <c r="BM30" s="474">
        <f t="shared" ref="BM30" si="518">BL30</f>
        <v>4.6886000000000001</v>
      </c>
      <c r="BN30" s="475">
        <f t="shared" si="8"/>
        <v>1.8754400000000001E-2</v>
      </c>
      <c r="BO30" s="474">
        <f t="shared" ref="BO30" si="519">BN30</f>
        <v>1.8754400000000001E-2</v>
      </c>
      <c r="BP30" s="474">
        <f t="shared" si="9"/>
        <v>0.28131600000000001</v>
      </c>
      <c r="BQ30" s="474">
        <f t="shared" ref="BQ30" si="520">BP30</f>
        <v>0.28131600000000001</v>
      </c>
      <c r="BR30" s="474">
        <f t="shared" si="10"/>
        <v>5.1574599999999995</v>
      </c>
      <c r="BS30" s="474">
        <f t="shared" ref="BS30" si="521">BR30</f>
        <v>5.1574599999999995</v>
      </c>
      <c r="BT30" s="481"/>
      <c r="BU30" s="474"/>
      <c r="BV30" s="474"/>
      <c r="BW30" s="474"/>
      <c r="BX30" s="474"/>
      <c r="BY30" s="474"/>
      <c r="BZ30" s="481">
        <f t="shared" si="11"/>
        <v>1.8754400000000001E-2</v>
      </c>
      <c r="CA30" s="474">
        <f t="shared" ref="CA30" si="522">BZ30</f>
        <v>1.8754400000000001E-2</v>
      </c>
      <c r="CB30" s="474">
        <f t="shared" si="12"/>
        <v>0.28131600000000001</v>
      </c>
      <c r="CC30" s="474">
        <f t="shared" ref="CC30" si="523">CB30</f>
        <v>0.28131600000000001</v>
      </c>
      <c r="CD30" s="474">
        <f t="shared" si="13"/>
        <v>5.1574599999999995</v>
      </c>
      <c r="CE30" s="526">
        <f t="shared" ref="CE30" si="524">CD30</f>
        <v>5.1574599999999995</v>
      </c>
      <c r="CF30" s="355">
        <f t="shared" si="173"/>
        <v>0</v>
      </c>
      <c r="CG30" s="615">
        <f t="shared" si="174"/>
        <v>0</v>
      </c>
      <c r="CH30" s="355">
        <f t="shared" si="175"/>
        <v>0</v>
      </c>
      <c r="CI30" s="615">
        <f t="shared" si="491"/>
        <v>0</v>
      </c>
      <c r="CJ30" s="615">
        <f t="shared" si="176"/>
        <v>0</v>
      </c>
      <c r="CK30" s="615">
        <f t="shared" si="492"/>
        <v>0</v>
      </c>
      <c r="CL30" s="122"/>
      <c r="CM30" s="1235">
        <f t="shared" si="16"/>
        <v>439.32182</v>
      </c>
      <c r="CN30" s="1231"/>
      <c r="CO30" s="1230"/>
      <c r="CP30" s="1231"/>
      <c r="CQ30" s="1230">
        <f t="shared" si="177"/>
        <v>439.32182</v>
      </c>
      <c r="CR30" s="1232"/>
      <c r="CS30" s="30">
        <v>0.45</v>
      </c>
      <c r="CT30" s="31">
        <f t="shared" si="178"/>
        <v>0.55000000000000004</v>
      </c>
      <c r="CU30" s="31"/>
      <c r="CV30" s="32"/>
      <c r="CW30" s="1233">
        <f t="shared" si="179"/>
        <v>187.81007805000002</v>
      </c>
      <c r="CX30" s="1234"/>
      <c r="CY30" s="1234">
        <f t="shared" si="180"/>
        <v>229.54565095000001</v>
      </c>
      <c r="CZ30" s="1231"/>
      <c r="DA30" s="369"/>
      <c r="DB30" s="369"/>
      <c r="DC30" s="369"/>
      <c r="DD30" s="373"/>
      <c r="DE30" s="1234">
        <f t="shared" si="17"/>
        <v>187.81007805000002</v>
      </c>
      <c r="DF30" s="1234"/>
      <c r="DG30" s="369">
        <f t="shared" si="341"/>
        <v>229.54565095000001</v>
      </c>
      <c r="DH30" s="372">
        <f t="shared" si="182"/>
        <v>229.54565095000001</v>
      </c>
      <c r="DJ30" s="493">
        <v>0.05</v>
      </c>
      <c r="DK30" s="379"/>
      <c r="DL30" s="1105">
        <f t="shared" si="18"/>
        <v>21.966091000000002</v>
      </c>
      <c r="DM30" s="1105">
        <f t="shared" si="19"/>
        <v>21.966091000000002</v>
      </c>
      <c r="DN30" s="369"/>
      <c r="DO30" s="372"/>
      <c r="DP30" s="30">
        <v>1</v>
      </c>
      <c r="DQ30" s="31">
        <f t="shared" si="183"/>
        <v>0.1</v>
      </c>
      <c r="DR30" s="31">
        <f t="shared" si="184"/>
        <v>1</v>
      </c>
      <c r="DS30" s="680">
        <f t="shared" si="185"/>
        <v>0.1</v>
      </c>
      <c r="DT30" s="77">
        <f t="shared" si="186"/>
        <v>1</v>
      </c>
      <c r="DU30" s="31">
        <v>0</v>
      </c>
      <c r="DV30" s="31">
        <v>1</v>
      </c>
      <c r="DW30" s="31">
        <v>0</v>
      </c>
      <c r="DX30" s="31">
        <v>0</v>
      </c>
      <c r="DY30" s="31">
        <v>1</v>
      </c>
      <c r="DZ30" s="31">
        <v>0</v>
      </c>
      <c r="EA30" s="383">
        <f t="shared" si="187"/>
        <v>0</v>
      </c>
      <c r="EB30" s="355">
        <f t="shared" si="188"/>
        <v>0</v>
      </c>
      <c r="EC30" s="355">
        <f t="shared" si="189"/>
        <v>2.1366176750000001</v>
      </c>
      <c r="ED30" s="355">
        <f t="shared" si="190"/>
        <v>21.366176750000001</v>
      </c>
      <c r="EE30" s="355">
        <f t="shared" si="191"/>
        <v>0</v>
      </c>
      <c r="EF30" s="355">
        <f t="shared" si="192"/>
        <v>0</v>
      </c>
      <c r="EG30" s="366"/>
      <c r="EH30" s="355"/>
      <c r="EI30" s="355"/>
      <c r="EJ30" s="355"/>
      <c r="EK30" s="355"/>
      <c r="EL30" s="356"/>
      <c r="EM30" s="355">
        <f t="shared" si="193"/>
        <v>2.1366176750000001</v>
      </c>
      <c r="EN30" s="134">
        <f t="shared" si="194"/>
        <v>21.366176750000001</v>
      </c>
      <c r="EP30" s="1171">
        <f t="shared" si="20"/>
        <v>1.8754400000000001E-2</v>
      </c>
      <c r="EQ30" s="1172"/>
      <c r="ER30" s="1172">
        <f t="shared" si="21"/>
        <v>0.28131600000000001</v>
      </c>
      <c r="ES30" s="1172"/>
      <c r="ET30" s="1172">
        <f t="shared" si="22"/>
        <v>5.1574599999999995</v>
      </c>
      <c r="EU30" s="1172"/>
      <c r="EV30" s="366"/>
      <c r="EW30" s="355"/>
      <c r="EX30" s="355"/>
      <c r="EY30" s="355"/>
      <c r="EZ30" s="1172"/>
      <c r="FA30" s="1173"/>
      <c r="FB30" s="368">
        <f t="shared" si="195"/>
        <v>187.81007805000002</v>
      </c>
      <c r="FC30" s="369">
        <f t="shared" si="196"/>
        <v>187.81007805000002</v>
      </c>
      <c r="FD30" s="369"/>
      <c r="FE30" s="61"/>
      <c r="FF30" s="368">
        <f t="shared" si="197"/>
        <v>229.54565095000001</v>
      </c>
      <c r="FG30" s="369">
        <f t="shared" si="426"/>
        <v>229.54565095000001</v>
      </c>
      <c r="FH30" s="369"/>
      <c r="FI30" s="369"/>
      <c r="FJ30" s="30">
        <v>1</v>
      </c>
      <c r="FK30" s="31">
        <v>0.2</v>
      </c>
      <c r="FL30" s="501">
        <v>0.8</v>
      </c>
      <c r="FM30" s="31">
        <f t="shared" si="198"/>
        <v>0.1</v>
      </c>
      <c r="FN30" s="501">
        <f t="shared" si="199"/>
        <v>1</v>
      </c>
      <c r="FO30" s="31">
        <f t="shared" si="200"/>
        <v>0.1</v>
      </c>
      <c r="FP30" s="31">
        <f t="shared" si="201"/>
        <v>1</v>
      </c>
      <c r="FQ30" s="31">
        <v>1</v>
      </c>
      <c r="FR30" s="31">
        <v>0</v>
      </c>
      <c r="FS30" s="89">
        <f t="shared" si="202"/>
        <v>1E-3</v>
      </c>
      <c r="FT30" s="31">
        <f t="shared" si="203"/>
        <v>0.05</v>
      </c>
      <c r="FU30" s="30">
        <v>0.05</v>
      </c>
      <c r="FV30" s="32">
        <f t="shared" si="25"/>
        <v>2.4224999999999997E-2</v>
      </c>
      <c r="FW30" s="31">
        <v>0.1</v>
      </c>
      <c r="FX30" s="77">
        <f t="shared" si="26"/>
        <v>9.0000000000000011E-2</v>
      </c>
      <c r="FY30" s="30"/>
      <c r="FZ30" s="32"/>
      <c r="GA30" s="31"/>
      <c r="GB30" s="77"/>
      <c r="GC30" s="378">
        <f t="shared" si="27"/>
        <v>1.8754400000000001E-2</v>
      </c>
      <c r="GD30" s="379">
        <f t="shared" si="204"/>
        <v>1.8754400000000001E-2</v>
      </c>
      <c r="GE30" s="379">
        <f t="shared" si="28"/>
        <v>0.28131600000000001</v>
      </c>
      <c r="GF30" s="379">
        <f t="shared" si="205"/>
        <v>0.28131600000000001</v>
      </c>
      <c r="GG30" s="379">
        <f t="shared" si="206"/>
        <v>1.0314919999999999</v>
      </c>
      <c r="GH30" s="218">
        <f t="shared" si="207"/>
        <v>4.1259679999999994</v>
      </c>
      <c r="GI30" s="379"/>
      <c r="GJ30" s="379"/>
      <c r="GK30" s="379"/>
      <c r="GL30" s="379"/>
      <c r="GM30" s="379"/>
      <c r="GN30" s="218"/>
      <c r="GO30" s="379">
        <f t="shared" si="208"/>
        <v>1.3315623999999999</v>
      </c>
      <c r="GP30" s="515">
        <f t="shared" si="209"/>
        <v>4.4260383999999995</v>
      </c>
      <c r="GQ30" s="379">
        <f t="shared" si="210"/>
        <v>1.3559483212247812</v>
      </c>
      <c r="GR30" s="379">
        <f t="shared" si="211"/>
        <v>34.709354130375004</v>
      </c>
      <c r="GS30" s="355">
        <f t="shared" si="390"/>
        <v>1.7225568596499999E-2</v>
      </c>
      <c r="GT30" s="355">
        <f t="shared" si="391"/>
        <v>8.6127842982500002</v>
      </c>
      <c r="GU30" s="355">
        <f t="shared" si="392"/>
        <v>0</v>
      </c>
      <c r="GV30" s="356">
        <f t="shared" si="393"/>
        <v>0</v>
      </c>
      <c r="GW30" s="355"/>
      <c r="GX30" s="355"/>
      <c r="GY30" s="355"/>
      <c r="GZ30" s="355"/>
      <c r="HA30" s="355"/>
      <c r="HB30" s="356"/>
      <c r="HC30" s="379">
        <f t="shared" si="212"/>
        <v>1.3731738898212811</v>
      </c>
      <c r="HD30" s="38">
        <f t="shared" si="213"/>
        <v>43.322138428625003</v>
      </c>
      <c r="HE30" s="527"/>
      <c r="HF30" s="529">
        <f t="shared" si="29"/>
        <v>3.7977659999999998</v>
      </c>
      <c r="HG30" s="529">
        <f t="shared" si="30"/>
        <v>3.7977659999999998</v>
      </c>
      <c r="HH30" s="529">
        <f t="shared" si="31"/>
        <v>0</v>
      </c>
      <c r="HI30" s="529">
        <f t="shared" si="32"/>
        <v>0</v>
      </c>
      <c r="HJ30" s="529">
        <f t="shared" si="33"/>
        <v>2.8131600000000003</v>
      </c>
      <c r="HK30" s="524">
        <f t="shared" si="34"/>
        <v>2.8131600000000003</v>
      </c>
      <c r="HL30" s="529">
        <f t="shared" si="35"/>
        <v>0</v>
      </c>
      <c r="HM30" s="529">
        <f t="shared" si="36"/>
        <v>0</v>
      </c>
      <c r="HN30" s="529">
        <f t="shared" si="37"/>
        <v>4.6684616750000005</v>
      </c>
      <c r="HO30" s="529">
        <f t="shared" si="38"/>
        <v>23.898020750000001</v>
      </c>
      <c r="HP30" s="529">
        <f t="shared" si="39"/>
        <v>4.6886000000000001</v>
      </c>
      <c r="HQ30" s="524">
        <f t="shared" si="40"/>
        <v>4.6886000000000001</v>
      </c>
      <c r="HR30" s="615">
        <f t="shared" si="214"/>
        <v>1.391928289821281</v>
      </c>
      <c r="HS30" s="615">
        <f t="shared" si="41"/>
        <v>43.340892828625002</v>
      </c>
      <c r="HT30" s="615">
        <f t="shared" si="42"/>
        <v>0.28131600000000001</v>
      </c>
      <c r="HU30" s="615">
        <f t="shared" si="43"/>
        <v>0.28131600000000001</v>
      </c>
      <c r="HV30" s="615">
        <f t="shared" si="44"/>
        <v>1.0314919999999999</v>
      </c>
      <c r="HW30" s="615">
        <f t="shared" si="45"/>
        <v>4.1259679999999994</v>
      </c>
      <c r="HZ30" s="220"/>
      <c r="IA30" s="220"/>
      <c r="IB30" s="220"/>
      <c r="IC30" s="220"/>
      <c r="ID30" s="220"/>
      <c r="IE30" s="220"/>
      <c r="IF30" s="220"/>
      <c r="IG30" s="560"/>
      <c r="IH30" s="529">
        <f t="shared" si="215"/>
        <v>4.1775426000000004E-2</v>
      </c>
      <c r="II30" s="529">
        <f t="shared" si="216"/>
        <v>3.4179894000000002E-2</v>
      </c>
      <c r="IJ30" s="529">
        <f t="shared" si="217"/>
        <v>6.8359788000000005E-2</v>
      </c>
      <c r="IK30" s="529">
        <f t="shared" si="218"/>
        <v>3.4179894000000002E-2</v>
      </c>
      <c r="IL30" s="529">
        <f t="shared" si="219"/>
        <v>3.2091122699999999</v>
      </c>
      <c r="IM30" s="529">
        <f t="shared" si="220"/>
        <v>3.7977659999999997E-3</v>
      </c>
      <c r="IN30" s="529">
        <f t="shared" si="221"/>
        <v>3.7977659999999997E-3</v>
      </c>
      <c r="IO30" s="529">
        <f t="shared" si="222"/>
        <v>0.12532627799999999</v>
      </c>
      <c r="IP30" s="529">
        <f t="shared" si="223"/>
        <v>0.15570840599999997</v>
      </c>
      <c r="IQ30" s="529">
        <f t="shared" si="224"/>
        <v>0.197483832</v>
      </c>
      <c r="IR30" s="529">
        <f t="shared" si="225"/>
        <v>0.15570840599999997</v>
      </c>
      <c r="IS30" s="529">
        <f t="shared" si="226"/>
        <v>3.2167078019999997</v>
      </c>
      <c r="IT30" s="529">
        <f t="shared" si="227"/>
        <v>3.7977659999999996E-2</v>
      </c>
      <c r="IU30" s="526">
        <f t="shared" si="228"/>
        <v>3.7977659999999996E-2</v>
      </c>
      <c r="IV30" s="884">
        <f t="shared" si="229"/>
        <v>0</v>
      </c>
      <c r="IW30" s="884">
        <f t="shared" si="230"/>
        <v>0</v>
      </c>
      <c r="IX30" s="529">
        <f t="shared" si="49"/>
        <v>0</v>
      </c>
      <c r="IY30" s="529">
        <f t="shared" si="50"/>
        <v>0</v>
      </c>
      <c r="IZ30" s="529">
        <f t="shared" si="51"/>
        <v>0</v>
      </c>
      <c r="JA30" s="529">
        <f t="shared" si="52"/>
        <v>0</v>
      </c>
      <c r="JB30" s="529">
        <f t="shared" si="53"/>
        <v>0</v>
      </c>
      <c r="JC30" s="529">
        <f t="shared" si="231"/>
        <v>0</v>
      </c>
      <c r="JD30" s="529">
        <f t="shared" si="232"/>
        <v>0</v>
      </c>
      <c r="JE30" s="529">
        <f t="shared" si="55"/>
        <v>0</v>
      </c>
      <c r="JF30" s="529">
        <f t="shared" si="56"/>
        <v>0</v>
      </c>
      <c r="JG30" s="529">
        <f t="shared" si="57"/>
        <v>0</v>
      </c>
      <c r="JH30" s="529">
        <f t="shared" si="58"/>
        <v>0</v>
      </c>
      <c r="JI30" s="480">
        <f t="shared" si="59"/>
        <v>0</v>
      </c>
      <c r="JJ30" s="884">
        <f t="shared" si="233"/>
        <v>3.0944760000000005E-2</v>
      </c>
      <c r="JK30" s="884">
        <f t="shared" si="234"/>
        <v>2.5318440000000005E-2</v>
      </c>
      <c r="JL30" s="529">
        <f t="shared" si="61"/>
        <v>5.0636880000000009E-2</v>
      </c>
      <c r="JM30" s="529">
        <f t="shared" si="62"/>
        <v>2.5318440000000005E-2</v>
      </c>
      <c r="JN30" s="529">
        <f t="shared" si="63"/>
        <v>2.3771202000000002</v>
      </c>
      <c r="JO30" s="529">
        <f t="shared" si="64"/>
        <v>2.8131600000000003E-3</v>
      </c>
      <c r="JP30" s="529">
        <f t="shared" si="65"/>
        <v>2.8131600000000003E-3</v>
      </c>
      <c r="JQ30" s="529">
        <f t="shared" si="235"/>
        <v>9.2834280000000019E-2</v>
      </c>
      <c r="JR30" s="529">
        <f t="shared" si="236"/>
        <v>0.11533955999999999</v>
      </c>
      <c r="JS30" s="474">
        <f t="shared" si="67"/>
        <v>0.14628432000000002</v>
      </c>
      <c r="JT30" s="474">
        <f t="shared" si="68"/>
        <v>0.11533955999999999</v>
      </c>
      <c r="JU30" s="474">
        <f t="shared" si="69"/>
        <v>2.3827465200000004</v>
      </c>
      <c r="JV30" s="474">
        <f t="shared" si="70"/>
        <v>2.8131600000000003E-2</v>
      </c>
      <c r="JW30" s="134">
        <f t="shared" si="71"/>
        <v>2.8131600000000003E-2</v>
      </c>
      <c r="JX30" s="884">
        <f t="shared" si="237"/>
        <v>0</v>
      </c>
      <c r="JY30" s="884">
        <f t="shared" si="238"/>
        <v>0</v>
      </c>
      <c r="JZ30" s="529">
        <f t="shared" si="73"/>
        <v>0</v>
      </c>
      <c r="KA30" s="529">
        <f t="shared" si="74"/>
        <v>0</v>
      </c>
      <c r="KB30" s="529">
        <f t="shared" si="75"/>
        <v>0</v>
      </c>
      <c r="KC30" s="529">
        <f t="shared" si="76"/>
        <v>0</v>
      </c>
      <c r="KD30" s="529">
        <f t="shared" si="77"/>
        <v>0</v>
      </c>
      <c r="KE30" s="529">
        <f t="shared" si="239"/>
        <v>0</v>
      </c>
      <c r="KF30" s="529">
        <f t="shared" si="240"/>
        <v>0</v>
      </c>
      <c r="KG30" s="529">
        <f t="shared" si="79"/>
        <v>0</v>
      </c>
      <c r="KH30" s="529">
        <f t="shared" si="80"/>
        <v>0</v>
      </c>
      <c r="KI30" s="529">
        <f t="shared" si="81"/>
        <v>0</v>
      </c>
      <c r="KJ30" s="529">
        <f t="shared" si="82"/>
        <v>0</v>
      </c>
      <c r="KK30" s="526">
        <f t="shared" si="83"/>
        <v>0</v>
      </c>
      <c r="KL30" s="884">
        <f t="shared" si="241"/>
        <v>5.1353078425000011E-2</v>
      </c>
      <c r="KM30" s="884">
        <f t="shared" si="242"/>
        <v>4.2016155075000013E-2</v>
      </c>
      <c r="KN30" s="529">
        <f t="shared" si="85"/>
        <v>8.4032310150000025E-2</v>
      </c>
      <c r="KO30" s="529">
        <f t="shared" si="86"/>
        <v>4.2016155075000013E-2</v>
      </c>
      <c r="KP30" s="529">
        <f t="shared" si="87"/>
        <v>3.9448501153750004</v>
      </c>
      <c r="KQ30" s="529">
        <f t="shared" si="88"/>
        <v>4.6684616750000008E-3</v>
      </c>
      <c r="KR30" s="529">
        <f t="shared" si="89"/>
        <v>4.6684616750000008E-3</v>
      </c>
      <c r="KS30" s="529">
        <f t="shared" si="243"/>
        <v>0.78863468475000009</v>
      </c>
      <c r="KT30" s="529">
        <f t="shared" si="244"/>
        <v>0.97981885074999986</v>
      </c>
      <c r="KU30" s="529">
        <f t="shared" si="91"/>
        <v>1.242697079</v>
      </c>
      <c r="KV30" s="529">
        <f t="shared" si="92"/>
        <v>0.97981885074999986</v>
      </c>
      <c r="KW30" s="529">
        <f t="shared" si="93"/>
        <v>20.241623575249999</v>
      </c>
      <c r="KX30" s="529">
        <f t="shared" si="94"/>
        <v>0.23898020750000001</v>
      </c>
      <c r="KY30" s="480">
        <f t="shared" si="95"/>
        <v>0.23898020750000001</v>
      </c>
      <c r="KZ30" s="884">
        <f t="shared" si="245"/>
        <v>5.1574600000000005E-2</v>
      </c>
      <c r="LA30" s="884">
        <f t="shared" si="246"/>
        <v>4.2197400000000003E-2</v>
      </c>
      <c r="LB30" s="529">
        <f t="shared" si="97"/>
        <v>8.4394800000000006E-2</v>
      </c>
      <c r="LC30" s="529">
        <f t="shared" si="98"/>
        <v>4.2197400000000003E-2</v>
      </c>
      <c r="LD30" s="529">
        <f t="shared" si="99"/>
        <v>3.9618669999999998</v>
      </c>
      <c r="LE30" s="529">
        <f t="shared" si="100"/>
        <v>4.6886000000000002E-3</v>
      </c>
      <c r="LF30" s="529">
        <f t="shared" si="101"/>
        <v>4.6886000000000002E-3</v>
      </c>
      <c r="LG30" s="529">
        <f t="shared" si="247"/>
        <v>0.15472380000000002</v>
      </c>
      <c r="LH30" s="529">
        <f t="shared" si="248"/>
        <v>0.19223259999999998</v>
      </c>
      <c r="LI30" s="355">
        <f t="shared" si="103"/>
        <v>0.24380720000000003</v>
      </c>
      <c r="LJ30" s="355">
        <f t="shared" si="104"/>
        <v>0.19223259999999998</v>
      </c>
      <c r="LK30" s="355">
        <f t="shared" si="105"/>
        <v>3.9712442000000001</v>
      </c>
      <c r="LL30" s="355">
        <f t="shared" si="106"/>
        <v>4.6886000000000004E-2</v>
      </c>
      <c r="LM30" s="134">
        <f t="shared" si="107"/>
        <v>4.6886000000000004E-2</v>
      </c>
      <c r="LN30" s="884">
        <f t="shared" si="249"/>
        <v>1.5311211188034093E-3</v>
      </c>
      <c r="LO30" s="884">
        <f t="shared" si="250"/>
        <v>4.1757848694638425E-4</v>
      </c>
      <c r="LP30" s="529">
        <f t="shared" si="109"/>
        <v>7.098834278088534E-3</v>
      </c>
      <c r="LQ30" s="529">
        <f t="shared" si="110"/>
        <v>1.1413811976534504E-2</v>
      </c>
      <c r="LR30" s="529">
        <f t="shared" si="111"/>
        <v>1.113542631857025</v>
      </c>
      <c r="LS30" s="529">
        <f t="shared" si="112"/>
        <v>1.2109776121445145E-2</v>
      </c>
      <c r="LT30" s="529">
        <f t="shared" si="113"/>
        <v>1.3919282898212811E-3</v>
      </c>
      <c r="LU30" s="529">
        <f t="shared" si="251"/>
        <v>2.6004535697175002</v>
      </c>
      <c r="LV30" s="529">
        <f t="shared" si="252"/>
        <v>1.3002267848587501</v>
      </c>
      <c r="LW30" s="529">
        <f t="shared" si="115"/>
        <v>3.0338624980037503</v>
      </c>
      <c r="LX30" s="529">
        <f t="shared" si="116"/>
        <v>2.6004535697175002</v>
      </c>
      <c r="LY30" s="529">
        <f t="shared" si="117"/>
        <v>42.86414300751013</v>
      </c>
      <c r="LZ30" s="529">
        <f t="shared" si="118"/>
        <v>0.43340892828625005</v>
      </c>
      <c r="MA30" s="485">
        <f t="shared" si="119"/>
        <v>0.43340892828625005</v>
      </c>
      <c r="MB30" s="884">
        <f t="shared" si="253"/>
        <v>3.0944760000000001E-4</v>
      </c>
      <c r="MC30" s="884">
        <f t="shared" si="254"/>
        <v>8.4394799999999994E-5</v>
      </c>
      <c r="MD30" s="529">
        <f t="shared" si="121"/>
        <v>1.4347116000000002E-3</v>
      </c>
      <c r="ME30" s="529">
        <f t="shared" si="122"/>
        <v>2.3067911999999999E-3</v>
      </c>
      <c r="MF30" s="529">
        <f t="shared" si="123"/>
        <v>0.22505280000000003</v>
      </c>
      <c r="MG30" s="529">
        <f t="shared" si="124"/>
        <v>2.4474492E-3</v>
      </c>
      <c r="MH30" s="529">
        <f t="shared" si="125"/>
        <v>2.8131600000000004E-4</v>
      </c>
      <c r="MI30" s="529">
        <f t="shared" si="255"/>
        <v>1.6878959999999998E-2</v>
      </c>
      <c r="MJ30" s="529">
        <f t="shared" si="256"/>
        <v>8.4394799999999992E-3</v>
      </c>
      <c r="MK30" s="529">
        <f t="shared" si="127"/>
        <v>1.9692120000000004E-2</v>
      </c>
      <c r="ML30" s="529">
        <f t="shared" si="128"/>
        <v>1.6878959999999998E-2</v>
      </c>
      <c r="MM30" s="529">
        <f t="shared" si="129"/>
        <v>0.27822152400000005</v>
      </c>
      <c r="MN30" s="529">
        <f t="shared" si="130"/>
        <v>2.8131600000000003E-3</v>
      </c>
      <c r="MO30" s="485">
        <f t="shared" si="131"/>
        <v>2.8131600000000003E-3</v>
      </c>
      <c r="MP30" s="884">
        <f t="shared" si="257"/>
        <v>1.1346411999999999E-3</v>
      </c>
      <c r="MQ30" s="884">
        <f t="shared" si="258"/>
        <v>3.0944759999999995E-4</v>
      </c>
      <c r="MR30" s="529">
        <f t="shared" si="133"/>
        <v>5.2606091999999995E-3</v>
      </c>
      <c r="MS30" s="529">
        <f t="shared" si="134"/>
        <v>8.4582343999999969E-3</v>
      </c>
      <c r="MT30" s="529">
        <f t="shared" si="135"/>
        <v>0.82519359999999997</v>
      </c>
      <c r="MU30" s="529">
        <f t="shared" si="136"/>
        <v>8.9739803999999979E-3</v>
      </c>
      <c r="MV30" s="529">
        <f t="shared" si="137"/>
        <v>1.031492E-3</v>
      </c>
      <c r="MW30" s="529">
        <f t="shared" si="259"/>
        <v>0.24755807999999996</v>
      </c>
      <c r="MX30" s="529">
        <f t="shared" si="260"/>
        <v>0.12377903999999998</v>
      </c>
      <c r="MY30" s="474">
        <f t="shared" si="139"/>
        <v>0.28881775999999998</v>
      </c>
      <c r="MZ30" s="474">
        <f t="shared" si="140"/>
        <v>0.24755807999999996</v>
      </c>
      <c r="NA30" s="474">
        <f t="shared" si="141"/>
        <v>4.0805823519999995</v>
      </c>
      <c r="NB30" s="474">
        <f t="shared" si="142"/>
        <v>4.1259679999999993E-2</v>
      </c>
      <c r="NC30" s="134">
        <f t="shared" si="143"/>
        <v>4.1259679999999993E-2</v>
      </c>
    </row>
    <row r="31" spans="1:367" x14ac:dyDescent="0.25">
      <c r="A31" s="18">
        <v>1976</v>
      </c>
      <c r="B31" s="1271">
        <v>667</v>
      </c>
      <c r="C31" s="1224"/>
      <c r="D31" s="1224">
        <v>0</v>
      </c>
      <c r="E31" s="1272"/>
      <c r="F31" s="1226">
        <f t="shared" si="144"/>
        <v>656.995</v>
      </c>
      <c r="G31" s="1226"/>
      <c r="H31" s="1224">
        <f t="shared" si="145"/>
        <v>0</v>
      </c>
      <c r="I31" s="1224"/>
      <c r="J31" s="1082">
        <v>0</v>
      </c>
      <c r="K31" s="1082">
        <f t="shared" si="0"/>
        <v>0</v>
      </c>
      <c r="L31" s="1226">
        <f t="shared" si="1"/>
        <v>656.995</v>
      </c>
      <c r="M31" s="1227"/>
      <c r="N31" s="193">
        <v>8.0999999999999996E-3</v>
      </c>
      <c r="O31" s="47">
        <v>0</v>
      </c>
      <c r="P31" s="47">
        <v>6.0000000000000001E-3</v>
      </c>
      <c r="Q31" s="192">
        <v>0</v>
      </c>
      <c r="R31" s="47">
        <v>0</v>
      </c>
      <c r="S31" s="47">
        <f t="shared" si="146"/>
        <v>5.4000000000000003E-3</v>
      </c>
      <c r="T31" s="47">
        <v>0.01</v>
      </c>
      <c r="U31" s="47">
        <v>1.8E-3</v>
      </c>
      <c r="V31" s="117">
        <v>4.0000000000000003E-5</v>
      </c>
      <c r="W31" s="47">
        <v>5.9999999999999995E-4</v>
      </c>
      <c r="X31" s="52">
        <v>1.0999999999999999E-2</v>
      </c>
      <c r="Y31" s="52">
        <v>2.0199999999999999E-2</v>
      </c>
      <c r="Z31" s="111">
        <v>6.3E-2</v>
      </c>
      <c r="AA31" s="52">
        <f t="shared" si="147"/>
        <v>0.1</v>
      </c>
      <c r="AB31" s="52">
        <f t="shared" si="148"/>
        <v>0</v>
      </c>
      <c r="AC31" s="52">
        <f t="shared" si="149"/>
        <v>0.9</v>
      </c>
      <c r="AD31" s="475">
        <f t="shared" si="150"/>
        <v>5.3216595</v>
      </c>
      <c r="AE31" s="474">
        <f t="shared" si="151"/>
        <v>5.3216595</v>
      </c>
      <c r="AF31" s="474">
        <f t="shared" si="152"/>
        <v>0</v>
      </c>
      <c r="AG31" s="474">
        <f t="shared" si="151"/>
        <v>0</v>
      </c>
      <c r="AH31" s="474">
        <f t="shared" si="153"/>
        <v>3.94197</v>
      </c>
      <c r="AI31" s="474">
        <f t="shared" ref="AI31" si="525">AH31</f>
        <v>3.94197</v>
      </c>
      <c r="AJ31" s="508"/>
      <c r="AK31" s="508"/>
      <c r="AL31" s="508"/>
      <c r="AM31" s="508"/>
      <c r="AN31" s="508"/>
      <c r="AO31" s="572"/>
      <c r="AP31" s="481">
        <f t="shared" si="155"/>
        <v>5.3216595</v>
      </c>
      <c r="AQ31" s="474">
        <f t="shared" ref="AQ31" si="526">AP31</f>
        <v>5.3216595</v>
      </c>
      <c r="AR31" s="474">
        <f t="shared" si="157"/>
        <v>0</v>
      </c>
      <c r="AS31" s="474">
        <f t="shared" ref="AS31" si="527">AR31</f>
        <v>0</v>
      </c>
      <c r="AT31" s="474">
        <f t="shared" si="159"/>
        <v>3.94197</v>
      </c>
      <c r="AU31" s="474">
        <f t="shared" ref="AU31" si="528">AT31</f>
        <v>3.94197</v>
      </c>
      <c r="AV31" s="475">
        <f t="shared" si="2"/>
        <v>0</v>
      </c>
      <c r="AW31" s="474">
        <f t="shared" ref="AW31" si="529">AV31</f>
        <v>0</v>
      </c>
      <c r="AX31" s="474">
        <f t="shared" si="3"/>
        <v>3.5477730000000003</v>
      </c>
      <c r="AY31" s="474">
        <f t="shared" ref="AY31" si="530">AX31</f>
        <v>3.5477730000000003</v>
      </c>
      <c r="AZ31" s="474">
        <f t="shared" si="4"/>
        <v>6.5699500000000004</v>
      </c>
      <c r="BA31" s="474">
        <f t="shared" ref="BA31" si="531">AZ31</f>
        <v>6.5699500000000004</v>
      </c>
      <c r="BB31" s="481"/>
      <c r="BC31" s="474"/>
      <c r="BD31" s="474"/>
      <c r="BE31" s="474"/>
      <c r="BF31" s="474"/>
      <c r="BG31" s="474"/>
      <c r="BH31" s="481">
        <f t="shared" si="5"/>
        <v>0</v>
      </c>
      <c r="BI31" s="474">
        <f t="shared" ref="BI31" si="532">BH31</f>
        <v>0</v>
      </c>
      <c r="BJ31" s="474">
        <f t="shared" si="6"/>
        <v>3.5477730000000003</v>
      </c>
      <c r="BK31" s="474">
        <f t="shared" ref="BK31" si="533">BJ31</f>
        <v>3.5477730000000003</v>
      </c>
      <c r="BL31" s="474">
        <f t="shared" si="7"/>
        <v>6.5699500000000004</v>
      </c>
      <c r="BM31" s="474">
        <f t="shared" ref="BM31" si="534">BL31</f>
        <v>6.5699500000000004</v>
      </c>
      <c r="BN31" s="475">
        <f t="shared" si="8"/>
        <v>2.6279800000000002E-2</v>
      </c>
      <c r="BO31" s="474">
        <f t="shared" ref="BO31" si="535">BN31</f>
        <v>2.6279800000000002E-2</v>
      </c>
      <c r="BP31" s="474">
        <f t="shared" si="9"/>
        <v>0.39419699999999996</v>
      </c>
      <c r="BQ31" s="474">
        <f t="shared" ref="BQ31" si="536">BP31</f>
        <v>0.39419699999999996</v>
      </c>
      <c r="BR31" s="474">
        <f t="shared" si="10"/>
        <v>7.2269449999999997</v>
      </c>
      <c r="BS31" s="474">
        <f t="shared" ref="BS31" si="537">BR31</f>
        <v>7.2269449999999997</v>
      </c>
      <c r="BT31" s="481"/>
      <c r="BU31" s="474"/>
      <c r="BV31" s="474"/>
      <c r="BW31" s="474"/>
      <c r="BX31" s="474"/>
      <c r="BY31" s="474"/>
      <c r="BZ31" s="481">
        <f t="shared" si="11"/>
        <v>2.6279800000000002E-2</v>
      </c>
      <c r="CA31" s="474">
        <f t="shared" ref="CA31" si="538">BZ31</f>
        <v>2.6279800000000002E-2</v>
      </c>
      <c r="CB31" s="474">
        <f t="shared" si="12"/>
        <v>0.39419699999999996</v>
      </c>
      <c r="CC31" s="474">
        <f t="shared" ref="CC31" si="539">CB31</f>
        <v>0.39419699999999996</v>
      </c>
      <c r="CD31" s="474">
        <f t="shared" si="13"/>
        <v>7.2269449999999997</v>
      </c>
      <c r="CE31" s="526">
        <f t="shared" ref="CE31" si="540">CD31</f>
        <v>7.2269449999999997</v>
      </c>
      <c r="CF31" s="355">
        <f t="shared" si="173"/>
        <v>0</v>
      </c>
      <c r="CG31" s="615">
        <f t="shared" si="174"/>
        <v>0</v>
      </c>
      <c r="CH31" s="355">
        <f t="shared" si="175"/>
        <v>0</v>
      </c>
      <c r="CI31" s="615">
        <f t="shared" si="491"/>
        <v>0</v>
      </c>
      <c r="CJ31" s="615">
        <f t="shared" si="176"/>
        <v>0</v>
      </c>
      <c r="CK31" s="615">
        <f t="shared" si="492"/>
        <v>0</v>
      </c>
      <c r="CL31" s="122"/>
      <c r="CM31" s="1235">
        <f t="shared" si="16"/>
        <v>615.60431500000004</v>
      </c>
      <c r="CN31" s="1231"/>
      <c r="CO31" s="1230"/>
      <c r="CP31" s="1231"/>
      <c r="CQ31" s="1230">
        <f t="shared" si="177"/>
        <v>615.60431500000004</v>
      </c>
      <c r="CR31" s="1232"/>
      <c r="CS31" s="30">
        <v>0.45</v>
      </c>
      <c r="CT31" s="31">
        <f t="shared" si="178"/>
        <v>0.55000000000000004</v>
      </c>
      <c r="CU31" s="31"/>
      <c r="CV31" s="32"/>
      <c r="CW31" s="1233">
        <f t="shared" si="179"/>
        <v>263.17084466250003</v>
      </c>
      <c r="CX31" s="1234"/>
      <c r="CY31" s="1234">
        <f t="shared" si="180"/>
        <v>321.65325458750004</v>
      </c>
      <c r="CZ31" s="1231"/>
      <c r="DA31" s="369"/>
      <c r="DB31" s="369"/>
      <c r="DC31" s="369"/>
      <c r="DD31" s="373"/>
      <c r="DE31" s="1234">
        <f t="shared" si="17"/>
        <v>263.17084466250003</v>
      </c>
      <c r="DF31" s="1234"/>
      <c r="DG31" s="369">
        <f t="shared" si="341"/>
        <v>321.65325458750004</v>
      </c>
      <c r="DH31" s="372">
        <f t="shared" si="182"/>
        <v>321.65325458750004</v>
      </c>
      <c r="DJ31" s="493">
        <v>0.05</v>
      </c>
      <c r="DK31" s="379"/>
      <c r="DL31" s="1105">
        <f t="shared" si="18"/>
        <v>30.780215750000004</v>
      </c>
      <c r="DM31" s="1105">
        <f t="shared" si="19"/>
        <v>30.780215750000004</v>
      </c>
      <c r="DN31" s="369"/>
      <c r="DO31" s="372"/>
      <c r="DP31" s="30">
        <v>1</v>
      </c>
      <c r="DQ31" s="31">
        <f t="shared" si="183"/>
        <v>0.1</v>
      </c>
      <c r="DR31" s="31">
        <f t="shared" si="184"/>
        <v>1</v>
      </c>
      <c r="DS31" s="680">
        <f t="shared" si="185"/>
        <v>0.1</v>
      </c>
      <c r="DT31" s="77">
        <f t="shared" si="186"/>
        <v>1</v>
      </c>
      <c r="DU31" s="31">
        <v>0</v>
      </c>
      <c r="DV31" s="31">
        <v>1</v>
      </c>
      <c r="DW31" s="31">
        <v>0</v>
      </c>
      <c r="DX31" s="31">
        <v>0</v>
      </c>
      <c r="DY31" s="31">
        <v>1</v>
      </c>
      <c r="DZ31" s="31">
        <v>0</v>
      </c>
      <c r="EA31" s="383">
        <f t="shared" si="187"/>
        <v>0</v>
      </c>
      <c r="EB31" s="355">
        <f t="shared" si="188"/>
        <v>0</v>
      </c>
      <c r="EC31" s="355">
        <f t="shared" si="189"/>
        <v>2.6373153375000005</v>
      </c>
      <c r="ED31" s="355">
        <f t="shared" si="190"/>
        <v>26.373153375000001</v>
      </c>
      <c r="EE31" s="355">
        <f t="shared" si="191"/>
        <v>0</v>
      </c>
      <c r="EF31" s="355">
        <f t="shared" si="192"/>
        <v>0</v>
      </c>
      <c r="EG31" s="366"/>
      <c r="EH31" s="355"/>
      <c r="EI31" s="355"/>
      <c r="EJ31" s="355"/>
      <c r="EK31" s="355"/>
      <c r="EL31" s="356"/>
      <c r="EM31" s="355">
        <f t="shared" si="193"/>
        <v>2.6373153375000005</v>
      </c>
      <c r="EN31" s="134">
        <f t="shared" si="194"/>
        <v>26.373153375000001</v>
      </c>
      <c r="EP31" s="1171">
        <f t="shared" si="20"/>
        <v>2.6279800000000002E-2</v>
      </c>
      <c r="EQ31" s="1172"/>
      <c r="ER31" s="1172">
        <f t="shared" si="21"/>
        <v>0.39419699999999996</v>
      </c>
      <c r="ES31" s="1172"/>
      <c r="ET31" s="1172">
        <f t="shared" si="22"/>
        <v>7.2269449999999997</v>
      </c>
      <c r="EU31" s="1172"/>
      <c r="EV31" s="366"/>
      <c r="EW31" s="355"/>
      <c r="EX31" s="355"/>
      <c r="EY31" s="355"/>
      <c r="EZ31" s="1172"/>
      <c r="FA31" s="1173"/>
      <c r="FB31" s="368">
        <f t="shared" si="195"/>
        <v>263.17084466250003</v>
      </c>
      <c r="FC31" s="369">
        <f t="shared" si="196"/>
        <v>263.17084466250003</v>
      </c>
      <c r="FD31" s="369"/>
      <c r="FE31" s="61"/>
      <c r="FF31" s="368">
        <f t="shared" si="197"/>
        <v>321.65325458750004</v>
      </c>
      <c r="FG31" s="369">
        <f t="shared" si="426"/>
        <v>321.65325458750004</v>
      </c>
      <c r="FH31" s="369"/>
      <c r="FI31" s="369"/>
      <c r="FJ31" s="30">
        <v>1</v>
      </c>
      <c r="FK31" s="31">
        <v>0.2</v>
      </c>
      <c r="FL31" s="501">
        <v>0.8</v>
      </c>
      <c r="FM31" s="31">
        <f t="shared" si="198"/>
        <v>0.1</v>
      </c>
      <c r="FN31" s="501">
        <f t="shared" si="199"/>
        <v>1</v>
      </c>
      <c r="FO31" s="31">
        <f t="shared" si="200"/>
        <v>0.1</v>
      </c>
      <c r="FP31" s="31">
        <f t="shared" si="201"/>
        <v>1</v>
      </c>
      <c r="FQ31" s="31">
        <v>1</v>
      </c>
      <c r="FR31" s="31">
        <v>0</v>
      </c>
      <c r="FS31" s="89">
        <f t="shared" si="202"/>
        <v>1E-3</v>
      </c>
      <c r="FT31" s="31">
        <f t="shared" si="203"/>
        <v>0.05</v>
      </c>
      <c r="FU31" s="30">
        <v>0.05</v>
      </c>
      <c r="FV31" s="32">
        <f t="shared" si="25"/>
        <v>2.4224999999999997E-2</v>
      </c>
      <c r="FW31" s="31">
        <v>0.1</v>
      </c>
      <c r="FX31" s="77">
        <f t="shared" si="26"/>
        <v>9.0000000000000011E-2</v>
      </c>
      <c r="FY31" s="30"/>
      <c r="FZ31" s="32"/>
      <c r="GA31" s="31"/>
      <c r="GB31" s="77"/>
      <c r="GC31" s="378">
        <f t="shared" si="27"/>
        <v>2.6279800000000002E-2</v>
      </c>
      <c r="GD31" s="379">
        <f t="shared" si="204"/>
        <v>2.6279800000000002E-2</v>
      </c>
      <c r="GE31" s="379">
        <f t="shared" si="28"/>
        <v>0.39419699999999996</v>
      </c>
      <c r="GF31" s="379">
        <f t="shared" si="205"/>
        <v>0.39419699999999996</v>
      </c>
      <c r="GG31" s="379">
        <f t="shared" si="206"/>
        <v>1.445389</v>
      </c>
      <c r="GH31" s="218">
        <f t="shared" si="207"/>
        <v>5.7815560000000001</v>
      </c>
      <c r="GI31" s="379"/>
      <c r="GJ31" s="379"/>
      <c r="GK31" s="379"/>
      <c r="GL31" s="379"/>
      <c r="GM31" s="379"/>
      <c r="GN31" s="218"/>
      <c r="GO31" s="379">
        <f t="shared" si="208"/>
        <v>1.8658657999999999</v>
      </c>
      <c r="GP31" s="515">
        <f t="shared" si="209"/>
        <v>6.2020328000000005</v>
      </c>
      <c r="GQ31" s="379">
        <f t="shared" si="210"/>
        <v>1.6737029494167657</v>
      </c>
      <c r="GR31" s="379">
        <f t="shared" si="211"/>
        <v>42.843187657687508</v>
      </c>
      <c r="GS31" s="355">
        <f t="shared" si="390"/>
        <v>1.9294372887625002E-2</v>
      </c>
      <c r="GT31" s="355">
        <f t="shared" si="391"/>
        <v>9.647186443812501</v>
      </c>
      <c r="GU31" s="355">
        <f t="shared" si="392"/>
        <v>0</v>
      </c>
      <c r="GV31" s="356">
        <f t="shared" si="393"/>
        <v>0</v>
      </c>
      <c r="GW31" s="355"/>
      <c r="GX31" s="355"/>
      <c r="GY31" s="355"/>
      <c r="GZ31" s="355"/>
      <c r="HA31" s="355"/>
      <c r="HB31" s="356"/>
      <c r="HC31" s="379">
        <f t="shared" si="212"/>
        <v>1.6929973223043906</v>
      </c>
      <c r="HD31" s="38">
        <f t="shared" si="213"/>
        <v>52.490374101500009</v>
      </c>
      <c r="HE31" s="527"/>
      <c r="HF31" s="529">
        <f t="shared" si="29"/>
        <v>5.3216595</v>
      </c>
      <c r="HG31" s="529">
        <f t="shared" si="30"/>
        <v>5.3216595</v>
      </c>
      <c r="HH31" s="529">
        <f t="shared" si="31"/>
        <v>0</v>
      </c>
      <c r="HI31" s="529">
        <f t="shared" si="32"/>
        <v>0</v>
      </c>
      <c r="HJ31" s="529">
        <f t="shared" si="33"/>
        <v>3.94197</v>
      </c>
      <c r="HK31" s="524">
        <f t="shared" si="34"/>
        <v>3.94197</v>
      </c>
      <c r="HL31" s="529">
        <f t="shared" si="35"/>
        <v>0</v>
      </c>
      <c r="HM31" s="529">
        <f t="shared" si="36"/>
        <v>0</v>
      </c>
      <c r="HN31" s="529">
        <f t="shared" si="37"/>
        <v>6.1850883375000008</v>
      </c>
      <c r="HO31" s="529">
        <f t="shared" si="38"/>
        <v>29.920926375000001</v>
      </c>
      <c r="HP31" s="529">
        <f t="shared" si="39"/>
        <v>6.5699500000000004</v>
      </c>
      <c r="HQ31" s="524">
        <f t="shared" si="40"/>
        <v>6.5699500000000004</v>
      </c>
      <c r="HR31" s="615">
        <f t="shared" si="214"/>
        <v>1.7192771223043906</v>
      </c>
      <c r="HS31" s="615">
        <f t="shared" si="41"/>
        <v>52.516653901500007</v>
      </c>
      <c r="HT31" s="615">
        <f t="shared" si="42"/>
        <v>0.39419699999999996</v>
      </c>
      <c r="HU31" s="615">
        <f t="shared" si="43"/>
        <v>0.39419699999999996</v>
      </c>
      <c r="HV31" s="615">
        <f t="shared" si="44"/>
        <v>1.445389</v>
      </c>
      <c r="HW31" s="615">
        <f t="shared" si="45"/>
        <v>5.7815560000000001</v>
      </c>
      <c r="HZ31" s="220"/>
      <c r="IA31" s="220"/>
      <c r="IB31" s="220"/>
      <c r="IC31" s="220"/>
      <c r="ID31" s="220"/>
      <c r="IE31" s="220"/>
      <c r="IF31" s="220"/>
      <c r="IG31" s="560"/>
      <c r="IH31" s="529">
        <f t="shared" si="215"/>
        <v>5.8538254500000005E-2</v>
      </c>
      <c r="II31" s="529">
        <f t="shared" si="216"/>
        <v>4.7894935500000006E-2</v>
      </c>
      <c r="IJ31" s="529">
        <f t="shared" si="217"/>
        <v>9.5789871000000013E-2</v>
      </c>
      <c r="IK31" s="529">
        <f t="shared" si="218"/>
        <v>4.7894935500000006E-2</v>
      </c>
      <c r="IL31" s="529">
        <f t="shared" si="219"/>
        <v>4.4968022774999996</v>
      </c>
      <c r="IM31" s="529">
        <f t="shared" si="220"/>
        <v>5.3216595E-3</v>
      </c>
      <c r="IN31" s="529">
        <f t="shared" si="221"/>
        <v>5.3216595E-3</v>
      </c>
      <c r="IO31" s="529">
        <f t="shared" si="222"/>
        <v>0.17561476350000002</v>
      </c>
      <c r="IP31" s="529">
        <f t="shared" si="223"/>
        <v>0.21818803949999996</v>
      </c>
      <c r="IQ31" s="529">
        <f t="shared" si="224"/>
        <v>0.27672629400000004</v>
      </c>
      <c r="IR31" s="529">
        <f t="shared" si="225"/>
        <v>0.21818803949999996</v>
      </c>
      <c r="IS31" s="529">
        <f t="shared" si="226"/>
        <v>4.5074455965000002</v>
      </c>
      <c r="IT31" s="529">
        <f t="shared" si="227"/>
        <v>5.3216594999999998E-2</v>
      </c>
      <c r="IU31" s="526">
        <f t="shared" si="228"/>
        <v>5.3216594999999998E-2</v>
      </c>
      <c r="IV31" s="884">
        <f t="shared" si="229"/>
        <v>0</v>
      </c>
      <c r="IW31" s="884">
        <f t="shared" si="230"/>
        <v>0</v>
      </c>
      <c r="IX31" s="529">
        <f t="shared" si="49"/>
        <v>0</v>
      </c>
      <c r="IY31" s="529">
        <f t="shared" si="50"/>
        <v>0</v>
      </c>
      <c r="IZ31" s="529">
        <f t="shared" si="51"/>
        <v>0</v>
      </c>
      <c r="JA31" s="529">
        <f t="shared" si="52"/>
        <v>0</v>
      </c>
      <c r="JB31" s="529">
        <f t="shared" si="53"/>
        <v>0</v>
      </c>
      <c r="JC31" s="529">
        <f t="shared" si="231"/>
        <v>0</v>
      </c>
      <c r="JD31" s="529">
        <f t="shared" si="232"/>
        <v>0</v>
      </c>
      <c r="JE31" s="529">
        <f t="shared" si="55"/>
        <v>0</v>
      </c>
      <c r="JF31" s="529">
        <f t="shared" si="56"/>
        <v>0</v>
      </c>
      <c r="JG31" s="529">
        <f t="shared" si="57"/>
        <v>0</v>
      </c>
      <c r="JH31" s="529">
        <f t="shared" si="58"/>
        <v>0</v>
      </c>
      <c r="JI31" s="480">
        <f t="shared" si="59"/>
        <v>0</v>
      </c>
      <c r="JJ31" s="884">
        <f t="shared" si="233"/>
        <v>4.3361670000000005E-2</v>
      </c>
      <c r="JK31" s="884">
        <f t="shared" si="234"/>
        <v>3.5477730000000006E-2</v>
      </c>
      <c r="JL31" s="529">
        <f t="shared" si="61"/>
        <v>7.0955460000000012E-2</v>
      </c>
      <c r="JM31" s="529">
        <f t="shared" si="62"/>
        <v>3.5477730000000006E-2</v>
      </c>
      <c r="JN31" s="529">
        <f t="shared" si="63"/>
        <v>3.3309646499999999</v>
      </c>
      <c r="JO31" s="529">
        <f t="shared" si="64"/>
        <v>3.9419700000000004E-3</v>
      </c>
      <c r="JP31" s="529">
        <f t="shared" si="65"/>
        <v>3.9419700000000004E-3</v>
      </c>
      <c r="JQ31" s="529">
        <f t="shared" si="235"/>
        <v>0.13008501</v>
      </c>
      <c r="JR31" s="529">
        <f t="shared" si="236"/>
        <v>0.16162076999999997</v>
      </c>
      <c r="JS31" s="474">
        <f t="shared" si="67"/>
        <v>0.20498244000000002</v>
      </c>
      <c r="JT31" s="474">
        <f t="shared" si="68"/>
        <v>0.16162076999999997</v>
      </c>
      <c r="JU31" s="474">
        <f t="shared" si="69"/>
        <v>3.33884859</v>
      </c>
      <c r="JV31" s="474">
        <f t="shared" si="70"/>
        <v>3.9419700000000002E-2</v>
      </c>
      <c r="JW31" s="134">
        <f t="shared" si="71"/>
        <v>3.9419700000000002E-2</v>
      </c>
      <c r="JX31" s="884">
        <f t="shared" si="237"/>
        <v>0</v>
      </c>
      <c r="JY31" s="884">
        <f t="shared" si="238"/>
        <v>0</v>
      </c>
      <c r="JZ31" s="529">
        <f t="shared" si="73"/>
        <v>0</v>
      </c>
      <c r="KA31" s="529">
        <f t="shared" si="74"/>
        <v>0</v>
      </c>
      <c r="KB31" s="529">
        <f t="shared" si="75"/>
        <v>0</v>
      </c>
      <c r="KC31" s="529">
        <f t="shared" si="76"/>
        <v>0</v>
      </c>
      <c r="KD31" s="529">
        <f t="shared" si="77"/>
        <v>0</v>
      </c>
      <c r="KE31" s="529">
        <f t="shared" si="239"/>
        <v>0</v>
      </c>
      <c r="KF31" s="529">
        <f t="shared" si="240"/>
        <v>0</v>
      </c>
      <c r="KG31" s="529">
        <f t="shared" si="79"/>
        <v>0</v>
      </c>
      <c r="KH31" s="529">
        <f t="shared" si="80"/>
        <v>0</v>
      </c>
      <c r="KI31" s="529">
        <f t="shared" si="81"/>
        <v>0</v>
      </c>
      <c r="KJ31" s="529">
        <f t="shared" si="82"/>
        <v>0</v>
      </c>
      <c r="KK31" s="526">
        <f t="shared" si="83"/>
        <v>0</v>
      </c>
      <c r="KL31" s="884">
        <f t="shared" si="241"/>
        <v>6.8035971712500018E-2</v>
      </c>
      <c r="KM31" s="884">
        <f t="shared" si="242"/>
        <v>5.5665795037500014E-2</v>
      </c>
      <c r="KN31" s="529">
        <f t="shared" si="85"/>
        <v>0.11133159007500003</v>
      </c>
      <c r="KO31" s="529">
        <f t="shared" si="86"/>
        <v>5.5665795037500014E-2</v>
      </c>
      <c r="KP31" s="529">
        <f t="shared" si="87"/>
        <v>5.2263996451875006</v>
      </c>
      <c r="KQ31" s="529">
        <f t="shared" si="88"/>
        <v>6.1850883375000011E-3</v>
      </c>
      <c r="KR31" s="529">
        <f t="shared" si="89"/>
        <v>6.1850883375000011E-3</v>
      </c>
      <c r="KS31" s="529">
        <f t="shared" si="243"/>
        <v>0.98739057037500011</v>
      </c>
      <c r="KT31" s="529">
        <f t="shared" si="244"/>
        <v>1.2267579813749998</v>
      </c>
      <c r="KU31" s="529">
        <f t="shared" si="91"/>
        <v>1.5558881715000001</v>
      </c>
      <c r="KV31" s="529">
        <f t="shared" si="92"/>
        <v>1.2267579813749998</v>
      </c>
      <c r="KW31" s="529">
        <f t="shared" si="93"/>
        <v>25.343024639625</v>
      </c>
      <c r="KX31" s="529">
        <f t="shared" si="94"/>
        <v>0.29920926375000001</v>
      </c>
      <c r="KY31" s="480">
        <f t="shared" si="95"/>
        <v>0.29920926375000001</v>
      </c>
      <c r="KZ31" s="884">
        <f t="shared" si="245"/>
        <v>7.2269450000000013E-2</v>
      </c>
      <c r="LA31" s="884">
        <f t="shared" si="246"/>
        <v>5.912955000000001E-2</v>
      </c>
      <c r="LB31" s="529">
        <f t="shared" si="97"/>
        <v>0.11825910000000002</v>
      </c>
      <c r="LC31" s="529">
        <f t="shared" si="98"/>
        <v>5.912955000000001E-2</v>
      </c>
      <c r="LD31" s="529">
        <f t="shared" si="99"/>
        <v>5.5516077500000005</v>
      </c>
      <c r="LE31" s="529">
        <f t="shared" si="100"/>
        <v>6.5699500000000006E-3</v>
      </c>
      <c r="LF31" s="529">
        <f t="shared" si="101"/>
        <v>6.5699500000000006E-3</v>
      </c>
      <c r="LG31" s="529">
        <f t="shared" si="247"/>
        <v>0.21680835000000001</v>
      </c>
      <c r="LH31" s="529">
        <f t="shared" si="248"/>
        <v>0.26936794999999997</v>
      </c>
      <c r="LI31" s="355">
        <f t="shared" si="103"/>
        <v>0.34163740000000004</v>
      </c>
      <c r="LJ31" s="355">
        <f t="shared" si="104"/>
        <v>0.26936794999999997</v>
      </c>
      <c r="LK31" s="355">
        <f t="shared" si="105"/>
        <v>5.5647476500000002</v>
      </c>
      <c r="LL31" s="355">
        <f t="shared" si="106"/>
        <v>6.5699500000000008E-2</v>
      </c>
      <c r="LM31" s="134">
        <f t="shared" si="107"/>
        <v>6.5699500000000008E-2</v>
      </c>
      <c r="LN31" s="884">
        <f t="shared" si="249"/>
        <v>1.8912048345348298E-3</v>
      </c>
      <c r="LO31" s="884">
        <f t="shared" si="250"/>
        <v>5.1578313669131714E-4</v>
      </c>
      <c r="LP31" s="529">
        <f t="shared" si="109"/>
        <v>8.7683133237523928E-3</v>
      </c>
      <c r="LQ31" s="529">
        <f t="shared" si="110"/>
        <v>1.4098072402896001E-2</v>
      </c>
      <c r="LR31" s="529">
        <f t="shared" si="111"/>
        <v>1.3754216978435125</v>
      </c>
      <c r="LS31" s="529">
        <f t="shared" si="112"/>
        <v>1.4957710964048196E-2</v>
      </c>
      <c r="LT31" s="529">
        <f t="shared" si="113"/>
        <v>1.7192771223043905E-3</v>
      </c>
      <c r="LU31" s="529">
        <f t="shared" si="251"/>
        <v>3.1509992340900004</v>
      </c>
      <c r="LV31" s="529">
        <f t="shared" si="252"/>
        <v>1.5754996170450002</v>
      </c>
      <c r="LW31" s="529">
        <f t="shared" si="115"/>
        <v>3.676165773105001</v>
      </c>
      <c r="LX31" s="529">
        <f t="shared" si="116"/>
        <v>3.1509992340900004</v>
      </c>
      <c r="LY31" s="529">
        <f t="shared" si="117"/>
        <v>51.938970708583511</v>
      </c>
      <c r="LZ31" s="529">
        <f t="shared" si="118"/>
        <v>0.5251665390150001</v>
      </c>
      <c r="MA31" s="485">
        <f t="shared" si="119"/>
        <v>0.5251665390150001</v>
      </c>
      <c r="MB31" s="884">
        <f t="shared" si="253"/>
        <v>4.3361669999999997E-4</v>
      </c>
      <c r="MC31" s="884">
        <f t="shared" si="254"/>
        <v>1.1825909999999997E-4</v>
      </c>
      <c r="MD31" s="529">
        <f t="shared" si="121"/>
        <v>2.0104047000000002E-3</v>
      </c>
      <c r="ME31" s="529">
        <f t="shared" si="122"/>
        <v>3.2324153999999995E-3</v>
      </c>
      <c r="MF31" s="529">
        <f t="shared" si="123"/>
        <v>0.31535760000000002</v>
      </c>
      <c r="MG31" s="529">
        <f t="shared" si="124"/>
        <v>3.4295138999999994E-3</v>
      </c>
      <c r="MH31" s="529">
        <f t="shared" si="125"/>
        <v>3.9419699999999999E-4</v>
      </c>
      <c r="MI31" s="529">
        <f t="shared" si="255"/>
        <v>2.3651819999999997E-2</v>
      </c>
      <c r="MJ31" s="529">
        <f t="shared" si="256"/>
        <v>1.1825909999999999E-2</v>
      </c>
      <c r="MK31" s="529">
        <f t="shared" si="127"/>
        <v>2.759379E-2</v>
      </c>
      <c r="ML31" s="529">
        <f t="shared" si="128"/>
        <v>2.3651819999999997E-2</v>
      </c>
      <c r="MM31" s="529">
        <f t="shared" si="129"/>
        <v>0.38986083300000002</v>
      </c>
      <c r="MN31" s="529">
        <f t="shared" si="130"/>
        <v>3.9419699999999995E-3</v>
      </c>
      <c r="MO31" s="485">
        <f t="shared" si="131"/>
        <v>3.9419699999999995E-3</v>
      </c>
      <c r="MP31" s="884">
        <f t="shared" si="257"/>
        <v>1.5899279000000002E-3</v>
      </c>
      <c r="MQ31" s="884">
        <f t="shared" si="258"/>
        <v>4.3361669999999997E-4</v>
      </c>
      <c r="MR31" s="529">
        <f t="shared" si="133"/>
        <v>7.3714839000000006E-3</v>
      </c>
      <c r="MS31" s="529">
        <f t="shared" si="134"/>
        <v>1.1852189799999999E-2</v>
      </c>
      <c r="MT31" s="529">
        <f t="shared" si="135"/>
        <v>1.1563112</v>
      </c>
      <c r="MU31" s="529">
        <f t="shared" si="136"/>
        <v>1.25748843E-2</v>
      </c>
      <c r="MV31" s="529">
        <f t="shared" si="137"/>
        <v>1.445389E-3</v>
      </c>
      <c r="MW31" s="529">
        <f t="shared" si="259"/>
        <v>0.34689335999999998</v>
      </c>
      <c r="MX31" s="529">
        <f t="shared" si="260"/>
        <v>0.17344667999999999</v>
      </c>
      <c r="MY31" s="474">
        <f t="shared" si="139"/>
        <v>0.40470892000000003</v>
      </c>
      <c r="MZ31" s="474">
        <f t="shared" si="140"/>
        <v>0.34689335999999998</v>
      </c>
      <c r="NA31" s="474">
        <f t="shared" si="141"/>
        <v>5.7179588840000006</v>
      </c>
      <c r="NB31" s="474">
        <f t="shared" si="142"/>
        <v>5.7815560000000002E-2</v>
      </c>
      <c r="NC31" s="134">
        <f t="shared" si="143"/>
        <v>5.7815560000000002E-2</v>
      </c>
    </row>
    <row r="32" spans="1:367" x14ac:dyDescent="0.25">
      <c r="A32" s="18">
        <v>1977</v>
      </c>
      <c r="B32" s="1271">
        <v>857</v>
      </c>
      <c r="C32" s="1224"/>
      <c r="D32" s="1224">
        <v>0</v>
      </c>
      <c r="E32" s="1272"/>
      <c r="F32" s="1226">
        <f t="shared" si="144"/>
        <v>844.14499999999998</v>
      </c>
      <c r="G32" s="1226"/>
      <c r="H32" s="1224">
        <f t="shared" si="145"/>
        <v>0</v>
      </c>
      <c r="I32" s="1224"/>
      <c r="J32" s="1082">
        <v>0</v>
      </c>
      <c r="K32" s="1082">
        <f t="shared" si="0"/>
        <v>0</v>
      </c>
      <c r="L32" s="1226">
        <f t="shared" si="1"/>
        <v>844.14499999999998</v>
      </c>
      <c r="M32" s="1227"/>
      <c r="N32" s="193">
        <v>8.0999999999999996E-3</v>
      </c>
      <c r="O32" s="47">
        <v>0</v>
      </c>
      <c r="P32" s="47">
        <v>6.0000000000000001E-3</v>
      </c>
      <c r="Q32" s="192">
        <v>0</v>
      </c>
      <c r="R32" s="47">
        <v>0</v>
      </c>
      <c r="S32" s="47">
        <f t="shared" si="146"/>
        <v>5.4000000000000003E-3</v>
      </c>
      <c r="T32" s="47">
        <v>0.01</v>
      </c>
      <c r="U32" s="47">
        <v>1.8E-3</v>
      </c>
      <c r="V32" s="117">
        <v>4.0000000000000003E-5</v>
      </c>
      <c r="W32" s="47">
        <v>5.9999999999999995E-4</v>
      </c>
      <c r="X32" s="52">
        <v>1.0999999999999999E-2</v>
      </c>
      <c r="Y32" s="52">
        <v>2.0199999999999999E-2</v>
      </c>
      <c r="Z32" s="111">
        <v>6.3E-2</v>
      </c>
      <c r="AA32" s="52">
        <f t="shared" si="147"/>
        <v>0.1</v>
      </c>
      <c r="AB32" s="52">
        <f t="shared" si="148"/>
        <v>0</v>
      </c>
      <c r="AC32" s="52">
        <f t="shared" si="149"/>
        <v>0.9</v>
      </c>
      <c r="AD32" s="475">
        <f t="shared" si="150"/>
        <v>6.8375744999999997</v>
      </c>
      <c r="AE32" s="474">
        <f t="shared" si="151"/>
        <v>6.8375744999999997</v>
      </c>
      <c r="AF32" s="474">
        <f t="shared" si="152"/>
        <v>0</v>
      </c>
      <c r="AG32" s="474">
        <f t="shared" si="151"/>
        <v>0</v>
      </c>
      <c r="AH32" s="474">
        <f t="shared" si="153"/>
        <v>5.06487</v>
      </c>
      <c r="AI32" s="474">
        <f t="shared" ref="AI32" si="541">AH32</f>
        <v>5.06487</v>
      </c>
      <c r="AJ32" s="508"/>
      <c r="AK32" s="508"/>
      <c r="AL32" s="508"/>
      <c r="AM32" s="508"/>
      <c r="AN32" s="508"/>
      <c r="AO32" s="572"/>
      <c r="AP32" s="481">
        <f t="shared" si="155"/>
        <v>6.8375744999999997</v>
      </c>
      <c r="AQ32" s="474">
        <f t="shared" ref="AQ32" si="542">AP32</f>
        <v>6.8375744999999997</v>
      </c>
      <c r="AR32" s="474">
        <f t="shared" si="157"/>
        <v>0</v>
      </c>
      <c r="AS32" s="474">
        <f t="shared" ref="AS32" si="543">AR32</f>
        <v>0</v>
      </c>
      <c r="AT32" s="474">
        <f t="shared" si="159"/>
        <v>5.06487</v>
      </c>
      <c r="AU32" s="474">
        <f t="shared" ref="AU32" si="544">AT32</f>
        <v>5.06487</v>
      </c>
      <c r="AV32" s="475">
        <f t="shared" si="2"/>
        <v>0</v>
      </c>
      <c r="AW32" s="474">
        <f t="shared" ref="AW32" si="545">AV32</f>
        <v>0</v>
      </c>
      <c r="AX32" s="474">
        <f t="shared" si="3"/>
        <v>4.5583830000000001</v>
      </c>
      <c r="AY32" s="474">
        <f t="shared" ref="AY32" si="546">AX32</f>
        <v>4.5583830000000001</v>
      </c>
      <c r="AZ32" s="474">
        <f t="shared" si="4"/>
        <v>8.4414499999999997</v>
      </c>
      <c r="BA32" s="474">
        <f t="shared" ref="BA32" si="547">AZ32</f>
        <v>8.4414499999999997</v>
      </c>
      <c r="BB32" s="481"/>
      <c r="BC32" s="474"/>
      <c r="BD32" s="474"/>
      <c r="BE32" s="474"/>
      <c r="BF32" s="474"/>
      <c r="BG32" s="474"/>
      <c r="BH32" s="481">
        <f t="shared" si="5"/>
        <v>0</v>
      </c>
      <c r="BI32" s="474">
        <f t="shared" ref="BI32" si="548">BH32</f>
        <v>0</v>
      </c>
      <c r="BJ32" s="474">
        <f t="shared" si="6"/>
        <v>4.5583830000000001</v>
      </c>
      <c r="BK32" s="474">
        <f t="shared" ref="BK32" si="549">BJ32</f>
        <v>4.5583830000000001</v>
      </c>
      <c r="BL32" s="474">
        <f t="shared" si="7"/>
        <v>8.4414499999999997</v>
      </c>
      <c r="BM32" s="474">
        <f t="shared" ref="BM32" si="550">BL32</f>
        <v>8.4414499999999997</v>
      </c>
      <c r="BN32" s="475">
        <f t="shared" si="8"/>
        <v>3.3765799999999999E-2</v>
      </c>
      <c r="BO32" s="474">
        <f t="shared" ref="BO32" si="551">BN32</f>
        <v>3.3765799999999999E-2</v>
      </c>
      <c r="BP32" s="474">
        <f t="shared" si="9"/>
        <v>0.50648699999999991</v>
      </c>
      <c r="BQ32" s="474">
        <f t="shared" ref="BQ32" si="552">BP32</f>
        <v>0.50648699999999991</v>
      </c>
      <c r="BR32" s="474">
        <f t="shared" si="10"/>
        <v>9.2855949999999989</v>
      </c>
      <c r="BS32" s="474">
        <f t="shared" ref="BS32" si="553">BR32</f>
        <v>9.2855949999999989</v>
      </c>
      <c r="BT32" s="481"/>
      <c r="BU32" s="474"/>
      <c r="BV32" s="474"/>
      <c r="BW32" s="474"/>
      <c r="BX32" s="474"/>
      <c r="BY32" s="474"/>
      <c r="BZ32" s="481">
        <f t="shared" si="11"/>
        <v>3.3765799999999999E-2</v>
      </c>
      <c r="CA32" s="474">
        <f t="shared" ref="CA32" si="554">BZ32</f>
        <v>3.3765799999999999E-2</v>
      </c>
      <c r="CB32" s="474">
        <f t="shared" si="12"/>
        <v>0.50648699999999991</v>
      </c>
      <c r="CC32" s="474">
        <f t="shared" ref="CC32" si="555">CB32</f>
        <v>0.50648699999999991</v>
      </c>
      <c r="CD32" s="474">
        <f t="shared" si="13"/>
        <v>9.2855949999999989</v>
      </c>
      <c r="CE32" s="526">
        <f t="shared" ref="CE32" si="556">CD32</f>
        <v>9.2855949999999989</v>
      </c>
      <c r="CF32" s="355">
        <f t="shared" si="173"/>
        <v>0</v>
      </c>
      <c r="CG32" s="615">
        <f t="shared" si="174"/>
        <v>0</v>
      </c>
      <c r="CH32" s="355">
        <f t="shared" si="175"/>
        <v>0</v>
      </c>
      <c r="CI32" s="615">
        <f t="shared" si="491"/>
        <v>0</v>
      </c>
      <c r="CJ32" s="615">
        <f t="shared" si="176"/>
        <v>0</v>
      </c>
      <c r="CK32" s="615">
        <f t="shared" si="492"/>
        <v>0</v>
      </c>
      <c r="CL32" s="122"/>
      <c r="CM32" s="1235">
        <f t="shared" si="16"/>
        <v>790.96386499999994</v>
      </c>
      <c r="CN32" s="1231"/>
      <c r="CO32" s="1230"/>
      <c r="CP32" s="1231"/>
      <c r="CQ32" s="1230">
        <f t="shared" si="177"/>
        <v>790.96386499999994</v>
      </c>
      <c r="CR32" s="1232"/>
      <c r="CS32" s="30">
        <v>0.45</v>
      </c>
      <c r="CT32" s="31">
        <f t="shared" si="178"/>
        <v>0.55000000000000004</v>
      </c>
      <c r="CU32" s="31"/>
      <c r="CV32" s="32"/>
      <c r="CW32" s="1233">
        <f t="shared" si="179"/>
        <v>338.13705228749996</v>
      </c>
      <c r="CX32" s="1234"/>
      <c r="CY32" s="1234">
        <f t="shared" si="180"/>
        <v>413.27861946249999</v>
      </c>
      <c r="CZ32" s="1231"/>
      <c r="DA32" s="369"/>
      <c r="DB32" s="369"/>
      <c r="DC32" s="369"/>
      <c r="DD32" s="373"/>
      <c r="DE32" s="1234">
        <f t="shared" si="17"/>
        <v>338.13705228749996</v>
      </c>
      <c r="DF32" s="1234"/>
      <c r="DG32" s="369">
        <f t="shared" si="341"/>
        <v>413.27861946249999</v>
      </c>
      <c r="DH32" s="372">
        <f t="shared" si="182"/>
        <v>413.27861946249999</v>
      </c>
      <c r="DJ32" s="493">
        <v>0.05</v>
      </c>
      <c r="DK32" s="379"/>
      <c r="DL32" s="1105">
        <f t="shared" si="18"/>
        <v>39.548193249999997</v>
      </c>
      <c r="DM32" s="1105">
        <f t="shared" si="19"/>
        <v>39.548193249999997</v>
      </c>
      <c r="DN32" s="369"/>
      <c r="DO32" s="372"/>
      <c r="DP32" s="30">
        <v>1</v>
      </c>
      <c r="DQ32" s="31">
        <f t="shared" si="183"/>
        <v>0.1</v>
      </c>
      <c r="DR32" s="31">
        <f t="shared" si="184"/>
        <v>1</v>
      </c>
      <c r="DS32" s="680">
        <f t="shared" si="185"/>
        <v>0.1</v>
      </c>
      <c r="DT32" s="77">
        <f t="shared" si="186"/>
        <v>1</v>
      </c>
      <c r="DU32" s="31">
        <v>0</v>
      </c>
      <c r="DV32" s="31">
        <v>1</v>
      </c>
      <c r="DW32" s="31">
        <v>0</v>
      </c>
      <c r="DX32" s="31">
        <v>0</v>
      </c>
      <c r="DY32" s="31">
        <v>1</v>
      </c>
      <c r="DZ32" s="31">
        <v>0</v>
      </c>
      <c r="EA32" s="383">
        <f t="shared" si="187"/>
        <v>0</v>
      </c>
      <c r="EB32" s="355">
        <f t="shared" si="188"/>
        <v>0</v>
      </c>
      <c r="EC32" s="355">
        <f t="shared" si="189"/>
        <v>3.51642045</v>
      </c>
      <c r="ED32" s="355">
        <f t="shared" si="190"/>
        <v>35.164204499999997</v>
      </c>
      <c r="EE32" s="355">
        <f t="shared" si="191"/>
        <v>0</v>
      </c>
      <c r="EF32" s="355">
        <f t="shared" si="192"/>
        <v>0</v>
      </c>
      <c r="EG32" s="366"/>
      <c r="EH32" s="355"/>
      <c r="EI32" s="355"/>
      <c r="EJ32" s="355"/>
      <c r="EK32" s="355"/>
      <c r="EL32" s="356"/>
      <c r="EM32" s="355">
        <f t="shared" si="193"/>
        <v>3.51642045</v>
      </c>
      <c r="EN32" s="134">
        <f t="shared" si="194"/>
        <v>35.164204499999997</v>
      </c>
      <c r="EP32" s="1171">
        <f t="shared" si="20"/>
        <v>3.3765799999999999E-2</v>
      </c>
      <c r="EQ32" s="1172"/>
      <c r="ER32" s="1172">
        <f t="shared" si="21"/>
        <v>0.50648699999999991</v>
      </c>
      <c r="ES32" s="1172"/>
      <c r="ET32" s="1172">
        <f t="shared" si="22"/>
        <v>9.2855949999999989</v>
      </c>
      <c r="EU32" s="1172"/>
      <c r="EV32" s="366"/>
      <c r="EW32" s="355"/>
      <c r="EX32" s="355"/>
      <c r="EY32" s="355"/>
      <c r="EZ32" s="1172"/>
      <c r="FA32" s="1173"/>
      <c r="FB32" s="368">
        <f t="shared" si="195"/>
        <v>338.13705228749996</v>
      </c>
      <c r="FC32" s="369">
        <f t="shared" si="196"/>
        <v>338.13705228749996</v>
      </c>
      <c r="FD32" s="369"/>
      <c r="FE32" s="61"/>
      <c r="FF32" s="368">
        <f t="shared" si="197"/>
        <v>413.27861946249999</v>
      </c>
      <c r="FG32" s="369">
        <f t="shared" si="426"/>
        <v>413.27861946249999</v>
      </c>
      <c r="FH32" s="369"/>
      <c r="FI32" s="369"/>
      <c r="FJ32" s="30">
        <v>1</v>
      </c>
      <c r="FK32" s="31">
        <v>0.2</v>
      </c>
      <c r="FL32" s="501">
        <v>0.8</v>
      </c>
      <c r="FM32" s="31">
        <f t="shared" si="198"/>
        <v>0.1</v>
      </c>
      <c r="FN32" s="501">
        <f t="shared" si="199"/>
        <v>1</v>
      </c>
      <c r="FO32" s="31">
        <f t="shared" si="200"/>
        <v>0.1</v>
      </c>
      <c r="FP32" s="31">
        <f t="shared" si="201"/>
        <v>1</v>
      </c>
      <c r="FQ32" s="31">
        <v>1</v>
      </c>
      <c r="FR32" s="31">
        <v>0</v>
      </c>
      <c r="FS32" s="89">
        <f t="shared" si="202"/>
        <v>1E-3</v>
      </c>
      <c r="FT32" s="31">
        <f t="shared" si="203"/>
        <v>0.05</v>
      </c>
      <c r="FU32" s="30">
        <v>0.05</v>
      </c>
      <c r="FV32" s="32">
        <f t="shared" si="25"/>
        <v>2.4224999999999997E-2</v>
      </c>
      <c r="FW32" s="31">
        <v>0.1</v>
      </c>
      <c r="FX32" s="77">
        <f t="shared" si="26"/>
        <v>9.0000000000000011E-2</v>
      </c>
      <c r="FY32" s="30"/>
      <c r="FZ32" s="32"/>
      <c r="GA32" s="31"/>
      <c r="GB32" s="77"/>
      <c r="GC32" s="378">
        <f t="shared" si="27"/>
        <v>3.3765799999999999E-2</v>
      </c>
      <c r="GD32" s="379">
        <f t="shared" si="204"/>
        <v>3.3765799999999999E-2</v>
      </c>
      <c r="GE32" s="379">
        <f t="shared" si="28"/>
        <v>0.50648699999999991</v>
      </c>
      <c r="GF32" s="379">
        <f t="shared" si="205"/>
        <v>0.50648699999999991</v>
      </c>
      <c r="GG32" s="379">
        <f t="shared" si="206"/>
        <v>1.857119</v>
      </c>
      <c r="GH32" s="218">
        <f t="shared" si="207"/>
        <v>7.4284759999999999</v>
      </c>
      <c r="GI32" s="379"/>
      <c r="GJ32" s="379"/>
      <c r="GK32" s="379"/>
      <c r="GL32" s="379"/>
      <c r="GM32" s="379"/>
      <c r="GN32" s="218"/>
      <c r="GO32" s="379">
        <f t="shared" si="208"/>
        <v>2.3973717999999997</v>
      </c>
      <c r="GP32" s="515">
        <f t="shared" si="209"/>
        <v>7.9687288000000001</v>
      </c>
      <c r="GQ32" s="379">
        <f t="shared" si="210"/>
        <v>2.2316039325556876</v>
      </c>
      <c r="GR32" s="379">
        <f t="shared" si="211"/>
        <v>57.124250210249997</v>
      </c>
      <c r="GS32" s="355">
        <f t="shared" si="390"/>
        <v>2.2149226361624998E-2</v>
      </c>
      <c r="GT32" s="355">
        <f t="shared" si="391"/>
        <v>11.0746131808125</v>
      </c>
      <c r="GU32" s="355">
        <f t="shared" si="392"/>
        <v>0</v>
      </c>
      <c r="GV32" s="356">
        <f t="shared" si="393"/>
        <v>0</v>
      </c>
      <c r="GW32" s="355"/>
      <c r="GX32" s="355"/>
      <c r="GY32" s="355"/>
      <c r="GZ32" s="355"/>
      <c r="HA32" s="355"/>
      <c r="HB32" s="356"/>
      <c r="HC32" s="379">
        <f t="shared" si="212"/>
        <v>2.2537531589173128</v>
      </c>
      <c r="HD32" s="38">
        <f t="shared" si="213"/>
        <v>68.198863391062503</v>
      </c>
      <c r="HE32" s="527"/>
      <c r="HF32" s="529">
        <f t="shared" si="29"/>
        <v>6.8375744999999997</v>
      </c>
      <c r="HG32" s="529">
        <f t="shared" si="30"/>
        <v>6.8375744999999997</v>
      </c>
      <c r="HH32" s="529">
        <f t="shared" si="31"/>
        <v>0</v>
      </c>
      <c r="HI32" s="529">
        <f t="shared" si="32"/>
        <v>0</v>
      </c>
      <c r="HJ32" s="529">
        <f t="shared" si="33"/>
        <v>5.06487</v>
      </c>
      <c r="HK32" s="524">
        <f t="shared" si="34"/>
        <v>5.06487</v>
      </c>
      <c r="HL32" s="529">
        <f t="shared" si="35"/>
        <v>0</v>
      </c>
      <c r="HM32" s="529">
        <f t="shared" si="36"/>
        <v>0</v>
      </c>
      <c r="HN32" s="529">
        <f t="shared" si="37"/>
        <v>8.074803450000001</v>
      </c>
      <c r="HO32" s="529">
        <f t="shared" si="38"/>
        <v>39.722587499999996</v>
      </c>
      <c r="HP32" s="529">
        <f t="shared" si="39"/>
        <v>8.4414499999999997</v>
      </c>
      <c r="HQ32" s="524">
        <f t="shared" si="40"/>
        <v>8.4414499999999997</v>
      </c>
      <c r="HR32" s="615">
        <f t="shared" si="214"/>
        <v>2.2875189589173126</v>
      </c>
      <c r="HS32" s="615">
        <f t="shared" si="41"/>
        <v>68.2326291910625</v>
      </c>
      <c r="HT32" s="615">
        <f t="shared" si="42"/>
        <v>0.50648699999999991</v>
      </c>
      <c r="HU32" s="615">
        <f t="shared" si="43"/>
        <v>0.50648699999999991</v>
      </c>
      <c r="HV32" s="615">
        <f t="shared" si="44"/>
        <v>1.857119</v>
      </c>
      <c r="HW32" s="615">
        <f t="shared" si="45"/>
        <v>7.4284759999999999</v>
      </c>
      <c r="HZ32" s="220"/>
      <c r="IA32" s="220"/>
      <c r="IB32" s="220"/>
      <c r="IC32" s="220"/>
      <c r="ID32" s="220"/>
      <c r="IE32" s="220"/>
      <c r="IF32" s="220"/>
      <c r="IG32" s="560"/>
      <c r="IH32" s="529">
        <f t="shared" si="215"/>
        <v>7.52133195E-2</v>
      </c>
      <c r="II32" s="529">
        <f t="shared" si="216"/>
        <v>6.1538170500000003E-2</v>
      </c>
      <c r="IJ32" s="529">
        <f t="shared" si="217"/>
        <v>0.12307634100000001</v>
      </c>
      <c r="IK32" s="529">
        <f t="shared" si="218"/>
        <v>6.1538170500000003E-2</v>
      </c>
      <c r="IL32" s="529">
        <f t="shared" si="219"/>
        <v>5.7777504524999994</v>
      </c>
      <c r="IM32" s="529">
        <f t="shared" si="220"/>
        <v>6.8375744999999996E-3</v>
      </c>
      <c r="IN32" s="529">
        <f t="shared" si="221"/>
        <v>6.8375744999999996E-3</v>
      </c>
      <c r="IO32" s="529">
        <f t="shared" si="222"/>
        <v>0.22563995849999999</v>
      </c>
      <c r="IP32" s="529">
        <f t="shared" si="223"/>
        <v>0.28034055449999995</v>
      </c>
      <c r="IQ32" s="529">
        <f t="shared" si="224"/>
        <v>0.35555387399999999</v>
      </c>
      <c r="IR32" s="529">
        <f t="shared" si="225"/>
        <v>0.28034055449999995</v>
      </c>
      <c r="IS32" s="529">
        <f t="shared" si="226"/>
        <v>5.7914256014999994</v>
      </c>
      <c r="IT32" s="529">
        <f t="shared" si="227"/>
        <v>6.8375745000000002E-2</v>
      </c>
      <c r="IU32" s="526">
        <f t="shared" si="228"/>
        <v>6.8375745000000002E-2</v>
      </c>
      <c r="IV32" s="884">
        <f t="shared" si="229"/>
        <v>0</v>
      </c>
      <c r="IW32" s="884">
        <f t="shared" si="230"/>
        <v>0</v>
      </c>
      <c r="IX32" s="529">
        <f t="shared" si="49"/>
        <v>0</v>
      </c>
      <c r="IY32" s="529">
        <f t="shared" si="50"/>
        <v>0</v>
      </c>
      <c r="IZ32" s="529">
        <f t="shared" si="51"/>
        <v>0</v>
      </c>
      <c r="JA32" s="529">
        <f t="shared" si="52"/>
        <v>0</v>
      </c>
      <c r="JB32" s="529">
        <f t="shared" si="53"/>
        <v>0</v>
      </c>
      <c r="JC32" s="529">
        <f t="shared" si="231"/>
        <v>0</v>
      </c>
      <c r="JD32" s="529">
        <f t="shared" si="232"/>
        <v>0</v>
      </c>
      <c r="JE32" s="529">
        <f t="shared" si="55"/>
        <v>0</v>
      </c>
      <c r="JF32" s="529">
        <f t="shared" si="56"/>
        <v>0</v>
      </c>
      <c r="JG32" s="529">
        <f t="shared" si="57"/>
        <v>0</v>
      </c>
      <c r="JH32" s="529">
        <f t="shared" si="58"/>
        <v>0</v>
      </c>
      <c r="JI32" s="480">
        <f t="shared" si="59"/>
        <v>0</v>
      </c>
      <c r="JJ32" s="884">
        <f t="shared" si="233"/>
        <v>5.5713570000000004E-2</v>
      </c>
      <c r="JK32" s="884">
        <f t="shared" si="234"/>
        <v>4.5583830000000006E-2</v>
      </c>
      <c r="JL32" s="529">
        <f t="shared" si="61"/>
        <v>9.1167660000000011E-2</v>
      </c>
      <c r="JM32" s="529">
        <f t="shared" si="62"/>
        <v>4.5583830000000006E-2</v>
      </c>
      <c r="JN32" s="529">
        <f t="shared" si="63"/>
        <v>4.2798151500000001</v>
      </c>
      <c r="JO32" s="529">
        <f t="shared" si="64"/>
        <v>5.06487E-3</v>
      </c>
      <c r="JP32" s="529">
        <f t="shared" si="65"/>
        <v>5.06487E-3</v>
      </c>
      <c r="JQ32" s="529">
        <f t="shared" si="235"/>
        <v>0.16714071</v>
      </c>
      <c r="JR32" s="529">
        <f t="shared" si="236"/>
        <v>0.20765966999999996</v>
      </c>
      <c r="JS32" s="474">
        <f t="shared" si="67"/>
        <v>0.26337324000000001</v>
      </c>
      <c r="JT32" s="474">
        <f t="shared" si="68"/>
        <v>0.20765966999999996</v>
      </c>
      <c r="JU32" s="474">
        <f t="shared" si="69"/>
        <v>4.2899448900000001</v>
      </c>
      <c r="JV32" s="474">
        <f t="shared" si="70"/>
        <v>5.0648699999999998E-2</v>
      </c>
      <c r="JW32" s="134">
        <f t="shared" si="71"/>
        <v>5.0648699999999998E-2</v>
      </c>
      <c r="JX32" s="884">
        <f t="shared" si="237"/>
        <v>0</v>
      </c>
      <c r="JY32" s="884">
        <f t="shared" si="238"/>
        <v>0</v>
      </c>
      <c r="JZ32" s="529">
        <f t="shared" si="73"/>
        <v>0</v>
      </c>
      <c r="KA32" s="529">
        <f t="shared" si="74"/>
        <v>0</v>
      </c>
      <c r="KB32" s="529">
        <f t="shared" si="75"/>
        <v>0</v>
      </c>
      <c r="KC32" s="529">
        <f t="shared" si="76"/>
        <v>0</v>
      </c>
      <c r="KD32" s="529">
        <f t="shared" si="77"/>
        <v>0</v>
      </c>
      <c r="KE32" s="529">
        <f t="shared" si="239"/>
        <v>0</v>
      </c>
      <c r="KF32" s="529">
        <f t="shared" si="240"/>
        <v>0</v>
      </c>
      <c r="KG32" s="529">
        <f t="shared" si="79"/>
        <v>0</v>
      </c>
      <c r="KH32" s="529">
        <f t="shared" si="80"/>
        <v>0</v>
      </c>
      <c r="KI32" s="529">
        <f t="shared" si="81"/>
        <v>0</v>
      </c>
      <c r="KJ32" s="529">
        <f t="shared" si="82"/>
        <v>0</v>
      </c>
      <c r="KK32" s="526">
        <f t="shared" si="83"/>
        <v>0</v>
      </c>
      <c r="KL32" s="884">
        <f t="shared" si="241"/>
        <v>8.8822837950000025E-2</v>
      </c>
      <c r="KM32" s="884">
        <f t="shared" si="242"/>
        <v>7.2673231050000023E-2</v>
      </c>
      <c r="KN32" s="529">
        <f t="shared" si="85"/>
        <v>0.14534646210000005</v>
      </c>
      <c r="KO32" s="529">
        <f t="shared" si="86"/>
        <v>7.2673231050000023E-2</v>
      </c>
      <c r="KP32" s="529">
        <f t="shared" si="87"/>
        <v>6.8232089152500004</v>
      </c>
      <c r="KQ32" s="529">
        <f t="shared" si="88"/>
        <v>8.074803450000001E-3</v>
      </c>
      <c r="KR32" s="529">
        <f t="shared" si="89"/>
        <v>8.074803450000001E-3</v>
      </c>
      <c r="KS32" s="529">
        <f t="shared" si="243"/>
        <v>1.3108453874999999</v>
      </c>
      <c r="KT32" s="529">
        <f t="shared" si="244"/>
        <v>1.6286260874999996</v>
      </c>
      <c r="KU32" s="529">
        <f t="shared" si="91"/>
        <v>2.06557455</v>
      </c>
      <c r="KV32" s="529">
        <f t="shared" si="92"/>
        <v>1.6286260874999996</v>
      </c>
      <c r="KW32" s="529">
        <f t="shared" si="93"/>
        <v>33.645031612499999</v>
      </c>
      <c r="KX32" s="529">
        <f t="shared" si="94"/>
        <v>0.39722587499999995</v>
      </c>
      <c r="KY32" s="480">
        <f t="shared" si="95"/>
        <v>0.39722587499999995</v>
      </c>
      <c r="KZ32" s="884">
        <f t="shared" si="245"/>
        <v>9.2855950000000007E-2</v>
      </c>
      <c r="LA32" s="884">
        <f t="shared" si="246"/>
        <v>7.597305E-2</v>
      </c>
      <c r="LB32" s="529">
        <f t="shared" si="97"/>
        <v>0.1519461</v>
      </c>
      <c r="LC32" s="529">
        <f t="shared" si="98"/>
        <v>7.597305E-2</v>
      </c>
      <c r="LD32" s="529">
        <f t="shared" si="99"/>
        <v>7.1330252499999993</v>
      </c>
      <c r="LE32" s="529">
        <f t="shared" si="100"/>
        <v>8.4414499999999996E-3</v>
      </c>
      <c r="LF32" s="529">
        <f t="shared" si="101"/>
        <v>8.4414499999999996E-3</v>
      </c>
      <c r="LG32" s="529">
        <f t="shared" si="247"/>
        <v>0.27856785000000001</v>
      </c>
      <c r="LH32" s="529">
        <f t="shared" si="248"/>
        <v>0.34609944999999992</v>
      </c>
      <c r="LI32" s="355">
        <f t="shared" si="103"/>
        <v>0.4389554</v>
      </c>
      <c r="LJ32" s="355">
        <f t="shared" si="104"/>
        <v>0.34609944999999992</v>
      </c>
      <c r="LK32" s="355">
        <f t="shared" si="105"/>
        <v>7.1499081499999999</v>
      </c>
      <c r="LL32" s="355">
        <f t="shared" si="106"/>
        <v>8.4414500000000003E-2</v>
      </c>
      <c r="LM32" s="134">
        <f t="shared" si="107"/>
        <v>8.4414500000000003E-2</v>
      </c>
      <c r="LN32" s="884">
        <f t="shared" si="249"/>
        <v>2.516270854809044E-3</v>
      </c>
      <c r="LO32" s="884">
        <f t="shared" si="250"/>
        <v>6.8625568767519368E-4</v>
      </c>
      <c r="LP32" s="529">
        <f t="shared" si="109"/>
        <v>1.1666346690478295E-2</v>
      </c>
      <c r="LQ32" s="529">
        <f t="shared" si="110"/>
        <v>1.8757655463121962E-2</v>
      </c>
      <c r="LR32" s="529">
        <f t="shared" si="111"/>
        <v>1.8300151671338503</v>
      </c>
      <c r="LS32" s="529">
        <f t="shared" si="112"/>
        <v>1.9901414942580617E-2</v>
      </c>
      <c r="LT32" s="529">
        <f t="shared" si="113"/>
        <v>2.2875189589173128E-3</v>
      </c>
      <c r="LU32" s="529">
        <f t="shared" si="251"/>
        <v>4.0939577514637495</v>
      </c>
      <c r="LV32" s="529">
        <f t="shared" si="252"/>
        <v>2.0469788757318748</v>
      </c>
      <c r="LW32" s="529">
        <f t="shared" si="115"/>
        <v>4.7762840433743756</v>
      </c>
      <c r="LX32" s="529">
        <f t="shared" si="116"/>
        <v>4.0939577514637495</v>
      </c>
      <c r="LY32" s="529">
        <f t="shared" si="117"/>
        <v>67.482070269960815</v>
      </c>
      <c r="LZ32" s="529">
        <f t="shared" si="118"/>
        <v>0.68232629191062499</v>
      </c>
      <c r="MA32" s="485">
        <f t="shared" si="119"/>
        <v>0.68232629191062499</v>
      </c>
      <c r="MB32" s="884">
        <f t="shared" si="253"/>
        <v>5.5713569999999997E-4</v>
      </c>
      <c r="MC32" s="884">
        <f t="shared" si="254"/>
        <v>1.5194609999999995E-4</v>
      </c>
      <c r="MD32" s="529">
        <f t="shared" si="121"/>
        <v>2.5830836999999997E-3</v>
      </c>
      <c r="ME32" s="529">
        <f t="shared" si="122"/>
        <v>4.1531933999999987E-3</v>
      </c>
      <c r="MF32" s="529">
        <f t="shared" si="123"/>
        <v>0.40518959999999993</v>
      </c>
      <c r="MG32" s="529">
        <f t="shared" si="124"/>
        <v>4.4064368999999987E-3</v>
      </c>
      <c r="MH32" s="529">
        <f t="shared" si="125"/>
        <v>5.0648699999999991E-4</v>
      </c>
      <c r="MI32" s="529">
        <f t="shared" si="255"/>
        <v>3.0389219999999995E-2</v>
      </c>
      <c r="MJ32" s="529">
        <f t="shared" si="256"/>
        <v>1.5194609999999997E-2</v>
      </c>
      <c r="MK32" s="529">
        <f t="shared" si="127"/>
        <v>3.5454089999999994E-2</v>
      </c>
      <c r="ML32" s="529">
        <f t="shared" si="128"/>
        <v>3.0389219999999995E-2</v>
      </c>
      <c r="MM32" s="529">
        <f t="shared" si="129"/>
        <v>0.50091564299999991</v>
      </c>
      <c r="MN32" s="529">
        <f t="shared" si="130"/>
        <v>5.0648699999999991E-3</v>
      </c>
      <c r="MO32" s="485">
        <f t="shared" si="131"/>
        <v>5.0648699999999991E-3</v>
      </c>
      <c r="MP32" s="884">
        <f t="shared" si="257"/>
        <v>2.0428309000000001E-3</v>
      </c>
      <c r="MQ32" s="884">
        <f t="shared" si="258"/>
        <v>5.5713569999999997E-4</v>
      </c>
      <c r="MR32" s="529">
        <f t="shared" si="133"/>
        <v>9.4713069000000004E-3</v>
      </c>
      <c r="MS32" s="529">
        <f t="shared" si="134"/>
        <v>1.5228375799999997E-2</v>
      </c>
      <c r="MT32" s="529">
        <f t="shared" si="135"/>
        <v>1.4856952000000001</v>
      </c>
      <c r="MU32" s="529">
        <f t="shared" si="136"/>
        <v>1.6156935299999998E-2</v>
      </c>
      <c r="MV32" s="529">
        <f t="shared" si="137"/>
        <v>1.857119E-3</v>
      </c>
      <c r="MW32" s="529">
        <f t="shared" si="259"/>
        <v>0.44570855999999998</v>
      </c>
      <c r="MX32" s="529">
        <f t="shared" si="260"/>
        <v>0.22285427999999999</v>
      </c>
      <c r="MY32" s="474">
        <f t="shared" si="139"/>
        <v>0.51999332000000009</v>
      </c>
      <c r="MZ32" s="474">
        <f t="shared" si="140"/>
        <v>0.44570855999999998</v>
      </c>
      <c r="NA32" s="474">
        <f t="shared" si="141"/>
        <v>7.3467627640000002</v>
      </c>
      <c r="NB32" s="474">
        <f t="shared" si="142"/>
        <v>7.4284760000000005E-2</v>
      </c>
      <c r="NC32" s="134">
        <f t="shared" si="143"/>
        <v>7.4284760000000005E-2</v>
      </c>
    </row>
    <row r="33" spans="1:367" x14ac:dyDescent="0.25">
      <c r="A33" s="18">
        <v>1978</v>
      </c>
      <c r="B33" s="1271">
        <v>1048</v>
      </c>
      <c r="C33" s="1224"/>
      <c r="D33" s="1224">
        <v>0</v>
      </c>
      <c r="E33" s="1272"/>
      <c r="F33" s="1226">
        <f t="shared" si="144"/>
        <v>1032.28</v>
      </c>
      <c r="G33" s="1226"/>
      <c r="H33" s="1224">
        <f t="shared" si="145"/>
        <v>0</v>
      </c>
      <c r="I33" s="1224"/>
      <c r="J33" s="1082">
        <v>0</v>
      </c>
      <c r="K33" s="1082">
        <f t="shared" si="0"/>
        <v>0</v>
      </c>
      <c r="L33" s="1226">
        <f t="shared" si="1"/>
        <v>1032.28</v>
      </c>
      <c r="M33" s="1227"/>
      <c r="N33" s="193">
        <v>8.0999999999999996E-3</v>
      </c>
      <c r="O33" s="47">
        <v>0</v>
      </c>
      <c r="P33" s="47">
        <v>6.0000000000000001E-3</v>
      </c>
      <c r="Q33" s="192">
        <v>0</v>
      </c>
      <c r="R33" s="47">
        <v>0</v>
      </c>
      <c r="S33" s="47">
        <f t="shared" si="146"/>
        <v>5.4000000000000003E-3</v>
      </c>
      <c r="T33" s="47">
        <v>0.01</v>
      </c>
      <c r="U33" s="47">
        <v>1.8E-3</v>
      </c>
      <c r="V33" s="117">
        <v>4.0000000000000003E-5</v>
      </c>
      <c r="W33" s="47">
        <v>5.9999999999999995E-4</v>
      </c>
      <c r="X33" s="52">
        <v>1.0999999999999999E-2</v>
      </c>
      <c r="Y33" s="52">
        <v>2.0199999999999999E-2</v>
      </c>
      <c r="Z33" s="111">
        <v>6.3E-2</v>
      </c>
      <c r="AA33" s="52">
        <f t="shared" si="147"/>
        <v>0.1</v>
      </c>
      <c r="AB33" s="52">
        <f t="shared" si="148"/>
        <v>0</v>
      </c>
      <c r="AC33" s="52">
        <f t="shared" si="149"/>
        <v>0.9</v>
      </c>
      <c r="AD33" s="475">
        <f t="shared" si="150"/>
        <v>8.3614679999999986</v>
      </c>
      <c r="AE33" s="474">
        <f t="shared" si="151"/>
        <v>8.3614679999999986</v>
      </c>
      <c r="AF33" s="474">
        <f t="shared" si="152"/>
        <v>0</v>
      </c>
      <c r="AG33" s="474">
        <f t="shared" si="151"/>
        <v>0</v>
      </c>
      <c r="AH33" s="474">
        <f t="shared" si="153"/>
        <v>6.1936799999999996</v>
      </c>
      <c r="AI33" s="474">
        <f t="shared" ref="AI33" si="557">AH33</f>
        <v>6.1936799999999996</v>
      </c>
      <c r="AJ33" s="508"/>
      <c r="AK33" s="508"/>
      <c r="AL33" s="508"/>
      <c r="AM33" s="508"/>
      <c r="AN33" s="508"/>
      <c r="AO33" s="572"/>
      <c r="AP33" s="481">
        <f t="shared" si="155"/>
        <v>8.3614679999999986</v>
      </c>
      <c r="AQ33" s="474">
        <f t="shared" ref="AQ33" si="558">AP33</f>
        <v>8.3614679999999986</v>
      </c>
      <c r="AR33" s="474">
        <f t="shared" si="157"/>
        <v>0</v>
      </c>
      <c r="AS33" s="474">
        <f t="shared" ref="AS33" si="559">AR33</f>
        <v>0</v>
      </c>
      <c r="AT33" s="474">
        <f t="shared" si="159"/>
        <v>6.1936799999999996</v>
      </c>
      <c r="AU33" s="474">
        <f t="shared" ref="AU33" si="560">AT33</f>
        <v>6.1936799999999996</v>
      </c>
      <c r="AV33" s="475">
        <f t="shared" si="2"/>
        <v>0</v>
      </c>
      <c r="AW33" s="474">
        <f t="shared" ref="AW33" si="561">AV33</f>
        <v>0</v>
      </c>
      <c r="AX33" s="474">
        <f t="shared" si="3"/>
        <v>5.5743119999999999</v>
      </c>
      <c r="AY33" s="474">
        <f t="shared" ref="AY33" si="562">AX33</f>
        <v>5.5743119999999999</v>
      </c>
      <c r="AZ33" s="474">
        <f t="shared" si="4"/>
        <v>10.322799999999999</v>
      </c>
      <c r="BA33" s="474">
        <f t="shared" ref="BA33" si="563">AZ33</f>
        <v>10.322799999999999</v>
      </c>
      <c r="BB33" s="481"/>
      <c r="BC33" s="474"/>
      <c r="BD33" s="474"/>
      <c r="BE33" s="474"/>
      <c r="BF33" s="474"/>
      <c r="BG33" s="474"/>
      <c r="BH33" s="481">
        <f t="shared" si="5"/>
        <v>0</v>
      </c>
      <c r="BI33" s="474">
        <f t="shared" ref="BI33" si="564">BH33</f>
        <v>0</v>
      </c>
      <c r="BJ33" s="474">
        <f t="shared" si="6"/>
        <v>5.5743119999999999</v>
      </c>
      <c r="BK33" s="474">
        <f t="shared" ref="BK33" si="565">BJ33</f>
        <v>5.5743119999999999</v>
      </c>
      <c r="BL33" s="474">
        <f t="shared" si="7"/>
        <v>10.322799999999999</v>
      </c>
      <c r="BM33" s="474">
        <f t="shared" ref="BM33" si="566">BL33</f>
        <v>10.322799999999999</v>
      </c>
      <c r="BN33" s="475">
        <f t="shared" si="8"/>
        <v>4.12912E-2</v>
      </c>
      <c r="BO33" s="474">
        <f t="shared" ref="BO33" si="567">BN33</f>
        <v>4.12912E-2</v>
      </c>
      <c r="BP33" s="474">
        <f t="shared" si="9"/>
        <v>0.61936799999999992</v>
      </c>
      <c r="BQ33" s="474">
        <f t="shared" ref="BQ33" si="568">BP33</f>
        <v>0.61936799999999992</v>
      </c>
      <c r="BR33" s="474">
        <f t="shared" si="10"/>
        <v>11.355079999999999</v>
      </c>
      <c r="BS33" s="474">
        <f t="shared" ref="BS33" si="569">BR33</f>
        <v>11.355079999999999</v>
      </c>
      <c r="BT33" s="481"/>
      <c r="BU33" s="474"/>
      <c r="BV33" s="474"/>
      <c r="BW33" s="474"/>
      <c r="BX33" s="474"/>
      <c r="BY33" s="474"/>
      <c r="BZ33" s="481">
        <f t="shared" si="11"/>
        <v>4.12912E-2</v>
      </c>
      <c r="CA33" s="474">
        <f t="shared" ref="CA33" si="570">BZ33</f>
        <v>4.12912E-2</v>
      </c>
      <c r="CB33" s="474">
        <f t="shared" si="12"/>
        <v>0.61936799999999992</v>
      </c>
      <c r="CC33" s="474">
        <f t="shared" ref="CC33" si="571">CB33</f>
        <v>0.61936799999999992</v>
      </c>
      <c r="CD33" s="474">
        <f t="shared" si="13"/>
        <v>11.355079999999999</v>
      </c>
      <c r="CE33" s="526">
        <f t="shared" ref="CE33" si="572">CD33</f>
        <v>11.355079999999999</v>
      </c>
      <c r="CF33" s="355">
        <f t="shared" si="173"/>
        <v>0</v>
      </c>
      <c r="CG33" s="615">
        <f t="shared" si="174"/>
        <v>0</v>
      </c>
      <c r="CH33" s="355">
        <f t="shared" si="175"/>
        <v>0</v>
      </c>
      <c r="CI33" s="615">
        <f t="shared" si="491"/>
        <v>0</v>
      </c>
      <c r="CJ33" s="615">
        <f t="shared" si="176"/>
        <v>0</v>
      </c>
      <c r="CK33" s="615">
        <f t="shared" si="492"/>
        <v>0</v>
      </c>
      <c r="CL33" s="122"/>
      <c r="CM33" s="1235">
        <f t="shared" si="16"/>
        <v>967.24635999999998</v>
      </c>
      <c r="CN33" s="1231"/>
      <c r="CO33" s="1230"/>
      <c r="CP33" s="1231"/>
      <c r="CQ33" s="1230">
        <f t="shared" si="177"/>
        <v>967.24635999999998</v>
      </c>
      <c r="CR33" s="1232"/>
      <c r="CS33" s="30">
        <v>0.45</v>
      </c>
      <c r="CT33" s="31">
        <f t="shared" si="178"/>
        <v>0.55000000000000004</v>
      </c>
      <c r="CU33" s="31"/>
      <c r="CV33" s="32"/>
      <c r="CW33" s="1233">
        <f t="shared" si="179"/>
        <v>413.49781889999997</v>
      </c>
      <c r="CX33" s="1234"/>
      <c r="CY33" s="1234">
        <f t="shared" si="180"/>
        <v>505.3862231</v>
      </c>
      <c r="CZ33" s="1231"/>
      <c r="DA33" s="369"/>
      <c r="DB33" s="369"/>
      <c r="DC33" s="369"/>
      <c r="DD33" s="373"/>
      <c r="DE33" s="1234">
        <f t="shared" si="17"/>
        <v>413.49781889999997</v>
      </c>
      <c r="DF33" s="1234"/>
      <c r="DG33" s="369">
        <f t="shared" si="341"/>
        <v>505.3862231</v>
      </c>
      <c r="DH33" s="372">
        <f t="shared" si="182"/>
        <v>505.3862231</v>
      </c>
      <c r="DJ33" s="493">
        <v>0.05</v>
      </c>
      <c r="DK33" s="379"/>
      <c r="DL33" s="1105">
        <f t="shared" si="18"/>
        <v>48.362318000000002</v>
      </c>
      <c r="DM33" s="1105">
        <f t="shared" si="19"/>
        <v>48.362318000000002</v>
      </c>
      <c r="DN33" s="369"/>
      <c r="DO33" s="372"/>
      <c r="DP33" s="30">
        <v>1</v>
      </c>
      <c r="DQ33" s="31">
        <f t="shared" si="183"/>
        <v>0.1</v>
      </c>
      <c r="DR33" s="31">
        <f t="shared" si="184"/>
        <v>1</v>
      </c>
      <c r="DS33" s="680">
        <f t="shared" si="185"/>
        <v>0.1</v>
      </c>
      <c r="DT33" s="77">
        <f t="shared" si="186"/>
        <v>1</v>
      </c>
      <c r="DU33" s="31">
        <v>0</v>
      </c>
      <c r="DV33" s="31">
        <v>1</v>
      </c>
      <c r="DW33" s="31">
        <v>0</v>
      </c>
      <c r="DX33" s="31">
        <v>0</v>
      </c>
      <c r="DY33" s="31">
        <v>1</v>
      </c>
      <c r="DZ33" s="31">
        <v>0</v>
      </c>
      <c r="EA33" s="383">
        <f t="shared" si="187"/>
        <v>0</v>
      </c>
      <c r="EB33" s="355">
        <f t="shared" si="188"/>
        <v>0</v>
      </c>
      <c r="EC33" s="355">
        <f t="shared" si="189"/>
        <v>4.3955255624999996</v>
      </c>
      <c r="ED33" s="355">
        <f t="shared" si="190"/>
        <v>43.955255624999999</v>
      </c>
      <c r="EE33" s="355">
        <f t="shared" si="191"/>
        <v>0</v>
      </c>
      <c r="EF33" s="355">
        <f t="shared" si="192"/>
        <v>0</v>
      </c>
      <c r="EG33" s="366"/>
      <c r="EH33" s="355"/>
      <c r="EI33" s="355"/>
      <c r="EJ33" s="355"/>
      <c r="EK33" s="355"/>
      <c r="EL33" s="356"/>
      <c r="EM33" s="355">
        <f t="shared" si="193"/>
        <v>4.3955255624999996</v>
      </c>
      <c r="EN33" s="134">
        <f t="shared" si="194"/>
        <v>43.955255624999999</v>
      </c>
      <c r="EP33" s="1171">
        <f t="shared" si="20"/>
        <v>4.12912E-2</v>
      </c>
      <c r="EQ33" s="1172"/>
      <c r="ER33" s="1172">
        <f t="shared" si="21"/>
        <v>0.61936799999999992</v>
      </c>
      <c r="ES33" s="1172"/>
      <c r="ET33" s="1172">
        <f t="shared" si="22"/>
        <v>11.355079999999999</v>
      </c>
      <c r="EU33" s="1172"/>
      <c r="EV33" s="366"/>
      <c r="EW33" s="355"/>
      <c r="EX33" s="355"/>
      <c r="EY33" s="355"/>
      <c r="EZ33" s="1172"/>
      <c r="FA33" s="1173"/>
      <c r="FB33" s="368">
        <f t="shared" si="195"/>
        <v>413.49781889999997</v>
      </c>
      <c r="FC33" s="369">
        <f t="shared" si="196"/>
        <v>413.49781889999997</v>
      </c>
      <c r="FD33" s="369"/>
      <c r="FE33" s="61"/>
      <c r="FF33" s="368">
        <f t="shared" si="197"/>
        <v>505.3862231</v>
      </c>
      <c r="FG33" s="369">
        <f t="shared" si="426"/>
        <v>505.3862231</v>
      </c>
      <c r="FH33" s="369"/>
      <c r="FI33" s="369"/>
      <c r="FJ33" s="30">
        <v>1</v>
      </c>
      <c r="FK33" s="31">
        <v>0.2</v>
      </c>
      <c r="FL33" s="501">
        <v>0.8</v>
      </c>
      <c r="FM33" s="31">
        <f t="shared" si="198"/>
        <v>0.1</v>
      </c>
      <c r="FN33" s="501">
        <f t="shared" si="199"/>
        <v>1</v>
      </c>
      <c r="FO33" s="31">
        <f t="shared" si="200"/>
        <v>0.1</v>
      </c>
      <c r="FP33" s="31">
        <f t="shared" si="201"/>
        <v>1</v>
      </c>
      <c r="FQ33" s="31">
        <v>1</v>
      </c>
      <c r="FR33" s="31">
        <v>0</v>
      </c>
      <c r="FS33" s="89">
        <f t="shared" si="202"/>
        <v>1E-3</v>
      </c>
      <c r="FT33" s="31">
        <f t="shared" si="203"/>
        <v>0.05</v>
      </c>
      <c r="FU33" s="30">
        <v>0.05</v>
      </c>
      <c r="FV33" s="32">
        <f t="shared" si="25"/>
        <v>2.4224999999999997E-2</v>
      </c>
      <c r="FW33" s="31">
        <v>0.1</v>
      </c>
      <c r="FX33" s="77">
        <f t="shared" si="26"/>
        <v>9.0000000000000011E-2</v>
      </c>
      <c r="FY33" s="30"/>
      <c r="FZ33" s="32"/>
      <c r="GA33" s="31"/>
      <c r="GB33" s="77"/>
      <c r="GC33" s="378">
        <f t="shared" si="27"/>
        <v>4.12912E-2</v>
      </c>
      <c r="GD33" s="379">
        <f t="shared" si="204"/>
        <v>4.12912E-2</v>
      </c>
      <c r="GE33" s="379">
        <f t="shared" si="28"/>
        <v>0.61936799999999992</v>
      </c>
      <c r="GF33" s="379">
        <f t="shared" si="205"/>
        <v>0.61936799999999992</v>
      </c>
      <c r="GG33" s="379">
        <f t="shared" si="206"/>
        <v>2.2710159999999999</v>
      </c>
      <c r="GH33" s="218">
        <f t="shared" si="207"/>
        <v>9.0840639999999997</v>
      </c>
      <c r="GI33" s="379"/>
      <c r="GJ33" s="379"/>
      <c r="GK33" s="379"/>
      <c r="GL33" s="379"/>
      <c r="GM33" s="379"/>
      <c r="GN33" s="218"/>
      <c r="GO33" s="379">
        <f t="shared" si="208"/>
        <v>2.9316751999999999</v>
      </c>
      <c r="GP33" s="515">
        <f t="shared" si="209"/>
        <v>9.7447231999999993</v>
      </c>
      <c r="GQ33" s="379">
        <f t="shared" si="210"/>
        <v>2.789504915694609</v>
      </c>
      <c r="GR33" s="379">
        <f t="shared" si="211"/>
        <v>71.405312762812486</v>
      </c>
      <c r="GS33" s="355">
        <f t="shared" si="390"/>
        <v>2.5799773793749998E-2</v>
      </c>
      <c r="GT33" s="355">
        <f t="shared" si="391"/>
        <v>12.899886896875001</v>
      </c>
      <c r="GU33" s="355">
        <f t="shared" si="392"/>
        <v>0</v>
      </c>
      <c r="GV33" s="356">
        <f t="shared" si="393"/>
        <v>0</v>
      </c>
      <c r="GW33" s="355"/>
      <c r="GX33" s="355"/>
      <c r="GY33" s="355"/>
      <c r="GZ33" s="355"/>
      <c r="HA33" s="355"/>
      <c r="HB33" s="356"/>
      <c r="HC33" s="379">
        <f t="shared" si="212"/>
        <v>2.8153046894883591</v>
      </c>
      <c r="HD33" s="38">
        <f t="shared" si="213"/>
        <v>84.305199659687489</v>
      </c>
      <c r="HE33" s="527"/>
      <c r="HF33" s="529">
        <f t="shared" si="29"/>
        <v>8.3614679999999986</v>
      </c>
      <c r="HG33" s="529">
        <f t="shared" si="30"/>
        <v>8.3614679999999986</v>
      </c>
      <c r="HH33" s="529">
        <f t="shared" si="31"/>
        <v>0</v>
      </c>
      <c r="HI33" s="529">
        <f t="shared" si="32"/>
        <v>0</v>
      </c>
      <c r="HJ33" s="529">
        <f t="shared" si="33"/>
        <v>6.1936799999999996</v>
      </c>
      <c r="HK33" s="524">
        <f t="shared" si="34"/>
        <v>6.1936799999999996</v>
      </c>
      <c r="HL33" s="529">
        <f t="shared" si="35"/>
        <v>0</v>
      </c>
      <c r="HM33" s="529">
        <f t="shared" si="36"/>
        <v>0</v>
      </c>
      <c r="HN33" s="529">
        <f t="shared" si="37"/>
        <v>9.9698375625000004</v>
      </c>
      <c r="HO33" s="529">
        <f t="shared" si="38"/>
        <v>49.529567624999999</v>
      </c>
      <c r="HP33" s="529">
        <f t="shared" si="39"/>
        <v>10.322799999999999</v>
      </c>
      <c r="HQ33" s="524">
        <f t="shared" si="40"/>
        <v>10.322799999999999</v>
      </c>
      <c r="HR33" s="615">
        <f t="shared" si="214"/>
        <v>2.856595889488359</v>
      </c>
      <c r="HS33" s="615">
        <f>SUM(GD33,GR33,GT33,GJ33,GX33,GZ33,CG33)</f>
        <v>84.346490859687492</v>
      </c>
      <c r="HT33" s="615">
        <f t="shared" si="42"/>
        <v>0.61936799999999992</v>
      </c>
      <c r="HU33" s="615">
        <f t="shared" si="43"/>
        <v>0.61936799999999992</v>
      </c>
      <c r="HV33" s="615">
        <f t="shared" si="44"/>
        <v>2.2710159999999999</v>
      </c>
      <c r="HW33" s="615">
        <f t="shared" si="45"/>
        <v>9.0840639999999997</v>
      </c>
      <c r="HZ33" s="220"/>
      <c r="IA33" s="220"/>
      <c r="IB33" s="220"/>
      <c r="IC33" s="220"/>
      <c r="ID33" s="220"/>
      <c r="IE33" s="220"/>
      <c r="IF33" s="220"/>
      <c r="IG33" s="560"/>
      <c r="IH33" s="529">
        <f t="shared" si="215"/>
        <v>9.1976147999999994E-2</v>
      </c>
      <c r="II33" s="529">
        <f t="shared" si="216"/>
        <v>7.5253212E-2</v>
      </c>
      <c r="IJ33" s="529">
        <f t="shared" si="217"/>
        <v>0.150506424</v>
      </c>
      <c r="IK33" s="529">
        <f t="shared" si="218"/>
        <v>7.5253212E-2</v>
      </c>
      <c r="IL33" s="529">
        <f t="shared" si="219"/>
        <v>7.0654404599999987</v>
      </c>
      <c r="IM33" s="529">
        <f t="shared" si="220"/>
        <v>8.3614679999999986E-3</v>
      </c>
      <c r="IN33" s="529">
        <f t="shared" si="221"/>
        <v>8.3614679999999986E-3</v>
      </c>
      <c r="IO33" s="529">
        <f t="shared" si="222"/>
        <v>0.27592844399999994</v>
      </c>
      <c r="IP33" s="529">
        <f t="shared" si="223"/>
        <v>0.34282018799999991</v>
      </c>
      <c r="IQ33" s="529">
        <f t="shared" si="224"/>
        <v>0.43479633599999995</v>
      </c>
      <c r="IR33" s="529">
        <f t="shared" si="225"/>
        <v>0.34282018799999991</v>
      </c>
      <c r="IS33" s="529">
        <f t="shared" si="226"/>
        <v>7.0821633959999986</v>
      </c>
      <c r="IT33" s="529">
        <f t="shared" si="227"/>
        <v>8.3614679999999983E-2</v>
      </c>
      <c r="IU33" s="526">
        <f t="shared" si="228"/>
        <v>8.3614679999999983E-2</v>
      </c>
      <c r="IV33" s="884">
        <f t="shared" si="229"/>
        <v>0</v>
      </c>
      <c r="IW33" s="884">
        <f t="shared" si="230"/>
        <v>0</v>
      </c>
      <c r="IX33" s="529">
        <f t="shared" si="49"/>
        <v>0</v>
      </c>
      <c r="IY33" s="529">
        <f t="shared" si="50"/>
        <v>0</v>
      </c>
      <c r="IZ33" s="529">
        <f t="shared" si="51"/>
        <v>0</v>
      </c>
      <c r="JA33" s="529">
        <f t="shared" si="52"/>
        <v>0</v>
      </c>
      <c r="JB33" s="529">
        <f t="shared" si="53"/>
        <v>0</v>
      </c>
      <c r="JC33" s="529">
        <f t="shared" si="231"/>
        <v>0</v>
      </c>
      <c r="JD33" s="529">
        <f t="shared" si="232"/>
        <v>0</v>
      </c>
      <c r="JE33" s="529">
        <f t="shared" si="55"/>
        <v>0</v>
      </c>
      <c r="JF33" s="529">
        <f t="shared" si="56"/>
        <v>0</v>
      </c>
      <c r="JG33" s="529">
        <f t="shared" si="57"/>
        <v>0</v>
      </c>
      <c r="JH33" s="529">
        <f t="shared" si="58"/>
        <v>0</v>
      </c>
      <c r="JI33" s="480">
        <f t="shared" si="59"/>
        <v>0</v>
      </c>
      <c r="JJ33" s="884">
        <f t="shared" si="233"/>
        <v>6.8130480000000007E-2</v>
      </c>
      <c r="JK33" s="884">
        <f t="shared" si="234"/>
        <v>5.574312E-2</v>
      </c>
      <c r="JL33" s="529">
        <f t="shared" si="61"/>
        <v>0.11148624</v>
      </c>
      <c r="JM33" s="529">
        <f t="shared" si="62"/>
        <v>5.574312E-2</v>
      </c>
      <c r="JN33" s="529">
        <f t="shared" si="63"/>
        <v>5.2336595999999993</v>
      </c>
      <c r="JO33" s="529">
        <f t="shared" si="64"/>
        <v>6.19368E-3</v>
      </c>
      <c r="JP33" s="529">
        <f t="shared" si="65"/>
        <v>6.19368E-3</v>
      </c>
      <c r="JQ33" s="529">
        <f t="shared" si="235"/>
        <v>0.20439144000000001</v>
      </c>
      <c r="JR33" s="529">
        <f t="shared" si="236"/>
        <v>0.25394087999999998</v>
      </c>
      <c r="JS33" s="474">
        <f t="shared" si="67"/>
        <v>0.32207136000000003</v>
      </c>
      <c r="JT33" s="474">
        <f t="shared" si="68"/>
        <v>0.25394087999999998</v>
      </c>
      <c r="JU33" s="474">
        <f t="shared" si="69"/>
        <v>5.2460469599999993</v>
      </c>
      <c r="JV33" s="474">
        <f t="shared" si="70"/>
        <v>6.19368E-2</v>
      </c>
      <c r="JW33" s="134">
        <f t="shared" si="71"/>
        <v>6.19368E-2</v>
      </c>
      <c r="JX33" s="884">
        <f t="shared" si="237"/>
        <v>0</v>
      </c>
      <c r="JY33" s="884">
        <f t="shared" si="238"/>
        <v>0</v>
      </c>
      <c r="JZ33" s="529">
        <f t="shared" si="73"/>
        <v>0</v>
      </c>
      <c r="KA33" s="529">
        <f t="shared" si="74"/>
        <v>0</v>
      </c>
      <c r="KB33" s="529">
        <f t="shared" si="75"/>
        <v>0</v>
      </c>
      <c r="KC33" s="529">
        <f t="shared" si="76"/>
        <v>0</v>
      </c>
      <c r="KD33" s="529">
        <f t="shared" si="77"/>
        <v>0</v>
      </c>
      <c r="KE33" s="529">
        <f t="shared" si="239"/>
        <v>0</v>
      </c>
      <c r="KF33" s="529">
        <f t="shared" si="240"/>
        <v>0</v>
      </c>
      <c r="KG33" s="529">
        <f t="shared" si="79"/>
        <v>0</v>
      </c>
      <c r="KH33" s="529">
        <f t="shared" si="80"/>
        <v>0</v>
      </c>
      <c r="KI33" s="529">
        <f t="shared" si="81"/>
        <v>0</v>
      </c>
      <c r="KJ33" s="529">
        <f t="shared" si="82"/>
        <v>0</v>
      </c>
      <c r="KK33" s="526">
        <f t="shared" si="83"/>
        <v>0</v>
      </c>
      <c r="KL33" s="884">
        <f t="shared" si="241"/>
        <v>0.10966821318750002</v>
      </c>
      <c r="KM33" s="884">
        <f t="shared" si="242"/>
        <v>8.9728538062500016E-2</v>
      </c>
      <c r="KN33" s="529">
        <f t="shared" si="85"/>
        <v>0.17945707612500003</v>
      </c>
      <c r="KO33" s="529">
        <f t="shared" si="86"/>
        <v>8.9728538062500016E-2</v>
      </c>
      <c r="KP33" s="529">
        <f t="shared" si="87"/>
        <v>8.4245127403124993</v>
      </c>
      <c r="KQ33" s="529">
        <f t="shared" si="88"/>
        <v>9.9698375625000002E-3</v>
      </c>
      <c r="KR33" s="529">
        <f t="shared" si="89"/>
        <v>9.9698375625000002E-3</v>
      </c>
      <c r="KS33" s="529">
        <f t="shared" si="243"/>
        <v>1.634475731625</v>
      </c>
      <c r="KT33" s="529">
        <f t="shared" si="244"/>
        <v>2.0307122726249998</v>
      </c>
      <c r="KU33" s="529">
        <f t="shared" si="91"/>
        <v>2.5755375165000003</v>
      </c>
      <c r="KV33" s="529">
        <f t="shared" si="92"/>
        <v>2.0307122726249998</v>
      </c>
      <c r="KW33" s="529">
        <f t="shared" si="93"/>
        <v>41.951543778374997</v>
      </c>
      <c r="KX33" s="529">
        <f t="shared" si="94"/>
        <v>0.49529567624999998</v>
      </c>
      <c r="KY33" s="480">
        <f t="shared" si="95"/>
        <v>0.49529567624999998</v>
      </c>
      <c r="KZ33" s="884">
        <f t="shared" si="245"/>
        <v>0.11355080000000001</v>
      </c>
      <c r="LA33" s="884">
        <f t="shared" si="246"/>
        <v>9.2905200000000007E-2</v>
      </c>
      <c r="LB33" s="529">
        <f t="shared" si="97"/>
        <v>0.18581040000000001</v>
      </c>
      <c r="LC33" s="529">
        <f t="shared" si="98"/>
        <v>9.2905200000000007E-2</v>
      </c>
      <c r="LD33" s="529">
        <f t="shared" si="99"/>
        <v>8.7227659999999982</v>
      </c>
      <c r="LE33" s="529">
        <f t="shared" si="100"/>
        <v>1.03228E-2</v>
      </c>
      <c r="LF33" s="529">
        <f t="shared" si="101"/>
        <v>1.03228E-2</v>
      </c>
      <c r="LG33" s="529">
        <f t="shared" si="247"/>
        <v>0.34065239999999997</v>
      </c>
      <c r="LH33" s="529">
        <f t="shared" si="248"/>
        <v>0.42323479999999991</v>
      </c>
      <c r="LI33" s="355">
        <f t="shared" si="103"/>
        <v>0.53678559999999997</v>
      </c>
      <c r="LJ33" s="355">
        <f t="shared" si="104"/>
        <v>0.42323479999999991</v>
      </c>
      <c r="LK33" s="355">
        <f t="shared" si="105"/>
        <v>8.7434115999999982</v>
      </c>
      <c r="LL33" s="355">
        <f t="shared" si="106"/>
        <v>0.10322799999999999</v>
      </c>
      <c r="LM33" s="134">
        <f t="shared" si="107"/>
        <v>0.10322799999999999</v>
      </c>
      <c r="LN33" s="884">
        <f t="shared" si="249"/>
        <v>3.1422554784371949E-3</v>
      </c>
      <c r="LO33" s="884">
        <f t="shared" si="250"/>
        <v>8.5697876684650762E-4</v>
      </c>
      <c r="LP33" s="529">
        <f t="shared" si="109"/>
        <v>1.4568639036390631E-2</v>
      </c>
      <c r="LQ33" s="529">
        <f t="shared" si="110"/>
        <v>2.342408629380454E-2</v>
      </c>
      <c r="LR33" s="529">
        <f t="shared" si="111"/>
        <v>2.2852767115906873</v>
      </c>
      <c r="LS33" s="529">
        <f t="shared" si="112"/>
        <v>2.4852384238548721E-2</v>
      </c>
      <c r="LT33" s="529">
        <f t="shared" si="113"/>
        <v>2.8565958894883592E-3</v>
      </c>
      <c r="LU33" s="529">
        <f t="shared" si="251"/>
        <v>5.0607894515812495</v>
      </c>
      <c r="LV33" s="529">
        <f t="shared" si="252"/>
        <v>2.5303947257906247</v>
      </c>
      <c r="LW33" s="529">
        <f t="shared" si="115"/>
        <v>5.9042543601781254</v>
      </c>
      <c r="LX33" s="529">
        <f t="shared" si="116"/>
        <v>5.0607894515812495</v>
      </c>
      <c r="LY33" s="529">
        <f t="shared" si="117"/>
        <v>83.418679460230933</v>
      </c>
      <c r="LZ33" s="529">
        <f t="shared" si="118"/>
        <v>0.84346490859687495</v>
      </c>
      <c r="MA33" s="485">
        <f t="shared" si="119"/>
        <v>0.84346490859687495</v>
      </c>
      <c r="MB33" s="884">
        <f t="shared" si="253"/>
        <v>6.8130479999999993E-4</v>
      </c>
      <c r="MC33" s="884">
        <f t="shared" si="254"/>
        <v>1.8581039999999996E-4</v>
      </c>
      <c r="MD33" s="529">
        <f t="shared" si="121"/>
        <v>3.1587767999999997E-3</v>
      </c>
      <c r="ME33" s="529">
        <f t="shared" si="122"/>
        <v>5.0788175999999987E-3</v>
      </c>
      <c r="MF33" s="529">
        <f t="shared" si="123"/>
        <v>0.49549439999999995</v>
      </c>
      <c r="MG33" s="529">
        <f t="shared" si="124"/>
        <v>5.3885015999999989E-3</v>
      </c>
      <c r="MH33" s="529">
        <f t="shared" si="125"/>
        <v>6.1936799999999992E-4</v>
      </c>
      <c r="MI33" s="529">
        <f t="shared" si="255"/>
        <v>3.7162079999999993E-2</v>
      </c>
      <c r="MJ33" s="529">
        <f t="shared" si="256"/>
        <v>1.8581039999999997E-2</v>
      </c>
      <c r="MK33" s="529">
        <f t="shared" si="127"/>
        <v>4.335576E-2</v>
      </c>
      <c r="ML33" s="529">
        <f t="shared" si="128"/>
        <v>3.7162079999999993E-2</v>
      </c>
      <c r="MM33" s="529">
        <f t="shared" si="129"/>
        <v>0.61255495199999999</v>
      </c>
      <c r="MN33" s="529">
        <f t="shared" si="130"/>
        <v>6.1936799999999992E-3</v>
      </c>
      <c r="MO33" s="485">
        <f t="shared" si="131"/>
        <v>6.1936799999999992E-3</v>
      </c>
      <c r="MP33" s="884">
        <f t="shared" si="257"/>
        <v>2.4981176E-3</v>
      </c>
      <c r="MQ33" s="884">
        <f t="shared" si="258"/>
        <v>6.8130479999999993E-4</v>
      </c>
      <c r="MR33" s="529">
        <f t="shared" si="133"/>
        <v>1.15821816E-2</v>
      </c>
      <c r="MS33" s="529">
        <f t="shared" si="134"/>
        <v>1.8622331199999998E-2</v>
      </c>
      <c r="MT33" s="529">
        <f t="shared" si="135"/>
        <v>1.8168128000000001</v>
      </c>
      <c r="MU33" s="529">
        <f t="shared" si="136"/>
        <v>1.9757839199999998E-2</v>
      </c>
      <c r="MV33" s="529">
        <f t="shared" si="137"/>
        <v>2.2710159999999998E-3</v>
      </c>
      <c r="MW33" s="529">
        <f t="shared" si="259"/>
        <v>0.54504383999999995</v>
      </c>
      <c r="MX33" s="529">
        <f t="shared" si="260"/>
        <v>0.27252191999999997</v>
      </c>
      <c r="MY33" s="474">
        <f t="shared" si="139"/>
        <v>0.63588448000000009</v>
      </c>
      <c r="MZ33" s="474">
        <f t="shared" si="140"/>
        <v>0.54504383999999995</v>
      </c>
      <c r="NA33" s="474">
        <f t="shared" si="141"/>
        <v>8.9841392960000004</v>
      </c>
      <c r="NB33" s="474">
        <f t="shared" si="142"/>
        <v>9.084064E-2</v>
      </c>
      <c r="NC33" s="134">
        <f t="shared" si="143"/>
        <v>9.084064E-2</v>
      </c>
    </row>
    <row r="34" spans="1:367" x14ac:dyDescent="0.25">
      <c r="A34" s="18">
        <v>1979</v>
      </c>
      <c r="B34" s="1271">
        <v>1238</v>
      </c>
      <c r="C34" s="1224"/>
      <c r="D34" s="1224">
        <v>0</v>
      </c>
      <c r="E34" s="1272"/>
      <c r="F34" s="1226">
        <f t="shared" si="144"/>
        <v>1219.43</v>
      </c>
      <c r="G34" s="1226"/>
      <c r="H34" s="1224">
        <f t="shared" si="145"/>
        <v>0</v>
      </c>
      <c r="I34" s="1224"/>
      <c r="J34" s="1082">
        <v>0</v>
      </c>
      <c r="K34" s="1082">
        <f t="shared" si="0"/>
        <v>0</v>
      </c>
      <c r="L34" s="1226">
        <f t="shared" si="1"/>
        <v>1219.43</v>
      </c>
      <c r="M34" s="1227"/>
      <c r="N34" s="193">
        <v>8.0999999999999996E-3</v>
      </c>
      <c r="O34" s="47">
        <v>0</v>
      </c>
      <c r="P34" s="47">
        <v>6.0000000000000001E-3</v>
      </c>
      <c r="Q34" s="192">
        <v>0</v>
      </c>
      <c r="R34" s="47">
        <v>0</v>
      </c>
      <c r="S34" s="47">
        <f t="shared" si="146"/>
        <v>5.4000000000000003E-3</v>
      </c>
      <c r="T34" s="47">
        <v>0.01</v>
      </c>
      <c r="U34" s="47">
        <v>1.8E-3</v>
      </c>
      <c r="V34" s="117">
        <v>4.0000000000000003E-5</v>
      </c>
      <c r="W34" s="47">
        <v>5.9999999999999995E-4</v>
      </c>
      <c r="X34" s="52">
        <v>1.0999999999999999E-2</v>
      </c>
      <c r="Y34" s="52">
        <v>2.0199999999999999E-2</v>
      </c>
      <c r="Z34" s="111">
        <v>6.3E-2</v>
      </c>
      <c r="AA34" s="52">
        <f t="shared" si="147"/>
        <v>0.1</v>
      </c>
      <c r="AB34" s="52">
        <f t="shared" si="148"/>
        <v>0</v>
      </c>
      <c r="AC34" s="52">
        <f t="shared" si="149"/>
        <v>0.9</v>
      </c>
      <c r="AD34" s="475">
        <f t="shared" si="150"/>
        <v>9.877383</v>
      </c>
      <c r="AE34" s="474">
        <f t="shared" si="151"/>
        <v>9.877383</v>
      </c>
      <c r="AF34" s="474">
        <f t="shared" si="152"/>
        <v>0</v>
      </c>
      <c r="AG34" s="474">
        <f t="shared" si="151"/>
        <v>0</v>
      </c>
      <c r="AH34" s="474">
        <f t="shared" si="153"/>
        <v>7.316580000000001</v>
      </c>
      <c r="AI34" s="474">
        <f t="shared" ref="AI34" si="573">AH34</f>
        <v>7.316580000000001</v>
      </c>
      <c r="AJ34" s="508"/>
      <c r="AK34" s="508"/>
      <c r="AL34" s="508"/>
      <c r="AM34" s="508"/>
      <c r="AN34" s="508"/>
      <c r="AO34" s="572"/>
      <c r="AP34" s="481">
        <f t="shared" si="155"/>
        <v>9.877383</v>
      </c>
      <c r="AQ34" s="474">
        <f t="shared" ref="AQ34" si="574">AP34</f>
        <v>9.877383</v>
      </c>
      <c r="AR34" s="474">
        <f t="shared" si="157"/>
        <v>0</v>
      </c>
      <c r="AS34" s="474">
        <f t="shared" ref="AS34" si="575">AR34</f>
        <v>0</v>
      </c>
      <c r="AT34" s="474">
        <f t="shared" si="159"/>
        <v>7.316580000000001</v>
      </c>
      <c r="AU34" s="474">
        <f t="shared" ref="AU34" si="576">AT34</f>
        <v>7.316580000000001</v>
      </c>
      <c r="AV34" s="475">
        <f t="shared" si="2"/>
        <v>0</v>
      </c>
      <c r="AW34" s="474">
        <f t="shared" ref="AW34" si="577">AV34</f>
        <v>0</v>
      </c>
      <c r="AX34" s="474">
        <f t="shared" si="3"/>
        <v>6.5849220000000006</v>
      </c>
      <c r="AY34" s="474">
        <f t="shared" ref="AY34" si="578">AX34</f>
        <v>6.5849220000000006</v>
      </c>
      <c r="AZ34" s="474">
        <f t="shared" si="4"/>
        <v>12.1943</v>
      </c>
      <c r="BA34" s="474">
        <f t="shared" ref="BA34" si="579">AZ34</f>
        <v>12.1943</v>
      </c>
      <c r="BB34" s="481"/>
      <c r="BC34" s="474"/>
      <c r="BD34" s="474"/>
      <c r="BE34" s="474"/>
      <c r="BF34" s="474"/>
      <c r="BG34" s="474"/>
      <c r="BH34" s="481">
        <f t="shared" si="5"/>
        <v>0</v>
      </c>
      <c r="BI34" s="474">
        <f t="shared" ref="BI34" si="580">BH34</f>
        <v>0</v>
      </c>
      <c r="BJ34" s="474">
        <f t="shared" si="6"/>
        <v>6.5849220000000006</v>
      </c>
      <c r="BK34" s="474">
        <f t="shared" ref="BK34" si="581">BJ34</f>
        <v>6.5849220000000006</v>
      </c>
      <c r="BL34" s="474">
        <f t="shared" si="7"/>
        <v>12.1943</v>
      </c>
      <c r="BM34" s="474">
        <f t="shared" ref="BM34" si="582">BL34</f>
        <v>12.1943</v>
      </c>
      <c r="BN34" s="475">
        <f t="shared" si="8"/>
        <v>4.8777200000000007E-2</v>
      </c>
      <c r="BO34" s="474">
        <f t="shared" ref="BO34" si="583">BN34</f>
        <v>4.8777200000000007E-2</v>
      </c>
      <c r="BP34" s="474">
        <f t="shared" si="9"/>
        <v>0.73165799999999992</v>
      </c>
      <c r="BQ34" s="474">
        <f t="shared" ref="BQ34" si="584">BP34</f>
        <v>0.73165799999999992</v>
      </c>
      <c r="BR34" s="474">
        <f t="shared" si="10"/>
        <v>13.413729999999999</v>
      </c>
      <c r="BS34" s="474">
        <f t="shared" ref="BS34" si="585">BR34</f>
        <v>13.413729999999999</v>
      </c>
      <c r="BT34" s="481"/>
      <c r="BU34" s="474"/>
      <c r="BV34" s="474"/>
      <c r="BW34" s="474"/>
      <c r="BX34" s="474"/>
      <c r="BY34" s="474"/>
      <c r="BZ34" s="481">
        <f t="shared" si="11"/>
        <v>4.8777200000000007E-2</v>
      </c>
      <c r="CA34" s="474">
        <f t="shared" ref="CA34" si="586">BZ34</f>
        <v>4.8777200000000007E-2</v>
      </c>
      <c r="CB34" s="474">
        <f t="shared" si="12"/>
        <v>0.73165799999999992</v>
      </c>
      <c r="CC34" s="474">
        <f t="shared" ref="CC34" si="587">CB34</f>
        <v>0.73165799999999992</v>
      </c>
      <c r="CD34" s="474">
        <f t="shared" si="13"/>
        <v>13.413729999999999</v>
      </c>
      <c r="CE34" s="526">
        <f t="shared" ref="CE34" si="588">CD34</f>
        <v>13.413729999999999</v>
      </c>
      <c r="CF34" s="355">
        <f t="shared" si="173"/>
        <v>0</v>
      </c>
      <c r="CG34" s="615">
        <f t="shared" si="174"/>
        <v>0</v>
      </c>
      <c r="CH34" s="355">
        <f t="shared" si="175"/>
        <v>0</v>
      </c>
      <c r="CI34" s="615">
        <f t="shared" si="491"/>
        <v>0</v>
      </c>
      <c r="CJ34" s="615">
        <f t="shared" si="176"/>
        <v>0</v>
      </c>
      <c r="CK34" s="615">
        <f t="shared" si="492"/>
        <v>0</v>
      </c>
      <c r="CL34" s="122"/>
      <c r="CM34" s="1235">
        <f t="shared" si="16"/>
        <v>1142.60591</v>
      </c>
      <c r="CN34" s="1231"/>
      <c r="CO34" s="1230"/>
      <c r="CP34" s="1231"/>
      <c r="CQ34" s="1230">
        <f t="shared" si="177"/>
        <v>1142.60591</v>
      </c>
      <c r="CR34" s="1232"/>
      <c r="CS34" s="30">
        <v>0.45</v>
      </c>
      <c r="CT34" s="31">
        <f t="shared" si="178"/>
        <v>0.55000000000000004</v>
      </c>
      <c r="CU34" s="31"/>
      <c r="CV34" s="32"/>
      <c r="CW34" s="1233">
        <f t="shared" si="179"/>
        <v>488.46402652499995</v>
      </c>
      <c r="CX34" s="1234"/>
      <c r="CY34" s="1234">
        <f t="shared" si="180"/>
        <v>597.011587975</v>
      </c>
      <c r="CZ34" s="1231"/>
      <c r="DA34" s="369"/>
      <c r="DB34" s="369"/>
      <c r="DC34" s="369"/>
      <c r="DD34" s="373"/>
      <c r="DE34" s="1234">
        <f t="shared" si="17"/>
        <v>488.46402652499995</v>
      </c>
      <c r="DF34" s="1234"/>
      <c r="DG34" s="369">
        <f t="shared" si="341"/>
        <v>597.011587975</v>
      </c>
      <c r="DH34" s="372">
        <f t="shared" si="182"/>
        <v>597.011587975</v>
      </c>
      <c r="DJ34" s="493">
        <v>0.05</v>
      </c>
      <c r="DK34" s="379"/>
      <c r="DL34" s="1084">
        <f t="shared" si="18"/>
        <v>57.130295500000003</v>
      </c>
      <c r="DM34" s="1084">
        <f>DL34</f>
        <v>57.130295500000003</v>
      </c>
      <c r="DN34" s="369"/>
      <c r="DO34" s="372"/>
      <c r="DP34" s="30">
        <v>1</v>
      </c>
      <c r="DQ34" s="31">
        <f t="shared" si="183"/>
        <v>0.1</v>
      </c>
      <c r="DR34" s="31">
        <f t="shared" si="184"/>
        <v>1</v>
      </c>
      <c r="DS34" s="680">
        <f t="shared" si="185"/>
        <v>0.1</v>
      </c>
      <c r="DT34" s="77">
        <f t="shared" si="186"/>
        <v>1</v>
      </c>
      <c r="DU34" s="31">
        <v>0</v>
      </c>
      <c r="DV34" s="31">
        <v>1</v>
      </c>
      <c r="DW34" s="31">
        <v>0</v>
      </c>
      <c r="DX34" s="31">
        <v>0</v>
      </c>
      <c r="DY34" s="31">
        <v>1</v>
      </c>
      <c r="DZ34" s="31">
        <v>0</v>
      </c>
      <c r="EA34" s="383">
        <f t="shared" si="187"/>
        <v>0</v>
      </c>
      <c r="EB34" s="355">
        <f t="shared" si="188"/>
        <v>0</v>
      </c>
      <c r="EC34" s="355">
        <f t="shared" si="189"/>
        <v>5.2746306750000009</v>
      </c>
      <c r="ED34" s="355">
        <f t="shared" si="190"/>
        <v>52.746306750000002</v>
      </c>
      <c r="EE34" s="355">
        <f t="shared" si="191"/>
        <v>0</v>
      </c>
      <c r="EF34" s="355">
        <f t="shared" si="192"/>
        <v>0</v>
      </c>
      <c r="EG34" s="366"/>
      <c r="EH34" s="355"/>
      <c r="EI34" s="355"/>
      <c r="EJ34" s="355"/>
      <c r="EK34" s="355"/>
      <c r="EL34" s="356"/>
      <c r="EM34" s="355">
        <f t="shared" si="193"/>
        <v>5.2746306750000009</v>
      </c>
      <c r="EN34" s="134">
        <f t="shared" si="194"/>
        <v>52.746306750000002</v>
      </c>
      <c r="EP34" s="1171">
        <f t="shared" si="20"/>
        <v>4.8777200000000007E-2</v>
      </c>
      <c r="EQ34" s="1172"/>
      <c r="ER34" s="1172">
        <f t="shared" si="21"/>
        <v>0.73165799999999992</v>
      </c>
      <c r="ES34" s="1172"/>
      <c r="ET34" s="1172">
        <f t="shared" si="22"/>
        <v>13.413729999999999</v>
      </c>
      <c r="EU34" s="1172"/>
      <c r="EV34" s="366"/>
      <c r="EW34" s="355"/>
      <c r="EX34" s="355"/>
      <c r="EY34" s="355"/>
      <c r="EZ34" s="1172"/>
      <c r="FA34" s="1173"/>
      <c r="FB34" s="368">
        <f t="shared" si="195"/>
        <v>488.46402652499995</v>
      </c>
      <c r="FC34" s="369">
        <f t="shared" si="196"/>
        <v>488.46402652499995</v>
      </c>
      <c r="FD34" s="369"/>
      <c r="FE34" s="61"/>
      <c r="FF34" s="368">
        <f t="shared" si="197"/>
        <v>597.011587975</v>
      </c>
      <c r="FG34" s="369">
        <f t="shared" si="426"/>
        <v>597.011587975</v>
      </c>
      <c r="FH34" s="369"/>
      <c r="FI34" s="369"/>
      <c r="FJ34" s="30">
        <v>1</v>
      </c>
      <c r="FK34" s="31">
        <v>0.2</v>
      </c>
      <c r="FL34" s="501">
        <v>0.8</v>
      </c>
      <c r="FM34" s="31">
        <f t="shared" si="198"/>
        <v>0.1</v>
      </c>
      <c r="FN34" s="501">
        <f t="shared" si="199"/>
        <v>1</v>
      </c>
      <c r="FO34" s="31">
        <f t="shared" si="200"/>
        <v>0.1</v>
      </c>
      <c r="FP34" s="31">
        <f t="shared" si="201"/>
        <v>1</v>
      </c>
      <c r="FQ34" s="31">
        <v>1</v>
      </c>
      <c r="FR34" s="31">
        <v>0</v>
      </c>
      <c r="FS34" s="89">
        <f t="shared" si="202"/>
        <v>1E-3</v>
      </c>
      <c r="FT34" s="31">
        <f t="shared" si="203"/>
        <v>0.05</v>
      </c>
      <c r="FU34" s="30">
        <v>0.05</v>
      </c>
      <c r="FV34" s="32">
        <f t="shared" si="25"/>
        <v>2.4224999999999997E-2</v>
      </c>
      <c r="FW34" s="31">
        <v>0.1</v>
      </c>
      <c r="FX34" s="77">
        <f t="shared" si="26"/>
        <v>9.0000000000000011E-2</v>
      </c>
      <c r="FY34" s="30"/>
      <c r="FZ34" s="32"/>
      <c r="GA34" s="31"/>
      <c r="GB34" s="77"/>
      <c r="GC34" s="378">
        <f t="shared" si="27"/>
        <v>4.8777200000000007E-2</v>
      </c>
      <c r="GD34" s="379">
        <f t="shared" si="204"/>
        <v>4.8777200000000007E-2</v>
      </c>
      <c r="GE34" s="379">
        <f t="shared" si="28"/>
        <v>0.73165799999999992</v>
      </c>
      <c r="GF34" s="379">
        <f t="shared" si="205"/>
        <v>0.73165799999999992</v>
      </c>
      <c r="GG34" s="379">
        <f t="shared" si="206"/>
        <v>2.6827459999999999</v>
      </c>
      <c r="GH34" s="218">
        <f t="shared" si="207"/>
        <v>10.730983999999999</v>
      </c>
      <c r="GI34" s="379"/>
      <c r="GJ34" s="379"/>
      <c r="GK34" s="379"/>
      <c r="GL34" s="379"/>
      <c r="GM34" s="379"/>
      <c r="GN34" s="218"/>
      <c r="GO34" s="379">
        <f t="shared" si="208"/>
        <v>3.4631811999999997</v>
      </c>
      <c r="GP34" s="515">
        <f t="shared" si="209"/>
        <v>11.511419199999999</v>
      </c>
      <c r="GQ34" s="379">
        <f t="shared" si="210"/>
        <v>3.3474058988335313</v>
      </c>
      <c r="GR34" s="379">
        <f t="shared" si="211"/>
        <v>85.686375315374988</v>
      </c>
      <c r="GS34" s="355">
        <f t="shared" si="390"/>
        <v>3.0236370408750005E-2</v>
      </c>
      <c r="GT34" s="355">
        <f t="shared" si="391"/>
        <v>15.118185204375003</v>
      </c>
      <c r="GU34" s="355">
        <f t="shared" si="392"/>
        <v>0</v>
      </c>
      <c r="GV34" s="356">
        <f t="shared" si="393"/>
        <v>0</v>
      </c>
      <c r="GW34" s="355"/>
      <c r="GX34" s="355"/>
      <c r="GY34" s="355"/>
      <c r="GZ34" s="355"/>
      <c r="HA34" s="355"/>
      <c r="HB34" s="356"/>
      <c r="HC34" s="379">
        <f t="shared" si="212"/>
        <v>3.3776422692422812</v>
      </c>
      <c r="HD34" s="38">
        <f t="shared" si="213"/>
        <v>100.80456051975</v>
      </c>
      <c r="HE34" s="527"/>
      <c r="HF34" s="529">
        <f t="shared" si="29"/>
        <v>9.877383</v>
      </c>
      <c r="HG34" s="529">
        <f t="shared" si="30"/>
        <v>9.877383</v>
      </c>
      <c r="HH34" s="529">
        <f t="shared" si="31"/>
        <v>0</v>
      </c>
      <c r="HI34" s="529">
        <f t="shared" si="32"/>
        <v>0</v>
      </c>
      <c r="HJ34" s="529">
        <f t="shared" si="33"/>
        <v>7.316580000000001</v>
      </c>
      <c r="HK34" s="524">
        <f t="shared" si="34"/>
        <v>7.316580000000001</v>
      </c>
      <c r="HL34" s="529">
        <f t="shared" si="35"/>
        <v>0</v>
      </c>
      <c r="HM34" s="529">
        <f t="shared" si="36"/>
        <v>0</v>
      </c>
      <c r="HN34" s="529">
        <f t="shared" si="37"/>
        <v>11.859552675000002</v>
      </c>
      <c r="HO34" s="529">
        <f t="shared" si="38"/>
        <v>59.331228750000001</v>
      </c>
      <c r="HP34" s="529">
        <f t="shared" si="39"/>
        <v>12.1943</v>
      </c>
      <c r="HQ34" s="524">
        <f t="shared" si="40"/>
        <v>12.1943</v>
      </c>
      <c r="HR34" s="615">
        <f t="shared" si="214"/>
        <v>3.4264194692422811</v>
      </c>
      <c r="HS34" s="615">
        <f t="shared" si="41"/>
        <v>100.85333771974999</v>
      </c>
      <c r="HT34" s="615">
        <f t="shared" si="42"/>
        <v>0.73165799999999992</v>
      </c>
      <c r="HU34" s="615">
        <f t="shared" si="43"/>
        <v>0.73165799999999992</v>
      </c>
      <c r="HV34" s="615">
        <f t="shared" si="44"/>
        <v>2.6827459999999999</v>
      </c>
      <c r="HW34" s="615">
        <f t="shared" si="45"/>
        <v>10.730983999999999</v>
      </c>
      <c r="IG34" s="560"/>
      <c r="IH34" s="529">
        <f t="shared" si="215"/>
        <v>0.10865121300000001</v>
      </c>
      <c r="II34" s="529">
        <f t="shared" si="216"/>
        <v>8.8896447000000017E-2</v>
      </c>
      <c r="IJ34" s="529">
        <f t="shared" si="217"/>
        <v>0.17779289400000003</v>
      </c>
      <c r="IK34" s="529">
        <f t="shared" si="218"/>
        <v>8.8896447000000017E-2</v>
      </c>
      <c r="IL34" s="529">
        <f t="shared" si="219"/>
        <v>8.3463886350000003</v>
      </c>
      <c r="IM34" s="529">
        <f t="shared" si="220"/>
        <v>9.877383E-3</v>
      </c>
      <c r="IN34" s="529">
        <f t="shared" si="221"/>
        <v>9.877383E-3</v>
      </c>
      <c r="IO34" s="529">
        <f t="shared" si="222"/>
        <v>0.32595363900000002</v>
      </c>
      <c r="IP34" s="529">
        <f t="shared" si="223"/>
        <v>0.40497270299999993</v>
      </c>
      <c r="IQ34" s="529">
        <f t="shared" si="224"/>
        <v>0.51362391600000001</v>
      </c>
      <c r="IR34" s="529">
        <f t="shared" si="225"/>
        <v>0.40497270299999993</v>
      </c>
      <c r="IS34" s="529">
        <f t="shared" si="226"/>
        <v>8.3661434010000004</v>
      </c>
      <c r="IT34" s="529">
        <f t="shared" si="227"/>
        <v>9.8773830000000007E-2</v>
      </c>
      <c r="IU34" s="526">
        <f t="shared" si="228"/>
        <v>9.8773830000000007E-2</v>
      </c>
      <c r="IV34" s="884">
        <f t="shared" si="229"/>
        <v>0</v>
      </c>
      <c r="IW34" s="884">
        <f t="shared" si="230"/>
        <v>0</v>
      </c>
      <c r="IX34" s="529">
        <f t="shared" si="49"/>
        <v>0</v>
      </c>
      <c r="IY34" s="529">
        <f t="shared" si="50"/>
        <v>0</v>
      </c>
      <c r="IZ34" s="529">
        <f t="shared" si="51"/>
        <v>0</v>
      </c>
      <c r="JA34" s="529">
        <f t="shared" si="52"/>
        <v>0</v>
      </c>
      <c r="JB34" s="529">
        <f t="shared" si="53"/>
        <v>0</v>
      </c>
      <c r="JC34" s="529">
        <f t="shared" si="231"/>
        <v>0</v>
      </c>
      <c r="JD34" s="529">
        <f t="shared" si="232"/>
        <v>0</v>
      </c>
      <c r="JE34" s="529">
        <f t="shared" si="55"/>
        <v>0</v>
      </c>
      <c r="JF34" s="529">
        <f t="shared" si="56"/>
        <v>0</v>
      </c>
      <c r="JG34" s="529">
        <f t="shared" si="57"/>
        <v>0</v>
      </c>
      <c r="JH34" s="529">
        <f t="shared" si="58"/>
        <v>0</v>
      </c>
      <c r="JI34" s="480">
        <f t="shared" si="59"/>
        <v>0</v>
      </c>
      <c r="JJ34" s="884">
        <f t="shared" si="233"/>
        <v>8.048238000000002E-2</v>
      </c>
      <c r="JK34" s="884">
        <f t="shared" si="234"/>
        <v>6.5849220000000014E-2</v>
      </c>
      <c r="JL34" s="529">
        <f t="shared" si="61"/>
        <v>0.13169844000000003</v>
      </c>
      <c r="JM34" s="529">
        <f t="shared" si="62"/>
        <v>6.5849220000000014E-2</v>
      </c>
      <c r="JN34" s="529">
        <f t="shared" si="63"/>
        <v>6.1825101000000009</v>
      </c>
      <c r="JO34" s="529">
        <f t="shared" si="64"/>
        <v>7.3165800000000013E-3</v>
      </c>
      <c r="JP34" s="529">
        <f t="shared" si="65"/>
        <v>7.3165800000000013E-3</v>
      </c>
      <c r="JQ34" s="529">
        <f t="shared" si="235"/>
        <v>0.24144714000000003</v>
      </c>
      <c r="JR34" s="529">
        <f t="shared" si="236"/>
        <v>0.29997978000000003</v>
      </c>
      <c r="JS34" s="474">
        <f t="shared" si="67"/>
        <v>0.3804621600000001</v>
      </c>
      <c r="JT34" s="474">
        <f t="shared" si="68"/>
        <v>0.29997978000000003</v>
      </c>
      <c r="JU34" s="474">
        <f t="shared" si="69"/>
        <v>6.1971432600000007</v>
      </c>
      <c r="JV34" s="474">
        <f t="shared" si="70"/>
        <v>7.3165800000000017E-2</v>
      </c>
      <c r="JW34" s="134">
        <f t="shared" si="71"/>
        <v>7.3165800000000017E-2</v>
      </c>
      <c r="JX34" s="884">
        <f t="shared" si="237"/>
        <v>0</v>
      </c>
      <c r="JY34" s="884">
        <f t="shared" si="238"/>
        <v>0</v>
      </c>
      <c r="JZ34" s="529">
        <f t="shared" si="73"/>
        <v>0</v>
      </c>
      <c r="KA34" s="529">
        <f t="shared" si="74"/>
        <v>0</v>
      </c>
      <c r="KB34" s="529">
        <f t="shared" si="75"/>
        <v>0</v>
      </c>
      <c r="KC34" s="529">
        <f t="shared" si="76"/>
        <v>0</v>
      </c>
      <c r="KD34" s="529">
        <f t="shared" si="77"/>
        <v>0</v>
      </c>
      <c r="KE34" s="529">
        <f t="shared" si="239"/>
        <v>0</v>
      </c>
      <c r="KF34" s="529">
        <f t="shared" si="240"/>
        <v>0</v>
      </c>
      <c r="KG34" s="529">
        <f t="shared" si="79"/>
        <v>0</v>
      </c>
      <c r="KH34" s="529">
        <f t="shared" si="80"/>
        <v>0</v>
      </c>
      <c r="KI34" s="529">
        <f t="shared" si="81"/>
        <v>0</v>
      </c>
      <c r="KJ34" s="529">
        <f t="shared" si="82"/>
        <v>0</v>
      </c>
      <c r="KK34" s="526">
        <f t="shared" si="83"/>
        <v>0</v>
      </c>
      <c r="KL34" s="884">
        <f t="shared" si="241"/>
        <v>0.13045507942500004</v>
      </c>
      <c r="KM34" s="884">
        <f t="shared" si="242"/>
        <v>0.10673597407500003</v>
      </c>
      <c r="KN34" s="529">
        <f t="shared" si="85"/>
        <v>0.21347194815000006</v>
      </c>
      <c r="KO34" s="529">
        <f t="shared" si="86"/>
        <v>0.10673597407500003</v>
      </c>
      <c r="KP34" s="529">
        <f t="shared" si="87"/>
        <v>10.021322010375002</v>
      </c>
      <c r="KQ34" s="529">
        <f t="shared" si="88"/>
        <v>1.1859552675000001E-2</v>
      </c>
      <c r="KR34" s="529">
        <f t="shared" si="89"/>
        <v>1.1859552675000001E-2</v>
      </c>
      <c r="KS34" s="529">
        <f t="shared" si="243"/>
        <v>1.9579305487500001</v>
      </c>
      <c r="KT34" s="529">
        <f t="shared" si="244"/>
        <v>2.4325803787499996</v>
      </c>
      <c r="KU34" s="529">
        <f t="shared" si="91"/>
        <v>3.0852238950000004</v>
      </c>
      <c r="KV34" s="529">
        <f t="shared" si="92"/>
        <v>2.4325803787499996</v>
      </c>
      <c r="KW34" s="529">
        <f t="shared" si="93"/>
        <v>50.253550751249996</v>
      </c>
      <c r="KX34" s="529">
        <f t="shared" si="94"/>
        <v>0.59331228749999998</v>
      </c>
      <c r="KY34" s="480">
        <f t="shared" si="95"/>
        <v>0.59331228749999998</v>
      </c>
      <c r="KZ34" s="884">
        <f t="shared" si="245"/>
        <v>0.13413730000000001</v>
      </c>
      <c r="LA34" s="884">
        <f t="shared" si="246"/>
        <v>0.10974870000000002</v>
      </c>
      <c r="LB34" s="529">
        <f t="shared" si="97"/>
        <v>0.21949740000000004</v>
      </c>
      <c r="LC34" s="529">
        <f t="shared" si="98"/>
        <v>0.10974870000000002</v>
      </c>
      <c r="LD34" s="529">
        <f t="shared" si="99"/>
        <v>10.304183500000001</v>
      </c>
      <c r="LE34" s="529">
        <f t="shared" si="100"/>
        <v>1.21943E-2</v>
      </c>
      <c r="LF34" s="529">
        <f t="shared" si="101"/>
        <v>1.21943E-2</v>
      </c>
      <c r="LG34" s="529">
        <f t="shared" si="247"/>
        <v>0.40241190000000004</v>
      </c>
      <c r="LH34" s="529">
        <f t="shared" si="248"/>
        <v>0.49996629999999992</v>
      </c>
      <c r="LI34" s="355">
        <f t="shared" si="103"/>
        <v>0.6341036000000001</v>
      </c>
      <c r="LJ34" s="355">
        <f t="shared" si="104"/>
        <v>0.49996629999999992</v>
      </c>
      <c r="LK34" s="355">
        <f t="shared" si="105"/>
        <v>10.328572100000001</v>
      </c>
      <c r="LL34" s="355">
        <f t="shared" si="106"/>
        <v>0.12194300000000001</v>
      </c>
      <c r="LM34" s="134">
        <f t="shared" si="107"/>
        <v>0.12194300000000001</v>
      </c>
      <c r="LN34" s="884">
        <f t="shared" si="249"/>
        <v>3.7690614161665094E-3</v>
      </c>
      <c r="LO34" s="884">
        <f t="shared" si="250"/>
        <v>1.0279258407726842E-3</v>
      </c>
      <c r="LP34" s="529">
        <f t="shared" si="109"/>
        <v>1.7474739293135633E-2</v>
      </c>
      <c r="LQ34" s="529">
        <f t="shared" si="110"/>
        <v>2.8096639647786702E-2</v>
      </c>
      <c r="LR34" s="529">
        <f t="shared" si="111"/>
        <v>2.7411355753938249</v>
      </c>
      <c r="LS34" s="529">
        <f t="shared" si="112"/>
        <v>2.9809849382407844E-2</v>
      </c>
      <c r="LT34" s="529">
        <f t="shared" si="113"/>
        <v>3.4264194692422813E-3</v>
      </c>
      <c r="LU34" s="529">
        <f t="shared" si="251"/>
        <v>6.0512002631849988</v>
      </c>
      <c r="LV34" s="529">
        <f t="shared" si="252"/>
        <v>3.0256001315924994</v>
      </c>
      <c r="LW34" s="529">
        <f t="shared" si="115"/>
        <v>7.0597336403824995</v>
      </c>
      <c r="LX34" s="529">
        <f t="shared" si="116"/>
        <v>6.0512002631849988</v>
      </c>
      <c r="LY34" s="529">
        <f t="shared" si="117"/>
        <v>99.743951004832752</v>
      </c>
      <c r="LZ34" s="529">
        <f t="shared" si="118"/>
        <v>1.0085333771974998</v>
      </c>
      <c r="MA34" s="485">
        <f t="shared" si="119"/>
        <v>1.0085333771974998</v>
      </c>
      <c r="MB34" s="884">
        <f t="shared" si="253"/>
        <v>8.0482379999999992E-4</v>
      </c>
      <c r="MC34" s="884">
        <f t="shared" si="254"/>
        <v>2.1949739999999995E-4</v>
      </c>
      <c r="MD34" s="529">
        <f t="shared" si="121"/>
        <v>3.7314557999999997E-3</v>
      </c>
      <c r="ME34" s="529">
        <f t="shared" si="122"/>
        <v>5.9995955999999984E-3</v>
      </c>
      <c r="MF34" s="529">
        <f t="shared" si="123"/>
        <v>0.58532639999999991</v>
      </c>
      <c r="MG34" s="529">
        <f t="shared" si="124"/>
        <v>6.3654245999999991E-3</v>
      </c>
      <c r="MH34" s="529">
        <f t="shared" si="125"/>
        <v>7.3165799999999994E-4</v>
      </c>
      <c r="MI34" s="529">
        <f t="shared" si="255"/>
        <v>4.3899479999999991E-2</v>
      </c>
      <c r="MJ34" s="529">
        <f t="shared" si="256"/>
        <v>2.1949739999999995E-2</v>
      </c>
      <c r="MK34" s="529">
        <f t="shared" si="127"/>
        <v>5.1216060000000001E-2</v>
      </c>
      <c r="ML34" s="529">
        <f t="shared" si="128"/>
        <v>4.3899479999999991E-2</v>
      </c>
      <c r="MM34" s="529">
        <f t="shared" si="129"/>
        <v>0.72360976200000005</v>
      </c>
      <c r="MN34" s="529">
        <f t="shared" si="130"/>
        <v>7.3165799999999996E-3</v>
      </c>
      <c r="MO34" s="485">
        <f t="shared" si="131"/>
        <v>7.3165799999999996E-3</v>
      </c>
      <c r="MP34" s="884">
        <f t="shared" si="257"/>
        <v>2.9510206000000001E-3</v>
      </c>
      <c r="MQ34" s="884">
        <f t="shared" si="258"/>
        <v>8.0482379999999992E-4</v>
      </c>
      <c r="MR34" s="529">
        <f t="shared" si="133"/>
        <v>1.36820046E-2</v>
      </c>
      <c r="MS34" s="529">
        <f t="shared" si="134"/>
        <v>2.1998517199999994E-2</v>
      </c>
      <c r="MT34" s="529">
        <f t="shared" si="135"/>
        <v>2.1461967999999998</v>
      </c>
      <c r="MU34" s="529">
        <f t="shared" si="136"/>
        <v>2.3339890199999998E-2</v>
      </c>
      <c r="MV34" s="529">
        <f t="shared" si="137"/>
        <v>2.6827459999999997E-3</v>
      </c>
      <c r="MW34" s="529">
        <f t="shared" si="259"/>
        <v>0.64385903999999994</v>
      </c>
      <c r="MX34" s="529">
        <f t="shared" si="260"/>
        <v>0.32192951999999997</v>
      </c>
      <c r="MY34" s="474">
        <f t="shared" si="139"/>
        <v>0.75116888000000004</v>
      </c>
      <c r="MZ34" s="474">
        <f t="shared" si="140"/>
        <v>0.64385903999999994</v>
      </c>
      <c r="NA34" s="474">
        <f t="shared" si="141"/>
        <v>10.612943176</v>
      </c>
      <c r="NB34" s="474">
        <f t="shared" si="142"/>
        <v>0.10730983999999999</v>
      </c>
      <c r="NC34" s="134">
        <f t="shared" si="143"/>
        <v>0.10730983999999999</v>
      </c>
    </row>
    <row r="35" spans="1:367" x14ac:dyDescent="0.25">
      <c r="A35" s="18">
        <v>1980</v>
      </c>
      <c r="B35" s="1271">
        <v>1429</v>
      </c>
      <c r="C35" s="1224"/>
      <c r="D35" s="1224">
        <v>0</v>
      </c>
      <c r="E35" s="1272"/>
      <c r="F35" s="1226">
        <f t="shared" si="144"/>
        <v>1407.5650000000001</v>
      </c>
      <c r="G35" s="1226"/>
      <c r="H35" s="1224">
        <f t="shared" si="145"/>
        <v>0</v>
      </c>
      <c r="I35" s="1224"/>
      <c r="J35" s="1082">
        <v>0</v>
      </c>
      <c r="K35" s="1082">
        <f t="shared" si="0"/>
        <v>0</v>
      </c>
      <c r="L35" s="1226">
        <f t="shared" si="1"/>
        <v>1407.5650000000001</v>
      </c>
      <c r="M35" s="1227"/>
      <c r="N35" s="193">
        <v>8.0999999999999996E-3</v>
      </c>
      <c r="O35" s="47">
        <v>0</v>
      </c>
      <c r="P35" s="47">
        <v>6.0000000000000001E-3</v>
      </c>
      <c r="Q35" s="192">
        <v>0</v>
      </c>
      <c r="R35" s="47">
        <v>0</v>
      </c>
      <c r="S35" s="47">
        <f t="shared" si="146"/>
        <v>5.4000000000000003E-3</v>
      </c>
      <c r="T35" s="47">
        <v>0.01</v>
      </c>
      <c r="U35" s="47">
        <v>1.8E-3</v>
      </c>
      <c r="V35" s="117">
        <v>4.0000000000000003E-5</v>
      </c>
      <c r="W35" s="47">
        <v>5.9999999999999995E-4</v>
      </c>
      <c r="X35" s="52">
        <v>1.0999999999999999E-2</v>
      </c>
      <c r="Y35" s="52">
        <v>2.0199999999999999E-2</v>
      </c>
      <c r="Z35" s="111">
        <v>6.3E-2</v>
      </c>
      <c r="AA35" s="52">
        <f t="shared" si="147"/>
        <v>0.1</v>
      </c>
      <c r="AB35" s="52">
        <f t="shared" si="148"/>
        <v>0</v>
      </c>
      <c r="AC35" s="52">
        <f t="shared" si="149"/>
        <v>0.9</v>
      </c>
      <c r="AD35" s="475">
        <f t="shared" si="150"/>
        <v>11.4012765</v>
      </c>
      <c r="AE35" s="474">
        <f t="shared" si="151"/>
        <v>11.4012765</v>
      </c>
      <c r="AF35" s="474">
        <f t="shared" si="152"/>
        <v>0</v>
      </c>
      <c r="AG35" s="474">
        <f t="shared" si="151"/>
        <v>0</v>
      </c>
      <c r="AH35" s="474">
        <f t="shared" si="153"/>
        <v>8.4453899999999997</v>
      </c>
      <c r="AI35" s="474">
        <f t="shared" ref="AI35" si="589">AH35</f>
        <v>8.4453899999999997</v>
      </c>
      <c r="AJ35" s="508"/>
      <c r="AK35" s="508"/>
      <c r="AL35" s="508"/>
      <c r="AM35" s="508"/>
      <c r="AN35" s="508"/>
      <c r="AO35" s="572"/>
      <c r="AP35" s="481">
        <f t="shared" si="155"/>
        <v>11.4012765</v>
      </c>
      <c r="AQ35" s="474">
        <f t="shared" ref="AQ35" si="590">AP35</f>
        <v>11.4012765</v>
      </c>
      <c r="AR35" s="474">
        <f t="shared" si="157"/>
        <v>0</v>
      </c>
      <c r="AS35" s="474">
        <f t="shared" ref="AS35" si="591">AR35</f>
        <v>0</v>
      </c>
      <c r="AT35" s="474">
        <f t="shared" si="159"/>
        <v>8.4453899999999997</v>
      </c>
      <c r="AU35" s="474">
        <f t="shared" ref="AU35" si="592">AT35</f>
        <v>8.4453899999999997</v>
      </c>
      <c r="AV35" s="475">
        <f t="shared" si="2"/>
        <v>0</v>
      </c>
      <c r="AW35" s="474">
        <f t="shared" ref="AW35" si="593">AV35</f>
        <v>0</v>
      </c>
      <c r="AX35" s="474">
        <f t="shared" si="3"/>
        <v>7.6008510000000005</v>
      </c>
      <c r="AY35" s="474">
        <f t="shared" ref="AY35" si="594">AX35</f>
        <v>7.6008510000000005</v>
      </c>
      <c r="AZ35" s="474">
        <f t="shared" si="4"/>
        <v>14.075650000000001</v>
      </c>
      <c r="BA35" s="474">
        <f t="shared" ref="BA35" si="595">AZ35</f>
        <v>14.075650000000001</v>
      </c>
      <c r="BB35" s="481"/>
      <c r="BC35" s="474"/>
      <c r="BD35" s="474"/>
      <c r="BE35" s="474"/>
      <c r="BF35" s="474"/>
      <c r="BG35" s="474"/>
      <c r="BH35" s="481">
        <f t="shared" si="5"/>
        <v>0</v>
      </c>
      <c r="BI35" s="474">
        <f t="shared" ref="BI35" si="596">BH35</f>
        <v>0</v>
      </c>
      <c r="BJ35" s="474">
        <f t="shared" si="6"/>
        <v>7.6008510000000005</v>
      </c>
      <c r="BK35" s="474">
        <f t="shared" ref="BK35" si="597">BJ35</f>
        <v>7.6008510000000005</v>
      </c>
      <c r="BL35" s="474">
        <f t="shared" si="7"/>
        <v>14.075650000000001</v>
      </c>
      <c r="BM35" s="474">
        <f t="shared" ref="BM35" si="598">BL35</f>
        <v>14.075650000000001</v>
      </c>
      <c r="BN35" s="475">
        <f t="shared" si="8"/>
        <v>5.6302600000000008E-2</v>
      </c>
      <c r="BO35" s="474">
        <f t="shared" ref="BO35" si="599">BN35</f>
        <v>5.6302600000000008E-2</v>
      </c>
      <c r="BP35" s="474">
        <f t="shared" si="9"/>
        <v>0.84453899999999993</v>
      </c>
      <c r="BQ35" s="474">
        <f t="shared" ref="BQ35" si="600">BP35</f>
        <v>0.84453899999999993</v>
      </c>
      <c r="BR35" s="474">
        <f t="shared" si="10"/>
        <v>15.483215</v>
      </c>
      <c r="BS35" s="474">
        <f t="shared" ref="BS35" si="601">BR35</f>
        <v>15.483215</v>
      </c>
      <c r="BT35" s="481"/>
      <c r="BU35" s="474"/>
      <c r="BV35" s="474"/>
      <c r="BW35" s="474"/>
      <c r="BX35" s="474"/>
      <c r="BY35" s="474"/>
      <c r="BZ35" s="481">
        <f t="shared" si="11"/>
        <v>5.6302600000000008E-2</v>
      </c>
      <c r="CA35" s="474">
        <f t="shared" ref="CA35" si="602">BZ35</f>
        <v>5.6302600000000008E-2</v>
      </c>
      <c r="CB35" s="474">
        <f t="shared" si="12"/>
        <v>0.84453899999999993</v>
      </c>
      <c r="CC35" s="474">
        <f t="shared" ref="CC35" si="603">CB35</f>
        <v>0.84453899999999993</v>
      </c>
      <c r="CD35" s="474">
        <f t="shared" si="13"/>
        <v>15.483215</v>
      </c>
      <c r="CE35" s="526">
        <f t="shared" ref="CE35" si="604">CD35</f>
        <v>15.483215</v>
      </c>
      <c r="CF35" s="355">
        <f t="shared" si="173"/>
        <v>0</v>
      </c>
      <c r="CG35" s="615">
        <f t="shared" si="174"/>
        <v>0</v>
      </c>
      <c r="CH35" s="355">
        <f t="shared" si="175"/>
        <v>0</v>
      </c>
      <c r="CI35" s="615">
        <f t="shared" si="491"/>
        <v>0</v>
      </c>
      <c r="CJ35" s="615">
        <f t="shared" si="176"/>
        <v>0</v>
      </c>
      <c r="CK35" s="615">
        <f t="shared" si="492"/>
        <v>0</v>
      </c>
      <c r="CL35" s="122"/>
      <c r="CM35" s="1235">
        <f t="shared" si="16"/>
        <v>1318.8884050000001</v>
      </c>
      <c r="CN35" s="1231"/>
      <c r="CO35" s="1230"/>
      <c r="CP35" s="1231"/>
      <c r="CQ35" s="1230">
        <f t="shared" si="177"/>
        <v>1318.8884050000001</v>
      </c>
      <c r="CR35" s="1232"/>
      <c r="CS35" s="30">
        <v>0.45</v>
      </c>
      <c r="CT35" s="31">
        <f t="shared" si="178"/>
        <v>0.55000000000000004</v>
      </c>
      <c r="CU35" s="31"/>
      <c r="CV35" s="32"/>
      <c r="CW35" s="1233">
        <f t="shared" si="179"/>
        <v>563.82479313750002</v>
      </c>
      <c r="CX35" s="1234"/>
      <c r="CY35" s="1234">
        <f t="shared" si="180"/>
        <v>689.11919161250012</v>
      </c>
      <c r="CZ35" s="1231"/>
      <c r="DA35" s="369"/>
      <c r="DB35" s="369"/>
      <c r="DC35" s="369"/>
      <c r="DD35" s="373"/>
      <c r="DE35" s="1234">
        <f t="shared" si="17"/>
        <v>563.82479313750002</v>
      </c>
      <c r="DF35" s="1234"/>
      <c r="DG35" s="369">
        <f t="shared" si="341"/>
        <v>689.11919161250012</v>
      </c>
      <c r="DH35" s="372">
        <f t="shared" si="182"/>
        <v>689.11919161250012</v>
      </c>
      <c r="DJ35" s="493">
        <v>0.05</v>
      </c>
      <c r="DK35" s="379"/>
      <c r="DL35" s="1084">
        <f t="shared" si="18"/>
        <v>65.944420250000007</v>
      </c>
      <c r="DM35" s="1084">
        <f t="shared" ref="DM35:DM57" si="605">DL35</f>
        <v>65.944420250000007</v>
      </c>
      <c r="DN35" s="369"/>
      <c r="DO35" s="372"/>
      <c r="DP35" s="30">
        <v>1</v>
      </c>
      <c r="DQ35" s="31">
        <f t="shared" si="183"/>
        <v>0.1</v>
      </c>
      <c r="DR35" s="31">
        <f t="shared" si="184"/>
        <v>1</v>
      </c>
      <c r="DS35" s="680">
        <f t="shared" si="185"/>
        <v>0.1</v>
      </c>
      <c r="DT35" s="77">
        <f t="shared" si="186"/>
        <v>1</v>
      </c>
      <c r="DU35" s="31">
        <v>0</v>
      </c>
      <c r="DV35" s="31">
        <v>1</v>
      </c>
      <c r="DW35" s="31">
        <v>0</v>
      </c>
      <c r="DX35" s="31">
        <v>0</v>
      </c>
      <c r="DY35" s="31">
        <v>1</v>
      </c>
      <c r="DZ35" s="31">
        <v>0</v>
      </c>
      <c r="EA35" s="383">
        <f t="shared" si="187"/>
        <v>0</v>
      </c>
      <c r="EB35" s="355">
        <f t="shared" si="188"/>
        <v>0</v>
      </c>
      <c r="EC35" s="355">
        <f t="shared" si="189"/>
        <v>6.1537357875000005</v>
      </c>
      <c r="ED35" s="355">
        <f t="shared" si="190"/>
        <v>61.537357875000005</v>
      </c>
      <c r="EE35" s="355">
        <f t="shared" si="191"/>
        <v>0</v>
      </c>
      <c r="EF35" s="355">
        <f t="shared" si="192"/>
        <v>0</v>
      </c>
      <c r="EG35" s="366"/>
      <c r="EH35" s="355"/>
      <c r="EI35" s="355"/>
      <c r="EJ35" s="355"/>
      <c r="EK35" s="355"/>
      <c r="EL35" s="356"/>
      <c r="EM35" s="355">
        <f t="shared" si="193"/>
        <v>6.1537357875000005</v>
      </c>
      <c r="EN35" s="134">
        <f t="shared" si="194"/>
        <v>61.537357875000005</v>
      </c>
      <c r="EP35" s="1171">
        <f t="shared" si="20"/>
        <v>5.6302600000000008E-2</v>
      </c>
      <c r="EQ35" s="1172"/>
      <c r="ER35" s="1172">
        <f t="shared" si="21"/>
        <v>0.84453899999999993</v>
      </c>
      <c r="ES35" s="1172"/>
      <c r="ET35" s="1172">
        <f t="shared" si="22"/>
        <v>15.483215</v>
      </c>
      <c r="EU35" s="1172"/>
      <c r="EV35" s="366"/>
      <c r="EW35" s="355"/>
      <c r="EX35" s="355"/>
      <c r="EY35" s="355"/>
      <c r="EZ35" s="1172"/>
      <c r="FA35" s="1173"/>
      <c r="FB35" s="368">
        <f t="shared" si="195"/>
        <v>563.82479313750002</v>
      </c>
      <c r="FC35" s="369">
        <f t="shared" si="196"/>
        <v>563.82479313750002</v>
      </c>
      <c r="FD35" s="369"/>
      <c r="FE35" s="61"/>
      <c r="FF35" s="368">
        <f t="shared" si="197"/>
        <v>689.11919161250012</v>
      </c>
      <c r="FG35" s="369">
        <f t="shared" si="426"/>
        <v>689.11919161250012</v>
      </c>
      <c r="FH35" s="369"/>
      <c r="FI35" s="369"/>
      <c r="FJ35" s="30">
        <v>1</v>
      </c>
      <c r="FK35" s="31">
        <v>0.2</v>
      </c>
      <c r="FL35" s="501">
        <v>0.8</v>
      </c>
      <c r="FM35" s="31">
        <f t="shared" si="198"/>
        <v>0.1</v>
      </c>
      <c r="FN35" s="501">
        <f t="shared" si="199"/>
        <v>1</v>
      </c>
      <c r="FO35" s="31">
        <f t="shared" si="200"/>
        <v>0.1</v>
      </c>
      <c r="FP35" s="31">
        <f t="shared" si="201"/>
        <v>1</v>
      </c>
      <c r="FQ35" s="31">
        <v>1</v>
      </c>
      <c r="FR35" s="31">
        <v>0</v>
      </c>
      <c r="FS35" s="89">
        <f t="shared" si="202"/>
        <v>1E-3</v>
      </c>
      <c r="FT35" s="31">
        <f t="shared" si="203"/>
        <v>0.05</v>
      </c>
      <c r="FU35" s="30">
        <v>0.05</v>
      </c>
      <c r="FV35" s="32">
        <f t="shared" si="25"/>
        <v>2.4224999999999997E-2</v>
      </c>
      <c r="FW35" s="31">
        <v>0.1</v>
      </c>
      <c r="FX35" s="77">
        <f t="shared" si="26"/>
        <v>9.0000000000000011E-2</v>
      </c>
      <c r="FY35" s="30"/>
      <c r="FZ35" s="32"/>
      <c r="GA35" s="31"/>
      <c r="GB35" s="77"/>
      <c r="GC35" s="378">
        <f t="shared" si="27"/>
        <v>5.6302600000000008E-2</v>
      </c>
      <c r="GD35" s="379">
        <f t="shared" si="204"/>
        <v>5.6302600000000008E-2</v>
      </c>
      <c r="GE35" s="379">
        <f t="shared" si="28"/>
        <v>0.84453899999999993</v>
      </c>
      <c r="GF35" s="379">
        <f t="shared" si="205"/>
        <v>0.84453899999999993</v>
      </c>
      <c r="GG35" s="379">
        <f t="shared" si="206"/>
        <v>3.0966430000000003</v>
      </c>
      <c r="GH35" s="218">
        <f t="shared" si="207"/>
        <v>12.386572000000001</v>
      </c>
      <c r="GI35" s="379"/>
      <c r="GJ35" s="379"/>
      <c r="GK35" s="379"/>
      <c r="GL35" s="379"/>
      <c r="GM35" s="379"/>
      <c r="GN35" s="218"/>
      <c r="GO35" s="379">
        <f t="shared" si="208"/>
        <v>3.9974845999999999</v>
      </c>
      <c r="GP35" s="515">
        <f t="shared" si="209"/>
        <v>13.287413600000001</v>
      </c>
      <c r="GQ35" s="379">
        <f t="shared" si="210"/>
        <v>3.9053068819724532</v>
      </c>
      <c r="GR35" s="379">
        <f t="shared" si="211"/>
        <v>99.967437867937491</v>
      </c>
      <c r="GS35" s="355">
        <f t="shared" si="390"/>
        <v>3.5468660981875004E-2</v>
      </c>
      <c r="GT35" s="355">
        <f t="shared" si="391"/>
        <v>17.734330490937502</v>
      </c>
      <c r="GU35" s="355">
        <f t="shared" si="392"/>
        <v>0</v>
      </c>
      <c r="GV35" s="356">
        <f t="shared" si="393"/>
        <v>0</v>
      </c>
      <c r="GW35" s="355"/>
      <c r="GX35" s="355"/>
      <c r="GY35" s="355"/>
      <c r="GZ35" s="355"/>
      <c r="HA35" s="355"/>
      <c r="HB35" s="356"/>
      <c r="HC35" s="379">
        <f t="shared" si="212"/>
        <v>3.9407755429543281</v>
      </c>
      <c r="HD35" s="38">
        <f t="shared" si="213"/>
        <v>117.701768358875</v>
      </c>
      <c r="HE35" s="527"/>
      <c r="HF35" s="529">
        <f t="shared" si="29"/>
        <v>11.4012765</v>
      </c>
      <c r="HG35" s="529">
        <f t="shared" si="30"/>
        <v>11.4012765</v>
      </c>
      <c r="HH35" s="529">
        <f t="shared" si="31"/>
        <v>0</v>
      </c>
      <c r="HI35" s="529">
        <f t="shared" si="32"/>
        <v>0</v>
      </c>
      <c r="HJ35" s="529">
        <f t="shared" si="33"/>
        <v>8.4453899999999997</v>
      </c>
      <c r="HK35" s="524">
        <f t="shared" si="34"/>
        <v>8.4453899999999997</v>
      </c>
      <c r="HL35" s="529">
        <f t="shared" si="35"/>
        <v>0</v>
      </c>
      <c r="HM35" s="529">
        <f t="shared" si="36"/>
        <v>0</v>
      </c>
      <c r="HN35" s="529">
        <f t="shared" si="37"/>
        <v>13.754586787500001</v>
      </c>
      <c r="HO35" s="529">
        <f t="shared" si="38"/>
        <v>69.138208875000004</v>
      </c>
      <c r="HP35" s="529">
        <f t="shared" si="39"/>
        <v>14.075650000000001</v>
      </c>
      <c r="HQ35" s="524">
        <f t="shared" si="40"/>
        <v>14.075650000000001</v>
      </c>
      <c r="HR35" s="615">
        <f t="shared" si="214"/>
        <v>3.9970781429543281</v>
      </c>
      <c r="HS35" s="615">
        <f t="shared" si="41"/>
        <v>117.75807095887498</v>
      </c>
      <c r="HT35" s="615">
        <f t="shared" si="42"/>
        <v>0.84453899999999993</v>
      </c>
      <c r="HU35" s="615">
        <f t="shared" si="43"/>
        <v>0.84453899999999993</v>
      </c>
      <c r="HV35" s="615">
        <f t="shared" si="44"/>
        <v>3.0966430000000003</v>
      </c>
      <c r="HW35" s="615">
        <f t="shared" si="45"/>
        <v>12.386572000000001</v>
      </c>
      <c r="IG35" s="560"/>
      <c r="IH35" s="529">
        <f t="shared" si="215"/>
        <v>0.12541404150000002</v>
      </c>
      <c r="II35" s="529">
        <f t="shared" si="216"/>
        <v>0.10261148850000001</v>
      </c>
      <c r="IJ35" s="529">
        <f t="shared" si="217"/>
        <v>0.20522297700000003</v>
      </c>
      <c r="IK35" s="529">
        <f t="shared" si="218"/>
        <v>0.10261148850000001</v>
      </c>
      <c r="IL35" s="529">
        <f t="shared" si="219"/>
        <v>9.6340786424999987</v>
      </c>
      <c r="IM35" s="529">
        <f t="shared" si="220"/>
        <v>1.14012765E-2</v>
      </c>
      <c r="IN35" s="529">
        <f t="shared" si="221"/>
        <v>1.14012765E-2</v>
      </c>
      <c r="IO35" s="529">
        <f t="shared" si="222"/>
        <v>0.3762421245</v>
      </c>
      <c r="IP35" s="529">
        <f t="shared" si="223"/>
        <v>0.46745233649999995</v>
      </c>
      <c r="IQ35" s="529">
        <f t="shared" si="224"/>
        <v>0.59286637800000008</v>
      </c>
      <c r="IR35" s="529">
        <f t="shared" si="225"/>
        <v>0.46745233649999995</v>
      </c>
      <c r="IS35" s="529">
        <f t="shared" si="226"/>
        <v>9.6568811954999987</v>
      </c>
      <c r="IT35" s="529">
        <f t="shared" si="227"/>
        <v>0.114012765</v>
      </c>
      <c r="IU35" s="526">
        <f t="shared" si="228"/>
        <v>0.114012765</v>
      </c>
      <c r="IV35" s="884">
        <f t="shared" si="229"/>
        <v>0</v>
      </c>
      <c r="IW35" s="884">
        <f t="shared" si="230"/>
        <v>0</v>
      </c>
      <c r="IX35" s="529">
        <f t="shared" si="49"/>
        <v>0</v>
      </c>
      <c r="IY35" s="529">
        <f t="shared" si="50"/>
        <v>0</v>
      </c>
      <c r="IZ35" s="529">
        <f t="shared" si="51"/>
        <v>0</v>
      </c>
      <c r="JA35" s="529">
        <f t="shared" si="52"/>
        <v>0</v>
      </c>
      <c r="JB35" s="529">
        <f t="shared" si="53"/>
        <v>0</v>
      </c>
      <c r="JC35" s="529">
        <f t="shared" si="231"/>
        <v>0</v>
      </c>
      <c r="JD35" s="529">
        <f t="shared" si="232"/>
        <v>0</v>
      </c>
      <c r="JE35" s="529">
        <f t="shared" si="55"/>
        <v>0</v>
      </c>
      <c r="JF35" s="529">
        <f t="shared" si="56"/>
        <v>0</v>
      </c>
      <c r="JG35" s="529">
        <f t="shared" si="57"/>
        <v>0</v>
      </c>
      <c r="JH35" s="529">
        <f t="shared" si="58"/>
        <v>0</v>
      </c>
      <c r="JI35" s="480">
        <f t="shared" si="59"/>
        <v>0</v>
      </c>
      <c r="JJ35" s="884">
        <f t="shared" si="233"/>
        <v>9.2899290000000009E-2</v>
      </c>
      <c r="JK35" s="884">
        <f t="shared" si="234"/>
        <v>7.6008510000000001E-2</v>
      </c>
      <c r="JL35" s="529">
        <f t="shared" si="61"/>
        <v>0.15201702</v>
      </c>
      <c r="JM35" s="529">
        <f t="shared" si="62"/>
        <v>7.6008510000000001E-2</v>
      </c>
      <c r="JN35" s="529">
        <f t="shared" si="63"/>
        <v>7.1363545499999992</v>
      </c>
      <c r="JO35" s="529">
        <f t="shared" si="64"/>
        <v>8.4453900000000005E-3</v>
      </c>
      <c r="JP35" s="529">
        <f t="shared" si="65"/>
        <v>8.4453900000000005E-3</v>
      </c>
      <c r="JQ35" s="529">
        <f t="shared" si="235"/>
        <v>0.27869787000000001</v>
      </c>
      <c r="JR35" s="529">
        <f t="shared" si="236"/>
        <v>0.34626098999999994</v>
      </c>
      <c r="JS35" s="474">
        <f t="shared" si="67"/>
        <v>0.43916028000000001</v>
      </c>
      <c r="JT35" s="474">
        <f t="shared" si="68"/>
        <v>0.34626098999999994</v>
      </c>
      <c r="JU35" s="474">
        <f t="shared" si="69"/>
        <v>7.1532453299999998</v>
      </c>
      <c r="JV35" s="474">
        <f t="shared" si="70"/>
        <v>8.4453899999999998E-2</v>
      </c>
      <c r="JW35" s="134">
        <f t="shared" si="71"/>
        <v>8.4453899999999998E-2</v>
      </c>
      <c r="JX35" s="884">
        <f t="shared" si="237"/>
        <v>0</v>
      </c>
      <c r="JY35" s="884">
        <f t="shared" si="238"/>
        <v>0</v>
      </c>
      <c r="JZ35" s="529">
        <f t="shared" si="73"/>
        <v>0</v>
      </c>
      <c r="KA35" s="529">
        <f t="shared" si="74"/>
        <v>0</v>
      </c>
      <c r="KB35" s="529">
        <f t="shared" si="75"/>
        <v>0</v>
      </c>
      <c r="KC35" s="529">
        <f t="shared" si="76"/>
        <v>0</v>
      </c>
      <c r="KD35" s="529">
        <f t="shared" si="77"/>
        <v>0</v>
      </c>
      <c r="KE35" s="529">
        <f t="shared" si="239"/>
        <v>0</v>
      </c>
      <c r="KF35" s="529">
        <f t="shared" si="240"/>
        <v>0</v>
      </c>
      <c r="KG35" s="529">
        <f t="shared" si="79"/>
        <v>0</v>
      </c>
      <c r="KH35" s="529">
        <f t="shared" si="80"/>
        <v>0</v>
      </c>
      <c r="KI35" s="529">
        <f t="shared" si="81"/>
        <v>0</v>
      </c>
      <c r="KJ35" s="529">
        <f t="shared" si="82"/>
        <v>0</v>
      </c>
      <c r="KK35" s="526">
        <f t="shared" si="83"/>
        <v>0</v>
      </c>
      <c r="KL35" s="884">
        <f t="shared" si="241"/>
        <v>0.15130045466250003</v>
      </c>
      <c r="KM35" s="884">
        <f t="shared" si="242"/>
        <v>0.12379128108750002</v>
      </c>
      <c r="KN35" s="529">
        <f t="shared" si="85"/>
        <v>0.24758256217500005</v>
      </c>
      <c r="KO35" s="529">
        <f t="shared" si="86"/>
        <v>0.12379128108750002</v>
      </c>
      <c r="KP35" s="529">
        <f t="shared" si="87"/>
        <v>11.6226258354375</v>
      </c>
      <c r="KQ35" s="529">
        <f t="shared" si="88"/>
        <v>1.3754586787500002E-2</v>
      </c>
      <c r="KR35" s="529">
        <f t="shared" si="89"/>
        <v>1.3754586787500002E-2</v>
      </c>
      <c r="KS35" s="529">
        <f t="shared" si="243"/>
        <v>2.2815608928750004</v>
      </c>
      <c r="KT35" s="529">
        <f t="shared" si="244"/>
        <v>2.8346665638749999</v>
      </c>
      <c r="KU35" s="529">
        <f t="shared" si="91"/>
        <v>3.5951868615000007</v>
      </c>
      <c r="KV35" s="529">
        <f t="shared" si="92"/>
        <v>2.8346665638749999</v>
      </c>
      <c r="KW35" s="529">
        <f t="shared" si="93"/>
        <v>58.560062917125002</v>
      </c>
      <c r="KX35" s="529">
        <f t="shared" si="94"/>
        <v>0.69138208875000007</v>
      </c>
      <c r="KY35" s="480">
        <f t="shared" si="95"/>
        <v>0.69138208875000007</v>
      </c>
      <c r="KZ35" s="884">
        <f t="shared" si="245"/>
        <v>0.15483215000000003</v>
      </c>
      <c r="LA35" s="884">
        <f t="shared" si="246"/>
        <v>0.12668085000000004</v>
      </c>
      <c r="LB35" s="529">
        <f t="shared" si="97"/>
        <v>0.25336170000000008</v>
      </c>
      <c r="LC35" s="529">
        <f t="shared" si="98"/>
        <v>0.12668085000000004</v>
      </c>
      <c r="LD35" s="529">
        <f t="shared" si="99"/>
        <v>11.893924250000001</v>
      </c>
      <c r="LE35" s="529">
        <f t="shared" si="100"/>
        <v>1.4075650000000002E-2</v>
      </c>
      <c r="LF35" s="529">
        <f t="shared" si="101"/>
        <v>1.4075650000000002E-2</v>
      </c>
      <c r="LG35" s="529">
        <f t="shared" si="247"/>
        <v>0.46449645000000006</v>
      </c>
      <c r="LH35" s="529">
        <f t="shared" si="248"/>
        <v>0.57710165000000002</v>
      </c>
      <c r="LI35" s="355">
        <f t="shared" si="103"/>
        <v>0.73193380000000008</v>
      </c>
      <c r="LJ35" s="355">
        <f t="shared" si="104"/>
        <v>0.57710165000000002</v>
      </c>
      <c r="LK35" s="355">
        <f t="shared" si="105"/>
        <v>11.922075550000001</v>
      </c>
      <c r="LL35" s="355">
        <f t="shared" si="106"/>
        <v>0.14075650000000001</v>
      </c>
      <c r="LM35" s="134">
        <f t="shared" si="107"/>
        <v>0.14075650000000001</v>
      </c>
      <c r="LN35" s="884">
        <f t="shared" si="249"/>
        <v>4.3967859572497615E-3</v>
      </c>
      <c r="LO35" s="884">
        <f t="shared" si="250"/>
        <v>1.1991234428862982E-3</v>
      </c>
      <c r="LP35" s="529">
        <f t="shared" si="109"/>
        <v>2.0385098529067076E-2</v>
      </c>
      <c r="LQ35" s="529">
        <f t="shared" si="110"/>
        <v>3.2776040772225484E-2</v>
      </c>
      <c r="LR35" s="529">
        <f t="shared" si="111"/>
        <v>3.1976625143634627</v>
      </c>
      <c r="LS35" s="529">
        <f t="shared" si="112"/>
        <v>3.4774579843702649E-2</v>
      </c>
      <c r="LT35" s="529">
        <f t="shared" si="113"/>
        <v>3.9970781429543283E-3</v>
      </c>
      <c r="LU35" s="529">
        <f t="shared" si="251"/>
        <v>7.065484257532499</v>
      </c>
      <c r="LV35" s="529">
        <f t="shared" si="252"/>
        <v>3.5327421287662495</v>
      </c>
      <c r="LW35" s="529">
        <f t="shared" si="115"/>
        <v>8.2430649671212493</v>
      </c>
      <c r="LX35" s="529">
        <f t="shared" si="116"/>
        <v>7.065484257532499</v>
      </c>
      <c r="LY35" s="529">
        <f t="shared" si="117"/>
        <v>116.46273217832737</v>
      </c>
      <c r="LZ35" s="529">
        <f t="shared" si="118"/>
        <v>1.1775807095887498</v>
      </c>
      <c r="MA35" s="485">
        <f t="shared" si="119"/>
        <v>1.1775807095887498</v>
      </c>
      <c r="MB35" s="884">
        <f t="shared" si="253"/>
        <v>9.2899289999999999E-4</v>
      </c>
      <c r="MC35" s="884">
        <f t="shared" si="254"/>
        <v>2.5336169999999993E-4</v>
      </c>
      <c r="MD35" s="529">
        <f t="shared" si="121"/>
        <v>4.3071489000000001E-3</v>
      </c>
      <c r="ME35" s="529">
        <f t="shared" si="122"/>
        <v>6.9252197999999984E-3</v>
      </c>
      <c r="MF35" s="529">
        <f t="shared" si="123"/>
        <v>0.67563119999999999</v>
      </c>
      <c r="MG35" s="529">
        <f t="shared" si="124"/>
        <v>7.3474892999999993E-3</v>
      </c>
      <c r="MH35" s="529">
        <f t="shared" si="125"/>
        <v>8.4453899999999995E-4</v>
      </c>
      <c r="MI35" s="529">
        <f t="shared" si="255"/>
        <v>5.0672339999999996E-2</v>
      </c>
      <c r="MJ35" s="529">
        <f t="shared" si="256"/>
        <v>2.5336169999999998E-2</v>
      </c>
      <c r="MK35" s="529">
        <f t="shared" si="127"/>
        <v>5.911773E-2</v>
      </c>
      <c r="ML35" s="529">
        <f t="shared" si="128"/>
        <v>5.0672339999999996E-2</v>
      </c>
      <c r="MM35" s="529">
        <f t="shared" si="129"/>
        <v>0.83524907100000001</v>
      </c>
      <c r="MN35" s="529">
        <f t="shared" si="130"/>
        <v>8.4453899999999988E-3</v>
      </c>
      <c r="MO35" s="485">
        <f t="shared" si="131"/>
        <v>8.4453899999999988E-3</v>
      </c>
      <c r="MP35" s="884">
        <f t="shared" si="257"/>
        <v>3.4063073000000004E-3</v>
      </c>
      <c r="MQ35" s="884">
        <f t="shared" si="258"/>
        <v>9.2899289999999999E-4</v>
      </c>
      <c r="MR35" s="529">
        <f t="shared" si="133"/>
        <v>1.5792879300000003E-2</v>
      </c>
      <c r="MS35" s="529">
        <f t="shared" si="134"/>
        <v>2.53924726E-2</v>
      </c>
      <c r="MT35" s="529">
        <f t="shared" si="135"/>
        <v>2.4773144000000005</v>
      </c>
      <c r="MU35" s="529">
        <f t="shared" si="136"/>
        <v>2.6940794100000002E-2</v>
      </c>
      <c r="MV35" s="529">
        <f t="shared" si="137"/>
        <v>3.0966430000000005E-3</v>
      </c>
      <c r="MW35" s="529">
        <f t="shared" si="259"/>
        <v>0.74319432000000007</v>
      </c>
      <c r="MX35" s="529">
        <f t="shared" si="260"/>
        <v>0.37159716000000004</v>
      </c>
      <c r="MY35" s="474">
        <f t="shared" si="139"/>
        <v>0.86706004000000014</v>
      </c>
      <c r="MZ35" s="474">
        <f t="shared" si="140"/>
        <v>0.74319432000000007</v>
      </c>
      <c r="NA35" s="474">
        <f t="shared" si="141"/>
        <v>12.250319708000003</v>
      </c>
      <c r="NB35" s="474">
        <f t="shared" si="142"/>
        <v>0.12386572000000001</v>
      </c>
      <c r="NC35" s="134">
        <f t="shared" si="143"/>
        <v>0.12386572000000001</v>
      </c>
    </row>
    <row r="36" spans="1:367" x14ac:dyDescent="0.25">
      <c r="A36" s="18">
        <v>1981</v>
      </c>
      <c r="B36" s="1271">
        <v>1619</v>
      </c>
      <c r="C36" s="1224"/>
      <c r="D36" s="1224">
        <v>0</v>
      </c>
      <c r="E36" s="1272"/>
      <c r="F36" s="1226">
        <f t="shared" si="144"/>
        <v>1594.7149999999999</v>
      </c>
      <c r="G36" s="1226"/>
      <c r="H36" s="1224">
        <f t="shared" si="145"/>
        <v>0</v>
      </c>
      <c r="I36" s="1224"/>
      <c r="J36" s="1082">
        <v>0</v>
      </c>
      <c r="K36" s="1082">
        <f t="shared" si="0"/>
        <v>0</v>
      </c>
      <c r="L36" s="1226">
        <f t="shared" si="1"/>
        <v>1594.7149999999999</v>
      </c>
      <c r="M36" s="1227"/>
      <c r="N36" s="193">
        <v>8.0999999999999996E-3</v>
      </c>
      <c r="O36" s="47">
        <v>0</v>
      </c>
      <c r="P36" s="47">
        <v>6.0000000000000001E-3</v>
      </c>
      <c r="Q36" s="192">
        <v>0</v>
      </c>
      <c r="R36" s="47">
        <v>0</v>
      </c>
      <c r="S36" s="47">
        <f t="shared" si="146"/>
        <v>5.4000000000000003E-3</v>
      </c>
      <c r="T36" s="47">
        <v>0.01</v>
      </c>
      <c r="U36" s="47">
        <v>1.8E-3</v>
      </c>
      <c r="V36" s="117">
        <v>4.0000000000000003E-5</v>
      </c>
      <c r="W36" s="47">
        <v>5.9999999999999995E-4</v>
      </c>
      <c r="X36" s="52">
        <v>1.0999999999999999E-2</v>
      </c>
      <c r="Y36" s="52">
        <v>2.0199999999999999E-2</v>
      </c>
      <c r="Z36" s="111">
        <v>6.3E-2</v>
      </c>
      <c r="AA36" s="52">
        <f t="shared" si="147"/>
        <v>0.1</v>
      </c>
      <c r="AB36" s="52">
        <f t="shared" si="148"/>
        <v>0</v>
      </c>
      <c r="AC36" s="52">
        <f t="shared" si="149"/>
        <v>0.9</v>
      </c>
      <c r="AD36" s="475">
        <f t="shared" si="150"/>
        <v>12.917191499999999</v>
      </c>
      <c r="AE36" s="474">
        <f t="shared" si="151"/>
        <v>12.917191499999999</v>
      </c>
      <c r="AF36" s="474">
        <f t="shared" si="152"/>
        <v>0</v>
      </c>
      <c r="AG36" s="474">
        <f t="shared" si="151"/>
        <v>0</v>
      </c>
      <c r="AH36" s="474">
        <f t="shared" si="153"/>
        <v>9.5682899999999993</v>
      </c>
      <c r="AI36" s="474">
        <f t="shared" ref="AI36" si="606">AH36</f>
        <v>9.5682899999999993</v>
      </c>
      <c r="AJ36" s="508"/>
      <c r="AK36" s="508"/>
      <c r="AL36" s="508"/>
      <c r="AM36" s="508"/>
      <c r="AN36" s="508"/>
      <c r="AO36" s="572"/>
      <c r="AP36" s="481">
        <f t="shared" si="155"/>
        <v>12.917191499999999</v>
      </c>
      <c r="AQ36" s="474">
        <f t="shared" ref="AQ36" si="607">AP36</f>
        <v>12.917191499999999</v>
      </c>
      <c r="AR36" s="474">
        <f t="shared" si="157"/>
        <v>0</v>
      </c>
      <c r="AS36" s="474">
        <f t="shared" ref="AS36" si="608">AR36</f>
        <v>0</v>
      </c>
      <c r="AT36" s="474">
        <f t="shared" si="159"/>
        <v>9.5682899999999993</v>
      </c>
      <c r="AU36" s="474">
        <f t="shared" ref="AU36" si="609">AT36</f>
        <v>9.5682899999999993</v>
      </c>
      <c r="AV36" s="475">
        <f t="shared" si="2"/>
        <v>0</v>
      </c>
      <c r="AW36" s="474">
        <f t="shared" ref="AW36" si="610">AV36</f>
        <v>0</v>
      </c>
      <c r="AX36" s="474">
        <f t="shared" si="3"/>
        <v>8.6114610000000003</v>
      </c>
      <c r="AY36" s="474">
        <f t="shared" ref="AY36" si="611">AX36</f>
        <v>8.6114610000000003</v>
      </c>
      <c r="AZ36" s="474">
        <f t="shared" si="4"/>
        <v>15.947149999999999</v>
      </c>
      <c r="BA36" s="474">
        <f t="shared" ref="BA36" si="612">AZ36</f>
        <v>15.947149999999999</v>
      </c>
      <c r="BB36" s="481"/>
      <c r="BC36" s="474"/>
      <c r="BD36" s="474"/>
      <c r="BE36" s="474"/>
      <c r="BF36" s="474"/>
      <c r="BG36" s="474"/>
      <c r="BH36" s="481">
        <f t="shared" si="5"/>
        <v>0</v>
      </c>
      <c r="BI36" s="474">
        <f t="shared" ref="BI36" si="613">BH36</f>
        <v>0</v>
      </c>
      <c r="BJ36" s="474">
        <f t="shared" si="6"/>
        <v>8.6114610000000003</v>
      </c>
      <c r="BK36" s="474">
        <f t="shared" ref="BK36" si="614">BJ36</f>
        <v>8.6114610000000003</v>
      </c>
      <c r="BL36" s="474">
        <f t="shared" si="7"/>
        <v>15.947149999999999</v>
      </c>
      <c r="BM36" s="474">
        <f t="shared" ref="BM36" si="615">BL36</f>
        <v>15.947149999999999</v>
      </c>
      <c r="BN36" s="475">
        <f t="shared" si="8"/>
        <v>6.3788600000000001E-2</v>
      </c>
      <c r="BO36" s="474">
        <f t="shared" ref="BO36" si="616">BN36</f>
        <v>6.3788600000000001E-2</v>
      </c>
      <c r="BP36" s="474">
        <f t="shared" si="9"/>
        <v>0.95682899999999982</v>
      </c>
      <c r="BQ36" s="474">
        <f t="shared" ref="BQ36" si="617">BP36</f>
        <v>0.95682899999999982</v>
      </c>
      <c r="BR36" s="474">
        <f t="shared" si="10"/>
        <v>17.541864999999998</v>
      </c>
      <c r="BS36" s="474">
        <f t="shared" ref="BS36" si="618">BR36</f>
        <v>17.541864999999998</v>
      </c>
      <c r="BT36" s="481"/>
      <c r="BU36" s="474"/>
      <c r="BV36" s="474"/>
      <c r="BW36" s="474"/>
      <c r="BX36" s="474"/>
      <c r="BY36" s="474"/>
      <c r="BZ36" s="481">
        <f t="shared" si="11"/>
        <v>6.3788600000000001E-2</v>
      </c>
      <c r="CA36" s="474">
        <f t="shared" ref="CA36" si="619">BZ36</f>
        <v>6.3788600000000001E-2</v>
      </c>
      <c r="CB36" s="474">
        <f t="shared" si="12"/>
        <v>0.95682899999999982</v>
      </c>
      <c r="CC36" s="474">
        <f t="shared" ref="CC36" si="620">CB36</f>
        <v>0.95682899999999982</v>
      </c>
      <c r="CD36" s="474">
        <f t="shared" si="13"/>
        <v>17.541864999999998</v>
      </c>
      <c r="CE36" s="526">
        <f t="shared" ref="CE36" si="621">CD36</f>
        <v>17.541864999999998</v>
      </c>
      <c r="CF36" s="355">
        <f t="shared" si="173"/>
        <v>0</v>
      </c>
      <c r="CG36" s="615">
        <f t="shared" si="174"/>
        <v>0</v>
      </c>
      <c r="CH36" s="355">
        <f t="shared" si="175"/>
        <v>0</v>
      </c>
      <c r="CI36" s="615">
        <f t="shared" si="491"/>
        <v>0</v>
      </c>
      <c r="CJ36" s="615">
        <f t="shared" si="176"/>
        <v>0</v>
      </c>
      <c r="CK36" s="615">
        <f t="shared" si="492"/>
        <v>0</v>
      </c>
      <c r="CL36" s="122"/>
      <c r="CM36" s="1235">
        <f t="shared" si="16"/>
        <v>1494.2479549999998</v>
      </c>
      <c r="CN36" s="1231"/>
      <c r="CO36" s="1230"/>
      <c r="CP36" s="1231"/>
      <c r="CQ36" s="1230">
        <f t="shared" si="177"/>
        <v>1494.2479549999998</v>
      </c>
      <c r="CR36" s="1232"/>
      <c r="CS36" s="30">
        <v>0.45</v>
      </c>
      <c r="CT36" s="31">
        <f t="shared" si="178"/>
        <v>0.55000000000000004</v>
      </c>
      <c r="CU36" s="31"/>
      <c r="CV36" s="32"/>
      <c r="CW36" s="1233">
        <f t="shared" si="179"/>
        <v>638.79100076249995</v>
      </c>
      <c r="CX36" s="1234"/>
      <c r="CY36" s="1234">
        <f t="shared" si="180"/>
        <v>780.74455648749995</v>
      </c>
      <c r="CZ36" s="1231"/>
      <c r="DA36" s="369"/>
      <c r="DB36" s="369"/>
      <c r="DC36" s="369"/>
      <c r="DD36" s="373"/>
      <c r="DE36" s="1234">
        <f t="shared" si="17"/>
        <v>638.79100076249995</v>
      </c>
      <c r="DF36" s="1234"/>
      <c r="DG36" s="369">
        <f t="shared" si="341"/>
        <v>780.74455648749995</v>
      </c>
      <c r="DH36" s="372">
        <f t="shared" si="182"/>
        <v>780.74455648749995</v>
      </c>
      <c r="DJ36" s="493">
        <v>0.05</v>
      </c>
      <c r="DK36" s="379"/>
      <c r="DL36" s="1084">
        <f t="shared" si="18"/>
        <v>74.712397749999994</v>
      </c>
      <c r="DM36" s="1084">
        <f t="shared" si="605"/>
        <v>74.712397749999994</v>
      </c>
      <c r="DN36" s="369"/>
      <c r="DO36" s="372"/>
      <c r="DP36" s="30">
        <v>1</v>
      </c>
      <c r="DQ36" s="31">
        <f t="shared" si="183"/>
        <v>0.1</v>
      </c>
      <c r="DR36" s="31">
        <f t="shared" si="184"/>
        <v>1</v>
      </c>
      <c r="DS36" s="680">
        <f t="shared" si="185"/>
        <v>0.1</v>
      </c>
      <c r="DT36" s="77">
        <f t="shared" si="186"/>
        <v>1</v>
      </c>
      <c r="DU36" s="31">
        <v>0</v>
      </c>
      <c r="DV36" s="31">
        <v>1</v>
      </c>
      <c r="DW36" s="31">
        <v>0</v>
      </c>
      <c r="DX36" s="31">
        <v>0</v>
      </c>
      <c r="DY36" s="31">
        <v>1</v>
      </c>
      <c r="DZ36" s="31">
        <v>0</v>
      </c>
      <c r="EA36" s="383">
        <f t="shared" si="187"/>
        <v>0</v>
      </c>
      <c r="EB36" s="355">
        <f t="shared" si="188"/>
        <v>0</v>
      </c>
      <c r="EC36" s="355">
        <f t="shared" si="189"/>
        <v>7.0328409000000001</v>
      </c>
      <c r="ED36" s="355">
        <f t="shared" si="190"/>
        <v>70.328408999999994</v>
      </c>
      <c r="EE36" s="355">
        <f t="shared" si="191"/>
        <v>0</v>
      </c>
      <c r="EF36" s="355">
        <f t="shared" si="192"/>
        <v>0</v>
      </c>
      <c r="EG36" s="366"/>
      <c r="EH36" s="355"/>
      <c r="EI36" s="355"/>
      <c r="EJ36" s="355"/>
      <c r="EK36" s="355"/>
      <c r="EL36" s="356"/>
      <c r="EM36" s="355">
        <f t="shared" si="193"/>
        <v>7.0328409000000001</v>
      </c>
      <c r="EN36" s="134">
        <f t="shared" si="194"/>
        <v>70.328408999999994</v>
      </c>
      <c r="EP36" s="1171">
        <f t="shared" si="20"/>
        <v>6.3788600000000001E-2</v>
      </c>
      <c r="EQ36" s="1172"/>
      <c r="ER36" s="1172">
        <f t="shared" si="21"/>
        <v>0.95682899999999982</v>
      </c>
      <c r="ES36" s="1172"/>
      <c r="ET36" s="1172">
        <f t="shared" si="22"/>
        <v>17.541864999999998</v>
      </c>
      <c r="EU36" s="1172"/>
      <c r="EV36" s="366"/>
      <c r="EW36" s="355"/>
      <c r="EX36" s="355"/>
      <c r="EY36" s="355"/>
      <c r="EZ36" s="1172"/>
      <c r="FA36" s="1173"/>
      <c r="FB36" s="368">
        <f t="shared" si="195"/>
        <v>638.79100076249995</v>
      </c>
      <c r="FC36" s="369">
        <f t="shared" si="196"/>
        <v>638.79100076249995</v>
      </c>
      <c r="FD36" s="369"/>
      <c r="FE36" s="61"/>
      <c r="FF36" s="368">
        <f t="shared" si="197"/>
        <v>780.74455648749995</v>
      </c>
      <c r="FG36" s="369">
        <f t="shared" si="426"/>
        <v>780.74455648749995</v>
      </c>
      <c r="FH36" s="369"/>
      <c r="FI36" s="369"/>
      <c r="FJ36" s="30">
        <v>1</v>
      </c>
      <c r="FK36" s="31">
        <v>0.2</v>
      </c>
      <c r="FL36" s="501">
        <v>0.8</v>
      </c>
      <c r="FM36" s="31">
        <f t="shared" si="198"/>
        <v>0.1</v>
      </c>
      <c r="FN36" s="501">
        <f t="shared" si="199"/>
        <v>1</v>
      </c>
      <c r="FO36" s="31">
        <f t="shared" si="200"/>
        <v>0.1</v>
      </c>
      <c r="FP36" s="31">
        <f t="shared" si="201"/>
        <v>1</v>
      </c>
      <c r="FQ36" s="31">
        <v>1</v>
      </c>
      <c r="FR36" s="31">
        <v>0</v>
      </c>
      <c r="FS36" s="89">
        <f t="shared" si="202"/>
        <v>1E-3</v>
      </c>
      <c r="FT36" s="31">
        <f t="shared" si="203"/>
        <v>0.05</v>
      </c>
      <c r="FU36" s="30">
        <v>0.05</v>
      </c>
      <c r="FV36" s="32">
        <f t="shared" si="25"/>
        <v>2.4224999999999997E-2</v>
      </c>
      <c r="FW36" s="31">
        <v>0.1</v>
      </c>
      <c r="FX36" s="77">
        <f t="shared" si="26"/>
        <v>9.0000000000000011E-2</v>
      </c>
      <c r="FY36" s="30"/>
      <c r="FZ36" s="32"/>
      <c r="GA36" s="31"/>
      <c r="GB36" s="77"/>
      <c r="GC36" s="378">
        <f t="shared" si="27"/>
        <v>6.3788600000000001E-2</v>
      </c>
      <c r="GD36" s="379">
        <f t="shared" si="204"/>
        <v>6.3788600000000001E-2</v>
      </c>
      <c r="GE36" s="379">
        <f t="shared" si="28"/>
        <v>0.95682899999999982</v>
      </c>
      <c r="GF36" s="379">
        <f t="shared" si="205"/>
        <v>0.95682899999999982</v>
      </c>
      <c r="GG36" s="379">
        <f t="shared" si="206"/>
        <v>3.5083729999999997</v>
      </c>
      <c r="GH36" s="218">
        <f t="shared" si="207"/>
        <v>14.033491999999999</v>
      </c>
      <c r="GI36" s="379"/>
      <c r="GJ36" s="379"/>
      <c r="GK36" s="379"/>
      <c r="GL36" s="379"/>
      <c r="GM36" s="379"/>
      <c r="GN36" s="218"/>
      <c r="GO36" s="379">
        <f t="shared" si="208"/>
        <v>4.5289905999999993</v>
      </c>
      <c r="GP36" s="515">
        <f t="shared" si="209"/>
        <v>15.054109599999999</v>
      </c>
      <c r="GQ36" s="379">
        <f t="shared" si="210"/>
        <v>4.4632078651113751</v>
      </c>
      <c r="GR36" s="379">
        <f t="shared" si="211"/>
        <v>114.24850042049999</v>
      </c>
      <c r="GS36" s="355">
        <f t="shared" si="390"/>
        <v>4.149182312550001E-2</v>
      </c>
      <c r="GT36" s="355">
        <f t="shared" si="391"/>
        <v>20.745911562749999</v>
      </c>
      <c r="GU36" s="355">
        <f t="shared" si="392"/>
        <v>0</v>
      </c>
      <c r="GV36" s="356">
        <f t="shared" si="393"/>
        <v>0</v>
      </c>
      <c r="GW36" s="355"/>
      <c r="GX36" s="355"/>
      <c r="GY36" s="355"/>
      <c r="GZ36" s="355"/>
      <c r="HA36" s="355"/>
      <c r="HB36" s="356"/>
      <c r="HC36" s="379">
        <f t="shared" si="212"/>
        <v>4.5046996882368751</v>
      </c>
      <c r="HD36" s="38">
        <f t="shared" si="213"/>
        <v>134.99441198324999</v>
      </c>
      <c r="HE36" s="527"/>
      <c r="HF36" s="529">
        <f t="shared" si="29"/>
        <v>12.917191499999999</v>
      </c>
      <c r="HG36" s="529">
        <f t="shared" si="30"/>
        <v>12.917191499999999</v>
      </c>
      <c r="HH36" s="529">
        <f t="shared" si="31"/>
        <v>0</v>
      </c>
      <c r="HI36" s="529">
        <f t="shared" si="32"/>
        <v>0</v>
      </c>
      <c r="HJ36" s="529">
        <f t="shared" si="33"/>
        <v>9.5682899999999993</v>
      </c>
      <c r="HK36" s="524">
        <f t="shared" si="34"/>
        <v>9.5682899999999993</v>
      </c>
      <c r="HL36" s="529">
        <f t="shared" si="35"/>
        <v>0</v>
      </c>
      <c r="HM36" s="529">
        <f t="shared" si="36"/>
        <v>0</v>
      </c>
      <c r="HN36" s="529">
        <f t="shared" si="37"/>
        <v>15.6443019</v>
      </c>
      <c r="HO36" s="529">
        <f t="shared" si="38"/>
        <v>78.939869999999999</v>
      </c>
      <c r="HP36" s="529">
        <f t="shared" si="39"/>
        <v>15.947149999999999</v>
      </c>
      <c r="HQ36" s="524">
        <f t="shared" si="40"/>
        <v>15.947149999999999</v>
      </c>
      <c r="HR36" s="615">
        <f t="shared" si="214"/>
        <v>4.5684882882368747</v>
      </c>
      <c r="HS36" s="615">
        <f t="shared" si="41"/>
        <v>135.05820058325</v>
      </c>
      <c r="HT36" s="615">
        <f t="shared" si="42"/>
        <v>0.95682899999999982</v>
      </c>
      <c r="HU36" s="615">
        <f t="shared" si="43"/>
        <v>0.95682899999999982</v>
      </c>
      <c r="HV36" s="615">
        <f t="shared" si="44"/>
        <v>3.5083729999999997</v>
      </c>
      <c r="HW36" s="615">
        <f t="shared" si="45"/>
        <v>14.033491999999999</v>
      </c>
      <c r="IG36" s="560"/>
      <c r="IH36" s="529">
        <f t="shared" si="215"/>
        <v>0.14208910650000001</v>
      </c>
      <c r="II36" s="529">
        <f t="shared" si="216"/>
        <v>0.1162547235</v>
      </c>
      <c r="IJ36" s="529">
        <f t="shared" si="217"/>
        <v>0.23250944700000001</v>
      </c>
      <c r="IK36" s="529">
        <f t="shared" si="218"/>
        <v>0.1162547235</v>
      </c>
      <c r="IL36" s="529">
        <f t="shared" si="219"/>
        <v>10.915026817499999</v>
      </c>
      <c r="IM36" s="529">
        <f t="shared" si="220"/>
        <v>1.2917191499999999E-2</v>
      </c>
      <c r="IN36" s="529">
        <f t="shared" si="221"/>
        <v>1.2917191499999999E-2</v>
      </c>
      <c r="IO36" s="529">
        <f t="shared" si="222"/>
        <v>0.42626731950000002</v>
      </c>
      <c r="IP36" s="529">
        <f t="shared" si="223"/>
        <v>0.52960485149999992</v>
      </c>
      <c r="IQ36" s="529">
        <f t="shared" si="224"/>
        <v>0.67169395799999998</v>
      </c>
      <c r="IR36" s="529">
        <f t="shared" si="225"/>
        <v>0.52960485149999992</v>
      </c>
      <c r="IS36" s="529">
        <f t="shared" si="226"/>
        <v>10.940861200499999</v>
      </c>
      <c r="IT36" s="529">
        <f t="shared" si="227"/>
        <v>0.129171915</v>
      </c>
      <c r="IU36" s="526">
        <f t="shared" si="228"/>
        <v>0.129171915</v>
      </c>
      <c r="IV36" s="884">
        <f t="shared" si="229"/>
        <v>0</v>
      </c>
      <c r="IW36" s="884">
        <f t="shared" si="230"/>
        <v>0</v>
      </c>
      <c r="IX36" s="529">
        <f t="shared" si="49"/>
        <v>0</v>
      </c>
      <c r="IY36" s="529">
        <f t="shared" si="50"/>
        <v>0</v>
      </c>
      <c r="IZ36" s="529">
        <f t="shared" si="51"/>
        <v>0</v>
      </c>
      <c r="JA36" s="529">
        <f t="shared" si="52"/>
        <v>0</v>
      </c>
      <c r="JB36" s="529">
        <f t="shared" si="53"/>
        <v>0</v>
      </c>
      <c r="JC36" s="529">
        <f t="shared" si="231"/>
        <v>0</v>
      </c>
      <c r="JD36" s="529">
        <f t="shared" si="232"/>
        <v>0</v>
      </c>
      <c r="JE36" s="529">
        <f t="shared" si="55"/>
        <v>0</v>
      </c>
      <c r="JF36" s="529">
        <f t="shared" si="56"/>
        <v>0</v>
      </c>
      <c r="JG36" s="529">
        <f t="shared" si="57"/>
        <v>0</v>
      </c>
      <c r="JH36" s="529">
        <f t="shared" si="58"/>
        <v>0</v>
      </c>
      <c r="JI36" s="480">
        <f t="shared" si="59"/>
        <v>0</v>
      </c>
      <c r="JJ36" s="884">
        <f t="shared" si="233"/>
        <v>0.10525119000000001</v>
      </c>
      <c r="JK36" s="884">
        <f t="shared" si="234"/>
        <v>8.6114610000000008E-2</v>
      </c>
      <c r="JL36" s="529">
        <f t="shared" si="61"/>
        <v>0.17222922000000002</v>
      </c>
      <c r="JM36" s="529">
        <f t="shared" si="62"/>
        <v>8.6114610000000008E-2</v>
      </c>
      <c r="JN36" s="529">
        <f t="shared" si="63"/>
        <v>8.085205049999999</v>
      </c>
      <c r="JO36" s="529">
        <f t="shared" si="64"/>
        <v>9.5682900000000001E-3</v>
      </c>
      <c r="JP36" s="529">
        <f t="shared" si="65"/>
        <v>9.5682900000000001E-3</v>
      </c>
      <c r="JQ36" s="529">
        <f t="shared" si="235"/>
        <v>0.31575356999999998</v>
      </c>
      <c r="JR36" s="529">
        <f t="shared" si="236"/>
        <v>0.39229988999999993</v>
      </c>
      <c r="JS36" s="474">
        <f t="shared" si="67"/>
        <v>0.49755108000000003</v>
      </c>
      <c r="JT36" s="474">
        <f t="shared" si="68"/>
        <v>0.39229988999999993</v>
      </c>
      <c r="JU36" s="474">
        <f t="shared" si="69"/>
        <v>8.1043416299999986</v>
      </c>
      <c r="JV36" s="474">
        <f t="shared" si="70"/>
        <v>9.5682900000000001E-2</v>
      </c>
      <c r="JW36" s="134">
        <f t="shared" si="71"/>
        <v>9.5682900000000001E-2</v>
      </c>
      <c r="JX36" s="884">
        <f t="shared" si="237"/>
        <v>0</v>
      </c>
      <c r="JY36" s="884">
        <f t="shared" si="238"/>
        <v>0</v>
      </c>
      <c r="JZ36" s="529">
        <f t="shared" si="73"/>
        <v>0</v>
      </c>
      <c r="KA36" s="529">
        <f t="shared" si="74"/>
        <v>0</v>
      </c>
      <c r="KB36" s="529">
        <f t="shared" si="75"/>
        <v>0</v>
      </c>
      <c r="KC36" s="529">
        <f t="shared" si="76"/>
        <v>0</v>
      </c>
      <c r="KD36" s="529">
        <f t="shared" si="77"/>
        <v>0</v>
      </c>
      <c r="KE36" s="529">
        <f t="shared" si="239"/>
        <v>0</v>
      </c>
      <c r="KF36" s="529">
        <f t="shared" si="240"/>
        <v>0</v>
      </c>
      <c r="KG36" s="529">
        <f t="shared" si="79"/>
        <v>0</v>
      </c>
      <c r="KH36" s="529">
        <f t="shared" si="80"/>
        <v>0</v>
      </c>
      <c r="KI36" s="529">
        <f t="shared" si="81"/>
        <v>0</v>
      </c>
      <c r="KJ36" s="529">
        <f t="shared" si="82"/>
        <v>0</v>
      </c>
      <c r="KK36" s="526">
        <f t="shared" si="83"/>
        <v>0</v>
      </c>
      <c r="KL36" s="884">
        <f t="shared" si="241"/>
        <v>0.17208732090000001</v>
      </c>
      <c r="KM36" s="884">
        <f t="shared" si="242"/>
        <v>0.14079871710000003</v>
      </c>
      <c r="KN36" s="529">
        <f t="shared" si="85"/>
        <v>0.28159743420000005</v>
      </c>
      <c r="KO36" s="529">
        <f t="shared" si="86"/>
        <v>0.14079871710000003</v>
      </c>
      <c r="KP36" s="529">
        <f t="shared" si="87"/>
        <v>13.219435105500001</v>
      </c>
      <c r="KQ36" s="529">
        <f t="shared" si="88"/>
        <v>1.5644301900000001E-2</v>
      </c>
      <c r="KR36" s="529">
        <f t="shared" si="89"/>
        <v>1.5644301900000001E-2</v>
      </c>
      <c r="KS36" s="529">
        <f t="shared" si="243"/>
        <v>2.60501571</v>
      </c>
      <c r="KT36" s="529">
        <f t="shared" si="244"/>
        <v>3.2365346699999997</v>
      </c>
      <c r="KU36" s="529">
        <f t="shared" si="91"/>
        <v>4.1048732400000008</v>
      </c>
      <c r="KV36" s="529">
        <f t="shared" si="92"/>
        <v>3.2365346699999997</v>
      </c>
      <c r="KW36" s="529">
        <f t="shared" si="93"/>
        <v>66.862069890000001</v>
      </c>
      <c r="KX36" s="529">
        <f t="shared" si="94"/>
        <v>0.78939870000000001</v>
      </c>
      <c r="KY36" s="480">
        <f t="shared" si="95"/>
        <v>0.78939870000000001</v>
      </c>
      <c r="KZ36" s="884">
        <f t="shared" si="245"/>
        <v>0.17541865000000001</v>
      </c>
      <c r="LA36" s="884">
        <f t="shared" si="246"/>
        <v>0.14352434999999999</v>
      </c>
      <c r="LB36" s="529">
        <f t="shared" si="97"/>
        <v>0.28704869999999999</v>
      </c>
      <c r="LC36" s="529">
        <f t="shared" si="98"/>
        <v>0.14352434999999999</v>
      </c>
      <c r="LD36" s="529">
        <f t="shared" si="99"/>
        <v>13.475341749999998</v>
      </c>
      <c r="LE36" s="529">
        <f t="shared" si="100"/>
        <v>1.594715E-2</v>
      </c>
      <c r="LF36" s="529">
        <f t="shared" si="101"/>
        <v>1.594715E-2</v>
      </c>
      <c r="LG36" s="529">
        <f t="shared" si="247"/>
        <v>0.52625595000000003</v>
      </c>
      <c r="LH36" s="529">
        <f t="shared" si="248"/>
        <v>0.65383314999999986</v>
      </c>
      <c r="LI36" s="355">
        <f t="shared" si="103"/>
        <v>0.82925179999999998</v>
      </c>
      <c r="LJ36" s="355">
        <f t="shared" si="104"/>
        <v>0.65383314999999986</v>
      </c>
      <c r="LK36" s="355">
        <f t="shared" si="105"/>
        <v>13.507236049999999</v>
      </c>
      <c r="LL36" s="355">
        <f t="shared" si="106"/>
        <v>0.15947149999999999</v>
      </c>
      <c r="LM36" s="134">
        <f t="shared" si="107"/>
        <v>0.15947149999999999</v>
      </c>
      <c r="LN36" s="884">
        <f t="shared" si="249"/>
        <v>5.0253371170605621E-3</v>
      </c>
      <c r="LO36" s="884">
        <f t="shared" si="250"/>
        <v>1.3705464864710623E-3</v>
      </c>
      <c r="LP36" s="529">
        <f t="shared" si="109"/>
        <v>2.3299290270008061E-2</v>
      </c>
      <c r="LQ36" s="529">
        <f t="shared" si="110"/>
        <v>3.7461603963542367E-2</v>
      </c>
      <c r="LR36" s="529">
        <f t="shared" si="111"/>
        <v>3.6547906305894999</v>
      </c>
      <c r="LS36" s="529">
        <f t="shared" si="112"/>
        <v>3.9745848107660804E-2</v>
      </c>
      <c r="LT36" s="529">
        <f t="shared" si="113"/>
        <v>4.5684882882368744E-3</v>
      </c>
      <c r="LU36" s="529">
        <f t="shared" si="251"/>
        <v>8.1034920349949999</v>
      </c>
      <c r="LV36" s="529">
        <f t="shared" si="252"/>
        <v>4.0517460174975</v>
      </c>
      <c r="LW36" s="529">
        <f t="shared" si="115"/>
        <v>9.4540740408275017</v>
      </c>
      <c r="LX36" s="529">
        <f t="shared" si="116"/>
        <v>8.1034920349949999</v>
      </c>
      <c r="LY36" s="529">
        <f t="shared" si="117"/>
        <v>133.57256037683428</v>
      </c>
      <c r="LZ36" s="529">
        <f t="shared" si="118"/>
        <v>1.3505820058325</v>
      </c>
      <c r="MA36" s="485">
        <f t="shared" si="119"/>
        <v>1.3505820058325</v>
      </c>
      <c r="MB36" s="884">
        <f t="shared" si="253"/>
        <v>1.0525118999999998E-3</v>
      </c>
      <c r="MC36" s="884">
        <f t="shared" si="254"/>
        <v>2.8704869999999995E-4</v>
      </c>
      <c r="MD36" s="529">
        <f t="shared" si="121"/>
        <v>4.8798278999999996E-3</v>
      </c>
      <c r="ME36" s="529">
        <f t="shared" si="122"/>
        <v>7.8459977999999972E-3</v>
      </c>
      <c r="MF36" s="529">
        <f t="shared" si="123"/>
        <v>0.7654631999999999</v>
      </c>
      <c r="MG36" s="529">
        <f t="shared" si="124"/>
        <v>8.3244122999999986E-3</v>
      </c>
      <c r="MH36" s="529">
        <f t="shared" si="125"/>
        <v>9.5682899999999986E-4</v>
      </c>
      <c r="MI36" s="529">
        <f t="shared" si="255"/>
        <v>5.7409739999999987E-2</v>
      </c>
      <c r="MJ36" s="529">
        <f t="shared" si="256"/>
        <v>2.8704869999999993E-2</v>
      </c>
      <c r="MK36" s="529">
        <f t="shared" si="127"/>
        <v>6.6978029999999994E-2</v>
      </c>
      <c r="ML36" s="529">
        <f t="shared" si="128"/>
        <v>5.7409739999999987E-2</v>
      </c>
      <c r="MM36" s="529">
        <f t="shared" si="129"/>
        <v>0.94630388099999996</v>
      </c>
      <c r="MN36" s="529">
        <f t="shared" si="130"/>
        <v>9.5682899999999984E-3</v>
      </c>
      <c r="MO36" s="485">
        <f t="shared" si="131"/>
        <v>9.5682899999999984E-3</v>
      </c>
      <c r="MP36" s="884">
        <f t="shared" si="257"/>
        <v>3.8592102999999997E-3</v>
      </c>
      <c r="MQ36" s="884">
        <f t="shared" si="258"/>
        <v>1.0525118999999998E-3</v>
      </c>
      <c r="MR36" s="529">
        <f t="shared" si="133"/>
        <v>1.78927023E-2</v>
      </c>
      <c r="MS36" s="529">
        <f t="shared" si="134"/>
        <v>2.8768658599999993E-2</v>
      </c>
      <c r="MT36" s="529">
        <f t="shared" si="135"/>
        <v>2.8066984000000001</v>
      </c>
      <c r="MU36" s="529">
        <f t="shared" si="136"/>
        <v>3.0522845099999994E-2</v>
      </c>
      <c r="MV36" s="529">
        <f t="shared" si="137"/>
        <v>3.508373E-3</v>
      </c>
      <c r="MW36" s="529">
        <f t="shared" si="259"/>
        <v>0.84200951999999996</v>
      </c>
      <c r="MX36" s="529">
        <f t="shared" si="260"/>
        <v>0.42100475999999998</v>
      </c>
      <c r="MY36" s="474">
        <f t="shared" si="139"/>
        <v>0.98234443999999999</v>
      </c>
      <c r="MZ36" s="474">
        <f t="shared" si="140"/>
        <v>0.84200951999999996</v>
      </c>
      <c r="NA36" s="474">
        <f t="shared" si="141"/>
        <v>13.879123588000001</v>
      </c>
      <c r="NB36" s="474">
        <f t="shared" si="142"/>
        <v>0.14033492</v>
      </c>
      <c r="NC36" s="134">
        <f t="shared" si="143"/>
        <v>0.14033492</v>
      </c>
    </row>
    <row r="37" spans="1:367" x14ac:dyDescent="0.25">
      <c r="A37" s="18">
        <v>1982</v>
      </c>
      <c r="B37" s="1271">
        <v>1810</v>
      </c>
      <c r="C37" s="1224"/>
      <c r="D37" s="1224">
        <v>0</v>
      </c>
      <c r="E37" s="1272"/>
      <c r="F37" s="1226">
        <f t="shared" si="144"/>
        <v>1782.85</v>
      </c>
      <c r="G37" s="1226"/>
      <c r="H37" s="1224">
        <f t="shared" si="145"/>
        <v>0</v>
      </c>
      <c r="I37" s="1224"/>
      <c r="J37" s="1082">
        <v>0</v>
      </c>
      <c r="K37" s="1082">
        <f t="shared" si="0"/>
        <v>0</v>
      </c>
      <c r="L37" s="1226">
        <f t="shared" si="1"/>
        <v>1782.85</v>
      </c>
      <c r="M37" s="1227"/>
      <c r="N37" s="193">
        <v>8.0999999999999996E-3</v>
      </c>
      <c r="O37" s="47">
        <v>0</v>
      </c>
      <c r="P37" s="47">
        <v>6.0000000000000001E-3</v>
      </c>
      <c r="Q37" s="192">
        <v>0</v>
      </c>
      <c r="R37" s="47">
        <v>0</v>
      </c>
      <c r="S37" s="47">
        <f t="shared" si="146"/>
        <v>5.4000000000000003E-3</v>
      </c>
      <c r="T37" s="47">
        <v>0.01</v>
      </c>
      <c r="U37" s="47">
        <v>1.8E-3</v>
      </c>
      <c r="V37" s="117">
        <v>4.0000000000000003E-5</v>
      </c>
      <c r="W37" s="47">
        <v>5.9999999999999995E-4</v>
      </c>
      <c r="X37" s="52">
        <v>1.0999999999999999E-2</v>
      </c>
      <c r="Y37" s="52">
        <v>2.0199999999999999E-2</v>
      </c>
      <c r="Z37" s="111">
        <v>6.3E-2</v>
      </c>
      <c r="AA37" s="52">
        <f t="shared" si="147"/>
        <v>0.1</v>
      </c>
      <c r="AB37" s="52">
        <f t="shared" si="148"/>
        <v>0</v>
      </c>
      <c r="AC37" s="52">
        <f t="shared" si="149"/>
        <v>0.9</v>
      </c>
      <c r="AD37" s="475">
        <f t="shared" si="150"/>
        <v>14.441084999999999</v>
      </c>
      <c r="AE37" s="474">
        <f t="shared" si="151"/>
        <v>14.441084999999999</v>
      </c>
      <c r="AF37" s="474">
        <f t="shared" si="152"/>
        <v>0</v>
      </c>
      <c r="AG37" s="474">
        <f t="shared" si="151"/>
        <v>0</v>
      </c>
      <c r="AH37" s="474">
        <f t="shared" si="153"/>
        <v>10.697099999999999</v>
      </c>
      <c r="AI37" s="474">
        <f t="shared" ref="AI37" si="622">AH37</f>
        <v>10.697099999999999</v>
      </c>
      <c r="AJ37" s="508"/>
      <c r="AK37" s="508"/>
      <c r="AL37" s="508"/>
      <c r="AM37" s="508"/>
      <c r="AN37" s="508"/>
      <c r="AO37" s="572"/>
      <c r="AP37" s="481">
        <f t="shared" si="155"/>
        <v>14.441084999999999</v>
      </c>
      <c r="AQ37" s="474">
        <f t="shared" ref="AQ37" si="623">AP37</f>
        <v>14.441084999999999</v>
      </c>
      <c r="AR37" s="474">
        <f t="shared" si="157"/>
        <v>0</v>
      </c>
      <c r="AS37" s="474">
        <f t="shared" ref="AS37" si="624">AR37</f>
        <v>0</v>
      </c>
      <c r="AT37" s="474">
        <f t="shared" si="159"/>
        <v>10.697099999999999</v>
      </c>
      <c r="AU37" s="474">
        <f t="shared" ref="AU37" si="625">AT37</f>
        <v>10.697099999999999</v>
      </c>
      <c r="AV37" s="475">
        <f t="shared" si="2"/>
        <v>0</v>
      </c>
      <c r="AW37" s="474">
        <f t="shared" ref="AW37" si="626">AV37</f>
        <v>0</v>
      </c>
      <c r="AX37" s="474">
        <f t="shared" si="3"/>
        <v>9.6273900000000001</v>
      </c>
      <c r="AY37" s="474">
        <f t="shared" ref="AY37" si="627">AX37</f>
        <v>9.6273900000000001</v>
      </c>
      <c r="AZ37" s="474">
        <f t="shared" si="4"/>
        <v>17.828499999999998</v>
      </c>
      <c r="BA37" s="474">
        <f t="shared" ref="BA37" si="628">AZ37</f>
        <v>17.828499999999998</v>
      </c>
      <c r="BB37" s="481"/>
      <c r="BC37" s="474"/>
      <c r="BD37" s="474"/>
      <c r="BE37" s="474"/>
      <c r="BF37" s="474"/>
      <c r="BG37" s="474"/>
      <c r="BH37" s="481">
        <f t="shared" si="5"/>
        <v>0</v>
      </c>
      <c r="BI37" s="474">
        <f t="shared" ref="BI37" si="629">BH37</f>
        <v>0</v>
      </c>
      <c r="BJ37" s="474">
        <f t="shared" si="6"/>
        <v>9.6273900000000001</v>
      </c>
      <c r="BK37" s="474">
        <f t="shared" ref="BK37" si="630">BJ37</f>
        <v>9.6273900000000001</v>
      </c>
      <c r="BL37" s="474">
        <f t="shared" si="7"/>
        <v>17.828499999999998</v>
      </c>
      <c r="BM37" s="474">
        <f t="shared" ref="BM37" si="631">BL37</f>
        <v>17.828499999999998</v>
      </c>
      <c r="BN37" s="475">
        <f t="shared" si="8"/>
        <v>7.1314000000000002E-2</v>
      </c>
      <c r="BO37" s="474">
        <f t="shared" ref="BO37" si="632">BN37</f>
        <v>7.1314000000000002E-2</v>
      </c>
      <c r="BP37" s="474">
        <f t="shared" si="9"/>
        <v>1.0697099999999999</v>
      </c>
      <c r="BQ37" s="474">
        <f t="shared" ref="BQ37" si="633">BP37</f>
        <v>1.0697099999999999</v>
      </c>
      <c r="BR37" s="474">
        <f t="shared" si="10"/>
        <v>19.611349999999998</v>
      </c>
      <c r="BS37" s="474">
        <f t="shared" ref="BS37" si="634">BR37</f>
        <v>19.611349999999998</v>
      </c>
      <c r="BT37" s="481"/>
      <c r="BU37" s="474"/>
      <c r="BV37" s="474"/>
      <c r="BW37" s="474"/>
      <c r="BX37" s="474"/>
      <c r="BY37" s="474"/>
      <c r="BZ37" s="481">
        <f t="shared" si="11"/>
        <v>7.1314000000000002E-2</v>
      </c>
      <c r="CA37" s="474">
        <f t="shared" ref="CA37" si="635">BZ37</f>
        <v>7.1314000000000002E-2</v>
      </c>
      <c r="CB37" s="474">
        <f t="shared" si="12"/>
        <v>1.0697099999999999</v>
      </c>
      <c r="CC37" s="474">
        <f t="shared" ref="CC37" si="636">CB37</f>
        <v>1.0697099999999999</v>
      </c>
      <c r="CD37" s="474">
        <f t="shared" si="13"/>
        <v>19.611349999999998</v>
      </c>
      <c r="CE37" s="526">
        <f t="shared" ref="CE37" si="637">CD37</f>
        <v>19.611349999999998</v>
      </c>
      <c r="CF37" s="355">
        <f t="shared" si="173"/>
        <v>0</v>
      </c>
      <c r="CG37" s="615">
        <f t="shared" si="174"/>
        <v>0</v>
      </c>
      <c r="CH37" s="355">
        <f t="shared" si="175"/>
        <v>0</v>
      </c>
      <c r="CI37" s="615">
        <f t="shared" si="491"/>
        <v>0</v>
      </c>
      <c r="CJ37" s="615">
        <f t="shared" si="176"/>
        <v>0</v>
      </c>
      <c r="CK37" s="615">
        <f t="shared" si="492"/>
        <v>0</v>
      </c>
      <c r="CL37" s="122"/>
      <c r="CM37" s="1235">
        <f t="shared" si="16"/>
        <v>1670.53045</v>
      </c>
      <c r="CN37" s="1231"/>
      <c r="CO37" s="1230"/>
      <c r="CP37" s="1231"/>
      <c r="CQ37" s="1230">
        <f t="shared" si="177"/>
        <v>1670.53045</v>
      </c>
      <c r="CR37" s="1232"/>
      <c r="CS37" s="30">
        <v>0.45</v>
      </c>
      <c r="CT37" s="31">
        <f t="shared" si="178"/>
        <v>0.55000000000000004</v>
      </c>
      <c r="CU37" s="31"/>
      <c r="CV37" s="32"/>
      <c r="CW37" s="1233">
        <f t="shared" si="179"/>
        <v>714.15176737499996</v>
      </c>
      <c r="CX37" s="1234"/>
      <c r="CY37" s="1234">
        <f t="shared" si="180"/>
        <v>872.85216012500007</v>
      </c>
      <c r="CZ37" s="1231"/>
      <c r="DA37" s="369"/>
      <c r="DB37" s="369"/>
      <c r="DC37" s="369"/>
      <c r="DD37" s="373"/>
      <c r="DE37" s="1234">
        <f t="shared" si="17"/>
        <v>714.15176737499996</v>
      </c>
      <c r="DF37" s="1234"/>
      <c r="DG37" s="369">
        <f t="shared" si="341"/>
        <v>872.85216012500007</v>
      </c>
      <c r="DH37" s="372">
        <f t="shared" si="182"/>
        <v>872.85216012500007</v>
      </c>
      <c r="DJ37" s="493">
        <v>0.05</v>
      </c>
      <c r="DK37" s="379"/>
      <c r="DL37" s="1084">
        <f t="shared" si="18"/>
        <v>83.526522499999999</v>
      </c>
      <c r="DM37" s="1084">
        <f t="shared" si="605"/>
        <v>83.526522499999999</v>
      </c>
      <c r="DN37" s="369"/>
      <c r="DO37" s="372"/>
      <c r="DP37" s="30">
        <v>1</v>
      </c>
      <c r="DQ37" s="31">
        <f t="shared" si="183"/>
        <v>0.1</v>
      </c>
      <c r="DR37" s="31">
        <f t="shared" si="184"/>
        <v>1</v>
      </c>
      <c r="DS37" s="680">
        <f t="shared" si="185"/>
        <v>0.1</v>
      </c>
      <c r="DT37" s="77">
        <f t="shared" si="186"/>
        <v>1</v>
      </c>
      <c r="DU37" s="31">
        <v>0</v>
      </c>
      <c r="DV37" s="31">
        <v>1</v>
      </c>
      <c r="DW37" s="31">
        <v>0</v>
      </c>
      <c r="DX37" s="31">
        <v>0</v>
      </c>
      <c r="DY37" s="31">
        <v>1</v>
      </c>
      <c r="DZ37" s="31">
        <v>0</v>
      </c>
      <c r="EA37" s="383">
        <f t="shared" si="187"/>
        <v>0</v>
      </c>
      <c r="EB37" s="355">
        <f t="shared" si="188"/>
        <v>0</v>
      </c>
      <c r="EC37" s="355">
        <f t="shared" si="189"/>
        <v>7.9119460124999996</v>
      </c>
      <c r="ED37" s="355">
        <f t="shared" si="190"/>
        <v>79.119460124999989</v>
      </c>
      <c r="EE37" s="355">
        <f t="shared" si="191"/>
        <v>0</v>
      </c>
      <c r="EF37" s="355">
        <f t="shared" si="192"/>
        <v>0</v>
      </c>
      <c r="EG37" s="366"/>
      <c r="EH37" s="355"/>
      <c r="EI37" s="355"/>
      <c r="EJ37" s="355"/>
      <c r="EK37" s="355"/>
      <c r="EL37" s="356"/>
      <c r="EM37" s="355">
        <f t="shared" si="193"/>
        <v>7.9119460124999996</v>
      </c>
      <c r="EN37" s="134">
        <f t="shared" si="194"/>
        <v>79.119460124999989</v>
      </c>
      <c r="EP37" s="1171">
        <f t="shared" si="20"/>
        <v>7.1314000000000002E-2</v>
      </c>
      <c r="EQ37" s="1172"/>
      <c r="ER37" s="1172">
        <f t="shared" si="21"/>
        <v>1.0697099999999999</v>
      </c>
      <c r="ES37" s="1172"/>
      <c r="ET37" s="1172">
        <f t="shared" si="22"/>
        <v>19.611349999999998</v>
      </c>
      <c r="EU37" s="1172"/>
      <c r="EV37" s="366"/>
      <c r="EW37" s="355"/>
      <c r="EX37" s="355"/>
      <c r="EY37" s="355"/>
      <c r="EZ37" s="1172"/>
      <c r="FA37" s="1173"/>
      <c r="FB37" s="368">
        <f t="shared" si="195"/>
        <v>714.15176737499996</v>
      </c>
      <c r="FC37" s="369">
        <f t="shared" si="196"/>
        <v>714.15176737499996</v>
      </c>
      <c r="FD37" s="369"/>
      <c r="FE37" s="61"/>
      <c r="FF37" s="368">
        <f t="shared" si="197"/>
        <v>872.85216012500007</v>
      </c>
      <c r="FG37" s="369">
        <f t="shared" si="426"/>
        <v>872.85216012500007</v>
      </c>
      <c r="FH37" s="369"/>
      <c r="FI37" s="369"/>
      <c r="FJ37" s="30">
        <v>1</v>
      </c>
      <c r="FK37" s="31">
        <v>0.2</v>
      </c>
      <c r="FL37" s="501">
        <v>0.8</v>
      </c>
      <c r="FM37" s="31">
        <f t="shared" si="198"/>
        <v>0.1</v>
      </c>
      <c r="FN37" s="501">
        <f t="shared" si="199"/>
        <v>1</v>
      </c>
      <c r="FO37" s="31">
        <f t="shared" si="200"/>
        <v>0.1</v>
      </c>
      <c r="FP37" s="31">
        <f t="shared" si="201"/>
        <v>1</v>
      </c>
      <c r="FQ37" s="31">
        <v>1</v>
      </c>
      <c r="FR37" s="31">
        <v>0</v>
      </c>
      <c r="FS37" s="89">
        <f t="shared" si="202"/>
        <v>1E-3</v>
      </c>
      <c r="FT37" s="31">
        <f t="shared" si="203"/>
        <v>0.05</v>
      </c>
      <c r="FU37" s="30">
        <v>0.05</v>
      </c>
      <c r="FV37" s="32">
        <f t="shared" si="25"/>
        <v>2.4224999999999997E-2</v>
      </c>
      <c r="FW37" s="31">
        <v>0.1</v>
      </c>
      <c r="FX37" s="77">
        <f t="shared" si="26"/>
        <v>9.0000000000000011E-2</v>
      </c>
      <c r="FY37" s="30"/>
      <c r="FZ37" s="32"/>
      <c r="GA37" s="31"/>
      <c r="GB37" s="77"/>
      <c r="GC37" s="378">
        <f t="shared" si="27"/>
        <v>7.1314000000000002E-2</v>
      </c>
      <c r="GD37" s="379">
        <f t="shared" si="204"/>
        <v>7.1314000000000002E-2</v>
      </c>
      <c r="GE37" s="379">
        <f t="shared" si="28"/>
        <v>1.0697099999999999</v>
      </c>
      <c r="GF37" s="379">
        <f t="shared" si="205"/>
        <v>1.0697099999999999</v>
      </c>
      <c r="GG37" s="379">
        <f t="shared" si="206"/>
        <v>3.9222699999999997</v>
      </c>
      <c r="GH37" s="218">
        <f>$ET37*FL37</f>
        <v>15.689079999999999</v>
      </c>
      <c r="GI37" s="379"/>
      <c r="GJ37" s="379"/>
      <c r="GK37" s="379"/>
      <c r="GL37" s="379"/>
      <c r="GM37" s="379"/>
      <c r="GN37" s="218"/>
      <c r="GO37" s="379">
        <f t="shared" si="208"/>
        <v>5.063294</v>
      </c>
      <c r="GP37" s="515">
        <f t="shared" si="209"/>
        <v>16.830103999999999</v>
      </c>
      <c r="GQ37" s="379">
        <f t="shared" si="210"/>
        <v>5.0211088482502966</v>
      </c>
      <c r="GR37" s="379">
        <f t="shared" si="211"/>
        <v>128.5295629730625</v>
      </c>
      <c r="GS37" s="355">
        <f t="shared" si="390"/>
        <v>4.830585683962501E-2</v>
      </c>
      <c r="GT37" s="355">
        <f t="shared" si="391"/>
        <v>24.152928419812504</v>
      </c>
      <c r="GU37" s="355">
        <f t="shared" si="392"/>
        <v>0</v>
      </c>
      <c r="GV37" s="356">
        <f t="shared" si="393"/>
        <v>0</v>
      </c>
      <c r="GW37" s="355"/>
      <c r="GX37" s="355"/>
      <c r="GY37" s="355"/>
      <c r="GZ37" s="355"/>
      <c r="HA37" s="355"/>
      <c r="HB37" s="356"/>
      <c r="HC37" s="379">
        <f t="shared" si="212"/>
        <v>5.0694147050899216</v>
      </c>
      <c r="HD37" s="38">
        <f t="shared" si="213"/>
        <v>152.68249139287499</v>
      </c>
      <c r="HE37" s="527"/>
      <c r="HF37" s="529">
        <f t="shared" si="29"/>
        <v>14.441084999999999</v>
      </c>
      <c r="HG37" s="529">
        <f t="shared" si="30"/>
        <v>14.441084999999999</v>
      </c>
      <c r="HH37" s="529">
        <f t="shared" si="31"/>
        <v>0</v>
      </c>
      <c r="HI37" s="529">
        <f t="shared" si="32"/>
        <v>0</v>
      </c>
      <c r="HJ37" s="529">
        <f t="shared" si="33"/>
        <v>10.697099999999999</v>
      </c>
      <c r="HK37" s="524">
        <f t="shared" si="34"/>
        <v>10.697099999999999</v>
      </c>
      <c r="HL37" s="529">
        <f t="shared" si="35"/>
        <v>0</v>
      </c>
      <c r="HM37" s="529">
        <f t="shared" si="36"/>
        <v>0</v>
      </c>
      <c r="HN37" s="529">
        <f t="shared" si="37"/>
        <v>17.539336012500002</v>
      </c>
      <c r="HO37" s="529">
        <f t="shared" si="38"/>
        <v>88.746850124999995</v>
      </c>
      <c r="HP37" s="529">
        <f t="shared" si="39"/>
        <v>17.828499999999998</v>
      </c>
      <c r="HQ37" s="524">
        <f t="shared" si="40"/>
        <v>17.828499999999998</v>
      </c>
      <c r="HR37" s="615">
        <f t="shared" si="214"/>
        <v>5.1407287050899217</v>
      </c>
      <c r="HS37" s="615">
        <f t="shared" si="41"/>
        <v>152.75380539287499</v>
      </c>
      <c r="HT37" s="615">
        <f t="shared" si="42"/>
        <v>1.0697099999999999</v>
      </c>
      <c r="HU37" s="615">
        <f t="shared" si="43"/>
        <v>1.0697099999999999</v>
      </c>
      <c r="HV37" s="615">
        <f t="shared" si="44"/>
        <v>3.9222699999999997</v>
      </c>
      <c r="HW37" s="615">
        <f t="shared" si="45"/>
        <v>15.689079999999999</v>
      </c>
      <c r="IG37" s="560"/>
      <c r="IH37" s="529">
        <f t="shared" si="215"/>
        <v>0.158851935</v>
      </c>
      <c r="II37" s="529">
        <f t="shared" si="216"/>
        <v>0.12996976500000001</v>
      </c>
      <c r="IJ37" s="529">
        <f t="shared" si="217"/>
        <v>0.25993953000000003</v>
      </c>
      <c r="IK37" s="529">
        <f t="shared" si="218"/>
        <v>0.12996976500000001</v>
      </c>
      <c r="IL37" s="529">
        <f t="shared" si="219"/>
        <v>12.202716825</v>
      </c>
      <c r="IM37" s="529">
        <f t="shared" si="220"/>
        <v>1.4441084999999999E-2</v>
      </c>
      <c r="IN37" s="529">
        <f t="shared" si="221"/>
        <v>1.4441084999999999E-2</v>
      </c>
      <c r="IO37" s="529">
        <f t="shared" si="222"/>
        <v>0.476555805</v>
      </c>
      <c r="IP37" s="529">
        <f t="shared" si="223"/>
        <v>0.59208448499999988</v>
      </c>
      <c r="IQ37" s="529">
        <f t="shared" si="224"/>
        <v>0.75093642000000005</v>
      </c>
      <c r="IR37" s="529">
        <f t="shared" si="225"/>
        <v>0.59208448499999988</v>
      </c>
      <c r="IS37" s="529">
        <f t="shared" si="226"/>
        <v>12.231598994999999</v>
      </c>
      <c r="IT37" s="529">
        <f t="shared" si="227"/>
        <v>0.14441085000000001</v>
      </c>
      <c r="IU37" s="526">
        <f t="shared" si="228"/>
        <v>0.14441085000000001</v>
      </c>
      <c r="IV37" s="884">
        <f t="shared" si="229"/>
        <v>0</v>
      </c>
      <c r="IW37" s="884">
        <f t="shared" si="230"/>
        <v>0</v>
      </c>
      <c r="IX37" s="529">
        <f t="shared" si="49"/>
        <v>0</v>
      </c>
      <c r="IY37" s="529">
        <f t="shared" si="50"/>
        <v>0</v>
      </c>
      <c r="IZ37" s="529">
        <f t="shared" si="51"/>
        <v>0</v>
      </c>
      <c r="JA37" s="529">
        <f t="shared" si="52"/>
        <v>0</v>
      </c>
      <c r="JB37" s="529">
        <f t="shared" si="53"/>
        <v>0</v>
      </c>
      <c r="JC37" s="529">
        <f t="shared" si="231"/>
        <v>0</v>
      </c>
      <c r="JD37" s="529">
        <f t="shared" si="232"/>
        <v>0</v>
      </c>
      <c r="JE37" s="529">
        <f t="shared" si="55"/>
        <v>0</v>
      </c>
      <c r="JF37" s="529">
        <f t="shared" si="56"/>
        <v>0</v>
      </c>
      <c r="JG37" s="529">
        <f t="shared" si="57"/>
        <v>0</v>
      </c>
      <c r="JH37" s="529">
        <f t="shared" si="58"/>
        <v>0</v>
      </c>
      <c r="JI37" s="480">
        <f t="shared" si="59"/>
        <v>0</v>
      </c>
      <c r="JJ37" s="884">
        <f t="shared" si="233"/>
        <v>0.1176681</v>
      </c>
      <c r="JK37" s="884">
        <f t="shared" si="234"/>
        <v>9.6273899999999996E-2</v>
      </c>
      <c r="JL37" s="529">
        <f t="shared" si="61"/>
        <v>0.19254779999999999</v>
      </c>
      <c r="JM37" s="529">
        <f t="shared" si="62"/>
        <v>9.6273899999999996E-2</v>
      </c>
      <c r="JN37" s="529">
        <f t="shared" si="63"/>
        <v>9.0390494999999991</v>
      </c>
      <c r="JO37" s="529">
        <f t="shared" si="64"/>
        <v>1.0697099999999999E-2</v>
      </c>
      <c r="JP37" s="529">
        <f t="shared" si="65"/>
        <v>1.0697099999999999E-2</v>
      </c>
      <c r="JQ37" s="529">
        <f t="shared" si="235"/>
        <v>0.35300429999999999</v>
      </c>
      <c r="JR37" s="529">
        <f t="shared" si="236"/>
        <v>0.43858109999999989</v>
      </c>
      <c r="JS37" s="474">
        <f t="shared" si="67"/>
        <v>0.5562492</v>
      </c>
      <c r="JT37" s="474">
        <f t="shared" si="68"/>
        <v>0.43858109999999989</v>
      </c>
      <c r="JU37" s="474">
        <f t="shared" si="69"/>
        <v>9.0604436999999987</v>
      </c>
      <c r="JV37" s="474">
        <f t="shared" si="70"/>
        <v>0.106971</v>
      </c>
      <c r="JW37" s="134">
        <f t="shared" si="71"/>
        <v>0.106971</v>
      </c>
      <c r="JX37" s="884">
        <f t="shared" si="237"/>
        <v>0</v>
      </c>
      <c r="JY37" s="884">
        <f t="shared" si="238"/>
        <v>0</v>
      </c>
      <c r="JZ37" s="529">
        <f t="shared" si="73"/>
        <v>0</v>
      </c>
      <c r="KA37" s="529">
        <f t="shared" si="74"/>
        <v>0</v>
      </c>
      <c r="KB37" s="529">
        <f t="shared" si="75"/>
        <v>0</v>
      </c>
      <c r="KC37" s="529">
        <f t="shared" si="76"/>
        <v>0</v>
      </c>
      <c r="KD37" s="529">
        <f t="shared" si="77"/>
        <v>0</v>
      </c>
      <c r="KE37" s="529">
        <f t="shared" si="239"/>
        <v>0</v>
      </c>
      <c r="KF37" s="529">
        <f t="shared" si="240"/>
        <v>0</v>
      </c>
      <c r="KG37" s="529">
        <f t="shared" si="79"/>
        <v>0</v>
      </c>
      <c r="KH37" s="529">
        <f t="shared" si="80"/>
        <v>0</v>
      </c>
      <c r="KI37" s="529">
        <f t="shared" si="81"/>
        <v>0</v>
      </c>
      <c r="KJ37" s="529">
        <f t="shared" si="82"/>
        <v>0</v>
      </c>
      <c r="KK37" s="526">
        <f t="shared" si="83"/>
        <v>0</v>
      </c>
      <c r="KL37" s="884">
        <f t="shared" si="241"/>
        <v>0.19293269613750003</v>
      </c>
      <c r="KM37" s="884">
        <f t="shared" si="242"/>
        <v>0.15785402411250002</v>
      </c>
      <c r="KN37" s="529">
        <f t="shared" si="85"/>
        <v>0.31570804822500004</v>
      </c>
      <c r="KO37" s="529">
        <f t="shared" si="86"/>
        <v>0.15785402411250002</v>
      </c>
      <c r="KP37" s="529">
        <f t="shared" si="87"/>
        <v>14.8207389305625</v>
      </c>
      <c r="KQ37" s="529">
        <f t="shared" si="88"/>
        <v>1.75393360125E-2</v>
      </c>
      <c r="KR37" s="529">
        <f t="shared" si="89"/>
        <v>1.75393360125E-2</v>
      </c>
      <c r="KS37" s="529">
        <f t="shared" si="243"/>
        <v>2.9286460541250001</v>
      </c>
      <c r="KT37" s="529">
        <f t="shared" si="244"/>
        <v>3.6386208551249992</v>
      </c>
      <c r="KU37" s="529">
        <f t="shared" si="91"/>
        <v>4.6148362064999997</v>
      </c>
      <c r="KV37" s="529">
        <f t="shared" si="92"/>
        <v>3.6386208551249992</v>
      </c>
      <c r="KW37" s="529">
        <f t="shared" si="93"/>
        <v>75.168582055874992</v>
      </c>
      <c r="KX37" s="529">
        <f t="shared" si="94"/>
        <v>0.88746850124999999</v>
      </c>
      <c r="KY37" s="480">
        <f t="shared" si="95"/>
        <v>0.88746850124999999</v>
      </c>
      <c r="KZ37" s="884">
        <f t="shared" si="245"/>
        <v>0.1961135</v>
      </c>
      <c r="LA37" s="884">
        <f t="shared" si="246"/>
        <v>0.1604565</v>
      </c>
      <c r="LB37" s="529">
        <f t="shared" si="97"/>
        <v>0.320913</v>
      </c>
      <c r="LC37" s="529">
        <f t="shared" si="98"/>
        <v>0.1604565</v>
      </c>
      <c r="LD37" s="529">
        <f t="shared" si="99"/>
        <v>15.065082499999997</v>
      </c>
      <c r="LE37" s="529">
        <f t="shared" si="100"/>
        <v>1.7828499999999997E-2</v>
      </c>
      <c r="LF37" s="529">
        <f t="shared" si="101"/>
        <v>1.7828499999999997E-2</v>
      </c>
      <c r="LG37" s="529">
        <f t="shared" si="247"/>
        <v>0.58834049999999993</v>
      </c>
      <c r="LH37" s="529">
        <f t="shared" si="248"/>
        <v>0.7309684999999998</v>
      </c>
      <c r="LI37" s="355">
        <f t="shared" si="103"/>
        <v>0.92708199999999996</v>
      </c>
      <c r="LJ37" s="355">
        <f t="shared" si="104"/>
        <v>0.7309684999999998</v>
      </c>
      <c r="LK37" s="355">
        <f t="shared" si="105"/>
        <v>15.100739499999998</v>
      </c>
      <c r="LL37" s="355">
        <f t="shared" si="106"/>
        <v>0.178285</v>
      </c>
      <c r="LM37" s="134">
        <f t="shared" si="107"/>
        <v>0.178285</v>
      </c>
      <c r="LN37" s="884">
        <f t="shared" si="249"/>
        <v>5.6548015755989141E-3</v>
      </c>
      <c r="LO37" s="884">
        <f t="shared" si="250"/>
        <v>1.5422186115269763E-3</v>
      </c>
      <c r="LP37" s="529">
        <f t="shared" si="109"/>
        <v>2.6217716395958601E-2</v>
      </c>
      <c r="LQ37" s="529">
        <f t="shared" si="110"/>
        <v>4.2153975381737353E-2</v>
      </c>
      <c r="LR37" s="529">
        <f t="shared" si="111"/>
        <v>4.1125829640719376</v>
      </c>
      <c r="LS37" s="529">
        <f t="shared" si="112"/>
        <v>4.4724339734282317E-2</v>
      </c>
      <c r="LT37" s="529">
        <f t="shared" si="113"/>
        <v>5.140728705089922E-3</v>
      </c>
      <c r="LU37" s="529">
        <f t="shared" si="251"/>
        <v>9.1652283235724994</v>
      </c>
      <c r="LV37" s="529">
        <f t="shared" si="252"/>
        <v>4.5826141617862497</v>
      </c>
      <c r="LW37" s="529">
        <f t="shared" si="115"/>
        <v>10.69276637750125</v>
      </c>
      <c r="LX37" s="529">
        <f t="shared" si="116"/>
        <v>9.1652283235724994</v>
      </c>
      <c r="LY37" s="529">
        <f t="shared" si="117"/>
        <v>151.07351353355338</v>
      </c>
      <c r="LZ37" s="529">
        <f t="shared" si="118"/>
        <v>1.52753805392875</v>
      </c>
      <c r="MA37" s="485">
        <f t="shared" si="119"/>
        <v>1.52753805392875</v>
      </c>
      <c r="MB37" s="884">
        <f t="shared" si="253"/>
        <v>1.176681E-3</v>
      </c>
      <c r="MC37" s="884">
        <f t="shared" si="254"/>
        <v>3.2091299999999993E-4</v>
      </c>
      <c r="MD37" s="529">
        <f t="shared" si="121"/>
        <v>5.4555210000000005E-3</v>
      </c>
      <c r="ME37" s="529">
        <f t="shared" si="122"/>
        <v>8.771621999999998E-3</v>
      </c>
      <c r="MF37" s="529">
        <f t="shared" si="123"/>
        <v>0.85576799999999997</v>
      </c>
      <c r="MG37" s="529">
        <f t="shared" si="124"/>
        <v>9.3064769999999988E-3</v>
      </c>
      <c r="MH37" s="529">
        <f t="shared" si="125"/>
        <v>1.06971E-3</v>
      </c>
      <c r="MI37" s="529">
        <f t="shared" si="255"/>
        <v>6.4182599999999992E-2</v>
      </c>
      <c r="MJ37" s="529">
        <f t="shared" si="256"/>
        <v>3.2091299999999996E-2</v>
      </c>
      <c r="MK37" s="529">
        <f t="shared" si="127"/>
        <v>7.4879700000000007E-2</v>
      </c>
      <c r="ML37" s="529">
        <f t="shared" si="128"/>
        <v>6.4182599999999992E-2</v>
      </c>
      <c r="MM37" s="529">
        <f t="shared" si="129"/>
        <v>1.05794319</v>
      </c>
      <c r="MN37" s="529">
        <f t="shared" si="130"/>
        <v>1.0697099999999999E-2</v>
      </c>
      <c r="MO37" s="485">
        <f t="shared" si="131"/>
        <v>1.0697099999999999E-2</v>
      </c>
      <c r="MP37" s="884">
        <f t="shared" si="257"/>
        <v>4.3144969999999996E-3</v>
      </c>
      <c r="MQ37" s="884">
        <f t="shared" si="258"/>
        <v>1.1766809999999997E-3</v>
      </c>
      <c r="MR37" s="529">
        <f t="shared" si="133"/>
        <v>2.0003577000000002E-2</v>
      </c>
      <c r="MS37" s="529">
        <f t="shared" si="134"/>
        <v>3.2162613999999992E-2</v>
      </c>
      <c r="MT37" s="529">
        <f t="shared" si="135"/>
        <v>3.1378159999999999</v>
      </c>
      <c r="MU37" s="529">
        <f t="shared" si="136"/>
        <v>3.4123748999999995E-2</v>
      </c>
      <c r="MV37" s="529">
        <f t="shared" si="137"/>
        <v>3.9222699999999994E-3</v>
      </c>
      <c r="MW37" s="529">
        <f t="shared" si="259"/>
        <v>0.94134479999999987</v>
      </c>
      <c r="MX37" s="529">
        <f t="shared" si="260"/>
        <v>0.47067239999999994</v>
      </c>
      <c r="MY37" s="474">
        <f t="shared" si="139"/>
        <v>1.0982356</v>
      </c>
      <c r="MZ37" s="474">
        <f t="shared" si="140"/>
        <v>0.94134479999999987</v>
      </c>
      <c r="NA37" s="474">
        <f t="shared" si="141"/>
        <v>15.51650012</v>
      </c>
      <c r="NB37" s="474">
        <f t="shared" si="142"/>
        <v>0.1568908</v>
      </c>
      <c r="NC37" s="134">
        <f t="shared" si="143"/>
        <v>0.1568908</v>
      </c>
    </row>
    <row r="38" spans="1:367" x14ac:dyDescent="0.25">
      <c r="A38" s="18">
        <v>1983</v>
      </c>
      <c r="B38" s="1271">
        <v>2000</v>
      </c>
      <c r="C38" s="1224"/>
      <c r="D38" s="1224">
        <v>0</v>
      </c>
      <c r="E38" s="1272"/>
      <c r="F38" s="1226">
        <f t="shared" si="144"/>
        <v>1970</v>
      </c>
      <c r="G38" s="1226"/>
      <c r="H38" s="1224">
        <f t="shared" si="145"/>
        <v>0</v>
      </c>
      <c r="I38" s="1224"/>
      <c r="J38" s="1082">
        <v>0</v>
      </c>
      <c r="K38" s="1082">
        <f t="shared" si="0"/>
        <v>0</v>
      </c>
      <c r="L38" s="1226">
        <f t="shared" si="1"/>
        <v>1970</v>
      </c>
      <c r="M38" s="1227"/>
      <c r="N38" s="193">
        <v>8.0999999999999996E-3</v>
      </c>
      <c r="O38" s="47">
        <v>0</v>
      </c>
      <c r="P38" s="47">
        <v>6.0000000000000001E-3</v>
      </c>
      <c r="Q38" s="192">
        <v>0</v>
      </c>
      <c r="R38" s="47">
        <v>0</v>
      </c>
      <c r="S38" s="47">
        <f t="shared" si="146"/>
        <v>5.4000000000000003E-3</v>
      </c>
      <c r="T38" s="47">
        <v>0.01</v>
      </c>
      <c r="U38" s="47">
        <v>1.8E-3</v>
      </c>
      <c r="V38" s="117">
        <v>4.0000000000000003E-5</v>
      </c>
      <c r="W38" s="47">
        <v>5.9999999999999995E-4</v>
      </c>
      <c r="X38" s="52">
        <v>1.0999999999999999E-2</v>
      </c>
      <c r="Y38" s="52">
        <v>2.0199999999999999E-2</v>
      </c>
      <c r="Z38" s="111">
        <v>6.3E-2</v>
      </c>
      <c r="AA38" s="52">
        <f t="shared" si="147"/>
        <v>0.1</v>
      </c>
      <c r="AB38" s="52">
        <f t="shared" si="148"/>
        <v>0</v>
      </c>
      <c r="AC38" s="52">
        <f t="shared" si="149"/>
        <v>0.9</v>
      </c>
      <c r="AD38" s="475">
        <f t="shared" si="150"/>
        <v>15.956999999999999</v>
      </c>
      <c r="AE38" s="474">
        <f t="shared" si="151"/>
        <v>15.956999999999999</v>
      </c>
      <c r="AF38" s="474">
        <f t="shared" si="152"/>
        <v>0</v>
      </c>
      <c r="AG38" s="474">
        <f t="shared" si="151"/>
        <v>0</v>
      </c>
      <c r="AH38" s="474">
        <f t="shared" si="153"/>
        <v>11.82</v>
      </c>
      <c r="AI38" s="474">
        <f t="shared" ref="AI38" si="638">AH38</f>
        <v>11.82</v>
      </c>
      <c r="AJ38" s="508"/>
      <c r="AK38" s="508"/>
      <c r="AL38" s="508"/>
      <c r="AM38" s="508"/>
      <c r="AN38" s="508"/>
      <c r="AO38" s="572"/>
      <c r="AP38" s="481">
        <f t="shared" si="155"/>
        <v>15.956999999999999</v>
      </c>
      <c r="AQ38" s="474">
        <f t="shared" ref="AQ38" si="639">AP38</f>
        <v>15.956999999999999</v>
      </c>
      <c r="AR38" s="474">
        <f t="shared" si="157"/>
        <v>0</v>
      </c>
      <c r="AS38" s="474">
        <f t="shared" ref="AS38" si="640">AR38</f>
        <v>0</v>
      </c>
      <c r="AT38" s="474">
        <f t="shared" si="159"/>
        <v>11.82</v>
      </c>
      <c r="AU38" s="474">
        <f t="shared" ref="AU38" si="641">AT38</f>
        <v>11.82</v>
      </c>
      <c r="AV38" s="475">
        <f t="shared" si="2"/>
        <v>0</v>
      </c>
      <c r="AW38" s="474">
        <f t="shared" ref="AW38" si="642">AV38</f>
        <v>0</v>
      </c>
      <c r="AX38" s="474">
        <f t="shared" si="3"/>
        <v>10.638</v>
      </c>
      <c r="AY38" s="474">
        <f t="shared" ref="AY38" si="643">AX38</f>
        <v>10.638</v>
      </c>
      <c r="AZ38" s="474">
        <f t="shared" si="4"/>
        <v>19.7</v>
      </c>
      <c r="BA38" s="474">
        <f t="shared" ref="BA38" si="644">AZ38</f>
        <v>19.7</v>
      </c>
      <c r="BB38" s="481"/>
      <c r="BC38" s="474"/>
      <c r="BD38" s="474"/>
      <c r="BE38" s="474"/>
      <c r="BF38" s="474"/>
      <c r="BG38" s="474"/>
      <c r="BH38" s="481">
        <f t="shared" si="5"/>
        <v>0</v>
      </c>
      <c r="BI38" s="474">
        <f t="shared" ref="BI38" si="645">BH38</f>
        <v>0</v>
      </c>
      <c r="BJ38" s="474">
        <f t="shared" si="6"/>
        <v>10.638</v>
      </c>
      <c r="BK38" s="474">
        <f t="shared" ref="BK38" si="646">BJ38</f>
        <v>10.638</v>
      </c>
      <c r="BL38" s="474">
        <f t="shared" si="7"/>
        <v>19.7</v>
      </c>
      <c r="BM38" s="474">
        <f t="shared" ref="BM38" si="647">BL38</f>
        <v>19.7</v>
      </c>
      <c r="BN38" s="475">
        <f t="shared" si="8"/>
        <v>7.8800000000000009E-2</v>
      </c>
      <c r="BO38" s="474">
        <f t="shared" ref="BO38" si="648">BN38</f>
        <v>7.8800000000000009E-2</v>
      </c>
      <c r="BP38" s="474">
        <f t="shared" si="9"/>
        <v>1.1819999999999999</v>
      </c>
      <c r="BQ38" s="474">
        <f t="shared" ref="BQ38" si="649">BP38</f>
        <v>1.1819999999999999</v>
      </c>
      <c r="BR38" s="474">
        <f t="shared" si="10"/>
        <v>21.669999999999998</v>
      </c>
      <c r="BS38" s="474">
        <f t="shared" ref="BS38" si="650">BR38</f>
        <v>21.669999999999998</v>
      </c>
      <c r="BT38" s="481"/>
      <c r="BU38" s="474"/>
      <c r="BV38" s="474"/>
      <c r="BW38" s="474"/>
      <c r="BX38" s="474"/>
      <c r="BY38" s="474"/>
      <c r="BZ38" s="481">
        <f t="shared" si="11"/>
        <v>7.8800000000000009E-2</v>
      </c>
      <c r="CA38" s="474">
        <f t="shared" ref="CA38" si="651">BZ38</f>
        <v>7.8800000000000009E-2</v>
      </c>
      <c r="CB38" s="474">
        <f t="shared" si="12"/>
        <v>1.1819999999999999</v>
      </c>
      <c r="CC38" s="474">
        <f t="shared" ref="CC38" si="652">CB38</f>
        <v>1.1819999999999999</v>
      </c>
      <c r="CD38" s="474">
        <f t="shared" si="13"/>
        <v>21.669999999999998</v>
      </c>
      <c r="CE38" s="526">
        <f t="shared" ref="CE38" si="653">CD38</f>
        <v>21.669999999999998</v>
      </c>
      <c r="CF38" s="355">
        <f t="shared" si="173"/>
        <v>0</v>
      </c>
      <c r="CG38" s="615">
        <f t="shared" si="174"/>
        <v>0</v>
      </c>
      <c r="CH38" s="355">
        <f t="shared" si="175"/>
        <v>0</v>
      </c>
      <c r="CI38" s="615">
        <f t="shared" si="491"/>
        <v>0</v>
      </c>
      <c r="CJ38" s="615">
        <f t="shared" si="176"/>
        <v>0</v>
      </c>
      <c r="CK38" s="615">
        <f t="shared" si="492"/>
        <v>0</v>
      </c>
      <c r="CL38" s="122"/>
      <c r="CM38" s="1235">
        <f t="shared" si="16"/>
        <v>1845.89</v>
      </c>
      <c r="CN38" s="1231"/>
      <c r="CO38" s="1230"/>
      <c r="CP38" s="1231"/>
      <c r="CQ38" s="1230">
        <f t="shared" si="177"/>
        <v>1845.89</v>
      </c>
      <c r="CR38" s="1232"/>
      <c r="CS38" s="30">
        <v>0.45</v>
      </c>
      <c r="CT38" s="31">
        <f t="shared" si="178"/>
        <v>0.55000000000000004</v>
      </c>
      <c r="CU38" s="31"/>
      <c r="CV38" s="32"/>
      <c r="CW38" s="1233">
        <f t="shared" si="179"/>
        <v>789.117975</v>
      </c>
      <c r="CX38" s="1234"/>
      <c r="CY38" s="1234">
        <f t="shared" si="180"/>
        <v>964.47752500000001</v>
      </c>
      <c r="CZ38" s="1231"/>
      <c r="DA38" s="369"/>
      <c r="DB38" s="369"/>
      <c r="DC38" s="369"/>
      <c r="DD38" s="373"/>
      <c r="DE38" s="1234">
        <f t="shared" si="17"/>
        <v>789.117975</v>
      </c>
      <c r="DF38" s="1234"/>
      <c r="DG38" s="369">
        <f t="shared" si="341"/>
        <v>964.47752500000001</v>
      </c>
      <c r="DH38" s="372">
        <f t="shared" si="182"/>
        <v>964.47752500000001</v>
      </c>
      <c r="DJ38" s="493">
        <v>0.05</v>
      </c>
      <c r="DK38" s="379"/>
      <c r="DL38" s="1084">
        <f t="shared" si="18"/>
        <v>92.294500000000014</v>
      </c>
      <c r="DM38" s="1084">
        <f t="shared" si="605"/>
        <v>92.294500000000014</v>
      </c>
      <c r="DN38" s="369"/>
      <c r="DO38" s="372"/>
      <c r="DP38" s="30">
        <v>1</v>
      </c>
      <c r="DQ38" s="31">
        <f t="shared" si="183"/>
        <v>0.1</v>
      </c>
      <c r="DR38" s="31">
        <f t="shared" si="184"/>
        <v>1</v>
      </c>
      <c r="DS38" s="680">
        <f t="shared" si="185"/>
        <v>0.1</v>
      </c>
      <c r="DT38" s="77">
        <f t="shared" si="186"/>
        <v>1</v>
      </c>
      <c r="DU38" s="31">
        <v>0</v>
      </c>
      <c r="DV38" s="31">
        <v>1</v>
      </c>
      <c r="DW38" s="31">
        <v>0</v>
      </c>
      <c r="DX38" s="31">
        <v>0</v>
      </c>
      <c r="DY38" s="31">
        <v>1</v>
      </c>
      <c r="DZ38" s="31">
        <v>0</v>
      </c>
      <c r="EA38" s="383">
        <f t="shared" si="187"/>
        <v>0</v>
      </c>
      <c r="EB38" s="355">
        <f t="shared" si="188"/>
        <v>0</v>
      </c>
      <c r="EC38" s="355">
        <f t="shared" si="189"/>
        <v>8.791051125000001</v>
      </c>
      <c r="ED38" s="355">
        <f t="shared" si="190"/>
        <v>87.910511250000013</v>
      </c>
      <c r="EE38" s="355">
        <f t="shared" si="191"/>
        <v>0</v>
      </c>
      <c r="EF38" s="355">
        <f t="shared" si="192"/>
        <v>0</v>
      </c>
      <c r="EG38" s="366"/>
      <c r="EH38" s="355"/>
      <c r="EI38" s="355"/>
      <c r="EJ38" s="355"/>
      <c r="EK38" s="355"/>
      <c r="EL38" s="356"/>
      <c r="EM38" s="355">
        <f t="shared" si="193"/>
        <v>8.791051125000001</v>
      </c>
      <c r="EN38" s="134">
        <f t="shared" si="194"/>
        <v>87.910511250000013</v>
      </c>
      <c r="EP38" s="1171">
        <f t="shared" si="20"/>
        <v>7.8800000000000009E-2</v>
      </c>
      <c r="EQ38" s="1172"/>
      <c r="ER38" s="1172">
        <f t="shared" si="21"/>
        <v>1.1819999999999999</v>
      </c>
      <c r="ES38" s="1172"/>
      <c r="ET38" s="1172">
        <f t="shared" si="22"/>
        <v>21.669999999999998</v>
      </c>
      <c r="EU38" s="1172"/>
      <c r="EV38" s="366"/>
      <c r="EW38" s="355"/>
      <c r="EX38" s="355"/>
      <c r="EY38" s="355"/>
      <c r="EZ38" s="1172"/>
      <c r="FA38" s="1173"/>
      <c r="FB38" s="368">
        <f t="shared" si="195"/>
        <v>789.117975</v>
      </c>
      <c r="FC38" s="369">
        <f t="shared" si="196"/>
        <v>789.117975</v>
      </c>
      <c r="FD38" s="369"/>
      <c r="FE38" s="61"/>
      <c r="FF38" s="368">
        <f t="shared" si="197"/>
        <v>964.47752500000001</v>
      </c>
      <c r="FG38" s="369">
        <f t="shared" si="426"/>
        <v>964.47752500000001</v>
      </c>
      <c r="FH38" s="369"/>
      <c r="FI38" s="369"/>
      <c r="FJ38" s="30">
        <v>1</v>
      </c>
      <c r="FK38" s="31">
        <v>0.2</v>
      </c>
      <c r="FL38" s="501">
        <v>0.8</v>
      </c>
      <c r="FM38" s="31">
        <f t="shared" si="198"/>
        <v>0.1</v>
      </c>
      <c r="FN38" s="501">
        <f t="shared" si="199"/>
        <v>1</v>
      </c>
      <c r="FO38" s="31">
        <f t="shared" si="200"/>
        <v>0.1</v>
      </c>
      <c r="FP38" s="31">
        <f t="shared" si="201"/>
        <v>1</v>
      </c>
      <c r="FQ38" s="31">
        <v>1</v>
      </c>
      <c r="FR38" s="31">
        <v>0</v>
      </c>
      <c r="FS38" s="89">
        <f t="shared" si="202"/>
        <v>1E-3</v>
      </c>
      <c r="FT38" s="31">
        <f t="shared" si="203"/>
        <v>0.05</v>
      </c>
      <c r="FU38" s="30">
        <v>0.05</v>
      </c>
      <c r="FV38" s="32">
        <f t="shared" si="25"/>
        <v>2.4224999999999997E-2</v>
      </c>
      <c r="FW38" s="31">
        <v>0.1</v>
      </c>
      <c r="FX38" s="77">
        <f t="shared" si="26"/>
        <v>9.0000000000000011E-2</v>
      </c>
      <c r="FY38" s="30"/>
      <c r="FZ38" s="32"/>
      <c r="GA38" s="31"/>
      <c r="GB38" s="77"/>
      <c r="GC38" s="378">
        <f t="shared" si="27"/>
        <v>7.8800000000000009E-2</v>
      </c>
      <c r="GD38" s="379">
        <f t="shared" si="204"/>
        <v>7.8800000000000009E-2</v>
      </c>
      <c r="GE38" s="379">
        <f t="shared" si="28"/>
        <v>1.1819999999999999</v>
      </c>
      <c r="GF38" s="379">
        <f t="shared" si="205"/>
        <v>1.1819999999999999</v>
      </c>
      <c r="GG38" s="379">
        <f t="shared" si="206"/>
        <v>4.3339999999999996</v>
      </c>
      <c r="GH38" s="218">
        <f t="shared" si="207"/>
        <v>17.335999999999999</v>
      </c>
      <c r="GI38" s="379"/>
      <c r="GJ38" s="379"/>
      <c r="GK38" s="379"/>
      <c r="GL38" s="379"/>
      <c r="GM38" s="379"/>
      <c r="GN38" s="218"/>
      <c r="GO38" s="379">
        <f t="shared" si="208"/>
        <v>5.5947999999999993</v>
      </c>
      <c r="GP38" s="515">
        <f t="shared" si="209"/>
        <v>18.596799999999998</v>
      </c>
      <c r="GQ38" s="379">
        <f t="shared" si="210"/>
        <v>5.5790098313892198</v>
      </c>
      <c r="GR38" s="379">
        <f t="shared" si="211"/>
        <v>142.810625525625</v>
      </c>
      <c r="GS38" s="355">
        <f t="shared" si="390"/>
        <v>5.5910762124250002E-2</v>
      </c>
      <c r="GT38" s="355">
        <f t="shared" si="391"/>
        <v>27.955381062125003</v>
      </c>
      <c r="GU38" s="355">
        <f t="shared" si="392"/>
        <v>0</v>
      </c>
      <c r="GV38" s="356">
        <f t="shared" si="393"/>
        <v>0</v>
      </c>
      <c r="GW38" s="355"/>
      <c r="GX38" s="355"/>
      <c r="GY38" s="355"/>
      <c r="GZ38" s="355"/>
      <c r="HA38" s="355"/>
      <c r="HB38" s="356"/>
      <c r="HC38" s="379">
        <f t="shared" si="212"/>
        <v>5.6349205935134696</v>
      </c>
      <c r="HD38" s="38">
        <f t="shared" si="213"/>
        <v>170.76600658775001</v>
      </c>
      <c r="HE38" s="527"/>
      <c r="HF38" s="529">
        <f t="shared" si="29"/>
        <v>15.956999999999999</v>
      </c>
      <c r="HG38" s="529">
        <f t="shared" si="30"/>
        <v>15.956999999999999</v>
      </c>
      <c r="HH38" s="529">
        <f t="shared" si="31"/>
        <v>0</v>
      </c>
      <c r="HI38" s="529">
        <f t="shared" si="32"/>
        <v>0</v>
      </c>
      <c r="HJ38" s="529">
        <f t="shared" si="33"/>
        <v>11.82</v>
      </c>
      <c r="HK38" s="524">
        <f t="shared" si="34"/>
        <v>11.82</v>
      </c>
      <c r="HL38" s="529">
        <f t="shared" si="35"/>
        <v>0</v>
      </c>
      <c r="HM38" s="529">
        <f t="shared" si="36"/>
        <v>0</v>
      </c>
      <c r="HN38" s="529">
        <f t="shared" si="37"/>
        <v>19.429051125000001</v>
      </c>
      <c r="HO38" s="529">
        <f t="shared" si="38"/>
        <v>98.548511250000018</v>
      </c>
      <c r="HP38" s="529">
        <f t="shared" si="39"/>
        <v>19.7</v>
      </c>
      <c r="HQ38" s="524">
        <f t="shared" si="40"/>
        <v>19.7</v>
      </c>
      <c r="HR38" s="615">
        <f t="shared" si="214"/>
        <v>5.7137205935134698</v>
      </c>
      <c r="HS38" s="615">
        <f t="shared" si="41"/>
        <v>170.84480658775001</v>
      </c>
      <c r="HT38" s="615">
        <f t="shared" si="42"/>
        <v>1.1819999999999999</v>
      </c>
      <c r="HU38" s="615">
        <f t="shared" si="43"/>
        <v>1.1819999999999999</v>
      </c>
      <c r="HV38" s="615">
        <f t="shared" si="44"/>
        <v>4.3339999999999996</v>
      </c>
      <c r="HW38" s="615">
        <f t="shared" si="45"/>
        <v>17.335999999999999</v>
      </c>
      <c r="IG38" s="560"/>
      <c r="IH38" s="529">
        <f t="shared" si="215"/>
        <v>0.17552700000000002</v>
      </c>
      <c r="II38" s="529">
        <f t="shared" si="216"/>
        <v>0.14361300000000002</v>
      </c>
      <c r="IJ38" s="529">
        <f t="shared" si="217"/>
        <v>0.28722600000000004</v>
      </c>
      <c r="IK38" s="529">
        <f t="shared" si="218"/>
        <v>0.14361300000000002</v>
      </c>
      <c r="IL38" s="529">
        <f t="shared" si="219"/>
        <v>13.483664999999998</v>
      </c>
      <c r="IM38" s="529">
        <f t="shared" si="220"/>
        <v>1.5956999999999999E-2</v>
      </c>
      <c r="IN38" s="529">
        <f t="shared" si="221"/>
        <v>1.5956999999999999E-2</v>
      </c>
      <c r="IO38" s="529">
        <f t="shared" si="222"/>
        <v>0.52658099999999997</v>
      </c>
      <c r="IP38" s="529">
        <f t="shared" si="223"/>
        <v>0.65423699999999985</v>
      </c>
      <c r="IQ38" s="529">
        <f t="shared" si="224"/>
        <v>0.82976400000000006</v>
      </c>
      <c r="IR38" s="529">
        <f t="shared" si="225"/>
        <v>0.65423699999999985</v>
      </c>
      <c r="IS38" s="529">
        <f t="shared" si="226"/>
        <v>13.515578999999999</v>
      </c>
      <c r="IT38" s="529">
        <f t="shared" si="227"/>
        <v>0.15956999999999999</v>
      </c>
      <c r="IU38" s="526">
        <f t="shared" si="228"/>
        <v>0.15956999999999999</v>
      </c>
      <c r="IV38" s="884">
        <f t="shared" si="229"/>
        <v>0</v>
      </c>
      <c r="IW38" s="884">
        <f t="shared" si="230"/>
        <v>0</v>
      </c>
      <c r="IX38" s="529">
        <f t="shared" si="49"/>
        <v>0</v>
      </c>
      <c r="IY38" s="529">
        <f t="shared" si="50"/>
        <v>0</v>
      </c>
      <c r="IZ38" s="529">
        <f t="shared" si="51"/>
        <v>0</v>
      </c>
      <c r="JA38" s="529">
        <f t="shared" si="52"/>
        <v>0</v>
      </c>
      <c r="JB38" s="529">
        <f t="shared" si="53"/>
        <v>0</v>
      </c>
      <c r="JC38" s="529">
        <f t="shared" si="231"/>
        <v>0</v>
      </c>
      <c r="JD38" s="529">
        <f t="shared" si="232"/>
        <v>0</v>
      </c>
      <c r="JE38" s="529">
        <f t="shared" si="55"/>
        <v>0</v>
      </c>
      <c r="JF38" s="529">
        <f t="shared" si="56"/>
        <v>0</v>
      </c>
      <c r="JG38" s="529">
        <f t="shared" si="57"/>
        <v>0</v>
      </c>
      <c r="JH38" s="529">
        <f t="shared" si="58"/>
        <v>0</v>
      </c>
      <c r="JI38" s="480">
        <f t="shared" si="59"/>
        <v>0</v>
      </c>
      <c r="JJ38" s="884">
        <f t="shared" si="233"/>
        <v>0.13002000000000002</v>
      </c>
      <c r="JK38" s="884">
        <f t="shared" si="234"/>
        <v>0.10638000000000002</v>
      </c>
      <c r="JL38" s="529">
        <f t="shared" si="61"/>
        <v>0.21276000000000003</v>
      </c>
      <c r="JM38" s="529">
        <f t="shared" si="62"/>
        <v>0.10638000000000002</v>
      </c>
      <c r="JN38" s="529">
        <f t="shared" si="63"/>
        <v>9.9878999999999998</v>
      </c>
      <c r="JO38" s="529">
        <f t="shared" si="64"/>
        <v>1.1820000000000001E-2</v>
      </c>
      <c r="JP38" s="529">
        <f t="shared" si="65"/>
        <v>1.1820000000000001E-2</v>
      </c>
      <c r="JQ38" s="529">
        <f t="shared" si="235"/>
        <v>0.39006000000000002</v>
      </c>
      <c r="JR38" s="529">
        <f t="shared" si="236"/>
        <v>0.48461999999999994</v>
      </c>
      <c r="JS38" s="474">
        <f t="shared" si="67"/>
        <v>0.61464000000000008</v>
      </c>
      <c r="JT38" s="474">
        <f t="shared" si="68"/>
        <v>0.48461999999999994</v>
      </c>
      <c r="JU38" s="474">
        <f t="shared" si="69"/>
        <v>10.01154</v>
      </c>
      <c r="JV38" s="474">
        <f t="shared" si="70"/>
        <v>0.1182</v>
      </c>
      <c r="JW38" s="134">
        <f t="shared" si="71"/>
        <v>0.1182</v>
      </c>
      <c r="JX38" s="884">
        <f t="shared" si="237"/>
        <v>0</v>
      </c>
      <c r="JY38" s="884">
        <f t="shared" si="238"/>
        <v>0</v>
      </c>
      <c r="JZ38" s="529">
        <f t="shared" si="73"/>
        <v>0</v>
      </c>
      <c r="KA38" s="529">
        <f t="shared" si="74"/>
        <v>0</v>
      </c>
      <c r="KB38" s="529">
        <f t="shared" si="75"/>
        <v>0</v>
      </c>
      <c r="KC38" s="529">
        <f t="shared" si="76"/>
        <v>0</v>
      </c>
      <c r="KD38" s="529">
        <f t="shared" si="77"/>
        <v>0</v>
      </c>
      <c r="KE38" s="529">
        <f t="shared" si="239"/>
        <v>0</v>
      </c>
      <c r="KF38" s="529">
        <f t="shared" si="240"/>
        <v>0</v>
      </c>
      <c r="KG38" s="529">
        <f t="shared" si="79"/>
        <v>0</v>
      </c>
      <c r="KH38" s="529">
        <f t="shared" si="80"/>
        <v>0</v>
      </c>
      <c r="KI38" s="529">
        <f t="shared" si="81"/>
        <v>0</v>
      </c>
      <c r="KJ38" s="529">
        <f t="shared" si="82"/>
        <v>0</v>
      </c>
      <c r="KK38" s="526">
        <f t="shared" si="83"/>
        <v>0</v>
      </c>
      <c r="KL38" s="884">
        <f t="shared" si="241"/>
        <v>0.21371956237500003</v>
      </c>
      <c r="KM38" s="884">
        <f t="shared" si="242"/>
        <v>0.17486146012500003</v>
      </c>
      <c r="KN38" s="529">
        <f t="shared" si="85"/>
        <v>0.34972292025000007</v>
      </c>
      <c r="KO38" s="529">
        <f t="shared" si="86"/>
        <v>0.17486146012500003</v>
      </c>
      <c r="KP38" s="529">
        <f t="shared" si="87"/>
        <v>16.417548200624999</v>
      </c>
      <c r="KQ38" s="529">
        <f t="shared" si="88"/>
        <v>1.9429051125000003E-2</v>
      </c>
      <c r="KR38" s="529">
        <f t="shared" si="89"/>
        <v>1.9429051125000003E-2</v>
      </c>
      <c r="KS38" s="529">
        <f t="shared" si="243"/>
        <v>3.2521008712500006</v>
      </c>
      <c r="KT38" s="529">
        <f t="shared" si="244"/>
        <v>4.0404889612500003</v>
      </c>
      <c r="KU38" s="529">
        <f t="shared" si="91"/>
        <v>5.1245225850000011</v>
      </c>
      <c r="KV38" s="529">
        <f t="shared" si="92"/>
        <v>4.0404889612500003</v>
      </c>
      <c r="KW38" s="529">
        <f t="shared" si="93"/>
        <v>83.470589028750013</v>
      </c>
      <c r="KX38" s="529">
        <f t="shared" si="94"/>
        <v>0.98548511250000026</v>
      </c>
      <c r="KY38" s="480">
        <f t="shared" si="95"/>
        <v>0.98548511250000026</v>
      </c>
      <c r="KZ38" s="884">
        <f t="shared" si="245"/>
        <v>0.2167</v>
      </c>
      <c r="LA38" s="884">
        <f t="shared" si="246"/>
        <v>0.17730000000000001</v>
      </c>
      <c r="LB38" s="529">
        <f t="shared" si="97"/>
        <v>0.35460000000000003</v>
      </c>
      <c r="LC38" s="529">
        <f t="shared" si="98"/>
        <v>0.17730000000000001</v>
      </c>
      <c r="LD38" s="529">
        <f t="shared" si="99"/>
        <v>16.6465</v>
      </c>
      <c r="LE38" s="529">
        <f t="shared" si="100"/>
        <v>1.9699999999999999E-2</v>
      </c>
      <c r="LF38" s="529">
        <f t="shared" si="101"/>
        <v>1.9699999999999999E-2</v>
      </c>
      <c r="LG38" s="529">
        <f t="shared" si="247"/>
        <v>0.65010000000000001</v>
      </c>
      <c r="LH38" s="529">
        <f t="shared" si="248"/>
        <v>0.80769999999999986</v>
      </c>
      <c r="LI38" s="355">
        <f t="shared" si="103"/>
        <v>1.0244</v>
      </c>
      <c r="LJ38" s="355">
        <f t="shared" si="104"/>
        <v>0.80769999999999986</v>
      </c>
      <c r="LK38" s="355">
        <f t="shared" si="105"/>
        <v>16.6859</v>
      </c>
      <c r="LL38" s="355">
        <f t="shared" si="106"/>
        <v>0.19700000000000001</v>
      </c>
      <c r="LM38" s="134">
        <f t="shared" si="107"/>
        <v>0.19700000000000001</v>
      </c>
      <c r="LN38" s="884">
        <f t="shared" si="249"/>
        <v>6.2850926528648168E-3</v>
      </c>
      <c r="LO38" s="884">
        <f t="shared" si="250"/>
        <v>1.7141161780540408E-3</v>
      </c>
      <c r="LP38" s="529">
        <f t="shared" si="109"/>
        <v>2.9139975026918698E-2</v>
      </c>
      <c r="LQ38" s="529">
        <f t="shared" si="110"/>
        <v>4.6852508866810444E-2</v>
      </c>
      <c r="LR38" s="529">
        <f t="shared" si="111"/>
        <v>4.5709764748107764</v>
      </c>
      <c r="LS38" s="529">
        <f t="shared" si="112"/>
        <v>4.9709369163567184E-2</v>
      </c>
      <c r="LT38" s="529">
        <f t="shared" si="113"/>
        <v>5.7137205935134695E-3</v>
      </c>
      <c r="LU38" s="529">
        <f t="shared" si="251"/>
        <v>10.250688395265</v>
      </c>
      <c r="LV38" s="529">
        <f t="shared" si="252"/>
        <v>5.1253441976324998</v>
      </c>
      <c r="LW38" s="529">
        <f t="shared" si="115"/>
        <v>11.959136461142503</v>
      </c>
      <c r="LX38" s="529">
        <f t="shared" si="116"/>
        <v>10.250688395265</v>
      </c>
      <c r="LY38" s="529">
        <f t="shared" si="117"/>
        <v>168.96551371528477</v>
      </c>
      <c r="LZ38" s="529">
        <f t="shared" si="118"/>
        <v>1.7084480658775001</v>
      </c>
      <c r="MA38" s="485">
        <f t="shared" si="119"/>
        <v>1.7084480658775001</v>
      </c>
      <c r="MB38" s="884">
        <f t="shared" si="253"/>
        <v>1.3002000000000001E-3</v>
      </c>
      <c r="MC38" s="884">
        <f t="shared" si="254"/>
        <v>3.5459999999999995E-4</v>
      </c>
      <c r="MD38" s="529">
        <f t="shared" si="121"/>
        <v>6.0282000000000001E-3</v>
      </c>
      <c r="ME38" s="529">
        <f t="shared" si="122"/>
        <v>9.6923999999999986E-3</v>
      </c>
      <c r="MF38" s="529">
        <f t="shared" si="123"/>
        <v>0.9456</v>
      </c>
      <c r="MG38" s="529">
        <f t="shared" si="124"/>
        <v>1.0283399999999998E-2</v>
      </c>
      <c r="MH38" s="529">
        <f t="shared" si="125"/>
        <v>1.1819999999999999E-3</v>
      </c>
      <c r="MI38" s="529">
        <f t="shared" si="255"/>
        <v>7.0919999999999997E-2</v>
      </c>
      <c r="MJ38" s="529">
        <f t="shared" si="256"/>
        <v>3.5459999999999998E-2</v>
      </c>
      <c r="MK38" s="529">
        <f t="shared" si="127"/>
        <v>8.2740000000000008E-2</v>
      </c>
      <c r="ML38" s="529">
        <f t="shared" si="128"/>
        <v>7.0919999999999997E-2</v>
      </c>
      <c r="MM38" s="529">
        <f t="shared" si="129"/>
        <v>1.168998</v>
      </c>
      <c r="MN38" s="529">
        <f t="shared" si="130"/>
        <v>1.1819999999999999E-2</v>
      </c>
      <c r="MO38" s="485">
        <f t="shared" si="131"/>
        <v>1.1819999999999999E-2</v>
      </c>
      <c r="MP38" s="884">
        <f t="shared" si="257"/>
        <v>4.7673999999999998E-3</v>
      </c>
      <c r="MQ38" s="884">
        <f t="shared" si="258"/>
        <v>1.3001999999999998E-3</v>
      </c>
      <c r="MR38" s="529">
        <f t="shared" si="133"/>
        <v>2.2103399999999999E-2</v>
      </c>
      <c r="MS38" s="529">
        <f t="shared" si="134"/>
        <v>3.5538799999999995E-2</v>
      </c>
      <c r="MT38" s="529">
        <f t="shared" si="135"/>
        <v>3.4672000000000001</v>
      </c>
      <c r="MU38" s="529">
        <f t="shared" si="136"/>
        <v>3.7705799999999998E-2</v>
      </c>
      <c r="MV38" s="529">
        <f t="shared" si="137"/>
        <v>4.3339999999999993E-3</v>
      </c>
      <c r="MW38" s="529">
        <f t="shared" si="259"/>
        <v>1.04016</v>
      </c>
      <c r="MX38" s="529">
        <f t="shared" si="260"/>
        <v>0.52007999999999999</v>
      </c>
      <c r="MY38" s="474">
        <f t="shared" si="139"/>
        <v>1.2135199999999999</v>
      </c>
      <c r="MZ38" s="474">
        <f t="shared" si="140"/>
        <v>1.04016</v>
      </c>
      <c r="NA38" s="474">
        <f t="shared" si="141"/>
        <v>17.145303999999999</v>
      </c>
      <c r="NB38" s="474">
        <f t="shared" si="142"/>
        <v>0.17335999999999999</v>
      </c>
      <c r="NC38" s="134">
        <f t="shared" si="143"/>
        <v>0.17335999999999999</v>
      </c>
    </row>
    <row r="39" spans="1:367" x14ac:dyDescent="0.25">
      <c r="A39" s="18">
        <v>1984</v>
      </c>
      <c r="B39" s="1271">
        <v>2191</v>
      </c>
      <c r="C39" s="1224"/>
      <c r="D39" s="1224">
        <v>0</v>
      </c>
      <c r="E39" s="1272"/>
      <c r="F39" s="1226">
        <f t="shared" si="144"/>
        <v>2158.1349999999998</v>
      </c>
      <c r="G39" s="1226"/>
      <c r="H39" s="1224">
        <f t="shared" si="145"/>
        <v>0</v>
      </c>
      <c r="I39" s="1224"/>
      <c r="J39" s="1082">
        <v>0</v>
      </c>
      <c r="K39" s="1082">
        <f t="shared" si="0"/>
        <v>0</v>
      </c>
      <c r="L39" s="1226">
        <f t="shared" si="1"/>
        <v>2158.1349999999998</v>
      </c>
      <c r="M39" s="1227"/>
      <c r="N39" s="193">
        <v>8.0999999999999996E-3</v>
      </c>
      <c r="O39" s="47">
        <v>0</v>
      </c>
      <c r="P39" s="47">
        <v>6.0000000000000001E-3</v>
      </c>
      <c r="Q39" s="192">
        <v>0</v>
      </c>
      <c r="R39" s="47">
        <v>0</v>
      </c>
      <c r="S39" s="47">
        <f t="shared" si="146"/>
        <v>5.4000000000000003E-3</v>
      </c>
      <c r="T39" s="47">
        <v>0.01</v>
      </c>
      <c r="U39" s="47">
        <v>1.8E-3</v>
      </c>
      <c r="V39" s="117">
        <v>4.0000000000000003E-5</v>
      </c>
      <c r="W39" s="47">
        <v>5.9999999999999995E-4</v>
      </c>
      <c r="X39" s="52">
        <v>1.0999999999999999E-2</v>
      </c>
      <c r="Y39" s="52">
        <v>2.0199999999999999E-2</v>
      </c>
      <c r="Z39" s="111">
        <v>6.3E-2</v>
      </c>
      <c r="AA39" s="52">
        <f t="shared" si="147"/>
        <v>0.1</v>
      </c>
      <c r="AB39" s="52">
        <f t="shared" si="148"/>
        <v>0</v>
      </c>
      <c r="AC39" s="52">
        <f t="shared" si="149"/>
        <v>0.9</v>
      </c>
      <c r="AD39" s="475">
        <f t="shared" si="150"/>
        <v>17.480893499999997</v>
      </c>
      <c r="AE39" s="474">
        <f t="shared" si="151"/>
        <v>17.480893499999997</v>
      </c>
      <c r="AF39" s="474">
        <f t="shared" si="152"/>
        <v>0</v>
      </c>
      <c r="AG39" s="474">
        <f t="shared" si="151"/>
        <v>0</v>
      </c>
      <c r="AH39" s="474">
        <f t="shared" si="153"/>
        <v>12.948809999999998</v>
      </c>
      <c r="AI39" s="474">
        <f t="shared" ref="AI39" si="654">AH39</f>
        <v>12.948809999999998</v>
      </c>
      <c r="AJ39" s="508"/>
      <c r="AK39" s="508"/>
      <c r="AL39" s="508"/>
      <c r="AM39" s="508"/>
      <c r="AN39" s="508"/>
      <c r="AO39" s="572"/>
      <c r="AP39" s="481">
        <f t="shared" si="155"/>
        <v>17.480893499999997</v>
      </c>
      <c r="AQ39" s="474">
        <f t="shared" ref="AQ39" si="655">AP39</f>
        <v>17.480893499999997</v>
      </c>
      <c r="AR39" s="474">
        <f t="shared" si="157"/>
        <v>0</v>
      </c>
      <c r="AS39" s="474">
        <f t="shared" ref="AS39" si="656">AR39</f>
        <v>0</v>
      </c>
      <c r="AT39" s="474">
        <f t="shared" si="159"/>
        <v>12.948809999999998</v>
      </c>
      <c r="AU39" s="474">
        <f t="shared" ref="AU39" si="657">AT39</f>
        <v>12.948809999999998</v>
      </c>
      <c r="AV39" s="475">
        <f t="shared" si="2"/>
        <v>0</v>
      </c>
      <c r="AW39" s="474">
        <f t="shared" ref="AW39" si="658">AV39</f>
        <v>0</v>
      </c>
      <c r="AX39" s="474">
        <f t="shared" si="3"/>
        <v>11.653929</v>
      </c>
      <c r="AY39" s="474">
        <f t="shared" ref="AY39" si="659">AX39</f>
        <v>11.653929</v>
      </c>
      <c r="AZ39" s="474">
        <f t="shared" si="4"/>
        <v>21.581349999999997</v>
      </c>
      <c r="BA39" s="474">
        <f t="shared" ref="BA39" si="660">AZ39</f>
        <v>21.581349999999997</v>
      </c>
      <c r="BB39" s="481"/>
      <c r="BC39" s="474"/>
      <c r="BD39" s="474"/>
      <c r="BE39" s="474"/>
      <c r="BF39" s="474"/>
      <c r="BG39" s="474"/>
      <c r="BH39" s="481">
        <f t="shared" si="5"/>
        <v>0</v>
      </c>
      <c r="BI39" s="474">
        <f t="shared" ref="BI39" si="661">BH39</f>
        <v>0</v>
      </c>
      <c r="BJ39" s="474">
        <f t="shared" si="6"/>
        <v>11.653929</v>
      </c>
      <c r="BK39" s="474">
        <f t="shared" ref="BK39" si="662">BJ39</f>
        <v>11.653929</v>
      </c>
      <c r="BL39" s="474">
        <f t="shared" si="7"/>
        <v>21.581349999999997</v>
      </c>
      <c r="BM39" s="474">
        <f t="shared" ref="BM39" si="663">BL39</f>
        <v>21.581349999999997</v>
      </c>
      <c r="BN39" s="475">
        <f t="shared" si="8"/>
        <v>8.6325399999999997E-2</v>
      </c>
      <c r="BO39" s="474">
        <f t="shared" ref="BO39" si="664">BN39</f>
        <v>8.6325399999999997E-2</v>
      </c>
      <c r="BP39" s="474">
        <f t="shared" si="9"/>
        <v>1.2948809999999997</v>
      </c>
      <c r="BQ39" s="474">
        <f t="shared" ref="BQ39" si="665">BP39</f>
        <v>1.2948809999999997</v>
      </c>
      <c r="BR39" s="474">
        <f t="shared" si="10"/>
        <v>23.739484999999995</v>
      </c>
      <c r="BS39" s="474">
        <f t="shared" ref="BS39" si="666">BR39</f>
        <v>23.739484999999995</v>
      </c>
      <c r="BT39" s="481"/>
      <c r="BU39" s="474"/>
      <c r="BV39" s="474"/>
      <c r="BW39" s="474"/>
      <c r="BX39" s="474"/>
      <c r="BY39" s="474"/>
      <c r="BZ39" s="481">
        <f t="shared" si="11"/>
        <v>8.6325399999999997E-2</v>
      </c>
      <c r="CA39" s="474">
        <f t="shared" ref="CA39" si="667">BZ39</f>
        <v>8.6325399999999997E-2</v>
      </c>
      <c r="CB39" s="474">
        <f t="shared" si="12"/>
        <v>1.2948809999999997</v>
      </c>
      <c r="CC39" s="474">
        <f t="shared" ref="CC39" si="668">CB39</f>
        <v>1.2948809999999997</v>
      </c>
      <c r="CD39" s="474">
        <f t="shared" si="13"/>
        <v>23.739484999999995</v>
      </c>
      <c r="CE39" s="526">
        <f t="shared" ref="CE39" si="669">CD39</f>
        <v>23.739484999999995</v>
      </c>
      <c r="CF39" s="355">
        <f t="shared" si="173"/>
        <v>0</v>
      </c>
      <c r="CG39" s="615">
        <f t="shared" si="174"/>
        <v>0</v>
      </c>
      <c r="CH39" s="355">
        <f t="shared" si="175"/>
        <v>0</v>
      </c>
      <c r="CI39" s="615">
        <f t="shared" si="491"/>
        <v>0</v>
      </c>
      <c r="CJ39" s="615">
        <f t="shared" si="176"/>
        <v>0</v>
      </c>
      <c r="CK39" s="615">
        <f t="shared" si="492"/>
        <v>0</v>
      </c>
      <c r="CL39" s="122"/>
      <c r="CM39" s="1235">
        <f t="shared" si="16"/>
        <v>2022.1724949999998</v>
      </c>
      <c r="CN39" s="1231"/>
      <c r="CO39" s="1230"/>
      <c r="CP39" s="1231"/>
      <c r="CQ39" s="1230">
        <f t="shared" si="177"/>
        <v>2022.1724949999998</v>
      </c>
      <c r="CR39" s="1232"/>
      <c r="CS39" s="30">
        <v>0.45</v>
      </c>
      <c r="CT39" s="31">
        <f t="shared" si="178"/>
        <v>0.55000000000000004</v>
      </c>
      <c r="CU39" s="31"/>
      <c r="CV39" s="32"/>
      <c r="CW39" s="1233">
        <f t="shared" si="179"/>
        <v>864.4787416124999</v>
      </c>
      <c r="CX39" s="1234"/>
      <c r="CY39" s="1234">
        <f t="shared" si="180"/>
        <v>1056.5851286375</v>
      </c>
      <c r="CZ39" s="1231"/>
      <c r="DA39" s="369"/>
      <c r="DB39" s="369"/>
      <c r="DC39" s="369"/>
      <c r="DD39" s="373"/>
      <c r="DE39" s="1234">
        <f t="shared" si="17"/>
        <v>864.4787416124999</v>
      </c>
      <c r="DF39" s="1234"/>
      <c r="DG39" s="369">
        <f t="shared" si="341"/>
        <v>1056.5851286375</v>
      </c>
      <c r="DH39" s="372">
        <f t="shared" si="182"/>
        <v>1056.5851286375</v>
      </c>
      <c r="DJ39" s="493">
        <v>0.05</v>
      </c>
      <c r="DK39" s="379"/>
      <c r="DL39" s="1084">
        <f t="shared" si="18"/>
        <v>101.10862474999999</v>
      </c>
      <c r="DM39" s="1084">
        <f t="shared" si="605"/>
        <v>101.10862474999999</v>
      </c>
      <c r="DN39" s="369"/>
      <c r="DO39" s="372"/>
      <c r="DP39" s="30">
        <v>1</v>
      </c>
      <c r="DQ39" s="31">
        <f t="shared" si="183"/>
        <v>0.1</v>
      </c>
      <c r="DR39" s="31">
        <f t="shared" si="184"/>
        <v>1</v>
      </c>
      <c r="DS39" s="680">
        <f t="shared" si="185"/>
        <v>0.1</v>
      </c>
      <c r="DT39" s="77">
        <f t="shared" si="186"/>
        <v>1</v>
      </c>
      <c r="DU39" s="31">
        <v>0</v>
      </c>
      <c r="DV39" s="31">
        <v>1</v>
      </c>
      <c r="DW39" s="31">
        <v>0</v>
      </c>
      <c r="DX39" s="31">
        <v>0</v>
      </c>
      <c r="DY39" s="31">
        <v>1</v>
      </c>
      <c r="DZ39" s="31">
        <v>0</v>
      </c>
      <c r="EA39" s="383">
        <f t="shared" si="187"/>
        <v>0</v>
      </c>
      <c r="EB39" s="355">
        <f t="shared" si="188"/>
        <v>0</v>
      </c>
      <c r="EC39" s="355">
        <f t="shared" si="189"/>
        <v>9.6701562375000005</v>
      </c>
      <c r="ED39" s="355">
        <f t="shared" si="190"/>
        <v>96.701562375000009</v>
      </c>
      <c r="EE39" s="355">
        <f t="shared" si="191"/>
        <v>0</v>
      </c>
      <c r="EF39" s="355">
        <f t="shared" si="192"/>
        <v>0</v>
      </c>
      <c r="EG39" s="366"/>
      <c r="EH39" s="355"/>
      <c r="EI39" s="355"/>
      <c r="EJ39" s="355"/>
      <c r="EK39" s="355"/>
      <c r="EL39" s="356"/>
      <c r="EM39" s="355">
        <f t="shared" si="193"/>
        <v>9.6701562375000005</v>
      </c>
      <c r="EN39" s="134">
        <f t="shared" si="194"/>
        <v>96.701562375000009</v>
      </c>
      <c r="EP39" s="1171">
        <f t="shared" si="20"/>
        <v>8.6325399999999997E-2</v>
      </c>
      <c r="EQ39" s="1172"/>
      <c r="ER39" s="1172">
        <f t="shared" si="21"/>
        <v>1.2948809999999997</v>
      </c>
      <c r="ES39" s="1172"/>
      <c r="ET39" s="1172">
        <f t="shared" si="22"/>
        <v>23.739484999999995</v>
      </c>
      <c r="EU39" s="1172"/>
      <c r="EV39" s="366"/>
      <c r="EW39" s="355"/>
      <c r="EX39" s="355"/>
      <c r="EY39" s="355"/>
      <c r="EZ39" s="1172"/>
      <c r="FA39" s="1173"/>
      <c r="FB39" s="368">
        <f t="shared" si="195"/>
        <v>864.4787416124999</v>
      </c>
      <c r="FC39" s="369">
        <f t="shared" si="196"/>
        <v>864.4787416124999</v>
      </c>
      <c r="FD39" s="369"/>
      <c r="FE39" s="61"/>
      <c r="FF39" s="368">
        <f t="shared" si="197"/>
        <v>1056.5851286375</v>
      </c>
      <c r="FG39" s="369">
        <f t="shared" si="426"/>
        <v>1056.5851286375</v>
      </c>
      <c r="FH39" s="369"/>
      <c r="FI39" s="369"/>
      <c r="FJ39" s="30">
        <v>1</v>
      </c>
      <c r="FK39" s="31">
        <v>0.2</v>
      </c>
      <c r="FL39" s="501">
        <v>0.8</v>
      </c>
      <c r="FM39" s="31">
        <f t="shared" si="198"/>
        <v>0.1</v>
      </c>
      <c r="FN39" s="501">
        <f t="shared" si="199"/>
        <v>1</v>
      </c>
      <c r="FO39" s="31">
        <f t="shared" si="200"/>
        <v>0.1</v>
      </c>
      <c r="FP39" s="31">
        <f t="shared" si="201"/>
        <v>1</v>
      </c>
      <c r="FQ39" s="31">
        <v>1</v>
      </c>
      <c r="FR39" s="31">
        <v>0</v>
      </c>
      <c r="FS39" s="89">
        <f t="shared" si="202"/>
        <v>1E-3</v>
      </c>
      <c r="FT39" s="31">
        <f t="shared" si="203"/>
        <v>0.05</v>
      </c>
      <c r="FU39" s="30">
        <v>0.05</v>
      </c>
      <c r="FV39" s="32">
        <f t="shared" si="25"/>
        <v>2.4224999999999997E-2</v>
      </c>
      <c r="FW39" s="31">
        <v>0.1</v>
      </c>
      <c r="FX39" s="77">
        <f t="shared" si="26"/>
        <v>9.0000000000000011E-2</v>
      </c>
      <c r="FY39" s="30"/>
      <c r="FZ39" s="32"/>
      <c r="GA39" s="31"/>
      <c r="GB39" s="77"/>
      <c r="GC39" s="378">
        <f t="shared" si="27"/>
        <v>8.6325399999999997E-2</v>
      </c>
      <c r="GD39" s="379">
        <f t="shared" si="204"/>
        <v>8.6325399999999997E-2</v>
      </c>
      <c r="GE39" s="379">
        <f t="shared" si="28"/>
        <v>1.2948809999999997</v>
      </c>
      <c r="GF39" s="379">
        <f t="shared" si="205"/>
        <v>1.2948809999999997</v>
      </c>
      <c r="GG39" s="379">
        <f t="shared" si="206"/>
        <v>4.7478969999999991</v>
      </c>
      <c r="GH39" s="218">
        <f t="shared" si="207"/>
        <v>18.991587999999997</v>
      </c>
      <c r="GI39" s="379"/>
      <c r="GJ39" s="379"/>
      <c r="GK39" s="379"/>
      <c r="GL39" s="379"/>
      <c r="GM39" s="379"/>
      <c r="GN39" s="218"/>
      <c r="GO39" s="379">
        <f t="shared" si="208"/>
        <v>6.1291033999999991</v>
      </c>
      <c r="GP39" s="515">
        <f t="shared" si="209"/>
        <v>20.372794399999997</v>
      </c>
      <c r="GQ39" s="379">
        <f t="shared" si="210"/>
        <v>6.1369108145281412</v>
      </c>
      <c r="GR39" s="379">
        <f t="shared" si="211"/>
        <v>157.09168807818747</v>
      </c>
      <c r="GS39" s="355">
        <f t="shared" si="390"/>
        <v>6.4306538979375022E-2</v>
      </c>
      <c r="GT39" s="355">
        <f t="shared" si="391"/>
        <v>32.15326948968751</v>
      </c>
      <c r="GU39" s="355">
        <f t="shared" si="392"/>
        <v>0</v>
      </c>
      <c r="GV39" s="356">
        <f t="shared" si="393"/>
        <v>0</v>
      </c>
      <c r="GW39" s="355"/>
      <c r="GX39" s="355"/>
      <c r="GY39" s="355"/>
      <c r="GZ39" s="355"/>
      <c r="HA39" s="355"/>
      <c r="HB39" s="356"/>
      <c r="HC39" s="379">
        <f t="shared" si="212"/>
        <v>6.2012173535075163</v>
      </c>
      <c r="HD39" s="38">
        <f t="shared" si="213"/>
        <v>189.24495756787499</v>
      </c>
      <c r="HE39" s="527"/>
      <c r="HF39" s="529">
        <f t="shared" si="29"/>
        <v>17.480893499999997</v>
      </c>
      <c r="HG39" s="529">
        <f t="shared" si="30"/>
        <v>17.480893499999997</v>
      </c>
      <c r="HH39" s="529">
        <f t="shared" si="31"/>
        <v>0</v>
      </c>
      <c r="HI39" s="529">
        <f t="shared" si="32"/>
        <v>0</v>
      </c>
      <c r="HJ39" s="529">
        <f t="shared" si="33"/>
        <v>12.948809999999998</v>
      </c>
      <c r="HK39" s="524">
        <f t="shared" si="34"/>
        <v>12.948809999999998</v>
      </c>
      <c r="HL39" s="529">
        <f t="shared" si="35"/>
        <v>0</v>
      </c>
      <c r="HM39" s="529">
        <f t="shared" si="36"/>
        <v>0</v>
      </c>
      <c r="HN39" s="529">
        <f t="shared" si="37"/>
        <v>21.3240852375</v>
      </c>
      <c r="HO39" s="529">
        <f t="shared" si="38"/>
        <v>108.35549137500001</v>
      </c>
      <c r="HP39" s="529">
        <f t="shared" si="39"/>
        <v>21.581349999999997</v>
      </c>
      <c r="HQ39" s="524">
        <f t="shared" si="40"/>
        <v>21.581349999999997</v>
      </c>
      <c r="HR39" s="615">
        <f t="shared" si="214"/>
        <v>6.2875427535075161</v>
      </c>
      <c r="HS39" s="615">
        <f t="shared" si="41"/>
        <v>189.33128296787498</v>
      </c>
      <c r="HT39" s="615">
        <f t="shared" si="42"/>
        <v>1.2948809999999997</v>
      </c>
      <c r="HU39" s="615">
        <f t="shared" si="43"/>
        <v>1.2948809999999997</v>
      </c>
      <c r="HV39" s="615">
        <f t="shared" si="44"/>
        <v>4.7478969999999991</v>
      </c>
      <c r="HW39" s="615">
        <f t="shared" si="45"/>
        <v>18.991587999999997</v>
      </c>
      <c r="IG39" s="560"/>
      <c r="IH39" s="529">
        <f t="shared" si="215"/>
        <v>0.19228982849999998</v>
      </c>
      <c r="II39" s="529">
        <f t="shared" si="216"/>
        <v>0.15732804149999999</v>
      </c>
      <c r="IJ39" s="529">
        <f t="shared" si="217"/>
        <v>0.31465608299999998</v>
      </c>
      <c r="IK39" s="529">
        <f t="shared" si="218"/>
        <v>0.15732804149999999</v>
      </c>
      <c r="IL39" s="529">
        <f t="shared" si="219"/>
        <v>14.771355007499997</v>
      </c>
      <c r="IM39" s="529">
        <f t="shared" si="220"/>
        <v>1.7480893499999997E-2</v>
      </c>
      <c r="IN39" s="529">
        <f t="shared" si="221"/>
        <v>1.7480893499999997E-2</v>
      </c>
      <c r="IO39" s="529">
        <f t="shared" si="222"/>
        <v>0.57686948549999995</v>
      </c>
      <c r="IP39" s="529">
        <f t="shared" si="223"/>
        <v>0.71671663349999981</v>
      </c>
      <c r="IQ39" s="529">
        <f t="shared" si="224"/>
        <v>0.9090064619999999</v>
      </c>
      <c r="IR39" s="529">
        <f t="shared" si="225"/>
        <v>0.71671663349999981</v>
      </c>
      <c r="IS39" s="529">
        <f t="shared" si="226"/>
        <v>14.806316794499997</v>
      </c>
      <c r="IT39" s="529">
        <f t="shared" si="227"/>
        <v>0.17480893499999997</v>
      </c>
      <c r="IU39" s="526">
        <f t="shared" si="228"/>
        <v>0.17480893499999997</v>
      </c>
      <c r="IV39" s="884">
        <f t="shared" si="229"/>
        <v>0</v>
      </c>
      <c r="IW39" s="884">
        <f t="shared" si="230"/>
        <v>0</v>
      </c>
      <c r="IX39" s="529">
        <f t="shared" si="49"/>
        <v>0</v>
      </c>
      <c r="IY39" s="529">
        <f t="shared" si="50"/>
        <v>0</v>
      </c>
      <c r="IZ39" s="529">
        <f t="shared" si="51"/>
        <v>0</v>
      </c>
      <c r="JA39" s="529">
        <f t="shared" si="52"/>
        <v>0</v>
      </c>
      <c r="JB39" s="529">
        <f t="shared" si="53"/>
        <v>0</v>
      </c>
      <c r="JC39" s="529">
        <f t="shared" si="231"/>
        <v>0</v>
      </c>
      <c r="JD39" s="529">
        <f t="shared" si="232"/>
        <v>0</v>
      </c>
      <c r="JE39" s="529">
        <f t="shared" si="55"/>
        <v>0</v>
      </c>
      <c r="JF39" s="529">
        <f t="shared" si="56"/>
        <v>0</v>
      </c>
      <c r="JG39" s="529">
        <f t="shared" si="57"/>
        <v>0</v>
      </c>
      <c r="JH39" s="529">
        <f t="shared" si="58"/>
        <v>0</v>
      </c>
      <c r="JI39" s="480">
        <f t="shared" si="59"/>
        <v>0</v>
      </c>
      <c r="JJ39" s="884">
        <f t="shared" si="233"/>
        <v>0.14243691</v>
      </c>
      <c r="JK39" s="884">
        <f t="shared" si="234"/>
        <v>0.11653929</v>
      </c>
      <c r="JL39" s="529">
        <f t="shared" si="61"/>
        <v>0.23307858000000001</v>
      </c>
      <c r="JM39" s="529">
        <f t="shared" si="62"/>
        <v>0.11653929</v>
      </c>
      <c r="JN39" s="529">
        <f t="shared" si="63"/>
        <v>10.941744449999998</v>
      </c>
      <c r="JO39" s="529">
        <f t="shared" si="64"/>
        <v>1.2948809999999998E-2</v>
      </c>
      <c r="JP39" s="529">
        <f t="shared" si="65"/>
        <v>1.2948809999999998E-2</v>
      </c>
      <c r="JQ39" s="529">
        <f t="shared" si="235"/>
        <v>0.42731072999999997</v>
      </c>
      <c r="JR39" s="529">
        <f t="shared" si="236"/>
        <v>0.5309012099999999</v>
      </c>
      <c r="JS39" s="474">
        <f t="shared" si="67"/>
        <v>0.67333811999999993</v>
      </c>
      <c r="JT39" s="474">
        <f t="shared" si="68"/>
        <v>0.5309012099999999</v>
      </c>
      <c r="JU39" s="474">
        <f t="shared" si="69"/>
        <v>10.967642069999998</v>
      </c>
      <c r="JV39" s="474">
        <f t="shared" si="70"/>
        <v>0.12948809999999999</v>
      </c>
      <c r="JW39" s="134">
        <f t="shared" si="71"/>
        <v>0.12948809999999999</v>
      </c>
      <c r="JX39" s="884">
        <f t="shared" si="237"/>
        <v>0</v>
      </c>
      <c r="JY39" s="884">
        <f t="shared" si="238"/>
        <v>0</v>
      </c>
      <c r="JZ39" s="529">
        <f t="shared" si="73"/>
        <v>0</v>
      </c>
      <c r="KA39" s="529">
        <f t="shared" si="74"/>
        <v>0</v>
      </c>
      <c r="KB39" s="529">
        <f t="shared" si="75"/>
        <v>0</v>
      </c>
      <c r="KC39" s="529">
        <f t="shared" si="76"/>
        <v>0</v>
      </c>
      <c r="KD39" s="529">
        <f t="shared" si="77"/>
        <v>0</v>
      </c>
      <c r="KE39" s="529">
        <f t="shared" si="239"/>
        <v>0</v>
      </c>
      <c r="KF39" s="529">
        <f t="shared" si="240"/>
        <v>0</v>
      </c>
      <c r="KG39" s="529">
        <f t="shared" si="79"/>
        <v>0</v>
      </c>
      <c r="KH39" s="529">
        <f t="shared" si="80"/>
        <v>0</v>
      </c>
      <c r="KI39" s="529">
        <f t="shared" si="81"/>
        <v>0</v>
      </c>
      <c r="KJ39" s="529">
        <f t="shared" si="82"/>
        <v>0</v>
      </c>
      <c r="KK39" s="526">
        <f t="shared" si="83"/>
        <v>0</v>
      </c>
      <c r="KL39" s="884">
        <f t="shared" si="241"/>
        <v>0.23456493761250002</v>
      </c>
      <c r="KM39" s="884">
        <f t="shared" si="242"/>
        <v>0.19191676713750003</v>
      </c>
      <c r="KN39" s="529">
        <f t="shared" si="85"/>
        <v>0.38383353427500005</v>
      </c>
      <c r="KO39" s="529">
        <f t="shared" si="86"/>
        <v>0.19191676713750003</v>
      </c>
      <c r="KP39" s="529">
        <f t="shared" si="87"/>
        <v>18.018852025687501</v>
      </c>
      <c r="KQ39" s="529">
        <f t="shared" si="88"/>
        <v>2.1324085237500002E-2</v>
      </c>
      <c r="KR39" s="529">
        <f t="shared" si="89"/>
        <v>2.1324085237500002E-2</v>
      </c>
      <c r="KS39" s="529">
        <f t="shared" si="243"/>
        <v>3.5757312153750007</v>
      </c>
      <c r="KT39" s="529">
        <f t="shared" si="244"/>
        <v>4.4425751463749998</v>
      </c>
      <c r="KU39" s="529">
        <f t="shared" si="91"/>
        <v>5.634485551500001</v>
      </c>
      <c r="KV39" s="529">
        <f t="shared" si="92"/>
        <v>4.4425751463749998</v>
      </c>
      <c r="KW39" s="529">
        <f t="shared" si="93"/>
        <v>91.777101194625004</v>
      </c>
      <c r="KX39" s="529">
        <f t="shared" si="94"/>
        <v>1.0835549137500002</v>
      </c>
      <c r="KY39" s="480">
        <f t="shared" si="95"/>
        <v>1.0835549137500002</v>
      </c>
      <c r="KZ39" s="884">
        <f t="shared" si="245"/>
        <v>0.23739484999999999</v>
      </c>
      <c r="LA39" s="884">
        <f t="shared" si="246"/>
        <v>0.19423214999999999</v>
      </c>
      <c r="LB39" s="529">
        <f t="shared" si="97"/>
        <v>0.38846429999999998</v>
      </c>
      <c r="LC39" s="529">
        <f t="shared" si="98"/>
        <v>0.19423214999999999</v>
      </c>
      <c r="LD39" s="529">
        <f t="shared" si="99"/>
        <v>18.236240749999997</v>
      </c>
      <c r="LE39" s="529">
        <f t="shared" si="100"/>
        <v>2.1581349999999996E-2</v>
      </c>
      <c r="LF39" s="529">
        <f t="shared" si="101"/>
        <v>2.1581349999999996E-2</v>
      </c>
      <c r="LG39" s="529">
        <f t="shared" si="247"/>
        <v>0.71218454999999992</v>
      </c>
      <c r="LH39" s="529">
        <f t="shared" si="248"/>
        <v>0.8848353499999998</v>
      </c>
      <c r="LI39" s="355">
        <f t="shared" si="103"/>
        <v>1.1222302</v>
      </c>
      <c r="LJ39" s="355">
        <f t="shared" si="104"/>
        <v>0.8848353499999998</v>
      </c>
      <c r="LK39" s="355">
        <f t="shared" si="105"/>
        <v>18.279403449999997</v>
      </c>
      <c r="LL39" s="355">
        <f t="shared" si="106"/>
        <v>0.21581349999999996</v>
      </c>
      <c r="LM39" s="134">
        <f t="shared" si="107"/>
        <v>0.21581349999999996</v>
      </c>
      <c r="LN39" s="884">
        <f t="shared" si="249"/>
        <v>6.9162970288582683E-3</v>
      </c>
      <c r="LO39" s="884">
        <f t="shared" si="250"/>
        <v>1.8862628260522547E-3</v>
      </c>
      <c r="LP39" s="529">
        <f t="shared" si="109"/>
        <v>3.2066468042888333E-2</v>
      </c>
      <c r="LQ39" s="529">
        <f t="shared" si="110"/>
        <v>5.1557850578761624E-2</v>
      </c>
      <c r="LR39" s="529">
        <f t="shared" si="111"/>
        <v>5.0300342028060134</v>
      </c>
      <c r="LS39" s="529">
        <f t="shared" si="112"/>
        <v>5.4701621955515388E-2</v>
      </c>
      <c r="LT39" s="529">
        <f t="shared" si="113"/>
        <v>6.2875427535075161E-3</v>
      </c>
      <c r="LU39" s="529">
        <f t="shared" si="251"/>
        <v>11.359876978072499</v>
      </c>
      <c r="LV39" s="529">
        <f t="shared" si="252"/>
        <v>5.6799384890362496</v>
      </c>
      <c r="LW39" s="529">
        <f t="shared" si="115"/>
        <v>13.25318980775125</v>
      </c>
      <c r="LX39" s="529">
        <f t="shared" si="116"/>
        <v>11.359876978072499</v>
      </c>
      <c r="LY39" s="529">
        <f t="shared" si="117"/>
        <v>187.24863885522836</v>
      </c>
      <c r="LZ39" s="529">
        <f t="shared" si="118"/>
        <v>1.8933128296787498</v>
      </c>
      <c r="MA39" s="485">
        <f t="shared" si="119"/>
        <v>1.8933128296787498</v>
      </c>
      <c r="MB39" s="884">
        <f t="shared" si="253"/>
        <v>1.4243690999999998E-3</v>
      </c>
      <c r="MC39" s="884">
        <f t="shared" si="254"/>
        <v>3.8846429999999987E-4</v>
      </c>
      <c r="MD39" s="529">
        <f t="shared" si="121"/>
        <v>6.6038930999999992E-3</v>
      </c>
      <c r="ME39" s="529">
        <f t="shared" si="122"/>
        <v>1.0618024199999996E-2</v>
      </c>
      <c r="MF39" s="529">
        <f t="shared" si="123"/>
        <v>1.0359047999999997</v>
      </c>
      <c r="MG39" s="529">
        <f t="shared" si="124"/>
        <v>1.1265464699999997E-2</v>
      </c>
      <c r="MH39" s="529">
        <f t="shared" si="125"/>
        <v>1.2948809999999997E-3</v>
      </c>
      <c r="MI39" s="529">
        <f t="shared" si="255"/>
        <v>7.7692859999999975E-2</v>
      </c>
      <c r="MJ39" s="529">
        <f t="shared" si="256"/>
        <v>3.8846429999999987E-2</v>
      </c>
      <c r="MK39" s="529">
        <f t="shared" si="127"/>
        <v>9.0641669999999994E-2</v>
      </c>
      <c r="ML39" s="529">
        <f t="shared" si="128"/>
        <v>7.7692859999999975E-2</v>
      </c>
      <c r="MM39" s="529">
        <f t="shared" si="129"/>
        <v>1.2806373089999998</v>
      </c>
      <c r="MN39" s="529">
        <f t="shared" si="130"/>
        <v>1.2948809999999998E-2</v>
      </c>
      <c r="MO39" s="485">
        <f t="shared" si="131"/>
        <v>1.2948809999999998E-2</v>
      </c>
      <c r="MP39" s="884">
        <f t="shared" si="257"/>
        <v>5.2226866999999996E-3</v>
      </c>
      <c r="MQ39" s="884">
        <f t="shared" si="258"/>
        <v>1.4243690999999996E-3</v>
      </c>
      <c r="MR39" s="529">
        <f t="shared" si="133"/>
        <v>2.4214274699999996E-2</v>
      </c>
      <c r="MS39" s="529">
        <f t="shared" si="134"/>
        <v>3.8932755399999991E-2</v>
      </c>
      <c r="MT39" s="529">
        <f t="shared" si="135"/>
        <v>3.7983175999999994</v>
      </c>
      <c r="MU39" s="529">
        <f t="shared" si="136"/>
        <v>4.1306703899999991E-2</v>
      </c>
      <c r="MV39" s="529">
        <f t="shared" si="137"/>
        <v>4.7478969999999992E-3</v>
      </c>
      <c r="MW39" s="529">
        <f t="shared" si="259"/>
        <v>1.1394952799999998</v>
      </c>
      <c r="MX39" s="529">
        <f t="shared" si="260"/>
        <v>0.56974763999999989</v>
      </c>
      <c r="MY39" s="474">
        <f t="shared" si="139"/>
        <v>1.3294111599999998</v>
      </c>
      <c r="MZ39" s="474">
        <f t="shared" si="140"/>
        <v>1.1394952799999998</v>
      </c>
      <c r="NA39" s="474">
        <f t="shared" si="141"/>
        <v>18.782680531999997</v>
      </c>
      <c r="NB39" s="474">
        <f t="shared" si="142"/>
        <v>0.18991587999999998</v>
      </c>
      <c r="NC39" s="134">
        <f t="shared" si="143"/>
        <v>0.18991587999999998</v>
      </c>
    </row>
    <row r="40" spans="1:367" x14ac:dyDescent="0.25">
      <c r="A40" s="18">
        <v>1985</v>
      </c>
      <c r="B40" s="1271">
        <v>2381</v>
      </c>
      <c r="C40" s="1224"/>
      <c r="D40" s="1224">
        <v>0</v>
      </c>
      <c r="E40" s="1272"/>
      <c r="F40" s="1226">
        <f t="shared" si="144"/>
        <v>2345.2849999999999</v>
      </c>
      <c r="G40" s="1226"/>
      <c r="H40" s="1224">
        <f t="shared" si="145"/>
        <v>0</v>
      </c>
      <c r="I40" s="1224"/>
      <c r="J40" s="1082">
        <v>0</v>
      </c>
      <c r="K40" s="1082">
        <f t="shared" si="0"/>
        <v>0</v>
      </c>
      <c r="L40" s="1226">
        <f t="shared" si="1"/>
        <v>2345.2849999999999</v>
      </c>
      <c r="M40" s="1227"/>
      <c r="N40" s="193">
        <v>8.0999999999999996E-3</v>
      </c>
      <c r="O40" s="47">
        <v>0</v>
      </c>
      <c r="P40" s="47">
        <v>6.0000000000000001E-3</v>
      </c>
      <c r="Q40" s="192">
        <v>0</v>
      </c>
      <c r="R40" s="47">
        <v>0</v>
      </c>
      <c r="S40" s="47">
        <f t="shared" si="146"/>
        <v>5.4000000000000003E-3</v>
      </c>
      <c r="T40" s="47">
        <v>0.01</v>
      </c>
      <c r="U40" s="47">
        <v>1.8E-3</v>
      </c>
      <c r="V40" s="117">
        <v>4.0000000000000003E-5</v>
      </c>
      <c r="W40" s="47">
        <v>5.9999999999999995E-4</v>
      </c>
      <c r="X40" s="52">
        <v>1.0999999999999999E-2</v>
      </c>
      <c r="Y40" s="52">
        <v>2.0199999999999999E-2</v>
      </c>
      <c r="Z40" s="111">
        <v>6.3E-2</v>
      </c>
      <c r="AA40" s="52">
        <f t="shared" si="147"/>
        <v>0.1</v>
      </c>
      <c r="AB40" s="52">
        <f t="shared" si="148"/>
        <v>0</v>
      </c>
      <c r="AC40" s="52">
        <f t="shared" si="149"/>
        <v>0.9</v>
      </c>
      <c r="AD40" s="475">
        <f t="shared" si="150"/>
        <v>18.996808499999997</v>
      </c>
      <c r="AE40" s="474">
        <f t="shared" si="151"/>
        <v>18.996808499999997</v>
      </c>
      <c r="AF40" s="474">
        <f t="shared" si="152"/>
        <v>0</v>
      </c>
      <c r="AG40" s="474">
        <f t="shared" si="151"/>
        <v>0</v>
      </c>
      <c r="AH40" s="474">
        <f t="shared" si="153"/>
        <v>14.071709999999999</v>
      </c>
      <c r="AI40" s="474">
        <f t="shared" ref="AI40" si="670">AH40</f>
        <v>14.071709999999999</v>
      </c>
      <c r="AJ40" s="508"/>
      <c r="AK40" s="508"/>
      <c r="AL40" s="508"/>
      <c r="AM40" s="508"/>
      <c r="AN40" s="508"/>
      <c r="AO40" s="572"/>
      <c r="AP40" s="481">
        <f t="shared" si="155"/>
        <v>18.996808499999997</v>
      </c>
      <c r="AQ40" s="474">
        <f t="shared" ref="AQ40" si="671">AP40</f>
        <v>18.996808499999997</v>
      </c>
      <c r="AR40" s="474">
        <f t="shared" si="157"/>
        <v>0</v>
      </c>
      <c r="AS40" s="474">
        <f t="shared" ref="AS40" si="672">AR40</f>
        <v>0</v>
      </c>
      <c r="AT40" s="474">
        <f t="shared" si="159"/>
        <v>14.071709999999999</v>
      </c>
      <c r="AU40" s="474">
        <f t="shared" ref="AU40" si="673">AT40</f>
        <v>14.071709999999999</v>
      </c>
      <c r="AV40" s="475">
        <f t="shared" si="2"/>
        <v>0</v>
      </c>
      <c r="AW40" s="474">
        <f t="shared" ref="AW40" si="674">AV40</f>
        <v>0</v>
      </c>
      <c r="AX40" s="474">
        <f t="shared" si="3"/>
        <v>12.664539</v>
      </c>
      <c r="AY40" s="474">
        <f t="shared" ref="AY40" si="675">AX40</f>
        <v>12.664539</v>
      </c>
      <c r="AZ40" s="474">
        <f t="shared" si="4"/>
        <v>23.452849999999998</v>
      </c>
      <c r="BA40" s="474">
        <f t="shared" ref="BA40" si="676">AZ40</f>
        <v>23.452849999999998</v>
      </c>
      <c r="BB40" s="481"/>
      <c r="BC40" s="474"/>
      <c r="BD40" s="474"/>
      <c r="BE40" s="474"/>
      <c r="BF40" s="474"/>
      <c r="BG40" s="474"/>
      <c r="BH40" s="481">
        <f t="shared" si="5"/>
        <v>0</v>
      </c>
      <c r="BI40" s="474">
        <f t="shared" ref="BI40" si="677">BH40</f>
        <v>0</v>
      </c>
      <c r="BJ40" s="474">
        <f t="shared" si="6"/>
        <v>12.664539</v>
      </c>
      <c r="BK40" s="474">
        <f t="shared" ref="BK40" si="678">BJ40</f>
        <v>12.664539</v>
      </c>
      <c r="BL40" s="474">
        <f t="shared" si="7"/>
        <v>23.452849999999998</v>
      </c>
      <c r="BM40" s="474">
        <f t="shared" ref="BM40" si="679">BL40</f>
        <v>23.452849999999998</v>
      </c>
      <c r="BN40" s="475">
        <f t="shared" si="8"/>
        <v>9.3811400000000003E-2</v>
      </c>
      <c r="BO40" s="474">
        <f t="shared" ref="BO40" si="680">BN40</f>
        <v>9.3811400000000003E-2</v>
      </c>
      <c r="BP40" s="474">
        <f t="shared" si="9"/>
        <v>1.4071709999999997</v>
      </c>
      <c r="BQ40" s="474">
        <f t="shared" ref="BQ40" si="681">BP40</f>
        <v>1.4071709999999997</v>
      </c>
      <c r="BR40" s="474">
        <f t="shared" si="10"/>
        <v>25.798134999999998</v>
      </c>
      <c r="BS40" s="474">
        <f t="shared" ref="BS40" si="682">BR40</f>
        <v>25.798134999999998</v>
      </c>
      <c r="BT40" s="481"/>
      <c r="BU40" s="474"/>
      <c r="BV40" s="474"/>
      <c r="BW40" s="474"/>
      <c r="BX40" s="474"/>
      <c r="BY40" s="474"/>
      <c r="BZ40" s="481">
        <f t="shared" si="11"/>
        <v>9.3811400000000003E-2</v>
      </c>
      <c r="CA40" s="474">
        <f t="shared" ref="CA40" si="683">BZ40</f>
        <v>9.3811400000000003E-2</v>
      </c>
      <c r="CB40" s="474">
        <f t="shared" si="12"/>
        <v>1.4071709999999997</v>
      </c>
      <c r="CC40" s="474">
        <f t="shared" ref="CC40" si="684">CB40</f>
        <v>1.4071709999999997</v>
      </c>
      <c r="CD40" s="474">
        <f t="shared" si="13"/>
        <v>25.798134999999998</v>
      </c>
      <c r="CE40" s="526">
        <f t="shared" ref="CE40" si="685">CD40</f>
        <v>25.798134999999998</v>
      </c>
      <c r="CF40" s="355">
        <f t="shared" si="173"/>
        <v>0</v>
      </c>
      <c r="CG40" s="615">
        <f t="shared" si="174"/>
        <v>0</v>
      </c>
      <c r="CH40" s="355">
        <f t="shared" si="175"/>
        <v>0</v>
      </c>
      <c r="CI40" s="615">
        <f t="shared" si="491"/>
        <v>0</v>
      </c>
      <c r="CJ40" s="615">
        <f t="shared" si="176"/>
        <v>0</v>
      </c>
      <c r="CK40" s="615">
        <f t="shared" si="492"/>
        <v>0</v>
      </c>
      <c r="CL40" s="122"/>
      <c r="CM40" s="1235">
        <f t="shared" si="16"/>
        <v>2197.5320449999999</v>
      </c>
      <c r="CN40" s="1231"/>
      <c r="CO40" s="1230"/>
      <c r="CP40" s="1231"/>
      <c r="CQ40" s="1230">
        <f t="shared" si="177"/>
        <v>2197.5320449999999</v>
      </c>
      <c r="CR40" s="1232"/>
      <c r="CS40" s="30">
        <v>0.45</v>
      </c>
      <c r="CT40" s="31">
        <f t="shared" si="178"/>
        <v>0.55000000000000004</v>
      </c>
      <c r="CU40" s="31"/>
      <c r="CV40" s="32"/>
      <c r="CW40" s="1233">
        <f t="shared" si="179"/>
        <v>939.44494923750005</v>
      </c>
      <c r="CX40" s="1234"/>
      <c r="CY40" s="1234">
        <f t="shared" si="180"/>
        <v>1148.2104935125001</v>
      </c>
      <c r="CZ40" s="1231"/>
      <c r="DA40" s="369"/>
      <c r="DB40" s="369"/>
      <c r="DC40" s="369"/>
      <c r="DD40" s="373"/>
      <c r="DE40" s="1234">
        <f t="shared" si="17"/>
        <v>939.44494923750005</v>
      </c>
      <c r="DF40" s="1234"/>
      <c r="DG40" s="369">
        <f t="shared" si="341"/>
        <v>1148.2104935125001</v>
      </c>
      <c r="DH40" s="372">
        <f t="shared" si="182"/>
        <v>1148.2104935125001</v>
      </c>
      <c r="DJ40" s="493">
        <v>0.05</v>
      </c>
      <c r="DK40" s="379"/>
      <c r="DL40" s="1084">
        <f t="shared" si="18"/>
        <v>109.87660225</v>
      </c>
      <c r="DM40" s="1084">
        <f t="shared" si="605"/>
        <v>109.87660225</v>
      </c>
      <c r="DN40" s="369"/>
      <c r="DO40" s="372"/>
      <c r="DP40" s="30">
        <v>1</v>
      </c>
      <c r="DQ40" s="31">
        <f t="shared" si="183"/>
        <v>0.1</v>
      </c>
      <c r="DR40" s="31">
        <f t="shared" si="184"/>
        <v>1</v>
      </c>
      <c r="DS40" s="680">
        <f t="shared" si="185"/>
        <v>0.1</v>
      </c>
      <c r="DT40" s="77">
        <f t="shared" si="186"/>
        <v>1</v>
      </c>
      <c r="DU40" s="31">
        <v>0</v>
      </c>
      <c r="DV40" s="31">
        <v>1</v>
      </c>
      <c r="DW40" s="31">
        <v>0</v>
      </c>
      <c r="DX40" s="31">
        <v>0</v>
      </c>
      <c r="DY40" s="31">
        <v>1</v>
      </c>
      <c r="DZ40" s="31">
        <v>0</v>
      </c>
      <c r="EA40" s="383">
        <f t="shared" si="187"/>
        <v>0</v>
      </c>
      <c r="EB40" s="355">
        <f t="shared" si="188"/>
        <v>0</v>
      </c>
      <c r="EC40" s="355">
        <f t="shared" si="189"/>
        <v>10.54926135</v>
      </c>
      <c r="ED40" s="355">
        <f t="shared" si="190"/>
        <v>105.4926135</v>
      </c>
      <c r="EE40" s="355">
        <f t="shared" si="191"/>
        <v>0</v>
      </c>
      <c r="EF40" s="355">
        <f t="shared" si="192"/>
        <v>0</v>
      </c>
      <c r="EG40" s="366"/>
      <c r="EH40" s="355"/>
      <c r="EI40" s="355"/>
      <c r="EJ40" s="355"/>
      <c r="EK40" s="355"/>
      <c r="EL40" s="356"/>
      <c r="EM40" s="355">
        <f t="shared" si="193"/>
        <v>10.54926135</v>
      </c>
      <c r="EN40" s="134">
        <f t="shared" si="194"/>
        <v>105.4926135</v>
      </c>
      <c r="EP40" s="1171">
        <f t="shared" si="20"/>
        <v>9.3811400000000003E-2</v>
      </c>
      <c r="EQ40" s="1172"/>
      <c r="ER40" s="1172">
        <f t="shared" si="21"/>
        <v>1.4071709999999997</v>
      </c>
      <c r="ES40" s="1172"/>
      <c r="ET40" s="1172">
        <f t="shared" si="22"/>
        <v>25.798134999999998</v>
      </c>
      <c r="EU40" s="1172"/>
      <c r="EV40" s="366"/>
      <c r="EW40" s="355"/>
      <c r="EX40" s="355"/>
      <c r="EY40" s="355"/>
      <c r="EZ40" s="1172"/>
      <c r="FA40" s="1173"/>
      <c r="FB40" s="368">
        <f t="shared" si="195"/>
        <v>939.44494923750005</v>
      </c>
      <c r="FC40" s="369">
        <f t="shared" si="196"/>
        <v>939.44494923750005</v>
      </c>
      <c r="FD40" s="369"/>
      <c r="FE40" s="61"/>
      <c r="FF40" s="368">
        <f t="shared" si="197"/>
        <v>1148.2104935125001</v>
      </c>
      <c r="FG40" s="369">
        <f t="shared" si="426"/>
        <v>1148.2104935125001</v>
      </c>
      <c r="FH40" s="369"/>
      <c r="FI40" s="369"/>
      <c r="FJ40" s="30">
        <v>1</v>
      </c>
      <c r="FK40" s="31">
        <v>0.2</v>
      </c>
      <c r="FL40" s="501">
        <v>0.8</v>
      </c>
      <c r="FM40" s="31">
        <f t="shared" si="198"/>
        <v>0.1</v>
      </c>
      <c r="FN40" s="501">
        <f t="shared" si="199"/>
        <v>1</v>
      </c>
      <c r="FO40" s="31">
        <f t="shared" si="200"/>
        <v>0.1</v>
      </c>
      <c r="FP40" s="31">
        <f t="shared" si="201"/>
        <v>1</v>
      </c>
      <c r="FQ40" s="31">
        <v>1</v>
      </c>
      <c r="FR40" s="31">
        <v>0</v>
      </c>
      <c r="FS40" s="89">
        <f t="shared" si="202"/>
        <v>1E-3</v>
      </c>
      <c r="FT40" s="31">
        <f t="shared" si="203"/>
        <v>0.05</v>
      </c>
      <c r="FU40" s="30">
        <v>0.05</v>
      </c>
      <c r="FV40" s="32">
        <f t="shared" si="25"/>
        <v>2.4224999999999997E-2</v>
      </c>
      <c r="FW40" s="31">
        <v>0.1</v>
      </c>
      <c r="FX40" s="77">
        <f t="shared" si="26"/>
        <v>9.0000000000000011E-2</v>
      </c>
      <c r="FY40" s="30"/>
      <c r="FZ40" s="32"/>
      <c r="GA40" s="31"/>
      <c r="GB40" s="77"/>
      <c r="GC40" s="378">
        <f t="shared" si="27"/>
        <v>9.3811400000000003E-2</v>
      </c>
      <c r="GD40" s="379">
        <f t="shared" si="204"/>
        <v>9.3811400000000003E-2</v>
      </c>
      <c r="GE40" s="379">
        <f t="shared" si="28"/>
        <v>1.4071709999999997</v>
      </c>
      <c r="GF40" s="379">
        <f t="shared" si="205"/>
        <v>1.4071709999999997</v>
      </c>
      <c r="GG40" s="379">
        <f t="shared" si="206"/>
        <v>5.1596270000000004</v>
      </c>
      <c r="GH40" s="218">
        <f t="shared" si="207"/>
        <v>20.638508000000002</v>
      </c>
      <c r="GI40" s="379"/>
      <c r="GJ40" s="379"/>
      <c r="GK40" s="379"/>
      <c r="GL40" s="379"/>
      <c r="GM40" s="379"/>
      <c r="GN40" s="218"/>
      <c r="GO40" s="379">
        <f t="shared" si="208"/>
        <v>6.6606094000000002</v>
      </c>
      <c r="GP40" s="515">
        <f t="shared" si="209"/>
        <v>22.1394904</v>
      </c>
      <c r="GQ40" s="379">
        <f t="shared" si="210"/>
        <v>6.6948117976670627</v>
      </c>
      <c r="GR40" s="379">
        <f t="shared" si="211"/>
        <v>171.37275063075001</v>
      </c>
      <c r="GS40" s="355">
        <f t="shared" si="390"/>
        <v>7.3493187405000021E-2</v>
      </c>
      <c r="GT40" s="355">
        <f t="shared" si="391"/>
        <v>36.7465937025</v>
      </c>
      <c r="GU40" s="355">
        <f t="shared" si="392"/>
        <v>0</v>
      </c>
      <c r="GV40" s="356">
        <f t="shared" si="393"/>
        <v>0</v>
      </c>
      <c r="GW40" s="355"/>
      <c r="GX40" s="355"/>
      <c r="GY40" s="355"/>
      <c r="GZ40" s="355"/>
      <c r="HA40" s="355"/>
      <c r="HB40" s="356"/>
      <c r="HC40" s="379">
        <f t="shared" si="212"/>
        <v>6.7683049850720627</v>
      </c>
      <c r="HD40" s="38">
        <f t="shared" si="213"/>
        <v>208.11934433325001</v>
      </c>
      <c r="HE40" s="527"/>
      <c r="HF40" s="529">
        <f t="shared" si="29"/>
        <v>18.996808499999997</v>
      </c>
      <c r="HG40" s="529">
        <f t="shared" si="30"/>
        <v>18.996808499999997</v>
      </c>
      <c r="HH40" s="529">
        <f t="shared" si="31"/>
        <v>0</v>
      </c>
      <c r="HI40" s="529">
        <f t="shared" si="32"/>
        <v>0</v>
      </c>
      <c r="HJ40" s="529">
        <f t="shared" si="33"/>
        <v>14.071709999999999</v>
      </c>
      <c r="HK40" s="524">
        <f t="shared" si="34"/>
        <v>14.071709999999999</v>
      </c>
      <c r="HL40" s="529">
        <f t="shared" si="35"/>
        <v>0</v>
      </c>
      <c r="HM40" s="529">
        <f t="shared" si="36"/>
        <v>0</v>
      </c>
      <c r="HN40" s="529">
        <f t="shared" si="37"/>
        <v>23.21380035</v>
      </c>
      <c r="HO40" s="529">
        <f t="shared" si="38"/>
        <v>118.15715250000001</v>
      </c>
      <c r="HP40" s="529">
        <f t="shared" si="39"/>
        <v>23.452849999999998</v>
      </c>
      <c r="HQ40" s="524">
        <f t="shared" si="40"/>
        <v>23.452849999999998</v>
      </c>
      <c r="HR40" s="615">
        <f t="shared" si="214"/>
        <v>6.8621163850720626</v>
      </c>
      <c r="HS40" s="615">
        <f t="shared" si="41"/>
        <v>208.21315573325001</v>
      </c>
      <c r="HT40" s="615">
        <f t="shared" si="42"/>
        <v>1.4071709999999997</v>
      </c>
      <c r="HU40" s="615">
        <f t="shared" si="43"/>
        <v>1.4071709999999997</v>
      </c>
      <c r="HV40" s="615">
        <f t="shared" si="44"/>
        <v>5.1596270000000004</v>
      </c>
      <c r="HW40" s="615">
        <f t="shared" si="45"/>
        <v>20.638508000000002</v>
      </c>
      <c r="IG40" s="560"/>
      <c r="IH40" s="529">
        <f t="shared" si="215"/>
        <v>0.20896489349999997</v>
      </c>
      <c r="II40" s="529">
        <f t="shared" si="216"/>
        <v>0.17097127649999999</v>
      </c>
      <c r="IJ40" s="529">
        <f t="shared" si="217"/>
        <v>0.34194255299999998</v>
      </c>
      <c r="IK40" s="529">
        <f t="shared" si="218"/>
        <v>0.17097127649999999</v>
      </c>
      <c r="IL40" s="529">
        <f t="shared" si="219"/>
        <v>16.052303182499998</v>
      </c>
      <c r="IM40" s="529">
        <f t="shared" si="220"/>
        <v>1.8996808499999997E-2</v>
      </c>
      <c r="IN40" s="529">
        <f t="shared" si="221"/>
        <v>1.8996808499999997E-2</v>
      </c>
      <c r="IO40" s="529">
        <f t="shared" si="222"/>
        <v>0.62689468049999997</v>
      </c>
      <c r="IP40" s="529">
        <f t="shared" si="223"/>
        <v>0.77886914849999977</v>
      </c>
      <c r="IQ40" s="529">
        <f t="shared" si="224"/>
        <v>0.98783404199999991</v>
      </c>
      <c r="IR40" s="529">
        <f t="shared" si="225"/>
        <v>0.77886914849999977</v>
      </c>
      <c r="IS40" s="529">
        <f t="shared" si="226"/>
        <v>16.090296799499995</v>
      </c>
      <c r="IT40" s="529">
        <f t="shared" si="227"/>
        <v>0.18996808499999998</v>
      </c>
      <c r="IU40" s="526">
        <f t="shared" si="228"/>
        <v>0.18996808499999998</v>
      </c>
      <c r="IV40" s="884">
        <f t="shared" si="229"/>
        <v>0</v>
      </c>
      <c r="IW40" s="884">
        <f t="shared" si="230"/>
        <v>0</v>
      </c>
      <c r="IX40" s="529">
        <f t="shared" si="49"/>
        <v>0</v>
      </c>
      <c r="IY40" s="529">
        <f t="shared" si="50"/>
        <v>0</v>
      </c>
      <c r="IZ40" s="529">
        <f t="shared" si="51"/>
        <v>0</v>
      </c>
      <c r="JA40" s="529">
        <f t="shared" si="52"/>
        <v>0</v>
      </c>
      <c r="JB40" s="529">
        <f t="shared" si="53"/>
        <v>0</v>
      </c>
      <c r="JC40" s="529">
        <f t="shared" si="231"/>
        <v>0</v>
      </c>
      <c r="JD40" s="529">
        <f t="shared" si="232"/>
        <v>0</v>
      </c>
      <c r="JE40" s="529">
        <f t="shared" si="55"/>
        <v>0</v>
      </c>
      <c r="JF40" s="529">
        <f t="shared" si="56"/>
        <v>0</v>
      </c>
      <c r="JG40" s="529">
        <f t="shared" si="57"/>
        <v>0</v>
      </c>
      <c r="JH40" s="529">
        <f t="shared" si="58"/>
        <v>0</v>
      </c>
      <c r="JI40" s="480">
        <f t="shared" si="59"/>
        <v>0</v>
      </c>
      <c r="JJ40" s="884">
        <f t="shared" si="233"/>
        <v>0.15478881</v>
      </c>
      <c r="JK40" s="884">
        <f t="shared" si="234"/>
        <v>0.12664539</v>
      </c>
      <c r="JL40" s="529">
        <f t="shared" si="61"/>
        <v>0.25329077999999999</v>
      </c>
      <c r="JM40" s="529">
        <f t="shared" si="62"/>
        <v>0.12664539</v>
      </c>
      <c r="JN40" s="529">
        <f t="shared" si="63"/>
        <v>11.890594949999999</v>
      </c>
      <c r="JO40" s="529">
        <f t="shared" si="64"/>
        <v>1.4071709999999999E-2</v>
      </c>
      <c r="JP40" s="529">
        <f t="shared" si="65"/>
        <v>1.4071709999999999E-2</v>
      </c>
      <c r="JQ40" s="529">
        <f t="shared" si="235"/>
        <v>0.46436643</v>
      </c>
      <c r="JR40" s="529">
        <f t="shared" si="236"/>
        <v>0.57694010999999989</v>
      </c>
      <c r="JS40" s="474">
        <f t="shared" si="67"/>
        <v>0.73172892</v>
      </c>
      <c r="JT40" s="474">
        <f t="shared" si="68"/>
        <v>0.57694010999999989</v>
      </c>
      <c r="JU40" s="474">
        <f t="shared" si="69"/>
        <v>11.91873837</v>
      </c>
      <c r="JV40" s="474">
        <f t="shared" si="70"/>
        <v>0.14071710000000001</v>
      </c>
      <c r="JW40" s="134">
        <f t="shared" si="71"/>
        <v>0.14071710000000001</v>
      </c>
      <c r="JX40" s="884">
        <f t="shared" si="237"/>
        <v>0</v>
      </c>
      <c r="JY40" s="884">
        <f t="shared" si="238"/>
        <v>0</v>
      </c>
      <c r="JZ40" s="529">
        <f t="shared" si="73"/>
        <v>0</v>
      </c>
      <c r="KA40" s="529">
        <f t="shared" si="74"/>
        <v>0</v>
      </c>
      <c r="KB40" s="529">
        <f t="shared" si="75"/>
        <v>0</v>
      </c>
      <c r="KC40" s="529">
        <f t="shared" si="76"/>
        <v>0</v>
      </c>
      <c r="KD40" s="529">
        <f t="shared" si="77"/>
        <v>0</v>
      </c>
      <c r="KE40" s="529">
        <f t="shared" si="239"/>
        <v>0</v>
      </c>
      <c r="KF40" s="529">
        <f t="shared" si="240"/>
        <v>0</v>
      </c>
      <c r="KG40" s="529">
        <f t="shared" si="79"/>
        <v>0</v>
      </c>
      <c r="KH40" s="529">
        <f t="shared" si="80"/>
        <v>0</v>
      </c>
      <c r="KI40" s="529">
        <f t="shared" si="81"/>
        <v>0</v>
      </c>
      <c r="KJ40" s="529">
        <f t="shared" si="82"/>
        <v>0</v>
      </c>
      <c r="KK40" s="526">
        <f t="shared" si="83"/>
        <v>0</v>
      </c>
      <c r="KL40" s="884">
        <f t="shared" si="241"/>
        <v>0.25535180385</v>
      </c>
      <c r="KM40" s="884">
        <f t="shared" si="242"/>
        <v>0.20892420315000002</v>
      </c>
      <c r="KN40" s="529">
        <f t="shared" si="85"/>
        <v>0.41784840630000003</v>
      </c>
      <c r="KO40" s="529">
        <f t="shared" si="86"/>
        <v>0.20892420315000002</v>
      </c>
      <c r="KP40" s="529">
        <f t="shared" si="87"/>
        <v>19.615661295749998</v>
      </c>
      <c r="KQ40" s="529">
        <f t="shared" si="88"/>
        <v>2.3213800350000001E-2</v>
      </c>
      <c r="KR40" s="529">
        <f t="shared" si="89"/>
        <v>2.3213800350000001E-2</v>
      </c>
      <c r="KS40" s="529">
        <f t="shared" si="243"/>
        <v>3.8991860325000003</v>
      </c>
      <c r="KT40" s="529">
        <f t="shared" si="244"/>
        <v>4.8444432524999996</v>
      </c>
      <c r="KU40" s="529">
        <f t="shared" si="91"/>
        <v>6.1441719300000006</v>
      </c>
      <c r="KV40" s="529">
        <f t="shared" si="92"/>
        <v>4.8444432524999996</v>
      </c>
      <c r="KW40" s="529">
        <f t="shared" si="93"/>
        <v>100.07910816750001</v>
      </c>
      <c r="KX40" s="529">
        <f t="shared" si="94"/>
        <v>1.1815715250000001</v>
      </c>
      <c r="KY40" s="480">
        <f t="shared" si="95"/>
        <v>1.1815715250000001</v>
      </c>
      <c r="KZ40" s="884">
        <f t="shared" si="245"/>
        <v>0.25798135</v>
      </c>
      <c r="LA40" s="884">
        <f t="shared" si="246"/>
        <v>0.21107565</v>
      </c>
      <c r="LB40" s="529">
        <f t="shared" si="97"/>
        <v>0.42215130000000001</v>
      </c>
      <c r="LC40" s="529">
        <f t="shared" si="98"/>
        <v>0.21107565</v>
      </c>
      <c r="LD40" s="529">
        <f t="shared" si="99"/>
        <v>19.817658249999997</v>
      </c>
      <c r="LE40" s="529">
        <f t="shared" si="100"/>
        <v>2.3452849999999997E-2</v>
      </c>
      <c r="LF40" s="529">
        <f t="shared" si="101"/>
        <v>2.3452849999999997E-2</v>
      </c>
      <c r="LG40" s="529">
        <f t="shared" si="247"/>
        <v>0.77394404999999999</v>
      </c>
      <c r="LH40" s="529">
        <f t="shared" si="248"/>
        <v>0.96156684999999975</v>
      </c>
      <c r="LI40" s="355">
        <f t="shared" si="103"/>
        <v>1.2195482</v>
      </c>
      <c r="LJ40" s="355">
        <f t="shared" si="104"/>
        <v>0.96156684999999975</v>
      </c>
      <c r="LK40" s="355">
        <f t="shared" si="105"/>
        <v>19.864563949999997</v>
      </c>
      <c r="LL40" s="355">
        <f t="shared" si="106"/>
        <v>0.23452849999999997</v>
      </c>
      <c r="LM40" s="134">
        <f t="shared" si="107"/>
        <v>0.23452849999999997</v>
      </c>
      <c r="LN40" s="884">
        <f t="shared" si="249"/>
        <v>7.5483280235792696E-3</v>
      </c>
      <c r="LO40" s="884">
        <f t="shared" si="250"/>
        <v>2.0586349155216187E-3</v>
      </c>
      <c r="LP40" s="529">
        <f t="shared" si="109"/>
        <v>3.499679356386752E-2</v>
      </c>
      <c r="LQ40" s="529">
        <f t="shared" si="110"/>
        <v>5.6269354357590909E-2</v>
      </c>
      <c r="LR40" s="529">
        <f t="shared" si="111"/>
        <v>5.4896931080576508</v>
      </c>
      <c r="LS40" s="529">
        <f t="shared" si="112"/>
        <v>5.9700412550126938E-2</v>
      </c>
      <c r="LT40" s="529">
        <f t="shared" si="113"/>
        <v>6.8621163850720625E-3</v>
      </c>
      <c r="LU40" s="529">
        <f t="shared" si="251"/>
        <v>12.492789343995</v>
      </c>
      <c r="LV40" s="529">
        <f t="shared" si="252"/>
        <v>6.2463946719974999</v>
      </c>
      <c r="LW40" s="529">
        <f t="shared" si="115"/>
        <v>14.574920901327502</v>
      </c>
      <c r="LX40" s="529">
        <f t="shared" si="116"/>
        <v>12.492789343995</v>
      </c>
      <c r="LY40" s="529">
        <f t="shared" si="117"/>
        <v>205.92281102018427</v>
      </c>
      <c r="LZ40" s="529">
        <f t="shared" si="118"/>
        <v>2.0821315573325001</v>
      </c>
      <c r="MA40" s="485">
        <f t="shared" si="119"/>
        <v>2.0821315573325001</v>
      </c>
      <c r="MB40" s="884">
        <f t="shared" si="253"/>
        <v>1.5478880999999997E-3</v>
      </c>
      <c r="MC40" s="884">
        <f t="shared" si="254"/>
        <v>4.2215129999999989E-4</v>
      </c>
      <c r="MD40" s="529">
        <f t="shared" si="121"/>
        <v>7.1765720999999987E-3</v>
      </c>
      <c r="ME40" s="529">
        <f t="shared" si="122"/>
        <v>1.1538802199999997E-2</v>
      </c>
      <c r="MF40" s="529">
        <f t="shared" si="123"/>
        <v>1.1257367999999999</v>
      </c>
      <c r="MG40" s="529">
        <f t="shared" si="124"/>
        <v>1.2242387699999998E-2</v>
      </c>
      <c r="MH40" s="529">
        <f t="shared" si="125"/>
        <v>1.4071709999999998E-3</v>
      </c>
      <c r="MI40" s="529">
        <f t="shared" si="255"/>
        <v>8.4430259999999979E-2</v>
      </c>
      <c r="MJ40" s="529">
        <f t="shared" si="256"/>
        <v>4.221512999999999E-2</v>
      </c>
      <c r="MK40" s="529">
        <f t="shared" si="127"/>
        <v>9.8501969999999994E-2</v>
      </c>
      <c r="ML40" s="529">
        <f t="shared" si="128"/>
        <v>8.4430259999999979E-2</v>
      </c>
      <c r="MM40" s="529">
        <f t="shared" si="129"/>
        <v>1.3916921189999998</v>
      </c>
      <c r="MN40" s="529">
        <f t="shared" si="130"/>
        <v>1.4071709999999998E-2</v>
      </c>
      <c r="MO40" s="485">
        <f t="shared" si="131"/>
        <v>1.4071709999999998E-2</v>
      </c>
      <c r="MP40" s="884">
        <f t="shared" si="257"/>
        <v>5.6755897000000007E-3</v>
      </c>
      <c r="MQ40" s="884">
        <f t="shared" si="258"/>
        <v>1.5478880999999999E-3</v>
      </c>
      <c r="MR40" s="529">
        <f t="shared" si="133"/>
        <v>2.6314097700000004E-2</v>
      </c>
      <c r="MS40" s="529">
        <f t="shared" si="134"/>
        <v>4.2308941400000001E-2</v>
      </c>
      <c r="MT40" s="529">
        <f t="shared" si="135"/>
        <v>4.1277016000000009</v>
      </c>
      <c r="MU40" s="529">
        <f t="shared" si="136"/>
        <v>4.4888754900000001E-2</v>
      </c>
      <c r="MV40" s="529">
        <f t="shared" si="137"/>
        <v>5.1596270000000008E-3</v>
      </c>
      <c r="MW40" s="529">
        <f t="shared" si="259"/>
        <v>1.23831048</v>
      </c>
      <c r="MX40" s="529">
        <f t="shared" si="260"/>
        <v>0.61915524</v>
      </c>
      <c r="MY40" s="474">
        <f t="shared" si="139"/>
        <v>1.4446955600000002</v>
      </c>
      <c r="MZ40" s="474">
        <f t="shared" si="140"/>
        <v>1.23831048</v>
      </c>
      <c r="NA40" s="474">
        <f t="shared" si="141"/>
        <v>20.411484412000004</v>
      </c>
      <c r="NB40" s="474">
        <f t="shared" si="142"/>
        <v>0.20638508000000003</v>
      </c>
      <c r="NC40" s="134">
        <f t="shared" si="143"/>
        <v>0.20638508000000003</v>
      </c>
    </row>
    <row r="41" spans="1:367" x14ac:dyDescent="0.25">
      <c r="A41" s="18">
        <v>1986</v>
      </c>
      <c r="B41" s="1271">
        <v>2381</v>
      </c>
      <c r="C41" s="1224"/>
      <c r="D41" s="1224">
        <v>0</v>
      </c>
      <c r="E41" s="1272"/>
      <c r="F41" s="1226">
        <f t="shared" si="144"/>
        <v>2345.2849999999999</v>
      </c>
      <c r="G41" s="1226"/>
      <c r="H41" s="1224">
        <f t="shared" si="145"/>
        <v>0</v>
      </c>
      <c r="I41" s="1224"/>
      <c r="J41" s="1082">
        <v>0</v>
      </c>
      <c r="K41" s="1082">
        <f t="shared" si="0"/>
        <v>0</v>
      </c>
      <c r="L41" s="1226">
        <f t="shared" si="1"/>
        <v>2345.2849999999999</v>
      </c>
      <c r="M41" s="1227"/>
      <c r="N41" s="193">
        <v>8.0999999999999996E-3</v>
      </c>
      <c r="O41" s="47">
        <v>0</v>
      </c>
      <c r="P41" s="47">
        <v>6.0000000000000001E-3</v>
      </c>
      <c r="Q41" s="192">
        <v>0</v>
      </c>
      <c r="R41" s="47">
        <v>0</v>
      </c>
      <c r="S41" s="47">
        <f t="shared" si="146"/>
        <v>5.4000000000000003E-3</v>
      </c>
      <c r="T41" s="47">
        <v>0.01</v>
      </c>
      <c r="U41" s="47">
        <v>1.8E-3</v>
      </c>
      <c r="V41" s="117">
        <v>4.0000000000000003E-5</v>
      </c>
      <c r="W41" s="47">
        <v>5.9999999999999995E-4</v>
      </c>
      <c r="X41" s="52">
        <v>1.0999999999999999E-2</v>
      </c>
      <c r="Y41" s="52">
        <v>2.0199999999999999E-2</v>
      </c>
      <c r="Z41" s="111">
        <v>6.3E-2</v>
      </c>
      <c r="AA41" s="52">
        <f t="shared" si="147"/>
        <v>0.1</v>
      </c>
      <c r="AB41" s="52">
        <f t="shared" si="148"/>
        <v>0</v>
      </c>
      <c r="AC41" s="52">
        <f t="shared" si="149"/>
        <v>0.9</v>
      </c>
      <c r="AD41" s="475">
        <f t="shared" si="150"/>
        <v>18.996808499999997</v>
      </c>
      <c r="AE41" s="474">
        <f t="shared" si="151"/>
        <v>18.996808499999997</v>
      </c>
      <c r="AF41" s="474">
        <f t="shared" si="152"/>
        <v>0</v>
      </c>
      <c r="AG41" s="474">
        <f t="shared" si="151"/>
        <v>0</v>
      </c>
      <c r="AH41" s="474">
        <f t="shared" si="153"/>
        <v>14.071709999999999</v>
      </c>
      <c r="AI41" s="474">
        <f t="shared" ref="AI41" si="686">AH41</f>
        <v>14.071709999999999</v>
      </c>
      <c r="AJ41" s="508"/>
      <c r="AK41" s="508"/>
      <c r="AL41" s="508"/>
      <c r="AM41" s="508"/>
      <c r="AN41" s="508"/>
      <c r="AO41" s="572"/>
      <c r="AP41" s="481">
        <f t="shared" si="155"/>
        <v>18.996808499999997</v>
      </c>
      <c r="AQ41" s="474">
        <f t="shared" ref="AQ41" si="687">AP41</f>
        <v>18.996808499999997</v>
      </c>
      <c r="AR41" s="474">
        <f t="shared" si="157"/>
        <v>0</v>
      </c>
      <c r="AS41" s="474">
        <f t="shared" ref="AS41" si="688">AR41</f>
        <v>0</v>
      </c>
      <c r="AT41" s="474">
        <f t="shared" si="159"/>
        <v>14.071709999999999</v>
      </c>
      <c r="AU41" s="474">
        <f t="shared" ref="AU41" si="689">AT41</f>
        <v>14.071709999999999</v>
      </c>
      <c r="AV41" s="475">
        <f t="shared" si="2"/>
        <v>0</v>
      </c>
      <c r="AW41" s="474">
        <f t="shared" ref="AW41" si="690">AV41</f>
        <v>0</v>
      </c>
      <c r="AX41" s="474">
        <f t="shared" si="3"/>
        <v>12.664539</v>
      </c>
      <c r="AY41" s="474">
        <f t="shared" ref="AY41" si="691">AX41</f>
        <v>12.664539</v>
      </c>
      <c r="AZ41" s="474">
        <f t="shared" si="4"/>
        <v>23.452849999999998</v>
      </c>
      <c r="BA41" s="474">
        <f t="shared" ref="BA41" si="692">AZ41</f>
        <v>23.452849999999998</v>
      </c>
      <c r="BB41" s="481"/>
      <c r="BC41" s="474"/>
      <c r="BD41" s="474"/>
      <c r="BE41" s="474"/>
      <c r="BF41" s="474"/>
      <c r="BG41" s="474"/>
      <c r="BH41" s="481">
        <f t="shared" si="5"/>
        <v>0</v>
      </c>
      <c r="BI41" s="474">
        <f t="shared" ref="BI41" si="693">BH41</f>
        <v>0</v>
      </c>
      <c r="BJ41" s="474">
        <f t="shared" si="6"/>
        <v>12.664539</v>
      </c>
      <c r="BK41" s="474">
        <f t="shared" ref="BK41" si="694">BJ41</f>
        <v>12.664539</v>
      </c>
      <c r="BL41" s="474">
        <f t="shared" si="7"/>
        <v>23.452849999999998</v>
      </c>
      <c r="BM41" s="474">
        <f t="shared" ref="BM41" si="695">BL41</f>
        <v>23.452849999999998</v>
      </c>
      <c r="BN41" s="475">
        <f t="shared" si="8"/>
        <v>9.3811400000000003E-2</v>
      </c>
      <c r="BO41" s="474">
        <f t="shared" ref="BO41" si="696">BN41</f>
        <v>9.3811400000000003E-2</v>
      </c>
      <c r="BP41" s="474">
        <f t="shared" si="9"/>
        <v>1.4071709999999997</v>
      </c>
      <c r="BQ41" s="474">
        <f t="shared" ref="BQ41" si="697">BP41</f>
        <v>1.4071709999999997</v>
      </c>
      <c r="BR41" s="474">
        <f t="shared" si="10"/>
        <v>25.798134999999998</v>
      </c>
      <c r="BS41" s="474">
        <f t="shared" ref="BS41" si="698">BR41</f>
        <v>25.798134999999998</v>
      </c>
      <c r="BT41" s="481"/>
      <c r="BU41" s="474"/>
      <c r="BV41" s="474"/>
      <c r="BW41" s="474"/>
      <c r="BX41" s="474"/>
      <c r="BY41" s="474"/>
      <c r="BZ41" s="481">
        <f t="shared" si="11"/>
        <v>9.3811400000000003E-2</v>
      </c>
      <c r="CA41" s="474">
        <f t="shared" ref="CA41" si="699">BZ41</f>
        <v>9.3811400000000003E-2</v>
      </c>
      <c r="CB41" s="474">
        <f t="shared" si="12"/>
        <v>1.4071709999999997</v>
      </c>
      <c r="CC41" s="474">
        <f t="shared" ref="CC41" si="700">CB41</f>
        <v>1.4071709999999997</v>
      </c>
      <c r="CD41" s="474">
        <f t="shared" si="13"/>
        <v>25.798134999999998</v>
      </c>
      <c r="CE41" s="526">
        <f t="shared" ref="CE41" si="701">CD41</f>
        <v>25.798134999999998</v>
      </c>
      <c r="CF41" s="355">
        <f t="shared" si="173"/>
        <v>0</v>
      </c>
      <c r="CG41" s="615">
        <f t="shared" si="174"/>
        <v>0</v>
      </c>
      <c r="CH41" s="355">
        <f t="shared" si="175"/>
        <v>0</v>
      </c>
      <c r="CI41" s="615">
        <f t="shared" si="491"/>
        <v>0</v>
      </c>
      <c r="CJ41" s="615">
        <f t="shared" si="176"/>
        <v>0</v>
      </c>
      <c r="CK41" s="615">
        <f t="shared" si="492"/>
        <v>0</v>
      </c>
      <c r="CL41" s="122"/>
      <c r="CM41" s="1235">
        <f t="shared" si="16"/>
        <v>2197.5320449999999</v>
      </c>
      <c r="CN41" s="1231"/>
      <c r="CO41" s="1230"/>
      <c r="CP41" s="1231"/>
      <c r="CQ41" s="1230">
        <f t="shared" si="177"/>
        <v>2197.5320449999999</v>
      </c>
      <c r="CR41" s="1232"/>
      <c r="CS41" s="30">
        <v>0.45</v>
      </c>
      <c r="CT41" s="31">
        <f t="shared" si="178"/>
        <v>0.55000000000000004</v>
      </c>
      <c r="CU41" s="31"/>
      <c r="CV41" s="32"/>
      <c r="CW41" s="1233">
        <f t="shared" si="179"/>
        <v>939.44494923750005</v>
      </c>
      <c r="CX41" s="1234"/>
      <c r="CY41" s="1234">
        <f t="shared" si="180"/>
        <v>1148.2104935125001</v>
      </c>
      <c r="CZ41" s="1231"/>
      <c r="DA41" s="369"/>
      <c r="DB41" s="369"/>
      <c r="DC41" s="369"/>
      <c r="DD41" s="373"/>
      <c r="DE41" s="1234">
        <f t="shared" si="17"/>
        <v>939.44494923750005</v>
      </c>
      <c r="DF41" s="1234"/>
      <c r="DG41" s="369">
        <f t="shared" si="341"/>
        <v>1148.2104935125001</v>
      </c>
      <c r="DH41" s="372">
        <f t="shared" si="182"/>
        <v>1148.2104935125001</v>
      </c>
      <c r="DJ41" s="493">
        <v>0.05</v>
      </c>
      <c r="DK41" s="379"/>
      <c r="DL41" s="1084">
        <f t="shared" si="18"/>
        <v>109.87660225</v>
      </c>
      <c r="DM41" s="1084">
        <f t="shared" si="605"/>
        <v>109.87660225</v>
      </c>
      <c r="DN41" s="369"/>
      <c r="DO41" s="372"/>
      <c r="DP41" s="30">
        <v>1</v>
      </c>
      <c r="DQ41" s="31">
        <f t="shared" si="183"/>
        <v>0.1</v>
      </c>
      <c r="DR41" s="31">
        <f t="shared" si="184"/>
        <v>1</v>
      </c>
      <c r="DS41" s="680">
        <f t="shared" si="185"/>
        <v>0.1</v>
      </c>
      <c r="DT41" s="77">
        <f t="shared" si="186"/>
        <v>1</v>
      </c>
      <c r="DU41" s="31">
        <v>0</v>
      </c>
      <c r="DV41" s="31">
        <v>1</v>
      </c>
      <c r="DW41" s="31">
        <v>0</v>
      </c>
      <c r="DX41" s="31">
        <v>0</v>
      </c>
      <c r="DY41" s="31">
        <v>1</v>
      </c>
      <c r="DZ41" s="31">
        <v>0</v>
      </c>
      <c r="EA41" s="383">
        <f t="shared" si="187"/>
        <v>0</v>
      </c>
      <c r="EB41" s="355">
        <f t="shared" si="188"/>
        <v>0</v>
      </c>
      <c r="EC41" s="355">
        <f t="shared" si="189"/>
        <v>10.987660225000001</v>
      </c>
      <c r="ED41" s="355">
        <f t="shared" si="190"/>
        <v>109.87660225</v>
      </c>
      <c r="EE41" s="355">
        <f t="shared" si="191"/>
        <v>0</v>
      </c>
      <c r="EF41" s="355">
        <f t="shared" si="192"/>
        <v>0</v>
      </c>
      <c r="EG41" s="366"/>
      <c r="EH41" s="355"/>
      <c r="EI41" s="355"/>
      <c r="EJ41" s="355"/>
      <c r="EK41" s="355"/>
      <c r="EL41" s="356"/>
      <c r="EM41" s="355">
        <f t="shared" si="193"/>
        <v>10.987660225000001</v>
      </c>
      <c r="EN41" s="134">
        <f t="shared" si="194"/>
        <v>109.87660225</v>
      </c>
      <c r="EP41" s="1171">
        <f t="shared" si="20"/>
        <v>9.3811400000000003E-2</v>
      </c>
      <c r="EQ41" s="1172"/>
      <c r="ER41" s="1172">
        <f t="shared" si="21"/>
        <v>1.4071709999999997</v>
      </c>
      <c r="ES41" s="1172"/>
      <c r="ET41" s="1172">
        <f t="shared" si="22"/>
        <v>25.798134999999998</v>
      </c>
      <c r="EU41" s="1172"/>
      <c r="EV41" s="366"/>
      <c r="EW41" s="355"/>
      <c r="EX41" s="355"/>
      <c r="EY41" s="355"/>
      <c r="EZ41" s="1172"/>
      <c r="FA41" s="1173"/>
      <c r="FB41" s="368">
        <f t="shared" si="195"/>
        <v>939.44494923750005</v>
      </c>
      <c r="FC41" s="369">
        <f t="shared" si="196"/>
        <v>939.44494923750005</v>
      </c>
      <c r="FD41" s="369"/>
      <c r="FE41" s="61"/>
      <c r="FF41" s="368">
        <f t="shared" si="197"/>
        <v>1148.2104935125001</v>
      </c>
      <c r="FG41" s="369">
        <f t="shared" si="426"/>
        <v>1148.2104935125001</v>
      </c>
      <c r="FH41" s="369"/>
      <c r="FI41" s="369"/>
      <c r="FJ41" s="30">
        <v>1</v>
      </c>
      <c r="FK41" s="31">
        <v>0.2</v>
      </c>
      <c r="FL41" s="501">
        <v>0.8</v>
      </c>
      <c r="FM41" s="31">
        <f t="shared" si="198"/>
        <v>0.1</v>
      </c>
      <c r="FN41" s="501">
        <f t="shared" si="199"/>
        <v>1</v>
      </c>
      <c r="FO41" s="31">
        <f t="shared" si="200"/>
        <v>0.1</v>
      </c>
      <c r="FP41" s="31">
        <f t="shared" si="201"/>
        <v>1</v>
      </c>
      <c r="FQ41" s="31">
        <v>1</v>
      </c>
      <c r="FR41" s="31">
        <v>0</v>
      </c>
      <c r="FS41" s="89">
        <f t="shared" si="202"/>
        <v>1E-3</v>
      </c>
      <c r="FT41" s="31">
        <f t="shared" si="203"/>
        <v>0.05</v>
      </c>
      <c r="FU41" s="30">
        <v>0.05</v>
      </c>
      <c r="FV41" s="32">
        <f t="shared" si="25"/>
        <v>2.4224999999999997E-2</v>
      </c>
      <c r="FW41" s="31">
        <v>0.1</v>
      </c>
      <c r="FX41" s="77">
        <f t="shared" si="26"/>
        <v>9.0000000000000011E-2</v>
      </c>
      <c r="FY41" s="30"/>
      <c r="FZ41" s="32"/>
      <c r="GA41" s="31"/>
      <c r="GB41" s="77"/>
      <c r="GC41" s="378">
        <f t="shared" si="27"/>
        <v>9.3811400000000003E-2</v>
      </c>
      <c r="GD41" s="379">
        <f t="shared" si="204"/>
        <v>9.3811400000000003E-2</v>
      </c>
      <c r="GE41" s="379">
        <f t="shared" si="28"/>
        <v>1.4071709999999997</v>
      </c>
      <c r="GF41" s="379">
        <f t="shared" si="205"/>
        <v>1.4071709999999997</v>
      </c>
      <c r="GG41" s="379">
        <f t="shared" si="206"/>
        <v>5.1596270000000004</v>
      </c>
      <c r="GH41" s="218">
        <f t="shared" si="207"/>
        <v>20.638508000000002</v>
      </c>
      <c r="GI41" s="379"/>
      <c r="GJ41" s="379"/>
      <c r="GK41" s="379"/>
      <c r="GL41" s="379"/>
      <c r="GM41" s="379"/>
      <c r="GN41" s="218"/>
      <c r="GO41" s="379">
        <f t="shared" si="208"/>
        <v>6.6606094000000002</v>
      </c>
      <c r="GP41" s="515">
        <f t="shared" si="209"/>
        <v>22.1394904</v>
      </c>
      <c r="GQ41" s="379">
        <f t="shared" si="210"/>
        <v>6.9730301357153444</v>
      </c>
      <c r="GR41" s="379">
        <f t="shared" si="211"/>
        <v>178.49454035512503</v>
      </c>
      <c r="GS41" s="355">
        <f t="shared" si="390"/>
        <v>8.1758759794250027E-2</v>
      </c>
      <c r="GT41" s="355">
        <f t="shared" si="391"/>
        <v>40.879379897125006</v>
      </c>
      <c r="GU41" s="355">
        <f t="shared" si="392"/>
        <v>0</v>
      </c>
      <c r="GV41" s="356">
        <f t="shared" si="393"/>
        <v>0</v>
      </c>
      <c r="GW41" s="355"/>
      <c r="GX41" s="355"/>
      <c r="GY41" s="355"/>
      <c r="GZ41" s="355"/>
      <c r="HA41" s="355"/>
      <c r="HB41" s="356"/>
      <c r="HC41" s="379">
        <f t="shared" si="212"/>
        <v>7.0547888955095948</v>
      </c>
      <c r="HD41" s="38">
        <f t="shared" si="213"/>
        <v>219.37392025225003</v>
      </c>
      <c r="HE41" s="527"/>
      <c r="HF41" s="529">
        <f t="shared" si="29"/>
        <v>18.996808499999997</v>
      </c>
      <c r="HG41" s="529">
        <f t="shared" si="30"/>
        <v>18.996808499999997</v>
      </c>
      <c r="HH41" s="529">
        <f t="shared" si="31"/>
        <v>0</v>
      </c>
      <c r="HI41" s="529">
        <f t="shared" si="32"/>
        <v>0</v>
      </c>
      <c r="HJ41" s="529">
        <f t="shared" si="33"/>
        <v>14.071709999999999</v>
      </c>
      <c r="HK41" s="524">
        <f t="shared" si="34"/>
        <v>14.071709999999999</v>
      </c>
      <c r="HL41" s="529">
        <f t="shared" si="35"/>
        <v>0</v>
      </c>
      <c r="HM41" s="529">
        <f t="shared" si="36"/>
        <v>0</v>
      </c>
      <c r="HN41" s="529">
        <f t="shared" si="37"/>
        <v>23.652199225</v>
      </c>
      <c r="HO41" s="529">
        <f t="shared" si="38"/>
        <v>122.54114125000001</v>
      </c>
      <c r="HP41" s="529">
        <f t="shared" si="39"/>
        <v>23.452849999999998</v>
      </c>
      <c r="HQ41" s="524">
        <f t="shared" si="40"/>
        <v>23.452849999999998</v>
      </c>
      <c r="HR41" s="615">
        <f t="shared" si="214"/>
        <v>7.1486002955095946</v>
      </c>
      <c r="HS41" s="615">
        <f t="shared" si="41"/>
        <v>219.46773165225002</v>
      </c>
      <c r="HT41" s="615">
        <f t="shared" si="42"/>
        <v>1.4071709999999997</v>
      </c>
      <c r="HU41" s="615">
        <f t="shared" si="43"/>
        <v>1.4071709999999997</v>
      </c>
      <c r="HV41" s="615">
        <f t="shared" si="44"/>
        <v>5.1596270000000004</v>
      </c>
      <c r="HW41" s="615">
        <f t="shared" si="45"/>
        <v>20.638508000000002</v>
      </c>
      <c r="IG41" s="560"/>
      <c r="IH41" s="529">
        <f t="shared" si="215"/>
        <v>0.20896489349999997</v>
      </c>
      <c r="II41" s="529">
        <f t="shared" si="216"/>
        <v>0.17097127649999999</v>
      </c>
      <c r="IJ41" s="529">
        <f t="shared" si="217"/>
        <v>0.34194255299999998</v>
      </c>
      <c r="IK41" s="529">
        <f t="shared" si="218"/>
        <v>0.17097127649999999</v>
      </c>
      <c r="IL41" s="529">
        <f t="shared" si="219"/>
        <v>16.052303182499998</v>
      </c>
      <c r="IM41" s="529">
        <f t="shared" si="220"/>
        <v>1.8996808499999997E-2</v>
      </c>
      <c r="IN41" s="529">
        <f t="shared" si="221"/>
        <v>1.8996808499999997E-2</v>
      </c>
      <c r="IO41" s="529">
        <f t="shared" si="222"/>
        <v>0.62689468049999997</v>
      </c>
      <c r="IP41" s="529">
        <f t="shared" si="223"/>
        <v>0.77886914849999977</v>
      </c>
      <c r="IQ41" s="529">
        <f t="shared" si="224"/>
        <v>0.98783404199999991</v>
      </c>
      <c r="IR41" s="529">
        <f t="shared" si="225"/>
        <v>0.77886914849999977</v>
      </c>
      <c r="IS41" s="529">
        <f t="shared" si="226"/>
        <v>16.090296799499995</v>
      </c>
      <c r="IT41" s="529">
        <f t="shared" si="227"/>
        <v>0.18996808499999998</v>
      </c>
      <c r="IU41" s="526">
        <f t="shared" si="228"/>
        <v>0.18996808499999998</v>
      </c>
      <c r="IV41" s="884">
        <f t="shared" si="229"/>
        <v>0</v>
      </c>
      <c r="IW41" s="884">
        <f t="shared" si="230"/>
        <v>0</v>
      </c>
      <c r="IX41" s="529">
        <f t="shared" si="49"/>
        <v>0</v>
      </c>
      <c r="IY41" s="529">
        <f t="shared" si="50"/>
        <v>0</v>
      </c>
      <c r="IZ41" s="529">
        <f t="shared" si="51"/>
        <v>0</v>
      </c>
      <c r="JA41" s="529">
        <f t="shared" si="52"/>
        <v>0</v>
      </c>
      <c r="JB41" s="529">
        <f t="shared" si="53"/>
        <v>0</v>
      </c>
      <c r="JC41" s="529">
        <f t="shared" si="231"/>
        <v>0</v>
      </c>
      <c r="JD41" s="529">
        <f t="shared" si="232"/>
        <v>0</v>
      </c>
      <c r="JE41" s="529">
        <f t="shared" si="55"/>
        <v>0</v>
      </c>
      <c r="JF41" s="529">
        <f t="shared" si="56"/>
        <v>0</v>
      </c>
      <c r="JG41" s="529">
        <f t="shared" si="57"/>
        <v>0</v>
      </c>
      <c r="JH41" s="529">
        <f t="shared" si="58"/>
        <v>0</v>
      </c>
      <c r="JI41" s="480">
        <f t="shared" si="59"/>
        <v>0</v>
      </c>
      <c r="JJ41" s="884">
        <f t="shared" si="233"/>
        <v>0.15478881</v>
      </c>
      <c r="JK41" s="884">
        <f t="shared" si="234"/>
        <v>0.12664539</v>
      </c>
      <c r="JL41" s="529">
        <f t="shared" si="61"/>
        <v>0.25329077999999999</v>
      </c>
      <c r="JM41" s="529">
        <f t="shared" si="62"/>
        <v>0.12664539</v>
      </c>
      <c r="JN41" s="529">
        <f t="shared" si="63"/>
        <v>11.890594949999999</v>
      </c>
      <c r="JO41" s="529">
        <f t="shared" si="64"/>
        <v>1.4071709999999999E-2</v>
      </c>
      <c r="JP41" s="529">
        <f t="shared" si="65"/>
        <v>1.4071709999999999E-2</v>
      </c>
      <c r="JQ41" s="529">
        <f t="shared" si="235"/>
        <v>0.46436643</v>
      </c>
      <c r="JR41" s="529">
        <f t="shared" si="236"/>
        <v>0.57694010999999989</v>
      </c>
      <c r="JS41" s="474">
        <f t="shared" si="67"/>
        <v>0.73172892</v>
      </c>
      <c r="JT41" s="474">
        <f t="shared" si="68"/>
        <v>0.57694010999999989</v>
      </c>
      <c r="JU41" s="474">
        <f t="shared" si="69"/>
        <v>11.91873837</v>
      </c>
      <c r="JV41" s="474">
        <f t="shared" si="70"/>
        <v>0.14071710000000001</v>
      </c>
      <c r="JW41" s="134">
        <f t="shared" si="71"/>
        <v>0.14071710000000001</v>
      </c>
      <c r="JX41" s="884">
        <f t="shared" si="237"/>
        <v>0</v>
      </c>
      <c r="JY41" s="884">
        <f t="shared" si="238"/>
        <v>0</v>
      </c>
      <c r="JZ41" s="529">
        <f t="shared" si="73"/>
        <v>0</v>
      </c>
      <c r="KA41" s="529">
        <f t="shared" si="74"/>
        <v>0</v>
      </c>
      <c r="KB41" s="529">
        <f t="shared" si="75"/>
        <v>0</v>
      </c>
      <c r="KC41" s="529">
        <f t="shared" si="76"/>
        <v>0</v>
      </c>
      <c r="KD41" s="529">
        <f t="shared" si="77"/>
        <v>0</v>
      </c>
      <c r="KE41" s="529">
        <f t="shared" si="239"/>
        <v>0</v>
      </c>
      <c r="KF41" s="529">
        <f t="shared" si="240"/>
        <v>0</v>
      </c>
      <c r="KG41" s="529">
        <f t="shared" si="79"/>
        <v>0</v>
      </c>
      <c r="KH41" s="529">
        <f t="shared" si="80"/>
        <v>0</v>
      </c>
      <c r="KI41" s="529">
        <f t="shared" si="81"/>
        <v>0</v>
      </c>
      <c r="KJ41" s="529">
        <f t="shared" si="82"/>
        <v>0</v>
      </c>
      <c r="KK41" s="526">
        <f t="shared" si="83"/>
        <v>0</v>
      </c>
      <c r="KL41" s="884">
        <f t="shared" si="241"/>
        <v>0.26017419147500004</v>
      </c>
      <c r="KM41" s="884">
        <f t="shared" si="242"/>
        <v>0.21286979302500003</v>
      </c>
      <c r="KN41" s="529">
        <f t="shared" si="85"/>
        <v>0.42573958605000006</v>
      </c>
      <c r="KO41" s="529">
        <f t="shared" si="86"/>
        <v>0.21286979302500003</v>
      </c>
      <c r="KP41" s="529">
        <f t="shared" si="87"/>
        <v>19.986108345125</v>
      </c>
      <c r="KQ41" s="529">
        <f t="shared" si="88"/>
        <v>2.3652199225E-2</v>
      </c>
      <c r="KR41" s="529">
        <f t="shared" si="89"/>
        <v>2.3652199225E-2</v>
      </c>
      <c r="KS41" s="529">
        <f t="shared" si="243"/>
        <v>4.0438576612500006</v>
      </c>
      <c r="KT41" s="529">
        <f t="shared" si="244"/>
        <v>5.02418679125</v>
      </c>
      <c r="KU41" s="529">
        <f t="shared" si="91"/>
        <v>6.3721393450000008</v>
      </c>
      <c r="KV41" s="529">
        <f t="shared" si="92"/>
        <v>5.02418679125</v>
      </c>
      <c r="KW41" s="529">
        <f t="shared" si="93"/>
        <v>103.79234663875</v>
      </c>
      <c r="KX41" s="529">
        <f t="shared" si="94"/>
        <v>1.2254114125000002</v>
      </c>
      <c r="KY41" s="480">
        <f t="shared" si="95"/>
        <v>1.2254114125000002</v>
      </c>
      <c r="KZ41" s="884">
        <f t="shared" si="245"/>
        <v>0.25798135</v>
      </c>
      <c r="LA41" s="884">
        <f t="shared" si="246"/>
        <v>0.21107565</v>
      </c>
      <c r="LB41" s="529">
        <f t="shared" si="97"/>
        <v>0.42215130000000001</v>
      </c>
      <c r="LC41" s="529">
        <f t="shared" si="98"/>
        <v>0.21107565</v>
      </c>
      <c r="LD41" s="529">
        <f t="shared" si="99"/>
        <v>19.817658249999997</v>
      </c>
      <c r="LE41" s="529">
        <f t="shared" si="100"/>
        <v>2.3452849999999997E-2</v>
      </c>
      <c r="LF41" s="529">
        <f t="shared" si="101"/>
        <v>2.3452849999999997E-2</v>
      </c>
      <c r="LG41" s="529">
        <f t="shared" si="247"/>
        <v>0.77394404999999999</v>
      </c>
      <c r="LH41" s="529">
        <f t="shared" si="248"/>
        <v>0.96156684999999975</v>
      </c>
      <c r="LI41" s="355">
        <f t="shared" si="103"/>
        <v>1.2195482</v>
      </c>
      <c r="LJ41" s="355">
        <f t="shared" si="104"/>
        <v>0.96156684999999975</v>
      </c>
      <c r="LK41" s="355">
        <f t="shared" si="105"/>
        <v>19.864563949999997</v>
      </c>
      <c r="LL41" s="355">
        <f t="shared" si="106"/>
        <v>0.23452849999999997</v>
      </c>
      <c r="LM41" s="134">
        <f t="shared" si="107"/>
        <v>0.23452849999999997</v>
      </c>
      <c r="LN41" s="884">
        <f t="shared" si="249"/>
        <v>7.8634603250605541E-3</v>
      </c>
      <c r="LO41" s="884">
        <f t="shared" si="250"/>
        <v>2.1445800886528781E-3</v>
      </c>
      <c r="LP41" s="529">
        <f t="shared" si="109"/>
        <v>3.6457861507098933E-2</v>
      </c>
      <c r="LQ41" s="529">
        <f t="shared" si="110"/>
        <v>5.8618522423178672E-2</v>
      </c>
      <c r="LR41" s="529">
        <f t="shared" si="111"/>
        <v>5.7188802364076761</v>
      </c>
      <c r="LS41" s="529">
        <f t="shared" si="112"/>
        <v>6.2192822570933469E-2</v>
      </c>
      <c r="LT41" s="529">
        <f t="shared" si="113"/>
        <v>7.1486002955095948E-3</v>
      </c>
      <c r="LU41" s="529">
        <f t="shared" si="251"/>
        <v>13.168063899135001</v>
      </c>
      <c r="LV41" s="529">
        <f t="shared" si="252"/>
        <v>6.5840319495675006</v>
      </c>
      <c r="LW41" s="529">
        <f t="shared" si="115"/>
        <v>15.362741215657502</v>
      </c>
      <c r="LX41" s="529">
        <f t="shared" si="116"/>
        <v>13.168063899135001</v>
      </c>
      <c r="LY41" s="529">
        <f t="shared" si="117"/>
        <v>217.05358660407529</v>
      </c>
      <c r="LZ41" s="529">
        <f t="shared" si="118"/>
        <v>2.1946773165225002</v>
      </c>
      <c r="MA41" s="485">
        <f t="shared" si="119"/>
        <v>2.1946773165225002</v>
      </c>
      <c r="MB41" s="884">
        <f t="shared" si="253"/>
        <v>1.5478880999999997E-3</v>
      </c>
      <c r="MC41" s="884">
        <f t="shared" si="254"/>
        <v>4.2215129999999989E-4</v>
      </c>
      <c r="MD41" s="529">
        <f t="shared" si="121"/>
        <v>7.1765720999999987E-3</v>
      </c>
      <c r="ME41" s="529">
        <f t="shared" si="122"/>
        <v>1.1538802199999997E-2</v>
      </c>
      <c r="MF41" s="529">
        <f t="shared" si="123"/>
        <v>1.1257367999999999</v>
      </c>
      <c r="MG41" s="529">
        <f t="shared" si="124"/>
        <v>1.2242387699999998E-2</v>
      </c>
      <c r="MH41" s="529">
        <f t="shared" si="125"/>
        <v>1.4071709999999998E-3</v>
      </c>
      <c r="MI41" s="529">
        <f t="shared" si="255"/>
        <v>8.4430259999999979E-2</v>
      </c>
      <c r="MJ41" s="529">
        <f t="shared" si="256"/>
        <v>4.221512999999999E-2</v>
      </c>
      <c r="MK41" s="529">
        <f t="shared" si="127"/>
        <v>9.8501969999999994E-2</v>
      </c>
      <c r="ML41" s="529">
        <f t="shared" si="128"/>
        <v>8.4430259999999979E-2</v>
      </c>
      <c r="MM41" s="529">
        <f t="shared" si="129"/>
        <v>1.3916921189999998</v>
      </c>
      <c r="MN41" s="529">
        <f t="shared" si="130"/>
        <v>1.4071709999999998E-2</v>
      </c>
      <c r="MO41" s="485">
        <f t="shared" si="131"/>
        <v>1.4071709999999998E-2</v>
      </c>
      <c r="MP41" s="884">
        <f t="shared" si="257"/>
        <v>5.6755897000000007E-3</v>
      </c>
      <c r="MQ41" s="884">
        <f t="shared" si="258"/>
        <v>1.5478880999999999E-3</v>
      </c>
      <c r="MR41" s="529">
        <f t="shared" si="133"/>
        <v>2.6314097700000004E-2</v>
      </c>
      <c r="MS41" s="529">
        <f t="shared" si="134"/>
        <v>4.2308941400000001E-2</v>
      </c>
      <c r="MT41" s="529">
        <f t="shared" si="135"/>
        <v>4.1277016000000009</v>
      </c>
      <c r="MU41" s="529">
        <f t="shared" si="136"/>
        <v>4.4888754900000001E-2</v>
      </c>
      <c r="MV41" s="529">
        <f t="shared" si="137"/>
        <v>5.1596270000000008E-3</v>
      </c>
      <c r="MW41" s="529">
        <f t="shared" si="259"/>
        <v>1.23831048</v>
      </c>
      <c r="MX41" s="529">
        <f t="shared" si="260"/>
        <v>0.61915524</v>
      </c>
      <c r="MY41" s="474">
        <f t="shared" si="139"/>
        <v>1.4446955600000002</v>
      </c>
      <c r="MZ41" s="474">
        <f t="shared" si="140"/>
        <v>1.23831048</v>
      </c>
      <c r="NA41" s="474">
        <f t="shared" si="141"/>
        <v>20.411484412000004</v>
      </c>
      <c r="NB41" s="474">
        <f t="shared" si="142"/>
        <v>0.20638508000000003</v>
      </c>
      <c r="NC41" s="134">
        <f t="shared" si="143"/>
        <v>0.20638508000000003</v>
      </c>
    </row>
    <row r="42" spans="1:367" x14ac:dyDescent="0.25">
      <c r="A42" s="18">
        <v>1987</v>
      </c>
      <c r="B42" s="1271">
        <v>2381</v>
      </c>
      <c r="C42" s="1224"/>
      <c r="D42" s="1224">
        <v>0</v>
      </c>
      <c r="E42" s="1272"/>
      <c r="F42" s="1226">
        <f t="shared" si="144"/>
        <v>2345.2849999999999</v>
      </c>
      <c r="G42" s="1226"/>
      <c r="H42" s="1224">
        <f t="shared" si="145"/>
        <v>0</v>
      </c>
      <c r="I42" s="1224"/>
      <c r="J42" s="1082">
        <v>0</v>
      </c>
      <c r="K42" s="1082">
        <f>J42</f>
        <v>0</v>
      </c>
      <c r="L42" s="1226">
        <f t="shared" si="1"/>
        <v>2345.2849999999999</v>
      </c>
      <c r="M42" s="1227"/>
      <c r="N42" s="193">
        <v>8.0999999999999996E-3</v>
      </c>
      <c r="O42" s="47">
        <v>0</v>
      </c>
      <c r="P42" s="47">
        <v>6.0000000000000001E-3</v>
      </c>
      <c r="Q42" s="192">
        <v>0</v>
      </c>
      <c r="R42" s="47">
        <v>0</v>
      </c>
      <c r="S42" s="47">
        <f t="shared" si="146"/>
        <v>5.4000000000000003E-3</v>
      </c>
      <c r="T42" s="47">
        <v>0.01</v>
      </c>
      <c r="U42" s="47">
        <v>1.8E-3</v>
      </c>
      <c r="V42" s="117">
        <v>4.0000000000000003E-5</v>
      </c>
      <c r="W42" s="47">
        <v>5.9999999999999995E-4</v>
      </c>
      <c r="X42" s="52">
        <v>1.0999999999999999E-2</v>
      </c>
      <c r="Y42" s="52">
        <v>2.0199999999999999E-2</v>
      </c>
      <c r="Z42" s="111">
        <v>6.3E-2</v>
      </c>
      <c r="AA42" s="52">
        <f t="shared" si="147"/>
        <v>0.1</v>
      </c>
      <c r="AB42" s="52">
        <f t="shared" si="148"/>
        <v>0</v>
      </c>
      <c r="AC42" s="52">
        <f t="shared" si="149"/>
        <v>0.9</v>
      </c>
      <c r="AD42" s="475">
        <f t="shared" si="150"/>
        <v>18.996808499999997</v>
      </c>
      <c r="AE42" s="474">
        <f t="shared" si="151"/>
        <v>18.996808499999997</v>
      </c>
      <c r="AF42" s="474">
        <f t="shared" si="152"/>
        <v>0</v>
      </c>
      <c r="AG42" s="474">
        <f t="shared" si="151"/>
        <v>0</v>
      </c>
      <c r="AH42" s="474">
        <f t="shared" si="153"/>
        <v>14.071709999999999</v>
      </c>
      <c r="AI42" s="474">
        <f t="shared" ref="AI42" si="702">AH42</f>
        <v>14.071709999999999</v>
      </c>
      <c r="AJ42" s="508"/>
      <c r="AK42" s="508"/>
      <c r="AL42" s="508"/>
      <c r="AM42" s="508"/>
      <c r="AN42" s="508"/>
      <c r="AO42" s="572"/>
      <c r="AP42" s="481">
        <f t="shared" si="155"/>
        <v>18.996808499999997</v>
      </c>
      <c r="AQ42" s="474">
        <f t="shared" ref="AQ42" si="703">AP42</f>
        <v>18.996808499999997</v>
      </c>
      <c r="AR42" s="474">
        <f t="shared" si="157"/>
        <v>0</v>
      </c>
      <c r="AS42" s="474">
        <f t="shared" ref="AS42" si="704">AR42</f>
        <v>0</v>
      </c>
      <c r="AT42" s="474">
        <f t="shared" si="159"/>
        <v>14.071709999999999</v>
      </c>
      <c r="AU42" s="474">
        <f t="shared" ref="AU42" si="705">AT42</f>
        <v>14.071709999999999</v>
      </c>
      <c r="AV42" s="475">
        <f t="shared" si="2"/>
        <v>0</v>
      </c>
      <c r="AW42" s="474">
        <f t="shared" ref="AW42" si="706">AV42</f>
        <v>0</v>
      </c>
      <c r="AX42" s="474">
        <f t="shared" si="3"/>
        <v>12.664539</v>
      </c>
      <c r="AY42" s="474">
        <f t="shared" ref="AY42" si="707">AX42</f>
        <v>12.664539</v>
      </c>
      <c r="AZ42" s="474">
        <f t="shared" si="4"/>
        <v>23.452849999999998</v>
      </c>
      <c r="BA42" s="474">
        <f t="shared" ref="BA42" si="708">AZ42</f>
        <v>23.452849999999998</v>
      </c>
      <c r="BB42" s="481"/>
      <c r="BC42" s="474"/>
      <c r="BD42" s="474"/>
      <c r="BE42" s="474"/>
      <c r="BF42" s="474"/>
      <c r="BG42" s="474"/>
      <c r="BH42" s="481">
        <f t="shared" si="5"/>
        <v>0</v>
      </c>
      <c r="BI42" s="474">
        <f t="shared" ref="BI42" si="709">BH42</f>
        <v>0</v>
      </c>
      <c r="BJ42" s="474">
        <f t="shared" si="6"/>
        <v>12.664539</v>
      </c>
      <c r="BK42" s="474">
        <f t="shared" ref="BK42" si="710">BJ42</f>
        <v>12.664539</v>
      </c>
      <c r="BL42" s="474">
        <f t="shared" si="7"/>
        <v>23.452849999999998</v>
      </c>
      <c r="BM42" s="474">
        <f t="shared" ref="BM42" si="711">BL42</f>
        <v>23.452849999999998</v>
      </c>
      <c r="BN42" s="475">
        <f t="shared" si="8"/>
        <v>9.3811400000000003E-2</v>
      </c>
      <c r="BO42" s="474">
        <f t="shared" ref="BO42" si="712">BN42</f>
        <v>9.3811400000000003E-2</v>
      </c>
      <c r="BP42" s="474">
        <f t="shared" si="9"/>
        <v>1.4071709999999997</v>
      </c>
      <c r="BQ42" s="474">
        <f t="shared" ref="BQ42" si="713">BP42</f>
        <v>1.4071709999999997</v>
      </c>
      <c r="BR42" s="474">
        <f t="shared" si="10"/>
        <v>25.798134999999998</v>
      </c>
      <c r="BS42" s="474">
        <f t="shared" ref="BS42" si="714">BR42</f>
        <v>25.798134999999998</v>
      </c>
      <c r="BT42" s="481"/>
      <c r="BU42" s="474"/>
      <c r="BV42" s="474"/>
      <c r="BW42" s="474"/>
      <c r="BX42" s="474"/>
      <c r="BY42" s="474"/>
      <c r="BZ42" s="481">
        <f t="shared" si="11"/>
        <v>9.3811400000000003E-2</v>
      </c>
      <c r="CA42" s="474">
        <f t="shared" ref="CA42" si="715">BZ42</f>
        <v>9.3811400000000003E-2</v>
      </c>
      <c r="CB42" s="474">
        <f t="shared" si="12"/>
        <v>1.4071709999999997</v>
      </c>
      <c r="CC42" s="474">
        <f t="shared" ref="CC42" si="716">CB42</f>
        <v>1.4071709999999997</v>
      </c>
      <c r="CD42" s="474">
        <f t="shared" si="13"/>
        <v>25.798134999999998</v>
      </c>
      <c r="CE42" s="526">
        <f t="shared" ref="CE42" si="717">CD42</f>
        <v>25.798134999999998</v>
      </c>
      <c r="CF42" s="355">
        <f t="shared" si="173"/>
        <v>0</v>
      </c>
      <c r="CG42" s="615">
        <f t="shared" si="174"/>
        <v>0</v>
      </c>
      <c r="CH42" s="355">
        <f t="shared" si="175"/>
        <v>0</v>
      </c>
      <c r="CI42" s="615">
        <f t="shared" si="491"/>
        <v>0</v>
      </c>
      <c r="CJ42" s="615">
        <f t="shared" si="176"/>
        <v>0</v>
      </c>
      <c r="CK42" s="615">
        <f t="shared" si="492"/>
        <v>0</v>
      </c>
      <c r="CL42" s="122"/>
      <c r="CM42" s="1235">
        <f t="shared" si="16"/>
        <v>2197.5320449999999</v>
      </c>
      <c r="CN42" s="1231"/>
      <c r="CO42" s="1230"/>
      <c r="CP42" s="1231"/>
      <c r="CQ42" s="1230">
        <f t="shared" si="177"/>
        <v>2197.5320449999999</v>
      </c>
      <c r="CR42" s="1232"/>
      <c r="CS42" s="30">
        <v>0.45</v>
      </c>
      <c r="CT42" s="31">
        <f t="shared" si="178"/>
        <v>0.55000000000000004</v>
      </c>
      <c r="CU42" s="31"/>
      <c r="CV42" s="32"/>
      <c r="CW42" s="1233">
        <f t="shared" si="179"/>
        <v>939.44494923750005</v>
      </c>
      <c r="CX42" s="1234"/>
      <c r="CY42" s="1234">
        <f t="shared" si="180"/>
        <v>1148.2104935125001</v>
      </c>
      <c r="CZ42" s="1231"/>
      <c r="DA42" s="369"/>
      <c r="DB42" s="369"/>
      <c r="DC42" s="369"/>
      <c r="DD42" s="373"/>
      <c r="DE42" s="1234">
        <f t="shared" si="17"/>
        <v>939.44494923750005</v>
      </c>
      <c r="DF42" s="1234"/>
      <c r="DG42" s="369">
        <f t="shared" si="341"/>
        <v>1148.2104935125001</v>
      </c>
      <c r="DH42" s="372">
        <f t="shared" si="182"/>
        <v>1148.2104935125001</v>
      </c>
      <c r="DJ42" s="493">
        <v>0.05</v>
      </c>
      <c r="DK42" s="379"/>
      <c r="DL42" s="1084">
        <f t="shared" si="18"/>
        <v>109.87660225</v>
      </c>
      <c r="DM42" s="1084">
        <f t="shared" si="605"/>
        <v>109.87660225</v>
      </c>
      <c r="DN42" s="369"/>
      <c r="DO42" s="372"/>
      <c r="DP42" s="30">
        <v>1</v>
      </c>
      <c r="DQ42" s="31">
        <f t="shared" si="183"/>
        <v>0.1</v>
      </c>
      <c r="DR42" s="31">
        <f t="shared" si="184"/>
        <v>1</v>
      </c>
      <c r="DS42" s="680">
        <f t="shared" si="185"/>
        <v>0.1</v>
      </c>
      <c r="DT42" s="77">
        <f t="shared" si="186"/>
        <v>1</v>
      </c>
      <c r="DU42" s="31">
        <v>0</v>
      </c>
      <c r="DV42" s="31">
        <v>1</v>
      </c>
      <c r="DW42" s="31">
        <v>0</v>
      </c>
      <c r="DX42" s="31">
        <v>0</v>
      </c>
      <c r="DY42" s="31">
        <v>1</v>
      </c>
      <c r="DZ42" s="31">
        <v>0</v>
      </c>
      <c r="EA42" s="383">
        <f t="shared" si="187"/>
        <v>0</v>
      </c>
      <c r="EB42" s="355">
        <f t="shared" si="188"/>
        <v>0</v>
      </c>
      <c r="EC42" s="355">
        <f t="shared" si="189"/>
        <v>10.987660225000001</v>
      </c>
      <c r="ED42" s="355">
        <f t="shared" si="190"/>
        <v>109.87660225</v>
      </c>
      <c r="EE42" s="355">
        <f t="shared" si="191"/>
        <v>0</v>
      </c>
      <c r="EF42" s="355">
        <f t="shared" si="192"/>
        <v>0</v>
      </c>
      <c r="EG42" s="366"/>
      <c r="EH42" s="355"/>
      <c r="EI42" s="355"/>
      <c r="EJ42" s="355"/>
      <c r="EK42" s="355"/>
      <c r="EL42" s="356"/>
      <c r="EM42" s="355">
        <f t="shared" si="193"/>
        <v>10.987660225000001</v>
      </c>
      <c r="EN42" s="134">
        <f t="shared" si="194"/>
        <v>109.87660225</v>
      </c>
      <c r="EP42" s="1171">
        <f t="shared" si="20"/>
        <v>9.3811400000000003E-2</v>
      </c>
      <c r="EQ42" s="1172"/>
      <c r="ER42" s="1172">
        <f t="shared" si="21"/>
        <v>1.4071709999999997</v>
      </c>
      <c r="ES42" s="1172"/>
      <c r="ET42" s="1172">
        <f t="shared" si="22"/>
        <v>25.798134999999998</v>
      </c>
      <c r="EU42" s="1172"/>
      <c r="EV42" s="366"/>
      <c r="EW42" s="355"/>
      <c r="EX42" s="355"/>
      <c r="EY42" s="355"/>
      <c r="EZ42" s="1172"/>
      <c r="FA42" s="1173"/>
      <c r="FB42" s="368">
        <f t="shared" si="195"/>
        <v>939.44494923750005</v>
      </c>
      <c r="FC42" s="369">
        <f t="shared" si="196"/>
        <v>939.44494923750005</v>
      </c>
      <c r="FD42" s="369"/>
      <c r="FE42" s="61"/>
      <c r="FF42" s="368">
        <f t="shared" si="197"/>
        <v>1148.2104935125001</v>
      </c>
      <c r="FG42" s="369">
        <f t="shared" si="426"/>
        <v>1148.2104935125001</v>
      </c>
      <c r="FH42" s="369"/>
      <c r="FI42" s="369"/>
      <c r="FJ42" s="30">
        <v>1</v>
      </c>
      <c r="FK42" s="31">
        <v>0.2</v>
      </c>
      <c r="FL42" s="501">
        <v>0.8</v>
      </c>
      <c r="FM42" s="31">
        <f t="shared" si="198"/>
        <v>0.1</v>
      </c>
      <c r="FN42" s="501">
        <f t="shared" si="199"/>
        <v>1</v>
      </c>
      <c r="FO42" s="31">
        <f t="shared" si="200"/>
        <v>0.1</v>
      </c>
      <c r="FP42" s="31">
        <f t="shared" si="201"/>
        <v>1</v>
      </c>
      <c r="FQ42" s="31">
        <v>1</v>
      </c>
      <c r="FR42" s="31">
        <v>0</v>
      </c>
      <c r="FS42" s="89">
        <f t="shared" si="202"/>
        <v>1E-3</v>
      </c>
      <c r="FT42" s="31">
        <f t="shared" si="203"/>
        <v>0.05</v>
      </c>
      <c r="FU42" s="30">
        <v>0.05</v>
      </c>
      <c r="FV42" s="32">
        <f t="shared" si="25"/>
        <v>2.4224999999999997E-2</v>
      </c>
      <c r="FW42" s="31">
        <v>0.1</v>
      </c>
      <c r="FX42" s="77">
        <f t="shared" si="26"/>
        <v>9.0000000000000011E-2</v>
      </c>
      <c r="FY42" s="30"/>
      <c r="FZ42" s="32"/>
      <c r="GA42" s="31"/>
      <c r="GB42" s="77"/>
      <c r="GC42" s="378">
        <f t="shared" si="27"/>
        <v>9.3811400000000003E-2</v>
      </c>
      <c r="GD42" s="379">
        <f t="shared" si="204"/>
        <v>9.3811400000000003E-2</v>
      </c>
      <c r="GE42" s="379">
        <f t="shared" si="28"/>
        <v>1.4071709999999997</v>
      </c>
      <c r="GF42" s="379">
        <f t="shared" si="205"/>
        <v>1.4071709999999997</v>
      </c>
      <c r="GG42" s="379">
        <f t="shared" si="206"/>
        <v>5.1596270000000004</v>
      </c>
      <c r="GH42" s="218">
        <f t="shared" si="207"/>
        <v>20.638508000000002</v>
      </c>
      <c r="GI42" s="379"/>
      <c r="GJ42" s="379"/>
      <c r="GK42" s="379"/>
      <c r="GL42" s="379"/>
      <c r="GM42" s="379"/>
      <c r="GN42" s="218"/>
      <c r="GO42" s="379">
        <f t="shared" si="208"/>
        <v>6.6606094000000002</v>
      </c>
      <c r="GP42" s="515">
        <f t="shared" si="209"/>
        <v>22.1394904</v>
      </c>
      <c r="GQ42" s="379">
        <f t="shared" si="210"/>
        <v>6.9730301357153444</v>
      </c>
      <c r="GR42" s="379">
        <f t="shared" si="211"/>
        <v>178.49454035512503</v>
      </c>
      <c r="GS42" s="355">
        <f t="shared" si="390"/>
        <v>8.9108078534750029E-2</v>
      </c>
      <c r="GT42" s="355">
        <f t="shared" si="391"/>
        <v>44.554039267375011</v>
      </c>
      <c r="GU42" s="355">
        <f t="shared" si="392"/>
        <v>0</v>
      </c>
      <c r="GV42" s="356">
        <f t="shared" si="393"/>
        <v>0</v>
      </c>
      <c r="GW42" s="355"/>
      <c r="GX42" s="355"/>
      <c r="GY42" s="355"/>
      <c r="GZ42" s="355"/>
      <c r="HA42" s="355"/>
      <c r="HB42" s="356"/>
      <c r="HC42" s="379">
        <f t="shared" si="212"/>
        <v>7.0621382142500941</v>
      </c>
      <c r="HD42" s="38">
        <f t="shared" si="213"/>
        <v>223.04857962250003</v>
      </c>
      <c r="HE42" s="527"/>
      <c r="HF42" s="529">
        <f t="shared" si="29"/>
        <v>18.996808499999997</v>
      </c>
      <c r="HG42" s="529">
        <f t="shared" si="30"/>
        <v>18.996808499999997</v>
      </c>
      <c r="HH42" s="529">
        <f t="shared" si="31"/>
        <v>0</v>
      </c>
      <c r="HI42" s="529">
        <f t="shared" si="32"/>
        <v>0</v>
      </c>
      <c r="HJ42" s="529">
        <f t="shared" si="33"/>
        <v>14.071709999999999</v>
      </c>
      <c r="HK42" s="524">
        <f t="shared" si="34"/>
        <v>14.071709999999999</v>
      </c>
      <c r="HL42" s="529">
        <f t="shared" si="35"/>
        <v>0</v>
      </c>
      <c r="HM42" s="529">
        <f t="shared" si="36"/>
        <v>0</v>
      </c>
      <c r="HN42" s="529">
        <f t="shared" si="37"/>
        <v>23.652199225</v>
      </c>
      <c r="HO42" s="529">
        <f t="shared" si="38"/>
        <v>122.54114125000001</v>
      </c>
      <c r="HP42" s="529">
        <f t="shared" si="39"/>
        <v>23.452849999999998</v>
      </c>
      <c r="HQ42" s="524">
        <f t="shared" si="40"/>
        <v>23.452849999999998</v>
      </c>
      <c r="HR42" s="615">
        <f t="shared" si="214"/>
        <v>7.155949614250094</v>
      </c>
      <c r="HS42" s="615">
        <f t="shared" si="41"/>
        <v>223.14239102250002</v>
      </c>
      <c r="HT42" s="615">
        <f t="shared" si="42"/>
        <v>1.4071709999999997</v>
      </c>
      <c r="HU42" s="615">
        <f t="shared" si="43"/>
        <v>1.4071709999999997</v>
      </c>
      <c r="HV42" s="615">
        <f t="shared" si="44"/>
        <v>5.1596270000000004</v>
      </c>
      <c r="HW42" s="615">
        <f t="shared" si="45"/>
        <v>20.638508000000002</v>
      </c>
      <c r="IG42" s="560"/>
      <c r="IH42" s="529">
        <f t="shared" si="215"/>
        <v>0.20896489349999997</v>
      </c>
      <c r="II42" s="529">
        <f t="shared" si="216"/>
        <v>0.17097127649999999</v>
      </c>
      <c r="IJ42" s="529">
        <f t="shared" si="217"/>
        <v>0.34194255299999998</v>
      </c>
      <c r="IK42" s="529">
        <f t="shared" si="218"/>
        <v>0.17097127649999999</v>
      </c>
      <c r="IL42" s="529">
        <f t="shared" si="219"/>
        <v>16.052303182499998</v>
      </c>
      <c r="IM42" s="529">
        <f t="shared" si="220"/>
        <v>1.8996808499999997E-2</v>
      </c>
      <c r="IN42" s="529">
        <f t="shared" si="221"/>
        <v>1.8996808499999997E-2</v>
      </c>
      <c r="IO42" s="529">
        <f t="shared" si="222"/>
        <v>0.62689468049999997</v>
      </c>
      <c r="IP42" s="529">
        <f t="shared" si="223"/>
        <v>0.77886914849999977</v>
      </c>
      <c r="IQ42" s="529">
        <f t="shared" si="224"/>
        <v>0.98783404199999991</v>
      </c>
      <c r="IR42" s="529">
        <f t="shared" si="225"/>
        <v>0.77886914849999977</v>
      </c>
      <c r="IS42" s="529">
        <f t="shared" si="226"/>
        <v>16.090296799499995</v>
      </c>
      <c r="IT42" s="529">
        <f t="shared" si="227"/>
        <v>0.18996808499999998</v>
      </c>
      <c r="IU42" s="526">
        <f t="shared" si="228"/>
        <v>0.18996808499999998</v>
      </c>
      <c r="IV42" s="884">
        <f t="shared" si="229"/>
        <v>0</v>
      </c>
      <c r="IW42" s="884">
        <f t="shared" si="230"/>
        <v>0</v>
      </c>
      <c r="IX42" s="529">
        <f t="shared" si="49"/>
        <v>0</v>
      </c>
      <c r="IY42" s="529">
        <f t="shared" si="50"/>
        <v>0</v>
      </c>
      <c r="IZ42" s="529">
        <f t="shared" si="51"/>
        <v>0</v>
      </c>
      <c r="JA42" s="529">
        <f t="shared" si="52"/>
        <v>0</v>
      </c>
      <c r="JB42" s="529">
        <f t="shared" si="53"/>
        <v>0</v>
      </c>
      <c r="JC42" s="529">
        <f t="shared" si="231"/>
        <v>0</v>
      </c>
      <c r="JD42" s="529">
        <f t="shared" si="232"/>
        <v>0</v>
      </c>
      <c r="JE42" s="529">
        <f t="shared" si="55"/>
        <v>0</v>
      </c>
      <c r="JF42" s="529">
        <f t="shared" si="56"/>
        <v>0</v>
      </c>
      <c r="JG42" s="529">
        <f t="shared" si="57"/>
        <v>0</v>
      </c>
      <c r="JH42" s="529">
        <f t="shared" si="58"/>
        <v>0</v>
      </c>
      <c r="JI42" s="480">
        <f t="shared" si="59"/>
        <v>0</v>
      </c>
      <c r="JJ42" s="884">
        <f t="shared" si="233"/>
        <v>0.15478881</v>
      </c>
      <c r="JK42" s="884">
        <f t="shared" si="234"/>
        <v>0.12664539</v>
      </c>
      <c r="JL42" s="529">
        <f t="shared" si="61"/>
        <v>0.25329077999999999</v>
      </c>
      <c r="JM42" s="529">
        <f t="shared" si="62"/>
        <v>0.12664539</v>
      </c>
      <c r="JN42" s="529">
        <f t="shared" si="63"/>
        <v>11.890594949999999</v>
      </c>
      <c r="JO42" s="529">
        <f t="shared" si="64"/>
        <v>1.4071709999999999E-2</v>
      </c>
      <c r="JP42" s="529">
        <f t="shared" si="65"/>
        <v>1.4071709999999999E-2</v>
      </c>
      <c r="JQ42" s="529">
        <f t="shared" si="235"/>
        <v>0.46436643</v>
      </c>
      <c r="JR42" s="529">
        <f t="shared" si="236"/>
        <v>0.57694010999999989</v>
      </c>
      <c r="JS42" s="474">
        <f t="shared" si="67"/>
        <v>0.73172892</v>
      </c>
      <c r="JT42" s="474">
        <f t="shared" si="68"/>
        <v>0.57694010999999989</v>
      </c>
      <c r="JU42" s="474">
        <f t="shared" si="69"/>
        <v>11.91873837</v>
      </c>
      <c r="JV42" s="474">
        <f t="shared" si="70"/>
        <v>0.14071710000000001</v>
      </c>
      <c r="JW42" s="134">
        <f t="shared" si="71"/>
        <v>0.14071710000000001</v>
      </c>
      <c r="JX42" s="884">
        <f t="shared" si="237"/>
        <v>0</v>
      </c>
      <c r="JY42" s="884">
        <f t="shared" si="238"/>
        <v>0</v>
      </c>
      <c r="JZ42" s="529">
        <f t="shared" si="73"/>
        <v>0</v>
      </c>
      <c r="KA42" s="529">
        <f t="shared" si="74"/>
        <v>0</v>
      </c>
      <c r="KB42" s="529">
        <f t="shared" si="75"/>
        <v>0</v>
      </c>
      <c r="KC42" s="529">
        <f t="shared" si="76"/>
        <v>0</v>
      </c>
      <c r="KD42" s="529">
        <f t="shared" si="77"/>
        <v>0</v>
      </c>
      <c r="KE42" s="529">
        <f t="shared" si="239"/>
        <v>0</v>
      </c>
      <c r="KF42" s="529">
        <f t="shared" si="240"/>
        <v>0</v>
      </c>
      <c r="KG42" s="529">
        <f t="shared" si="79"/>
        <v>0</v>
      </c>
      <c r="KH42" s="529">
        <f t="shared" si="80"/>
        <v>0</v>
      </c>
      <c r="KI42" s="529">
        <f t="shared" si="81"/>
        <v>0</v>
      </c>
      <c r="KJ42" s="529">
        <f t="shared" si="82"/>
        <v>0</v>
      </c>
      <c r="KK42" s="526">
        <f t="shared" si="83"/>
        <v>0</v>
      </c>
      <c r="KL42" s="884">
        <f t="shared" si="241"/>
        <v>0.26017419147500004</v>
      </c>
      <c r="KM42" s="884">
        <f t="shared" si="242"/>
        <v>0.21286979302500003</v>
      </c>
      <c r="KN42" s="529">
        <f t="shared" si="85"/>
        <v>0.42573958605000006</v>
      </c>
      <c r="KO42" s="529">
        <f t="shared" si="86"/>
        <v>0.21286979302500003</v>
      </c>
      <c r="KP42" s="529">
        <f t="shared" si="87"/>
        <v>19.986108345125</v>
      </c>
      <c r="KQ42" s="529">
        <f t="shared" si="88"/>
        <v>2.3652199225E-2</v>
      </c>
      <c r="KR42" s="529">
        <f t="shared" si="89"/>
        <v>2.3652199225E-2</v>
      </c>
      <c r="KS42" s="529">
        <f t="shared" si="243"/>
        <v>4.0438576612500006</v>
      </c>
      <c r="KT42" s="529">
        <f t="shared" si="244"/>
        <v>5.02418679125</v>
      </c>
      <c r="KU42" s="529">
        <f t="shared" si="91"/>
        <v>6.3721393450000008</v>
      </c>
      <c r="KV42" s="529">
        <f t="shared" si="92"/>
        <v>5.02418679125</v>
      </c>
      <c r="KW42" s="529">
        <f t="shared" si="93"/>
        <v>103.79234663875</v>
      </c>
      <c r="KX42" s="529">
        <f t="shared" si="94"/>
        <v>1.2254114125000002</v>
      </c>
      <c r="KY42" s="480">
        <f t="shared" si="95"/>
        <v>1.2254114125000002</v>
      </c>
      <c r="KZ42" s="884">
        <f t="shared" si="245"/>
        <v>0.25798135</v>
      </c>
      <c r="LA42" s="884">
        <f t="shared" si="246"/>
        <v>0.21107565</v>
      </c>
      <c r="LB42" s="529">
        <f t="shared" si="97"/>
        <v>0.42215130000000001</v>
      </c>
      <c r="LC42" s="529">
        <f t="shared" si="98"/>
        <v>0.21107565</v>
      </c>
      <c r="LD42" s="529">
        <f t="shared" si="99"/>
        <v>19.817658249999997</v>
      </c>
      <c r="LE42" s="529">
        <f t="shared" si="100"/>
        <v>2.3452849999999997E-2</v>
      </c>
      <c r="LF42" s="529">
        <f t="shared" si="101"/>
        <v>2.3452849999999997E-2</v>
      </c>
      <c r="LG42" s="529">
        <f t="shared" si="247"/>
        <v>0.77394404999999999</v>
      </c>
      <c r="LH42" s="529">
        <f t="shared" si="248"/>
        <v>0.96156684999999975</v>
      </c>
      <c r="LI42" s="355">
        <f t="shared" si="103"/>
        <v>1.2195482</v>
      </c>
      <c r="LJ42" s="355">
        <f t="shared" si="104"/>
        <v>0.96156684999999975</v>
      </c>
      <c r="LK42" s="355">
        <f t="shared" si="105"/>
        <v>19.864563949999997</v>
      </c>
      <c r="LL42" s="355">
        <f t="shared" si="106"/>
        <v>0.23452849999999997</v>
      </c>
      <c r="LM42" s="134">
        <f t="shared" si="107"/>
        <v>0.23452849999999997</v>
      </c>
      <c r="LN42" s="884">
        <f t="shared" si="249"/>
        <v>7.8715445756751042E-3</v>
      </c>
      <c r="LO42" s="884">
        <f t="shared" si="250"/>
        <v>2.1467848842750279E-3</v>
      </c>
      <c r="LP42" s="529">
        <f t="shared" si="109"/>
        <v>3.649534303267548E-2</v>
      </c>
      <c r="LQ42" s="529">
        <f t="shared" si="110"/>
        <v>5.8678786836850766E-2</v>
      </c>
      <c r="LR42" s="529">
        <f t="shared" si="111"/>
        <v>5.7247596914000756</v>
      </c>
      <c r="LS42" s="529">
        <f t="shared" si="112"/>
        <v>6.2256761643975811E-2</v>
      </c>
      <c r="LT42" s="529">
        <f t="shared" si="113"/>
        <v>7.1559496142500944E-3</v>
      </c>
      <c r="LU42" s="529">
        <f t="shared" si="251"/>
        <v>13.38854346135</v>
      </c>
      <c r="LV42" s="529">
        <f t="shared" si="252"/>
        <v>6.6942717306750001</v>
      </c>
      <c r="LW42" s="529">
        <f t="shared" si="115"/>
        <v>15.619967371575003</v>
      </c>
      <c r="LX42" s="529">
        <f t="shared" si="116"/>
        <v>13.38854346135</v>
      </c>
      <c r="LY42" s="529">
        <f t="shared" si="117"/>
        <v>220.68782472125255</v>
      </c>
      <c r="LZ42" s="529">
        <f t="shared" si="118"/>
        <v>2.2314239102250002</v>
      </c>
      <c r="MA42" s="485">
        <f t="shared" si="119"/>
        <v>2.2314239102250002</v>
      </c>
      <c r="MB42" s="884">
        <f t="shared" si="253"/>
        <v>1.5478880999999997E-3</v>
      </c>
      <c r="MC42" s="884">
        <f t="shared" si="254"/>
        <v>4.2215129999999989E-4</v>
      </c>
      <c r="MD42" s="529">
        <f t="shared" si="121"/>
        <v>7.1765720999999987E-3</v>
      </c>
      <c r="ME42" s="529">
        <f t="shared" si="122"/>
        <v>1.1538802199999997E-2</v>
      </c>
      <c r="MF42" s="529">
        <f t="shared" si="123"/>
        <v>1.1257367999999999</v>
      </c>
      <c r="MG42" s="529">
        <f t="shared" si="124"/>
        <v>1.2242387699999998E-2</v>
      </c>
      <c r="MH42" s="529">
        <f t="shared" si="125"/>
        <v>1.4071709999999998E-3</v>
      </c>
      <c r="MI42" s="529">
        <f t="shared" si="255"/>
        <v>8.4430259999999979E-2</v>
      </c>
      <c r="MJ42" s="529">
        <f t="shared" si="256"/>
        <v>4.221512999999999E-2</v>
      </c>
      <c r="MK42" s="529">
        <f t="shared" si="127"/>
        <v>9.8501969999999994E-2</v>
      </c>
      <c r="ML42" s="529">
        <f t="shared" si="128"/>
        <v>8.4430259999999979E-2</v>
      </c>
      <c r="MM42" s="529">
        <f t="shared" si="129"/>
        <v>1.3916921189999998</v>
      </c>
      <c r="MN42" s="529">
        <f t="shared" si="130"/>
        <v>1.4071709999999998E-2</v>
      </c>
      <c r="MO42" s="485">
        <f t="shared" si="131"/>
        <v>1.4071709999999998E-2</v>
      </c>
      <c r="MP42" s="884">
        <f t="shared" si="257"/>
        <v>5.6755897000000007E-3</v>
      </c>
      <c r="MQ42" s="884">
        <f t="shared" si="258"/>
        <v>1.5478880999999999E-3</v>
      </c>
      <c r="MR42" s="529">
        <f t="shared" si="133"/>
        <v>2.6314097700000004E-2</v>
      </c>
      <c r="MS42" s="529">
        <f t="shared" si="134"/>
        <v>4.2308941400000001E-2</v>
      </c>
      <c r="MT42" s="529">
        <f t="shared" si="135"/>
        <v>4.1277016000000009</v>
      </c>
      <c r="MU42" s="529">
        <f t="shared" si="136"/>
        <v>4.4888754900000001E-2</v>
      </c>
      <c r="MV42" s="529">
        <f t="shared" si="137"/>
        <v>5.1596270000000008E-3</v>
      </c>
      <c r="MW42" s="529">
        <f t="shared" si="259"/>
        <v>1.23831048</v>
      </c>
      <c r="MX42" s="529">
        <f t="shared" si="260"/>
        <v>0.61915524</v>
      </c>
      <c r="MY42" s="474">
        <f t="shared" si="139"/>
        <v>1.4446955600000002</v>
      </c>
      <c r="MZ42" s="474">
        <f t="shared" si="140"/>
        <v>1.23831048</v>
      </c>
      <c r="NA42" s="474">
        <f t="shared" si="141"/>
        <v>20.411484412000004</v>
      </c>
      <c r="NB42" s="474">
        <f t="shared" si="142"/>
        <v>0.20638508000000003</v>
      </c>
      <c r="NC42" s="134">
        <f t="shared" si="143"/>
        <v>0.20638508000000003</v>
      </c>
    </row>
    <row r="43" spans="1:367" x14ac:dyDescent="0.25">
      <c r="A43" s="18">
        <v>1988</v>
      </c>
      <c r="B43" s="1271">
        <v>2381</v>
      </c>
      <c r="C43" s="1224"/>
      <c r="D43" s="1224">
        <v>0</v>
      </c>
      <c r="E43" s="1272"/>
      <c r="F43" s="1226">
        <f t="shared" si="144"/>
        <v>2345.2849999999999</v>
      </c>
      <c r="G43" s="1226"/>
      <c r="H43" s="1224">
        <f t="shared" si="145"/>
        <v>0</v>
      </c>
      <c r="I43" s="1224"/>
      <c r="J43" s="1082">
        <v>0</v>
      </c>
      <c r="K43" s="1082">
        <f>J43</f>
        <v>0</v>
      </c>
      <c r="L43" s="1226">
        <f t="shared" si="1"/>
        <v>2345.2849999999999</v>
      </c>
      <c r="M43" s="1227"/>
      <c r="N43" s="193">
        <v>8.0999999999999996E-3</v>
      </c>
      <c r="O43" s="47">
        <v>0</v>
      </c>
      <c r="P43" s="47">
        <v>6.0000000000000001E-3</v>
      </c>
      <c r="Q43" s="192">
        <v>0</v>
      </c>
      <c r="R43" s="47">
        <v>0</v>
      </c>
      <c r="S43" s="47">
        <f t="shared" si="146"/>
        <v>5.4000000000000003E-3</v>
      </c>
      <c r="T43" s="47">
        <v>0.01</v>
      </c>
      <c r="U43" s="47">
        <v>1.8E-3</v>
      </c>
      <c r="V43" s="117">
        <v>4.0000000000000003E-5</v>
      </c>
      <c r="W43" s="47">
        <v>5.9999999999999995E-4</v>
      </c>
      <c r="X43" s="52">
        <v>1.0999999999999999E-2</v>
      </c>
      <c r="Y43" s="52">
        <v>2.0199999999999999E-2</v>
      </c>
      <c r="Z43" s="111">
        <v>6.3E-2</v>
      </c>
      <c r="AA43" s="52">
        <f t="shared" si="147"/>
        <v>0.1</v>
      </c>
      <c r="AB43" s="52">
        <f t="shared" si="148"/>
        <v>0</v>
      </c>
      <c r="AC43" s="52">
        <f t="shared" si="149"/>
        <v>0.9</v>
      </c>
      <c r="AD43" s="475">
        <f t="shared" si="150"/>
        <v>18.996808499999997</v>
      </c>
      <c r="AE43" s="474">
        <f t="shared" si="151"/>
        <v>18.996808499999997</v>
      </c>
      <c r="AF43" s="474">
        <f t="shared" si="152"/>
        <v>0</v>
      </c>
      <c r="AG43" s="474">
        <f t="shared" si="151"/>
        <v>0</v>
      </c>
      <c r="AH43" s="474">
        <f t="shared" si="153"/>
        <v>14.071709999999999</v>
      </c>
      <c r="AI43" s="474">
        <f t="shared" ref="AI43" si="718">AH43</f>
        <v>14.071709999999999</v>
      </c>
      <c r="AJ43" s="508"/>
      <c r="AK43" s="508"/>
      <c r="AL43" s="508"/>
      <c r="AM43" s="508"/>
      <c r="AN43" s="508"/>
      <c r="AO43" s="572"/>
      <c r="AP43" s="481">
        <f t="shared" si="155"/>
        <v>18.996808499999997</v>
      </c>
      <c r="AQ43" s="474">
        <f t="shared" ref="AQ43" si="719">AP43</f>
        <v>18.996808499999997</v>
      </c>
      <c r="AR43" s="474">
        <f t="shared" si="157"/>
        <v>0</v>
      </c>
      <c r="AS43" s="474">
        <f t="shared" ref="AS43" si="720">AR43</f>
        <v>0</v>
      </c>
      <c r="AT43" s="474">
        <f t="shared" si="159"/>
        <v>14.071709999999999</v>
      </c>
      <c r="AU43" s="474">
        <f t="shared" ref="AU43" si="721">AT43</f>
        <v>14.071709999999999</v>
      </c>
      <c r="AV43" s="475">
        <f t="shared" si="2"/>
        <v>0</v>
      </c>
      <c r="AW43" s="474">
        <f t="shared" ref="AW43" si="722">AV43</f>
        <v>0</v>
      </c>
      <c r="AX43" s="474">
        <f t="shared" si="3"/>
        <v>12.664539</v>
      </c>
      <c r="AY43" s="474">
        <f t="shared" ref="AY43" si="723">AX43</f>
        <v>12.664539</v>
      </c>
      <c r="AZ43" s="474">
        <f t="shared" si="4"/>
        <v>23.452849999999998</v>
      </c>
      <c r="BA43" s="474">
        <f t="shared" ref="BA43" si="724">AZ43</f>
        <v>23.452849999999998</v>
      </c>
      <c r="BB43" s="481"/>
      <c r="BC43" s="474"/>
      <c r="BD43" s="474"/>
      <c r="BE43" s="474"/>
      <c r="BF43" s="474"/>
      <c r="BG43" s="474"/>
      <c r="BH43" s="481">
        <f t="shared" si="5"/>
        <v>0</v>
      </c>
      <c r="BI43" s="474">
        <f t="shared" ref="BI43" si="725">BH43</f>
        <v>0</v>
      </c>
      <c r="BJ43" s="474">
        <f t="shared" si="6"/>
        <v>12.664539</v>
      </c>
      <c r="BK43" s="474">
        <f t="shared" ref="BK43" si="726">BJ43</f>
        <v>12.664539</v>
      </c>
      <c r="BL43" s="474">
        <f t="shared" si="7"/>
        <v>23.452849999999998</v>
      </c>
      <c r="BM43" s="474">
        <f t="shared" ref="BM43" si="727">BL43</f>
        <v>23.452849999999998</v>
      </c>
      <c r="BN43" s="475">
        <f t="shared" si="8"/>
        <v>9.3811400000000003E-2</v>
      </c>
      <c r="BO43" s="474">
        <f t="shared" ref="BO43" si="728">BN43</f>
        <v>9.3811400000000003E-2</v>
      </c>
      <c r="BP43" s="474">
        <f t="shared" si="9"/>
        <v>1.4071709999999997</v>
      </c>
      <c r="BQ43" s="474">
        <f t="shared" ref="BQ43" si="729">BP43</f>
        <v>1.4071709999999997</v>
      </c>
      <c r="BR43" s="474">
        <f t="shared" si="10"/>
        <v>25.798134999999998</v>
      </c>
      <c r="BS43" s="474">
        <f t="shared" ref="BS43" si="730">BR43</f>
        <v>25.798134999999998</v>
      </c>
      <c r="BT43" s="481"/>
      <c r="BU43" s="474"/>
      <c r="BV43" s="474"/>
      <c r="BW43" s="474"/>
      <c r="BX43" s="474"/>
      <c r="BY43" s="474"/>
      <c r="BZ43" s="481">
        <f t="shared" si="11"/>
        <v>9.3811400000000003E-2</v>
      </c>
      <c r="CA43" s="474">
        <f t="shared" ref="CA43" si="731">BZ43</f>
        <v>9.3811400000000003E-2</v>
      </c>
      <c r="CB43" s="474">
        <f t="shared" si="12"/>
        <v>1.4071709999999997</v>
      </c>
      <c r="CC43" s="474">
        <f t="shared" ref="CC43" si="732">CB43</f>
        <v>1.4071709999999997</v>
      </c>
      <c r="CD43" s="474">
        <f t="shared" si="13"/>
        <v>25.798134999999998</v>
      </c>
      <c r="CE43" s="526">
        <f t="shared" ref="CE43" si="733">CD43</f>
        <v>25.798134999999998</v>
      </c>
      <c r="CF43" s="355">
        <f t="shared" si="173"/>
        <v>0</v>
      </c>
      <c r="CG43" s="615">
        <f t="shared" si="174"/>
        <v>0</v>
      </c>
      <c r="CH43" s="355">
        <f t="shared" si="175"/>
        <v>0</v>
      </c>
      <c r="CI43" s="615">
        <f t="shared" si="491"/>
        <v>0</v>
      </c>
      <c r="CJ43" s="615">
        <f t="shared" si="176"/>
        <v>0</v>
      </c>
      <c r="CK43" s="615">
        <f t="shared" si="492"/>
        <v>0</v>
      </c>
      <c r="CL43" s="122"/>
      <c r="CM43" s="1235">
        <f t="shared" si="16"/>
        <v>2197.5320449999999</v>
      </c>
      <c r="CN43" s="1231"/>
      <c r="CO43" s="1230"/>
      <c r="CP43" s="1231"/>
      <c r="CQ43" s="1230">
        <f t="shared" si="177"/>
        <v>2197.5320449999999</v>
      </c>
      <c r="CR43" s="1232"/>
      <c r="CS43" s="30">
        <v>0.45</v>
      </c>
      <c r="CT43" s="31">
        <f t="shared" si="178"/>
        <v>0.55000000000000004</v>
      </c>
      <c r="CU43" s="31"/>
      <c r="CV43" s="32"/>
      <c r="CW43" s="1233">
        <f t="shared" si="179"/>
        <v>939.44494923750005</v>
      </c>
      <c r="CX43" s="1234"/>
      <c r="CY43" s="1234">
        <f t="shared" si="180"/>
        <v>1148.2104935125001</v>
      </c>
      <c r="CZ43" s="1231"/>
      <c r="DA43" s="369"/>
      <c r="DB43" s="369"/>
      <c r="DC43" s="369"/>
      <c r="DD43" s="373"/>
      <c r="DE43" s="1234">
        <f t="shared" si="17"/>
        <v>939.44494923750005</v>
      </c>
      <c r="DF43" s="1234"/>
      <c r="DG43" s="369">
        <f t="shared" si="341"/>
        <v>1148.2104935125001</v>
      </c>
      <c r="DH43" s="372">
        <f t="shared" si="182"/>
        <v>1148.2104935125001</v>
      </c>
      <c r="DJ43" s="493">
        <v>0.05</v>
      </c>
      <c r="DK43" s="379"/>
      <c r="DL43" s="1084">
        <f t="shared" si="18"/>
        <v>109.87660225</v>
      </c>
      <c r="DM43" s="1084">
        <f t="shared" si="605"/>
        <v>109.87660225</v>
      </c>
      <c r="DN43" s="369"/>
      <c r="DO43" s="372"/>
      <c r="DP43" s="30">
        <v>1</v>
      </c>
      <c r="DQ43" s="31">
        <f t="shared" si="183"/>
        <v>0.1</v>
      </c>
      <c r="DR43" s="31">
        <f t="shared" si="184"/>
        <v>1</v>
      </c>
      <c r="DS43" s="680">
        <f t="shared" si="185"/>
        <v>0.1</v>
      </c>
      <c r="DT43" s="77">
        <f t="shared" si="186"/>
        <v>1</v>
      </c>
      <c r="DU43" s="31">
        <v>0</v>
      </c>
      <c r="DV43" s="31">
        <v>1</v>
      </c>
      <c r="DW43" s="31">
        <v>0</v>
      </c>
      <c r="DX43" s="31">
        <v>0</v>
      </c>
      <c r="DY43" s="31">
        <v>1</v>
      </c>
      <c r="DZ43" s="31">
        <v>0</v>
      </c>
      <c r="EA43" s="383">
        <f t="shared" si="187"/>
        <v>0</v>
      </c>
      <c r="EB43" s="355">
        <f t="shared" si="188"/>
        <v>0</v>
      </c>
      <c r="EC43" s="355">
        <f t="shared" si="189"/>
        <v>10.987660225000001</v>
      </c>
      <c r="ED43" s="355">
        <f t="shared" si="190"/>
        <v>109.87660225</v>
      </c>
      <c r="EE43" s="355">
        <f t="shared" si="191"/>
        <v>0</v>
      </c>
      <c r="EF43" s="355">
        <f t="shared" si="192"/>
        <v>0</v>
      </c>
      <c r="EG43" s="366"/>
      <c r="EH43" s="355"/>
      <c r="EI43" s="355"/>
      <c r="EJ43" s="355"/>
      <c r="EK43" s="355"/>
      <c r="EL43" s="356"/>
      <c r="EM43" s="355">
        <f t="shared" si="193"/>
        <v>10.987660225000001</v>
      </c>
      <c r="EN43" s="134">
        <f t="shared" si="194"/>
        <v>109.87660225</v>
      </c>
      <c r="EP43" s="1171">
        <f t="shared" si="20"/>
        <v>9.3811400000000003E-2</v>
      </c>
      <c r="EQ43" s="1172"/>
      <c r="ER43" s="1172">
        <f t="shared" si="21"/>
        <v>1.4071709999999997</v>
      </c>
      <c r="ES43" s="1172"/>
      <c r="ET43" s="1172">
        <f t="shared" si="22"/>
        <v>25.798134999999998</v>
      </c>
      <c r="EU43" s="1172"/>
      <c r="EV43" s="366"/>
      <c r="EW43" s="355"/>
      <c r="EX43" s="355"/>
      <c r="EY43" s="355"/>
      <c r="EZ43" s="1172"/>
      <c r="FA43" s="1173"/>
      <c r="FB43" s="368">
        <f t="shared" si="195"/>
        <v>939.44494923750005</v>
      </c>
      <c r="FC43" s="369">
        <f t="shared" si="196"/>
        <v>939.44494923750005</v>
      </c>
      <c r="FD43" s="369"/>
      <c r="FE43" s="61"/>
      <c r="FF43" s="368">
        <f t="shared" si="197"/>
        <v>1148.2104935125001</v>
      </c>
      <c r="FG43" s="369">
        <f t="shared" si="426"/>
        <v>1148.2104935125001</v>
      </c>
      <c r="FH43" s="369"/>
      <c r="FI43" s="369"/>
      <c r="FJ43" s="30">
        <v>1</v>
      </c>
      <c r="FK43" s="31">
        <v>0.2</v>
      </c>
      <c r="FL43" s="501">
        <v>0.8</v>
      </c>
      <c r="FM43" s="31">
        <f t="shared" si="198"/>
        <v>0.1</v>
      </c>
      <c r="FN43" s="501">
        <f t="shared" si="199"/>
        <v>1</v>
      </c>
      <c r="FO43" s="31">
        <f t="shared" si="200"/>
        <v>0.1</v>
      </c>
      <c r="FP43" s="31">
        <f t="shared" si="201"/>
        <v>1</v>
      </c>
      <c r="FQ43" s="31">
        <v>1</v>
      </c>
      <c r="FR43" s="31">
        <v>0</v>
      </c>
      <c r="FS43" s="89">
        <f t="shared" si="202"/>
        <v>1E-3</v>
      </c>
      <c r="FT43" s="31">
        <f t="shared" si="203"/>
        <v>0.05</v>
      </c>
      <c r="FU43" s="30">
        <v>0.05</v>
      </c>
      <c r="FV43" s="32">
        <f t="shared" si="25"/>
        <v>2.4224999999999997E-2</v>
      </c>
      <c r="FW43" s="31">
        <v>0.1</v>
      </c>
      <c r="FX43" s="77">
        <f t="shared" si="26"/>
        <v>9.0000000000000011E-2</v>
      </c>
      <c r="FY43" s="30"/>
      <c r="FZ43" s="32"/>
      <c r="GA43" s="31"/>
      <c r="GB43" s="77"/>
      <c r="GC43" s="378">
        <f t="shared" si="27"/>
        <v>9.3811400000000003E-2</v>
      </c>
      <c r="GD43" s="379">
        <f t="shared" si="204"/>
        <v>9.3811400000000003E-2</v>
      </c>
      <c r="GE43" s="379">
        <f t="shared" si="28"/>
        <v>1.4071709999999997</v>
      </c>
      <c r="GF43" s="379">
        <f t="shared" si="205"/>
        <v>1.4071709999999997</v>
      </c>
      <c r="GG43" s="379">
        <f t="shared" si="206"/>
        <v>5.1596270000000004</v>
      </c>
      <c r="GH43" s="218">
        <f t="shared" si="207"/>
        <v>20.638508000000002</v>
      </c>
      <c r="GI43" s="379"/>
      <c r="GJ43" s="379"/>
      <c r="GK43" s="379"/>
      <c r="GL43" s="379"/>
      <c r="GM43" s="379"/>
      <c r="GN43" s="218"/>
      <c r="GO43" s="379">
        <f t="shared" si="208"/>
        <v>6.6606094000000002</v>
      </c>
      <c r="GP43" s="515">
        <f t="shared" si="209"/>
        <v>22.1394904</v>
      </c>
      <c r="GQ43" s="379">
        <f t="shared" si="210"/>
        <v>6.9730301357153444</v>
      </c>
      <c r="GR43" s="379">
        <f t="shared" si="211"/>
        <v>178.49454035512503</v>
      </c>
      <c r="GS43" s="355">
        <f t="shared" si="390"/>
        <v>9.5536321238875038E-2</v>
      </c>
      <c r="GT43" s="355">
        <f t="shared" si="391"/>
        <v>47.768160619437509</v>
      </c>
      <c r="GU43" s="355">
        <f t="shared" si="392"/>
        <v>0</v>
      </c>
      <c r="GV43" s="356">
        <f t="shared" si="393"/>
        <v>0</v>
      </c>
      <c r="GW43" s="355"/>
      <c r="GX43" s="355"/>
      <c r="GY43" s="355"/>
      <c r="GZ43" s="355"/>
      <c r="HA43" s="355"/>
      <c r="HB43" s="356"/>
      <c r="HC43" s="379">
        <f t="shared" si="212"/>
        <v>7.068566456954219</v>
      </c>
      <c r="HD43" s="38">
        <f t="shared" si="213"/>
        <v>226.26270097456253</v>
      </c>
      <c r="HE43" s="527"/>
      <c r="HF43" s="529">
        <f t="shared" si="29"/>
        <v>18.996808499999997</v>
      </c>
      <c r="HG43" s="529">
        <f t="shared" si="30"/>
        <v>18.996808499999997</v>
      </c>
      <c r="HH43" s="529">
        <f t="shared" si="31"/>
        <v>0</v>
      </c>
      <c r="HI43" s="529">
        <f t="shared" si="32"/>
        <v>0</v>
      </c>
      <c r="HJ43" s="529">
        <f t="shared" si="33"/>
        <v>14.071709999999999</v>
      </c>
      <c r="HK43" s="524">
        <f t="shared" si="34"/>
        <v>14.071709999999999</v>
      </c>
      <c r="HL43" s="529">
        <f t="shared" si="35"/>
        <v>0</v>
      </c>
      <c r="HM43" s="529">
        <f t="shared" si="36"/>
        <v>0</v>
      </c>
      <c r="HN43" s="529">
        <f t="shared" si="37"/>
        <v>23.652199225</v>
      </c>
      <c r="HO43" s="529">
        <f t="shared" si="38"/>
        <v>122.54114125000001</v>
      </c>
      <c r="HP43" s="529">
        <f t="shared" si="39"/>
        <v>23.452849999999998</v>
      </c>
      <c r="HQ43" s="524">
        <f t="shared" si="40"/>
        <v>23.452849999999998</v>
      </c>
      <c r="HR43" s="615">
        <f t="shared" si="214"/>
        <v>7.1623778569542189</v>
      </c>
      <c r="HS43" s="615">
        <f t="shared" si="41"/>
        <v>226.35651237456253</v>
      </c>
      <c r="HT43" s="615">
        <f t="shared" si="42"/>
        <v>1.4071709999999997</v>
      </c>
      <c r="HU43" s="615">
        <f t="shared" si="43"/>
        <v>1.4071709999999997</v>
      </c>
      <c r="HV43" s="615">
        <f t="shared" si="44"/>
        <v>5.1596270000000004</v>
      </c>
      <c r="HW43" s="615">
        <f t="shared" si="45"/>
        <v>20.638508000000002</v>
      </c>
      <c r="IG43" s="560"/>
      <c r="IH43" s="529">
        <f t="shared" si="215"/>
        <v>0.20896489349999997</v>
      </c>
      <c r="II43" s="529">
        <f t="shared" si="216"/>
        <v>0.17097127649999999</v>
      </c>
      <c r="IJ43" s="529">
        <f t="shared" si="217"/>
        <v>0.34194255299999998</v>
      </c>
      <c r="IK43" s="529">
        <f t="shared" si="218"/>
        <v>0.17097127649999999</v>
      </c>
      <c r="IL43" s="529">
        <f t="shared" si="219"/>
        <v>16.052303182499998</v>
      </c>
      <c r="IM43" s="529">
        <f t="shared" si="220"/>
        <v>1.8996808499999997E-2</v>
      </c>
      <c r="IN43" s="529">
        <f t="shared" si="221"/>
        <v>1.8996808499999997E-2</v>
      </c>
      <c r="IO43" s="529">
        <f t="shared" si="222"/>
        <v>0.62689468049999997</v>
      </c>
      <c r="IP43" s="529">
        <f t="shared" si="223"/>
        <v>0.77886914849999977</v>
      </c>
      <c r="IQ43" s="529">
        <f t="shared" si="224"/>
        <v>0.98783404199999991</v>
      </c>
      <c r="IR43" s="529">
        <f t="shared" si="225"/>
        <v>0.77886914849999977</v>
      </c>
      <c r="IS43" s="529">
        <f t="shared" si="226"/>
        <v>16.090296799499995</v>
      </c>
      <c r="IT43" s="529">
        <f t="shared" si="227"/>
        <v>0.18996808499999998</v>
      </c>
      <c r="IU43" s="526">
        <f t="shared" si="228"/>
        <v>0.18996808499999998</v>
      </c>
      <c r="IV43" s="884">
        <f t="shared" si="229"/>
        <v>0</v>
      </c>
      <c r="IW43" s="884">
        <f t="shared" si="230"/>
        <v>0</v>
      </c>
      <c r="IX43" s="529">
        <f t="shared" si="49"/>
        <v>0</v>
      </c>
      <c r="IY43" s="529">
        <f t="shared" si="50"/>
        <v>0</v>
      </c>
      <c r="IZ43" s="529">
        <f t="shared" si="51"/>
        <v>0</v>
      </c>
      <c r="JA43" s="529">
        <f t="shared" si="52"/>
        <v>0</v>
      </c>
      <c r="JB43" s="529">
        <f t="shared" si="53"/>
        <v>0</v>
      </c>
      <c r="JC43" s="529">
        <f t="shared" si="231"/>
        <v>0</v>
      </c>
      <c r="JD43" s="529">
        <f t="shared" si="232"/>
        <v>0</v>
      </c>
      <c r="JE43" s="529">
        <f t="shared" si="55"/>
        <v>0</v>
      </c>
      <c r="JF43" s="529">
        <f t="shared" si="56"/>
        <v>0</v>
      </c>
      <c r="JG43" s="529">
        <f t="shared" si="57"/>
        <v>0</v>
      </c>
      <c r="JH43" s="529">
        <f t="shared" si="58"/>
        <v>0</v>
      </c>
      <c r="JI43" s="480">
        <f t="shared" si="59"/>
        <v>0</v>
      </c>
      <c r="JJ43" s="884">
        <f t="shared" si="233"/>
        <v>0.15478881</v>
      </c>
      <c r="JK43" s="884">
        <f t="shared" si="234"/>
        <v>0.12664539</v>
      </c>
      <c r="JL43" s="529">
        <f t="shared" si="61"/>
        <v>0.25329077999999999</v>
      </c>
      <c r="JM43" s="529">
        <f t="shared" si="62"/>
        <v>0.12664539</v>
      </c>
      <c r="JN43" s="529">
        <f t="shared" si="63"/>
        <v>11.890594949999999</v>
      </c>
      <c r="JO43" s="529">
        <f t="shared" si="64"/>
        <v>1.4071709999999999E-2</v>
      </c>
      <c r="JP43" s="529">
        <f t="shared" si="65"/>
        <v>1.4071709999999999E-2</v>
      </c>
      <c r="JQ43" s="529">
        <f t="shared" si="235"/>
        <v>0.46436643</v>
      </c>
      <c r="JR43" s="529">
        <f t="shared" si="236"/>
        <v>0.57694010999999989</v>
      </c>
      <c r="JS43" s="474">
        <f t="shared" si="67"/>
        <v>0.73172892</v>
      </c>
      <c r="JT43" s="474">
        <f t="shared" si="68"/>
        <v>0.57694010999999989</v>
      </c>
      <c r="JU43" s="474">
        <f t="shared" si="69"/>
        <v>11.91873837</v>
      </c>
      <c r="JV43" s="474">
        <f t="shared" si="70"/>
        <v>0.14071710000000001</v>
      </c>
      <c r="JW43" s="134">
        <f t="shared" si="71"/>
        <v>0.14071710000000001</v>
      </c>
      <c r="JX43" s="884">
        <f t="shared" si="237"/>
        <v>0</v>
      </c>
      <c r="JY43" s="884">
        <f t="shared" si="238"/>
        <v>0</v>
      </c>
      <c r="JZ43" s="529">
        <f t="shared" si="73"/>
        <v>0</v>
      </c>
      <c r="KA43" s="529">
        <f t="shared" si="74"/>
        <v>0</v>
      </c>
      <c r="KB43" s="529">
        <f t="shared" si="75"/>
        <v>0</v>
      </c>
      <c r="KC43" s="529">
        <f t="shared" si="76"/>
        <v>0</v>
      </c>
      <c r="KD43" s="529">
        <f t="shared" si="77"/>
        <v>0</v>
      </c>
      <c r="KE43" s="529">
        <f t="shared" si="239"/>
        <v>0</v>
      </c>
      <c r="KF43" s="529">
        <f t="shared" si="240"/>
        <v>0</v>
      </c>
      <c r="KG43" s="529">
        <f t="shared" si="79"/>
        <v>0</v>
      </c>
      <c r="KH43" s="529">
        <f t="shared" si="80"/>
        <v>0</v>
      </c>
      <c r="KI43" s="529">
        <f t="shared" si="81"/>
        <v>0</v>
      </c>
      <c r="KJ43" s="529">
        <f t="shared" si="82"/>
        <v>0</v>
      </c>
      <c r="KK43" s="526">
        <f t="shared" si="83"/>
        <v>0</v>
      </c>
      <c r="KL43" s="884">
        <f t="shared" si="241"/>
        <v>0.26017419147500004</v>
      </c>
      <c r="KM43" s="884">
        <f t="shared" si="242"/>
        <v>0.21286979302500003</v>
      </c>
      <c r="KN43" s="529">
        <f t="shared" si="85"/>
        <v>0.42573958605000006</v>
      </c>
      <c r="KO43" s="529">
        <f t="shared" si="86"/>
        <v>0.21286979302500003</v>
      </c>
      <c r="KP43" s="529">
        <f t="shared" si="87"/>
        <v>19.986108345125</v>
      </c>
      <c r="KQ43" s="529">
        <f t="shared" si="88"/>
        <v>2.3652199225E-2</v>
      </c>
      <c r="KR43" s="529">
        <f t="shared" si="89"/>
        <v>2.3652199225E-2</v>
      </c>
      <c r="KS43" s="529">
        <f t="shared" si="243"/>
        <v>4.0438576612500006</v>
      </c>
      <c r="KT43" s="529">
        <f t="shared" si="244"/>
        <v>5.02418679125</v>
      </c>
      <c r="KU43" s="529">
        <f t="shared" si="91"/>
        <v>6.3721393450000008</v>
      </c>
      <c r="KV43" s="529">
        <f t="shared" si="92"/>
        <v>5.02418679125</v>
      </c>
      <c r="KW43" s="529">
        <f t="shared" si="93"/>
        <v>103.79234663875</v>
      </c>
      <c r="KX43" s="529">
        <f t="shared" si="94"/>
        <v>1.2254114125000002</v>
      </c>
      <c r="KY43" s="480">
        <f t="shared" si="95"/>
        <v>1.2254114125000002</v>
      </c>
      <c r="KZ43" s="884">
        <f t="shared" si="245"/>
        <v>0.25798135</v>
      </c>
      <c r="LA43" s="884">
        <f t="shared" si="246"/>
        <v>0.21107565</v>
      </c>
      <c r="LB43" s="529">
        <f t="shared" si="97"/>
        <v>0.42215130000000001</v>
      </c>
      <c r="LC43" s="529">
        <f t="shared" si="98"/>
        <v>0.21107565</v>
      </c>
      <c r="LD43" s="529">
        <f t="shared" si="99"/>
        <v>19.817658249999997</v>
      </c>
      <c r="LE43" s="529">
        <f t="shared" si="100"/>
        <v>2.3452849999999997E-2</v>
      </c>
      <c r="LF43" s="529">
        <f t="shared" si="101"/>
        <v>2.3452849999999997E-2</v>
      </c>
      <c r="LG43" s="529">
        <f t="shared" si="247"/>
        <v>0.77394404999999999</v>
      </c>
      <c r="LH43" s="529">
        <f t="shared" si="248"/>
        <v>0.96156684999999975</v>
      </c>
      <c r="LI43" s="355">
        <f t="shared" si="103"/>
        <v>1.2195482</v>
      </c>
      <c r="LJ43" s="355">
        <f t="shared" si="104"/>
        <v>0.96156684999999975</v>
      </c>
      <c r="LK43" s="355">
        <f t="shared" si="105"/>
        <v>19.864563949999997</v>
      </c>
      <c r="LL43" s="355">
        <f t="shared" si="106"/>
        <v>0.23452849999999997</v>
      </c>
      <c r="LM43" s="134">
        <f t="shared" si="107"/>
        <v>0.23452849999999997</v>
      </c>
      <c r="LN43" s="884">
        <f t="shared" si="249"/>
        <v>7.8786156426496421E-3</v>
      </c>
      <c r="LO43" s="884">
        <f t="shared" si="250"/>
        <v>2.1487133570862655E-3</v>
      </c>
      <c r="LP43" s="529">
        <f t="shared" si="109"/>
        <v>3.6528127070466522E-2</v>
      </c>
      <c r="LQ43" s="529">
        <f t="shared" si="110"/>
        <v>5.8731498427024589E-2</v>
      </c>
      <c r="LR43" s="529">
        <f t="shared" si="111"/>
        <v>5.7299022855633757</v>
      </c>
      <c r="LS43" s="529">
        <f t="shared" si="112"/>
        <v>6.2312687355501703E-2</v>
      </c>
      <c r="LT43" s="529">
        <f t="shared" si="113"/>
        <v>7.1623778569542187E-3</v>
      </c>
      <c r="LU43" s="529">
        <f t="shared" si="251"/>
        <v>13.581390742473751</v>
      </c>
      <c r="LV43" s="529">
        <f t="shared" si="252"/>
        <v>6.7906953712368754</v>
      </c>
      <c r="LW43" s="529">
        <f t="shared" si="115"/>
        <v>15.844955866219378</v>
      </c>
      <c r="LX43" s="529">
        <f t="shared" si="116"/>
        <v>13.581390742473751</v>
      </c>
      <c r="LY43" s="529">
        <f t="shared" si="117"/>
        <v>223.86659073844237</v>
      </c>
      <c r="LZ43" s="529">
        <f t="shared" si="118"/>
        <v>2.2635651237456251</v>
      </c>
      <c r="MA43" s="485">
        <f t="shared" si="119"/>
        <v>2.2635651237456251</v>
      </c>
      <c r="MB43" s="884">
        <f t="shared" si="253"/>
        <v>1.5478880999999997E-3</v>
      </c>
      <c r="MC43" s="884">
        <f t="shared" si="254"/>
        <v>4.2215129999999989E-4</v>
      </c>
      <c r="MD43" s="529">
        <f t="shared" si="121"/>
        <v>7.1765720999999987E-3</v>
      </c>
      <c r="ME43" s="529">
        <f t="shared" si="122"/>
        <v>1.1538802199999997E-2</v>
      </c>
      <c r="MF43" s="529">
        <f t="shared" si="123"/>
        <v>1.1257367999999999</v>
      </c>
      <c r="MG43" s="529">
        <f t="shared" si="124"/>
        <v>1.2242387699999998E-2</v>
      </c>
      <c r="MH43" s="529">
        <f t="shared" si="125"/>
        <v>1.4071709999999998E-3</v>
      </c>
      <c r="MI43" s="529">
        <f t="shared" si="255"/>
        <v>8.4430259999999979E-2</v>
      </c>
      <c r="MJ43" s="529">
        <f t="shared" si="256"/>
        <v>4.221512999999999E-2</v>
      </c>
      <c r="MK43" s="529">
        <f t="shared" si="127"/>
        <v>9.8501969999999994E-2</v>
      </c>
      <c r="ML43" s="529">
        <f t="shared" si="128"/>
        <v>8.4430259999999979E-2</v>
      </c>
      <c r="MM43" s="529">
        <f t="shared" si="129"/>
        <v>1.3916921189999998</v>
      </c>
      <c r="MN43" s="529">
        <f t="shared" si="130"/>
        <v>1.4071709999999998E-2</v>
      </c>
      <c r="MO43" s="485">
        <f t="shared" si="131"/>
        <v>1.4071709999999998E-2</v>
      </c>
      <c r="MP43" s="884">
        <f t="shared" si="257"/>
        <v>5.6755897000000007E-3</v>
      </c>
      <c r="MQ43" s="884">
        <f t="shared" si="258"/>
        <v>1.5478880999999999E-3</v>
      </c>
      <c r="MR43" s="529">
        <f t="shared" si="133"/>
        <v>2.6314097700000004E-2</v>
      </c>
      <c r="MS43" s="529">
        <f t="shared" si="134"/>
        <v>4.2308941400000001E-2</v>
      </c>
      <c r="MT43" s="529">
        <f t="shared" si="135"/>
        <v>4.1277016000000009</v>
      </c>
      <c r="MU43" s="529">
        <f t="shared" si="136"/>
        <v>4.4888754900000001E-2</v>
      </c>
      <c r="MV43" s="529">
        <f t="shared" si="137"/>
        <v>5.1596270000000008E-3</v>
      </c>
      <c r="MW43" s="529">
        <f t="shared" si="259"/>
        <v>1.23831048</v>
      </c>
      <c r="MX43" s="529">
        <f t="shared" si="260"/>
        <v>0.61915524</v>
      </c>
      <c r="MY43" s="474">
        <f t="shared" si="139"/>
        <v>1.4446955600000002</v>
      </c>
      <c r="MZ43" s="474">
        <f t="shared" si="140"/>
        <v>1.23831048</v>
      </c>
      <c r="NA43" s="474">
        <f t="shared" si="141"/>
        <v>20.411484412000004</v>
      </c>
      <c r="NB43" s="474">
        <f t="shared" si="142"/>
        <v>0.20638508000000003</v>
      </c>
      <c r="NC43" s="134">
        <f t="shared" si="143"/>
        <v>0.20638508000000003</v>
      </c>
    </row>
    <row r="44" spans="1:367" x14ac:dyDescent="0.25">
      <c r="A44" s="18">
        <v>1989</v>
      </c>
      <c r="B44" s="1271">
        <v>2381</v>
      </c>
      <c r="C44" s="1224"/>
      <c r="D44" s="1224">
        <v>0</v>
      </c>
      <c r="E44" s="1272"/>
      <c r="F44" s="1226">
        <f t="shared" si="144"/>
        <v>2345.2849999999999</v>
      </c>
      <c r="G44" s="1226"/>
      <c r="H44" s="1224">
        <f t="shared" si="145"/>
        <v>0</v>
      </c>
      <c r="I44" s="1224"/>
      <c r="J44" s="1082">
        <v>0</v>
      </c>
      <c r="K44" s="1082">
        <f t="shared" ref="K44:K70" si="734">J44</f>
        <v>0</v>
      </c>
      <c r="L44" s="1226">
        <f t="shared" si="1"/>
        <v>2345.2849999999999</v>
      </c>
      <c r="M44" s="1227"/>
      <c r="N44" s="193">
        <v>8.0999999999999996E-3</v>
      </c>
      <c r="O44" s="47">
        <v>0</v>
      </c>
      <c r="P44" s="47">
        <v>6.0000000000000001E-3</v>
      </c>
      <c r="Q44" s="192">
        <v>0</v>
      </c>
      <c r="R44" s="47">
        <v>0</v>
      </c>
      <c r="S44" s="47">
        <f t="shared" si="146"/>
        <v>5.4000000000000003E-3</v>
      </c>
      <c r="T44" s="47">
        <v>0.01</v>
      </c>
      <c r="U44" s="47">
        <v>1.8E-3</v>
      </c>
      <c r="V44" s="117">
        <v>4.0000000000000003E-5</v>
      </c>
      <c r="W44" s="47">
        <v>5.9999999999999995E-4</v>
      </c>
      <c r="X44" s="52">
        <v>1.0999999999999999E-2</v>
      </c>
      <c r="Y44" s="52">
        <v>2.0199999999999999E-2</v>
      </c>
      <c r="Z44" s="111">
        <v>6.3E-2</v>
      </c>
      <c r="AA44" s="52">
        <f t="shared" si="147"/>
        <v>0.1</v>
      </c>
      <c r="AB44" s="52">
        <f t="shared" si="148"/>
        <v>0</v>
      </c>
      <c r="AC44" s="52">
        <f t="shared" si="149"/>
        <v>0.9</v>
      </c>
      <c r="AD44" s="475">
        <f t="shared" si="150"/>
        <v>18.996808499999997</v>
      </c>
      <c r="AE44" s="474">
        <f t="shared" si="151"/>
        <v>18.996808499999997</v>
      </c>
      <c r="AF44" s="474">
        <f t="shared" si="152"/>
        <v>0</v>
      </c>
      <c r="AG44" s="474">
        <f t="shared" si="151"/>
        <v>0</v>
      </c>
      <c r="AH44" s="474">
        <f t="shared" si="153"/>
        <v>14.071709999999999</v>
      </c>
      <c r="AI44" s="474">
        <f t="shared" ref="AI44" si="735">AH44</f>
        <v>14.071709999999999</v>
      </c>
      <c r="AJ44" s="508"/>
      <c r="AK44" s="508"/>
      <c r="AL44" s="508"/>
      <c r="AM44" s="508"/>
      <c r="AN44" s="508"/>
      <c r="AO44" s="572"/>
      <c r="AP44" s="481">
        <f t="shared" si="155"/>
        <v>18.996808499999997</v>
      </c>
      <c r="AQ44" s="474">
        <f t="shared" ref="AQ44" si="736">AP44</f>
        <v>18.996808499999997</v>
      </c>
      <c r="AR44" s="474">
        <f t="shared" si="157"/>
        <v>0</v>
      </c>
      <c r="AS44" s="474">
        <f t="shared" ref="AS44" si="737">AR44</f>
        <v>0</v>
      </c>
      <c r="AT44" s="474">
        <f t="shared" si="159"/>
        <v>14.071709999999999</v>
      </c>
      <c r="AU44" s="474">
        <f t="shared" ref="AU44" si="738">AT44</f>
        <v>14.071709999999999</v>
      </c>
      <c r="AV44" s="475">
        <f t="shared" si="2"/>
        <v>0</v>
      </c>
      <c r="AW44" s="474">
        <f t="shared" ref="AW44" si="739">AV44</f>
        <v>0</v>
      </c>
      <c r="AX44" s="474">
        <f t="shared" si="3"/>
        <v>12.664539</v>
      </c>
      <c r="AY44" s="474">
        <f t="shared" ref="AY44" si="740">AX44</f>
        <v>12.664539</v>
      </c>
      <c r="AZ44" s="474">
        <f t="shared" si="4"/>
        <v>23.452849999999998</v>
      </c>
      <c r="BA44" s="474">
        <f t="shared" ref="BA44" si="741">AZ44</f>
        <v>23.452849999999998</v>
      </c>
      <c r="BB44" s="481"/>
      <c r="BC44" s="474"/>
      <c r="BD44" s="474"/>
      <c r="BE44" s="474"/>
      <c r="BF44" s="474"/>
      <c r="BG44" s="474"/>
      <c r="BH44" s="481">
        <f t="shared" si="5"/>
        <v>0</v>
      </c>
      <c r="BI44" s="474">
        <f t="shared" ref="BI44" si="742">BH44</f>
        <v>0</v>
      </c>
      <c r="BJ44" s="474">
        <f t="shared" si="6"/>
        <v>12.664539</v>
      </c>
      <c r="BK44" s="474">
        <f t="shared" ref="BK44" si="743">BJ44</f>
        <v>12.664539</v>
      </c>
      <c r="BL44" s="474">
        <f t="shared" si="7"/>
        <v>23.452849999999998</v>
      </c>
      <c r="BM44" s="474">
        <f t="shared" ref="BM44" si="744">BL44</f>
        <v>23.452849999999998</v>
      </c>
      <c r="BN44" s="475">
        <f t="shared" si="8"/>
        <v>9.3811400000000003E-2</v>
      </c>
      <c r="BO44" s="474">
        <f t="shared" ref="BO44" si="745">BN44</f>
        <v>9.3811400000000003E-2</v>
      </c>
      <c r="BP44" s="474">
        <f t="shared" si="9"/>
        <v>1.4071709999999997</v>
      </c>
      <c r="BQ44" s="474">
        <f t="shared" ref="BQ44" si="746">BP44</f>
        <v>1.4071709999999997</v>
      </c>
      <c r="BR44" s="474">
        <f t="shared" si="10"/>
        <v>25.798134999999998</v>
      </c>
      <c r="BS44" s="474">
        <f t="shared" ref="BS44" si="747">BR44</f>
        <v>25.798134999999998</v>
      </c>
      <c r="BT44" s="481"/>
      <c r="BU44" s="474"/>
      <c r="BV44" s="474"/>
      <c r="BW44" s="474"/>
      <c r="BX44" s="474"/>
      <c r="BY44" s="474"/>
      <c r="BZ44" s="481">
        <f t="shared" si="11"/>
        <v>9.3811400000000003E-2</v>
      </c>
      <c r="CA44" s="474">
        <f t="shared" ref="CA44" si="748">BZ44</f>
        <v>9.3811400000000003E-2</v>
      </c>
      <c r="CB44" s="474">
        <f t="shared" si="12"/>
        <v>1.4071709999999997</v>
      </c>
      <c r="CC44" s="474">
        <f t="shared" ref="CC44" si="749">CB44</f>
        <v>1.4071709999999997</v>
      </c>
      <c r="CD44" s="474">
        <f t="shared" si="13"/>
        <v>25.798134999999998</v>
      </c>
      <c r="CE44" s="526">
        <f t="shared" ref="CE44" si="750">CD44</f>
        <v>25.798134999999998</v>
      </c>
      <c r="CF44" s="355">
        <f t="shared" si="173"/>
        <v>0</v>
      </c>
      <c r="CG44" s="615">
        <f t="shared" si="174"/>
        <v>0</v>
      </c>
      <c r="CH44" s="355">
        <f t="shared" si="175"/>
        <v>0</v>
      </c>
      <c r="CI44" s="615">
        <f t="shared" si="491"/>
        <v>0</v>
      </c>
      <c r="CJ44" s="615">
        <f t="shared" si="176"/>
        <v>0</v>
      </c>
      <c r="CK44" s="615">
        <f t="shared" si="492"/>
        <v>0</v>
      </c>
      <c r="CL44" s="122"/>
      <c r="CM44" s="1235">
        <f t="shared" si="16"/>
        <v>2197.5320449999999</v>
      </c>
      <c r="CN44" s="1231"/>
      <c r="CO44" s="1230"/>
      <c r="CP44" s="1231"/>
      <c r="CQ44" s="1230">
        <f t="shared" si="177"/>
        <v>2197.5320449999999</v>
      </c>
      <c r="CR44" s="1232"/>
      <c r="CS44" s="30">
        <v>0.45</v>
      </c>
      <c r="CT44" s="31">
        <f t="shared" si="178"/>
        <v>0.55000000000000004</v>
      </c>
      <c r="CU44" s="31"/>
      <c r="CV44" s="32"/>
      <c r="CW44" s="1233">
        <f t="shared" si="179"/>
        <v>939.44494923750005</v>
      </c>
      <c r="CX44" s="1234"/>
      <c r="CY44" s="1234">
        <f t="shared" si="180"/>
        <v>1148.2104935125001</v>
      </c>
      <c r="CZ44" s="1231"/>
      <c r="DA44" s="369"/>
      <c r="DB44" s="369"/>
      <c r="DC44" s="369"/>
      <c r="DD44" s="373"/>
      <c r="DE44" s="1234">
        <f t="shared" si="17"/>
        <v>939.44494923750005</v>
      </c>
      <c r="DF44" s="1234"/>
      <c r="DG44" s="369">
        <f t="shared" si="341"/>
        <v>1148.2104935125001</v>
      </c>
      <c r="DH44" s="372">
        <f t="shared" si="182"/>
        <v>1148.2104935125001</v>
      </c>
      <c r="DJ44" s="493">
        <v>0.05</v>
      </c>
      <c r="DK44" s="379"/>
      <c r="DL44" s="1084">
        <f t="shared" si="18"/>
        <v>109.87660225</v>
      </c>
      <c r="DM44" s="1084">
        <f t="shared" si="605"/>
        <v>109.87660225</v>
      </c>
      <c r="DN44" s="369"/>
      <c r="DO44" s="372"/>
      <c r="DP44" s="30">
        <v>1</v>
      </c>
      <c r="DQ44" s="31">
        <f t="shared" si="183"/>
        <v>0.1</v>
      </c>
      <c r="DR44" s="31">
        <f t="shared" si="184"/>
        <v>1</v>
      </c>
      <c r="DS44" s="680">
        <f t="shared" si="185"/>
        <v>0.1</v>
      </c>
      <c r="DT44" s="77">
        <f t="shared" si="186"/>
        <v>1</v>
      </c>
      <c r="DU44" s="31">
        <v>0</v>
      </c>
      <c r="DV44" s="31">
        <v>1</v>
      </c>
      <c r="DW44" s="31">
        <v>0</v>
      </c>
      <c r="DX44" s="31">
        <v>0</v>
      </c>
      <c r="DY44" s="31">
        <v>1</v>
      </c>
      <c r="DZ44" s="31">
        <v>0</v>
      </c>
      <c r="EA44" s="383">
        <f t="shared" si="187"/>
        <v>0</v>
      </c>
      <c r="EB44" s="355">
        <f t="shared" si="188"/>
        <v>0</v>
      </c>
      <c r="EC44" s="355">
        <f t="shared" si="189"/>
        <v>10.987660225000001</v>
      </c>
      <c r="ED44" s="355">
        <f t="shared" si="190"/>
        <v>109.87660225</v>
      </c>
      <c r="EE44" s="355">
        <f t="shared" si="191"/>
        <v>0</v>
      </c>
      <c r="EF44" s="355">
        <f t="shared" si="192"/>
        <v>0</v>
      </c>
      <c r="EG44" s="366"/>
      <c r="EH44" s="355"/>
      <c r="EI44" s="355"/>
      <c r="EJ44" s="355"/>
      <c r="EK44" s="355"/>
      <c r="EL44" s="356"/>
      <c r="EM44" s="355">
        <f t="shared" si="193"/>
        <v>10.987660225000001</v>
      </c>
      <c r="EN44" s="134">
        <f t="shared" si="194"/>
        <v>109.87660225</v>
      </c>
      <c r="EP44" s="1171">
        <f t="shared" si="20"/>
        <v>9.3811400000000003E-2</v>
      </c>
      <c r="EQ44" s="1172"/>
      <c r="ER44" s="1172">
        <f t="shared" si="21"/>
        <v>1.4071709999999997</v>
      </c>
      <c r="ES44" s="1172"/>
      <c r="ET44" s="1172">
        <f t="shared" si="22"/>
        <v>25.798134999999998</v>
      </c>
      <c r="EU44" s="1172"/>
      <c r="EV44" s="366"/>
      <c r="EW44" s="355"/>
      <c r="EX44" s="355"/>
      <c r="EY44" s="355"/>
      <c r="EZ44" s="1172"/>
      <c r="FA44" s="1173"/>
      <c r="FB44" s="368">
        <f t="shared" si="195"/>
        <v>939.44494923750005</v>
      </c>
      <c r="FC44" s="369">
        <f t="shared" si="196"/>
        <v>939.44494923750005</v>
      </c>
      <c r="FD44" s="369"/>
      <c r="FE44" s="61"/>
      <c r="FF44" s="368">
        <f t="shared" si="197"/>
        <v>1148.2104935125001</v>
      </c>
      <c r="FG44" s="369">
        <f t="shared" si="426"/>
        <v>1148.2104935125001</v>
      </c>
      <c r="FH44" s="369"/>
      <c r="FI44" s="369"/>
      <c r="FJ44" s="30">
        <v>1</v>
      </c>
      <c r="FK44" s="31">
        <v>0.2</v>
      </c>
      <c r="FL44" s="501">
        <v>0.8</v>
      </c>
      <c r="FM44" s="31">
        <f t="shared" si="198"/>
        <v>0.1</v>
      </c>
      <c r="FN44" s="501">
        <f t="shared" si="199"/>
        <v>1</v>
      </c>
      <c r="FO44" s="31">
        <f t="shared" si="200"/>
        <v>0.1</v>
      </c>
      <c r="FP44" s="31">
        <f t="shared" si="201"/>
        <v>1</v>
      </c>
      <c r="FQ44" s="31">
        <v>1</v>
      </c>
      <c r="FR44" s="31">
        <v>0</v>
      </c>
      <c r="FS44" s="89">
        <f t="shared" si="202"/>
        <v>1E-3</v>
      </c>
      <c r="FT44" s="31">
        <f t="shared" si="203"/>
        <v>0.05</v>
      </c>
      <c r="FU44" s="30">
        <v>0.05</v>
      </c>
      <c r="FV44" s="32">
        <f t="shared" si="25"/>
        <v>2.4224999999999997E-2</v>
      </c>
      <c r="FW44" s="31">
        <v>0.1</v>
      </c>
      <c r="FX44" s="77">
        <f t="shared" si="26"/>
        <v>9.0000000000000011E-2</v>
      </c>
      <c r="FY44" s="30"/>
      <c r="FZ44" s="32"/>
      <c r="GA44" s="31"/>
      <c r="GB44" s="77"/>
      <c r="GC44" s="378">
        <f t="shared" si="27"/>
        <v>9.3811400000000003E-2</v>
      </c>
      <c r="GD44" s="379">
        <f t="shared" si="204"/>
        <v>9.3811400000000003E-2</v>
      </c>
      <c r="GE44" s="379">
        <f t="shared" si="28"/>
        <v>1.4071709999999997</v>
      </c>
      <c r="GF44" s="379">
        <f t="shared" si="205"/>
        <v>1.4071709999999997</v>
      </c>
      <c r="GG44" s="379">
        <f t="shared" si="206"/>
        <v>5.1596270000000004</v>
      </c>
      <c r="GH44" s="218">
        <f t="shared" si="207"/>
        <v>20.638508000000002</v>
      </c>
      <c r="GI44" s="379"/>
      <c r="GJ44" s="379"/>
      <c r="GK44" s="379"/>
      <c r="GL44" s="379"/>
      <c r="GM44" s="379"/>
      <c r="GN44" s="218"/>
      <c r="GO44" s="379">
        <f t="shared" si="208"/>
        <v>6.6606094000000002</v>
      </c>
      <c r="GP44" s="515">
        <f t="shared" si="209"/>
        <v>22.1394904</v>
      </c>
      <c r="GQ44" s="379">
        <f t="shared" si="210"/>
        <v>6.9730301357153444</v>
      </c>
      <c r="GR44" s="379">
        <f t="shared" si="211"/>
        <v>178.49454035512503</v>
      </c>
      <c r="GS44" s="355">
        <f t="shared" si="390"/>
        <v>0.10104831029425004</v>
      </c>
      <c r="GT44" s="355">
        <f t="shared" si="391"/>
        <v>50.524155147125008</v>
      </c>
      <c r="GU44" s="355">
        <f t="shared" si="392"/>
        <v>0</v>
      </c>
      <c r="GV44" s="356">
        <f t="shared" si="393"/>
        <v>0</v>
      </c>
      <c r="GW44" s="355"/>
      <c r="GX44" s="355"/>
      <c r="GY44" s="355"/>
      <c r="GZ44" s="355"/>
      <c r="HA44" s="355"/>
      <c r="HB44" s="356"/>
      <c r="HC44" s="379">
        <f t="shared" si="212"/>
        <v>7.0740784460095947</v>
      </c>
      <c r="HD44" s="38">
        <f t="shared" si="213"/>
        <v>229.01869550225004</v>
      </c>
      <c r="HE44" s="527"/>
      <c r="HF44" s="529">
        <f t="shared" si="29"/>
        <v>18.996808499999997</v>
      </c>
      <c r="HG44" s="529">
        <f t="shared" si="30"/>
        <v>18.996808499999997</v>
      </c>
      <c r="HH44" s="529">
        <f t="shared" si="31"/>
        <v>0</v>
      </c>
      <c r="HI44" s="529">
        <f t="shared" si="32"/>
        <v>0</v>
      </c>
      <c r="HJ44" s="529">
        <f t="shared" si="33"/>
        <v>14.071709999999999</v>
      </c>
      <c r="HK44" s="524">
        <f t="shared" si="34"/>
        <v>14.071709999999999</v>
      </c>
      <c r="HL44" s="529">
        <f t="shared" si="35"/>
        <v>0</v>
      </c>
      <c r="HM44" s="529">
        <f t="shared" si="36"/>
        <v>0</v>
      </c>
      <c r="HN44" s="529">
        <f t="shared" si="37"/>
        <v>23.652199225</v>
      </c>
      <c r="HO44" s="529">
        <f t="shared" si="38"/>
        <v>122.54114125000001</v>
      </c>
      <c r="HP44" s="529">
        <f t="shared" si="39"/>
        <v>23.452849999999998</v>
      </c>
      <c r="HQ44" s="524">
        <f t="shared" si="40"/>
        <v>23.452849999999998</v>
      </c>
      <c r="HR44" s="615">
        <f t="shared" si="214"/>
        <v>7.1678898460095946</v>
      </c>
      <c r="HS44" s="615">
        <f t="shared" si="41"/>
        <v>229.11250690225003</v>
      </c>
      <c r="HT44" s="615">
        <f t="shared" si="42"/>
        <v>1.4071709999999997</v>
      </c>
      <c r="HU44" s="615">
        <f t="shared" si="43"/>
        <v>1.4071709999999997</v>
      </c>
      <c r="HV44" s="615">
        <f t="shared" si="44"/>
        <v>5.1596270000000004</v>
      </c>
      <c r="HW44" s="615">
        <f t="shared" si="45"/>
        <v>20.638508000000002</v>
      </c>
      <c r="IG44" s="560"/>
      <c r="IH44" s="529">
        <f t="shared" si="215"/>
        <v>0.20896489349999997</v>
      </c>
      <c r="II44" s="529">
        <f t="shared" si="216"/>
        <v>0.17097127649999999</v>
      </c>
      <c r="IJ44" s="529">
        <f t="shared" si="217"/>
        <v>0.34194255299999998</v>
      </c>
      <c r="IK44" s="529">
        <f t="shared" si="218"/>
        <v>0.17097127649999999</v>
      </c>
      <c r="IL44" s="529">
        <f t="shared" si="219"/>
        <v>16.052303182499998</v>
      </c>
      <c r="IM44" s="529">
        <f t="shared" si="220"/>
        <v>1.8996808499999997E-2</v>
      </c>
      <c r="IN44" s="529">
        <f t="shared" si="221"/>
        <v>1.8996808499999997E-2</v>
      </c>
      <c r="IO44" s="529">
        <f t="shared" si="222"/>
        <v>0.62689468049999997</v>
      </c>
      <c r="IP44" s="529">
        <f t="shared" si="223"/>
        <v>0.77886914849999977</v>
      </c>
      <c r="IQ44" s="529">
        <f t="shared" si="224"/>
        <v>0.98783404199999991</v>
      </c>
      <c r="IR44" s="529">
        <f t="shared" si="225"/>
        <v>0.77886914849999977</v>
      </c>
      <c r="IS44" s="529">
        <f t="shared" si="226"/>
        <v>16.090296799499995</v>
      </c>
      <c r="IT44" s="529">
        <f t="shared" si="227"/>
        <v>0.18996808499999998</v>
      </c>
      <c r="IU44" s="526">
        <f t="shared" si="228"/>
        <v>0.18996808499999998</v>
      </c>
      <c r="IV44" s="884">
        <f t="shared" si="229"/>
        <v>0</v>
      </c>
      <c r="IW44" s="884">
        <f t="shared" si="230"/>
        <v>0</v>
      </c>
      <c r="IX44" s="529">
        <f t="shared" si="49"/>
        <v>0</v>
      </c>
      <c r="IY44" s="529">
        <f t="shared" si="50"/>
        <v>0</v>
      </c>
      <c r="IZ44" s="529">
        <f t="shared" si="51"/>
        <v>0</v>
      </c>
      <c r="JA44" s="529">
        <f t="shared" si="52"/>
        <v>0</v>
      </c>
      <c r="JB44" s="529">
        <f t="shared" si="53"/>
        <v>0</v>
      </c>
      <c r="JC44" s="529">
        <f t="shared" si="231"/>
        <v>0</v>
      </c>
      <c r="JD44" s="529">
        <f t="shared" si="232"/>
        <v>0</v>
      </c>
      <c r="JE44" s="529">
        <f t="shared" si="55"/>
        <v>0</v>
      </c>
      <c r="JF44" s="529">
        <f t="shared" si="56"/>
        <v>0</v>
      </c>
      <c r="JG44" s="529">
        <f t="shared" si="57"/>
        <v>0</v>
      </c>
      <c r="JH44" s="529">
        <f t="shared" si="58"/>
        <v>0</v>
      </c>
      <c r="JI44" s="480">
        <f t="shared" si="59"/>
        <v>0</v>
      </c>
      <c r="JJ44" s="884">
        <f t="shared" si="233"/>
        <v>0.15478881</v>
      </c>
      <c r="JK44" s="884">
        <f t="shared" si="234"/>
        <v>0.12664539</v>
      </c>
      <c r="JL44" s="529">
        <f t="shared" si="61"/>
        <v>0.25329077999999999</v>
      </c>
      <c r="JM44" s="529">
        <f t="shared" si="62"/>
        <v>0.12664539</v>
      </c>
      <c r="JN44" s="529">
        <f t="shared" si="63"/>
        <v>11.890594949999999</v>
      </c>
      <c r="JO44" s="529">
        <f t="shared" si="64"/>
        <v>1.4071709999999999E-2</v>
      </c>
      <c r="JP44" s="529">
        <f t="shared" si="65"/>
        <v>1.4071709999999999E-2</v>
      </c>
      <c r="JQ44" s="529">
        <f t="shared" si="235"/>
        <v>0.46436643</v>
      </c>
      <c r="JR44" s="529">
        <f t="shared" si="236"/>
        <v>0.57694010999999989</v>
      </c>
      <c r="JS44" s="474">
        <f t="shared" si="67"/>
        <v>0.73172892</v>
      </c>
      <c r="JT44" s="474">
        <f t="shared" si="68"/>
        <v>0.57694010999999989</v>
      </c>
      <c r="JU44" s="474">
        <f t="shared" si="69"/>
        <v>11.91873837</v>
      </c>
      <c r="JV44" s="474">
        <f t="shared" si="70"/>
        <v>0.14071710000000001</v>
      </c>
      <c r="JW44" s="134">
        <f t="shared" si="71"/>
        <v>0.14071710000000001</v>
      </c>
      <c r="JX44" s="884">
        <f t="shared" si="237"/>
        <v>0</v>
      </c>
      <c r="JY44" s="884">
        <f t="shared" si="238"/>
        <v>0</v>
      </c>
      <c r="JZ44" s="529">
        <f t="shared" si="73"/>
        <v>0</v>
      </c>
      <c r="KA44" s="529">
        <f t="shared" si="74"/>
        <v>0</v>
      </c>
      <c r="KB44" s="529">
        <f t="shared" si="75"/>
        <v>0</v>
      </c>
      <c r="KC44" s="529">
        <f t="shared" si="76"/>
        <v>0</v>
      </c>
      <c r="KD44" s="529">
        <f t="shared" si="77"/>
        <v>0</v>
      </c>
      <c r="KE44" s="529">
        <f t="shared" si="239"/>
        <v>0</v>
      </c>
      <c r="KF44" s="529">
        <f t="shared" si="240"/>
        <v>0</v>
      </c>
      <c r="KG44" s="529">
        <f t="shared" si="79"/>
        <v>0</v>
      </c>
      <c r="KH44" s="529">
        <f t="shared" si="80"/>
        <v>0</v>
      </c>
      <c r="KI44" s="529">
        <f t="shared" si="81"/>
        <v>0</v>
      </c>
      <c r="KJ44" s="529">
        <f t="shared" si="82"/>
        <v>0</v>
      </c>
      <c r="KK44" s="526">
        <f t="shared" si="83"/>
        <v>0</v>
      </c>
      <c r="KL44" s="884">
        <f t="shared" si="241"/>
        <v>0.26017419147500004</v>
      </c>
      <c r="KM44" s="884">
        <f t="shared" si="242"/>
        <v>0.21286979302500003</v>
      </c>
      <c r="KN44" s="529">
        <f t="shared" si="85"/>
        <v>0.42573958605000006</v>
      </c>
      <c r="KO44" s="529">
        <f t="shared" si="86"/>
        <v>0.21286979302500003</v>
      </c>
      <c r="KP44" s="529">
        <f t="shared" si="87"/>
        <v>19.986108345125</v>
      </c>
      <c r="KQ44" s="529">
        <f t="shared" si="88"/>
        <v>2.3652199225E-2</v>
      </c>
      <c r="KR44" s="529">
        <f t="shared" si="89"/>
        <v>2.3652199225E-2</v>
      </c>
      <c r="KS44" s="529">
        <f t="shared" si="243"/>
        <v>4.0438576612500006</v>
      </c>
      <c r="KT44" s="529">
        <f t="shared" si="244"/>
        <v>5.02418679125</v>
      </c>
      <c r="KU44" s="529">
        <f t="shared" si="91"/>
        <v>6.3721393450000008</v>
      </c>
      <c r="KV44" s="529">
        <f t="shared" si="92"/>
        <v>5.02418679125</v>
      </c>
      <c r="KW44" s="529">
        <f t="shared" si="93"/>
        <v>103.79234663875</v>
      </c>
      <c r="KX44" s="529">
        <f t="shared" si="94"/>
        <v>1.2254114125000002</v>
      </c>
      <c r="KY44" s="480">
        <f t="shared" si="95"/>
        <v>1.2254114125000002</v>
      </c>
      <c r="KZ44" s="884">
        <f t="shared" si="245"/>
        <v>0.25798135</v>
      </c>
      <c r="LA44" s="884">
        <f t="shared" si="246"/>
        <v>0.21107565</v>
      </c>
      <c r="LB44" s="529">
        <f t="shared" si="97"/>
        <v>0.42215130000000001</v>
      </c>
      <c r="LC44" s="529">
        <f t="shared" si="98"/>
        <v>0.21107565</v>
      </c>
      <c r="LD44" s="529">
        <f t="shared" si="99"/>
        <v>19.817658249999997</v>
      </c>
      <c r="LE44" s="529">
        <f t="shared" si="100"/>
        <v>2.3452849999999997E-2</v>
      </c>
      <c r="LF44" s="529">
        <f t="shared" si="101"/>
        <v>2.3452849999999997E-2</v>
      </c>
      <c r="LG44" s="529">
        <f t="shared" si="247"/>
        <v>0.77394404999999999</v>
      </c>
      <c r="LH44" s="529">
        <f t="shared" si="248"/>
        <v>0.96156684999999975</v>
      </c>
      <c r="LI44" s="355">
        <f t="shared" si="103"/>
        <v>1.2195482</v>
      </c>
      <c r="LJ44" s="355">
        <f t="shared" si="104"/>
        <v>0.96156684999999975</v>
      </c>
      <c r="LK44" s="355">
        <f t="shared" si="105"/>
        <v>19.864563949999997</v>
      </c>
      <c r="LL44" s="355">
        <f t="shared" si="106"/>
        <v>0.23452849999999997</v>
      </c>
      <c r="LM44" s="134">
        <f t="shared" si="107"/>
        <v>0.23452849999999997</v>
      </c>
      <c r="LN44" s="884">
        <f t="shared" si="249"/>
        <v>7.8846788306105552E-3</v>
      </c>
      <c r="LO44" s="884">
        <f t="shared" si="250"/>
        <v>2.1503669538028782E-3</v>
      </c>
      <c r="LP44" s="529">
        <f t="shared" si="109"/>
        <v>3.6556238214648935E-2</v>
      </c>
      <c r="LQ44" s="529">
        <f t="shared" si="110"/>
        <v>5.8776696737278665E-2</v>
      </c>
      <c r="LR44" s="529">
        <f t="shared" si="111"/>
        <v>5.7343118768076762</v>
      </c>
      <c r="LS44" s="529">
        <f t="shared" si="112"/>
        <v>6.2360641660283468E-2</v>
      </c>
      <c r="LT44" s="529">
        <f t="shared" si="113"/>
        <v>7.167889846009595E-3</v>
      </c>
      <c r="LU44" s="529">
        <f t="shared" si="251"/>
        <v>13.746750414135002</v>
      </c>
      <c r="LV44" s="529">
        <f t="shared" si="252"/>
        <v>6.8733752070675012</v>
      </c>
      <c r="LW44" s="529">
        <f t="shared" si="115"/>
        <v>16.037875483157503</v>
      </c>
      <c r="LX44" s="529">
        <f t="shared" si="116"/>
        <v>13.746750414135002</v>
      </c>
      <c r="LY44" s="529">
        <f t="shared" si="117"/>
        <v>226.59226932632529</v>
      </c>
      <c r="LZ44" s="529">
        <f t="shared" si="118"/>
        <v>2.2911250690225002</v>
      </c>
      <c r="MA44" s="485">
        <f t="shared" si="119"/>
        <v>2.2911250690225002</v>
      </c>
      <c r="MB44" s="884">
        <f t="shared" si="253"/>
        <v>1.5478880999999997E-3</v>
      </c>
      <c r="MC44" s="884">
        <f t="shared" si="254"/>
        <v>4.2215129999999989E-4</v>
      </c>
      <c r="MD44" s="529">
        <f t="shared" si="121"/>
        <v>7.1765720999999987E-3</v>
      </c>
      <c r="ME44" s="529">
        <f t="shared" si="122"/>
        <v>1.1538802199999997E-2</v>
      </c>
      <c r="MF44" s="529">
        <f t="shared" si="123"/>
        <v>1.1257367999999999</v>
      </c>
      <c r="MG44" s="529">
        <f t="shared" si="124"/>
        <v>1.2242387699999998E-2</v>
      </c>
      <c r="MH44" s="529">
        <f t="shared" si="125"/>
        <v>1.4071709999999998E-3</v>
      </c>
      <c r="MI44" s="529">
        <f t="shared" si="255"/>
        <v>8.4430259999999979E-2</v>
      </c>
      <c r="MJ44" s="529">
        <f t="shared" si="256"/>
        <v>4.221512999999999E-2</v>
      </c>
      <c r="MK44" s="529">
        <f t="shared" si="127"/>
        <v>9.8501969999999994E-2</v>
      </c>
      <c r="ML44" s="529">
        <f t="shared" si="128"/>
        <v>8.4430259999999979E-2</v>
      </c>
      <c r="MM44" s="529">
        <f t="shared" si="129"/>
        <v>1.3916921189999998</v>
      </c>
      <c r="MN44" s="529">
        <f t="shared" si="130"/>
        <v>1.4071709999999998E-2</v>
      </c>
      <c r="MO44" s="485">
        <f t="shared" si="131"/>
        <v>1.4071709999999998E-2</v>
      </c>
      <c r="MP44" s="884">
        <f t="shared" si="257"/>
        <v>5.6755897000000007E-3</v>
      </c>
      <c r="MQ44" s="884">
        <f t="shared" si="258"/>
        <v>1.5478880999999999E-3</v>
      </c>
      <c r="MR44" s="529">
        <f t="shared" si="133"/>
        <v>2.6314097700000004E-2</v>
      </c>
      <c r="MS44" s="529">
        <f t="shared" si="134"/>
        <v>4.2308941400000001E-2</v>
      </c>
      <c r="MT44" s="529">
        <f t="shared" si="135"/>
        <v>4.1277016000000009</v>
      </c>
      <c r="MU44" s="529">
        <f t="shared" si="136"/>
        <v>4.4888754900000001E-2</v>
      </c>
      <c r="MV44" s="529">
        <f t="shared" si="137"/>
        <v>5.1596270000000008E-3</v>
      </c>
      <c r="MW44" s="529">
        <f t="shared" si="259"/>
        <v>1.23831048</v>
      </c>
      <c r="MX44" s="529">
        <f t="shared" si="260"/>
        <v>0.61915524</v>
      </c>
      <c r="MY44" s="474">
        <f t="shared" si="139"/>
        <v>1.4446955600000002</v>
      </c>
      <c r="MZ44" s="474">
        <f t="shared" si="140"/>
        <v>1.23831048</v>
      </c>
      <c r="NA44" s="474">
        <f t="shared" si="141"/>
        <v>20.411484412000004</v>
      </c>
      <c r="NB44" s="474">
        <f t="shared" si="142"/>
        <v>0.20638508000000003</v>
      </c>
      <c r="NC44" s="134">
        <f t="shared" si="143"/>
        <v>0.20638508000000003</v>
      </c>
    </row>
    <row r="45" spans="1:367" x14ac:dyDescent="0.25">
      <c r="A45" s="18">
        <v>1990</v>
      </c>
      <c r="B45" s="1271">
        <v>2722</v>
      </c>
      <c r="C45" s="1224"/>
      <c r="D45" s="1224">
        <v>0</v>
      </c>
      <c r="E45" s="1272"/>
      <c r="F45" s="1226">
        <f t="shared" si="144"/>
        <v>2681.17</v>
      </c>
      <c r="G45" s="1226"/>
      <c r="H45" s="1224">
        <f t="shared" si="145"/>
        <v>0</v>
      </c>
      <c r="I45" s="1224"/>
      <c r="J45" s="1082">
        <v>0</v>
      </c>
      <c r="K45" s="1082">
        <f t="shared" si="734"/>
        <v>0</v>
      </c>
      <c r="L45" s="1226">
        <f t="shared" ref="L45:L76" si="751">F45+H45</f>
        <v>2681.17</v>
      </c>
      <c r="M45" s="1227"/>
      <c r="N45" s="193">
        <v>8.0999999999999996E-3</v>
      </c>
      <c r="O45" s="47">
        <v>0</v>
      </c>
      <c r="P45" s="47">
        <v>6.0000000000000001E-3</v>
      </c>
      <c r="Q45" s="192">
        <v>0</v>
      </c>
      <c r="R45" s="47">
        <v>0</v>
      </c>
      <c r="S45" s="47">
        <f t="shared" si="146"/>
        <v>5.4000000000000003E-3</v>
      </c>
      <c r="T45" s="47">
        <v>0.01</v>
      </c>
      <c r="U45" s="47">
        <v>1.8E-3</v>
      </c>
      <c r="V45" s="117">
        <v>4.0000000000000003E-5</v>
      </c>
      <c r="W45" s="47">
        <v>5.9999999999999995E-4</v>
      </c>
      <c r="X45" s="52">
        <v>1.0999999999999999E-2</v>
      </c>
      <c r="Y45" s="52">
        <v>2.0199999999999999E-2</v>
      </c>
      <c r="Z45" s="111">
        <v>6.3E-2</v>
      </c>
      <c r="AA45" s="52">
        <f t="shared" si="147"/>
        <v>0.1</v>
      </c>
      <c r="AB45" s="52">
        <f t="shared" si="148"/>
        <v>0</v>
      </c>
      <c r="AC45" s="52">
        <f t="shared" si="149"/>
        <v>0.9</v>
      </c>
      <c r="AD45" s="475">
        <f t="shared" si="150"/>
        <v>21.717476999999999</v>
      </c>
      <c r="AE45" s="474">
        <f t="shared" si="151"/>
        <v>21.717476999999999</v>
      </c>
      <c r="AF45" s="474">
        <f t="shared" si="152"/>
        <v>0</v>
      </c>
      <c r="AG45" s="474">
        <f t="shared" si="151"/>
        <v>0</v>
      </c>
      <c r="AH45" s="474">
        <f t="shared" si="153"/>
        <v>16.087020000000003</v>
      </c>
      <c r="AI45" s="474">
        <f t="shared" ref="AI45" si="752">AH45</f>
        <v>16.087020000000003</v>
      </c>
      <c r="AJ45" s="508"/>
      <c r="AK45" s="508"/>
      <c r="AL45" s="508"/>
      <c r="AM45" s="508"/>
      <c r="AN45" s="508"/>
      <c r="AO45" s="572"/>
      <c r="AP45" s="481">
        <f t="shared" si="155"/>
        <v>21.717476999999999</v>
      </c>
      <c r="AQ45" s="474">
        <f t="shared" ref="AQ45" si="753">AP45</f>
        <v>21.717476999999999</v>
      </c>
      <c r="AR45" s="474">
        <f t="shared" si="157"/>
        <v>0</v>
      </c>
      <c r="AS45" s="474">
        <f t="shared" ref="AS45" si="754">AR45</f>
        <v>0</v>
      </c>
      <c r="AT45" s="474">
        <f t="shared" si="159"/>
        <v>16.087020000000003</v>
      </c>
      <c r="AU45" s="474">
        <f t="shared" ref="AU45" si="755">AT45</f>
        <v>16.087020000000003</v>
      </c>
      <c r="AV45" s="475">
        <f t="shared" si="2"/>
        <v>0</v>
      </c>
      <c r="AW45" s="474">
        <f t="shared" ref="AW45" si="756">AV45</f>
        <v>0</v>
      </c>
      <c r="AX45" s="474">
        <f t="shared" si="3"/>
        <v>14.478318000000002</v>
      </c>
      <c r="AY45" s="474">
        <f t="shared" ref="AY45" si="757">AX45</f>
        <v>14.478318000000002</v>
      </c>
      <c r="AZ45" s="474">
        <f t="shared" si="4"/>
        <v>26.811700000000002</v>
      </c>
      <c r="BA45" s="474">
        <f t="shared" ref="BA45" si="758">AZ45</f>
        <v>26.811700000000002</v>
      </c>
      <c r="BB45" s="481"/>
      <c r="BC45" s="474"/>
      <c r="BD45" s="474"/>
      <c r="BE45" s="474"/>
      <c r="BF45" s="474"/>
      <c r="BG45" s="474"/>
      <c r="BH45" s="481">
        <f t="shared" si="5"/>
        <v>0</v>
      </c>
      <c r="BI45" s="474">
        <f t="shared" ref="BI45" si="759">BH45</f>
        <v>0</v>
      </c>
      <c r="BJ45" s="474">
        <f t="shared" si="6"/>
        <v>14.478318000000002</v>
      </c>
      <c r="BK45" s="474">
        <f t="shared" ref="BK45" si="760">BJ45</f>
        <v>14.478318000000002</v>
      </c>
      <c r="BL45" s="474">
        <f t="shared" si="7"/>
        <v>26.811700000000002</v>
      </c>
      <c r="BM45" s="474">
        <f t="shared" ref="BM45" si="761">BL45</f>
        <v>26.811700000000002</v>
      </c>
      <c r="BN45" s="475">
        <f t="shared" si="8"/>
        <v>0.10724680000000002</v>
      </c>
      <c r="BO45" s="474">
        <f t="shared" ref="BO45" si="762">BN45</f>
        <v>0.10724680000000002</v>
      </c>
      <c r="BP45" s="474">
        <f t="shared" si="9"/>
        <v>1.6087019999999999</v>
      </c>
      <c r="BQ45" s="474">
        <f t="shared" ref="BQ45" si="763">BP45</f>
        <v>1.6087019999999999</v>
      </c>
      <c r="BR45" s="474">
        <f t="shared" si="10"/>
        <v>29.49287</v>
      </c>
      <c r="BS45" s="474">
        <f t="shared" ref="BS45" si="764">BR45</f>
        <v>29.49287</v>
      </c>
      <c r="BT45" s="481"/>
      <c r="BU45" s="474"/>
      <c r="BV45" s="474"/>
      <c r="BW45" s="474"/>
      <c r="BX45" s="474"/>
      <c r="BY45" s="474"/>
      <c r="BZ45" s="481">
        <f t="shared" si="11"/>
        <v>0.10724680000000002</v>
      </c>
      <c r="CA45" s="474">
        <f t="shared" ref="CA45" si="765">BZ45</f>
        <v>0.10724680000000002</v>
      </c>
      <c r="CB45" s="474">
        <f t="shared" si="12"/>
        <v>1.6087019999999999</v>
      </c>
      <c r="CC45" s="474">
        <f t="shared" ref="CC45" si="766">CB45</f>
        <v>1.6087019999999999</v>
      </c>
      <c r="CD45" s="474">
        <f t="shared" si="13"/>
        <v>29.49287</v>
      </c>
      <c r="CE45" s="526">
        <f t="shared" ref="CE45" si="767">CD45</f>
        <v>29.49287</v>
      </c>
      <c r="CF45" s="355">
        <f t="shared" si="173"/>
        <v>0</v>
      </c>
      <c r="CG45" s="615">
        <f t="shared" si="174"/>
        <v>0</v>
      </c>
      <c r="CH45" s="355">
        <f t="shared" si="175"/>
        <v>0</v>
      </c>
      <c r="CI45" s="615">
        <f t="shared" si="491"/>
        <v>0</v>
      </c>
      <c r="CJ45" s="615">
        <f t="shared" si="176"/>
        <v>0</v>
      </c>
      <c r="CK45" s="615">
        <f t="shared" si="492"/>
        <v>0</v>
      </c>
      <c r="CL45" s="122"/>
      <c r="CM45" s="1235">
        <f>F45-F45*Z45-J45</f>
        <v>2512.2562900000003</v>
      </c>
      <c r="CN45" s="1231"/>
      <c r="CO45" s="1230"/>
      <c r="CP45" s="1231"/>
      <c r="CQ45" s="1230">
        <f t="shared" si="177"/>
        <v>2512.2562900000003</v>
      </c>
      <c r="CR45" s="1232"/>
      <c r="CS45" s="30">
        <v>0.45</v>
      </c>
      <c r="CT45" s="31">
        <f t="shared" si="178"/>
        <v>0.55000000000000004</v>
      </c>
      <c r="CU45" s="31"/>
      <c r="CV45" s="32"/>
      <c r="CW45" s="1233">
        <f t="shared" si="179"/>
        <v>1073.989563975</v>
      </c>
      <c r="CX45" s="1234"/>
      <c r="CY45" s="1234">
        <f t="shared" si="180"/>
        <v>1312.653911525</v>
      </c>
      <c r="CZ45" s="1231"/>
      <c r="DA45" s="369"/>
      <c r="DB45" s="369"/>
      <c r="DC45" s="369"/>
      <c r="DD45" s="373"/>
      <c r="DE45" s="1234">
        <f t="shared" ref="DE45:DE76" si="768">CW45+DA45</f>
        <v>1073.989563975</v>
      </c>
      <c r="DF45" s="1234"/>
      <c r="DG45" s="369">
        <f t="shared" si="341"/>
        <v>1312.653911525</v>
      </c>
      <c r="DH45" s="372">
        <f t="shared" si="182"/>
        <v>1312.653911525</v>
      </c>
      <c r="DJ45" s="493">
        <v>0.05</v>
      </c>
      <c r="DK45" s="379"/>
      <c r="DL45" s="1084">
        <f t="shared" si="18"/>
        <v>125.61281450000001</v>
      </c>
      <c r="DM45" s="1084">
        <f t="shared" si="605"/>
        <v>125.61281450000001</v>
      </c>
      <c r="DN45" s="369"/>
      <c r="DO45" s="372"/>
      <c r="DP45" s="30">
        <v>1</v>
      </c>
      <c r="DQ45" s="31">
        <f t="shared" si="183"/>
        <v>0.1</v>
      </c>
      <c r="DR45" s="31">
        <f t="shared" si="184"/>
        <v>1</v>
      </c>
      <c r="DS45" s="680">
        <f t="shared" si="185"/>
        <v>0.1</v>
      </c>
      <c r="DT45" s="77">
        <f t="shared" si="186"/>
        <v>1</v>
      </c>
      <c r="DU45" s="31">
        <v>0</v>
      </c>
      <c r="DV45" s="31">
        <v>1</v>
      </c>
      <c r="DW45" s="31">
        <v>0</v>
      </c>
      <c r="DX45" s="31">
        <v>0</v>
      </c>
      <c r="DY45" s="31">
        <v>1</v>
      </c>
      <c r="DZ45" s="31">
        <v>0</v>
      </c>
      <c r="EA45" s="383">
        <f t="shared" si="187"/>
        <v>0</v>
      </c>
      <c r="EB45" s="355">
        <f t="shared" si="188"/>
        <v>0</v>
      </c>
      <c r="EC45" s="355">
        <f t="shared" si="189"/>
        <v>11.774470837500001</v>
      </c>
      <c r="ED45" s="355">
        <f t="shared" si="190"/>
        <v>117.74470837500002</v>
      </c>
      <c r="EE45" s="355">
        <f t="shared" si="191"/>
        <v>0</v>
      </c>
      <c r="EF45" s="355">
        <f t="shared" si="192"/>
        <v>0</v>
      </c>
      <c r="EG45" s="366"/>
      <c r="EH45" s="355"/>
      <c r="EI45" s="355"/>
      <c r="EJ45" s="355"/>
      <c r="EK45" s="355"/>
      <c r="EL45" s="356"/>
      <c r="EM45" s="355">
        <f t="shared" si="193"/>
        <v>11.774470837500001</v>
      </c>
      <c r="EN45" s="134">
        <f t="shared" si="194"/>
        <v>117.74470837500002</v>
      </c>
      <c r="EP45" s="1171">
        <f t="shared" ref="EP45:EP76" si="769">BN45</f>
        <v>0.10724680000000002</v>
      </c>
      <c r="EQ45" s="1172"/>
      <c r="ER45" s="1172">
        <f t="shared" ref="ER45:ER76" si="770">BP45</f>
        <v>1.6087019999999999</v>
      </c>
      <c r="ES45" s="1172"/>
      <c r="ET45" s="1172">
        <f t="shared" ref="ET45:ET76" si="771">BR45</f>
        <v>29.49287</v>
      </c>
      <c r="EU45" s="1172"/>
      <c r="EV45" s="366"/>
      <c r="EW45" s="355"/>
      <c r="EX45" s="355"/>
      <c r="EY45" s="355"/>
      <c r="EZ45" s="1172"/>
      <c r="FA45" s="1173"/>
      <c r="FB45" s="368">
        <f t="shared" si="195"/>
        <v>1073.989563975</v>
      </c>
      <c r="FC45" s="369">
        <f t="shared" si="196"/>
        <v>1073.989563975</v>
      </c>
      <c r="FD45" s="369"/>
      <c r="FE45" s="61"/>
      <c r="FF45" s="368">
        <f t="shared" ref="FF45:FF76" si="772">CY45</f>
        <v>1312.653911525</v>
      </c>
      <c r="FG45" s="369">
        <f t="shared" si="426"/>
        <v>1312.653911525</v>
      </c>
      <c r="FH45" s="369"/>
      <c r="FI45" s="369"/>
      <c r="FJ45" s="30">
        <v>1</v>
      </c>
      <c r="FK45" s="31">
        <v>0.2</v>
      </c>
      <c r="FL45" s="501">
        <v>0.8</v>
      </c>
      <c r="FM45" s="31">
        <f t="shared" si="198"/>
        <v>0.1</v>
      </c>
      <c r="FN45" s="501">
        <f t="shared" si="199"/>
        <v>1</v>
      </c>
      <c r="FO45" s="31">
        <f t="shared" si="200"/>
        <v>0.1</v>
      </c>
      <c r="FP45" s="31">
        <f t="shared" si="201"/>
        <v>1</v>
      </c>
      <c r="FQ45" s="31">
        <v>1</v>
      </c>
      <c r="FR45" s="31">
        <v>0</v>
      </c>
      <c r="FS45" s="89">
        <f t="shared" si="202"/>
        <v>1E-3</v>
      </c>
      <c r="FT45" s="31">
        <f t="shared" si="203"/>
        <v>0.05</v>
      </c>
      <c r="FU45" s="30">
        <v>0.05</v>
      </c>
      <c r="FV45" s="32">
        <f t="shared" si="25"/>
        <v>2.4224999999999997E-2</v>
      </c>
      <c r="FW45" s="31">
        <v>0.1</v>
      </c>
      <c r="FX45" s="77">
        <f t="shared" si="26"/>
        <v>9.0000000000000011E-2</v>
      </c>
      <c r="FY45" s="30"/>
      <c r="FZ45" s="32"/>
      <c r="GA45" s="31"/>
      <c r="GB45" s="77"/>
      <c r="GC45" s="378">
        <f t="shared" ref="GC45:GC76" si="773">EP45*$FJ45</f>
        <v>0.10724680000000002</v>
      </c>
      <c r="GD45" s="379">
        <f t="shared" si="204"/>
        <v>0.10724680000000002</v>
      </c>
      <c r="GE45" s="379">
        <f t="shared" ref="GE45:GE76" si="774">ER45*$FJ45</f>
        <v>1.6087019999999999</v>
      </c>
      <c r="GF45" s="379">
        <f t="shared" si="205"/>
        <v>1.6087019999999999</v>
      </c>
      <c r="GG45" s="379">
        <f t="shared" si="206"/>
        <v>5.898574</v>
      </c>
      <c r="GH45" s="218">
        <f t="shared" si="207"/>
        <v>23.594296</v>
      </c>
      <c r="GI45" s="379"/>
      <c r="GJ45" s="379"/>
      <c r="GK45" s="379"/>
      <c r="GL45" s="379"/>
      <c r="GM45" s="379"/>
      <c r="GN45" s="218"/>
      <c r="GO45" s="379">
        <f t="shared" si="208"/>
        <v>7.6145227999999996</v>
      </c>
      <c r="GP45" s="515">
        <f t="shared" si="209"/>
        <v>25.3102448</v>
      </c>
      <c r="GQ45" s="379">
        <f t="shared" si="210"/>
        <v>7.4723588371598915</v>
      </c>
      <c r="GR45" s="379">
        <f t="shared" si="211"/>
        <v>191.27627875518752</v>
      </c>
      <c r="GS45" s="355">
        <f t="shared" si="390"/>
        <v>0.10728365749337504</v>
      </c>
      <c r="GT45" s="355">
        <f t="shared" si="391"/>
        <v>53.641828746687501</v>
      </c>
      <c r="GU45" s="355">
        <f t="shared" si="392"/>
        <v>0</v>
      </c>
      <c r="GV45" s="356">
        <f t="shared" si="393"/>
        <v>0</v>
      </c>
      <c r="GW45" s="355"/>
      <c r="GX45" s="355"/>
      <c r="GY45" s="355"/>
      <c r="GZ45" s="355"/>
      <c r="HA45" s="355"/>
      <c r="HB45" s="356"/>
      <c r="HC45" s="379">
        <f t="shared" si="212"/>
        <v>7.5796424946532666</v>
      </c>
      <c r="HD45" s="38">
        <f t="shared" si="213"/>
        <v>244.91810750187503</v>
      </c>
      <c r="HE45" s="527"/>
      <c r="HF45" s="529">
        <f t="shared" ref="HF45:HF76" si="775">AD45+AJ45</f>
        <v>21.717476999999999</v>
      </c>
      <c r="HG45" s="529">
        <f t="shared" ref="HG45:HG76" si="776">AE45+AK45</f>
        <v>21.717476999999999</v>
      </c>
      <c r="HH45" s="529">
        <f t="shared" ref="HH45:HH76" si="777">AF45+AL45</f>
        <v>0</v>
      </c>
      <c r="HI45" s="529">
        <f t="shared" ref="HI45:HI76" si="778">AG45+AM45</f>
        <v>0</v>
      </c>
      <c r="HJ45" s="529">
        <f t="shared" ref="HJ45:HJ76" si="779">AH45+AN45</f>
        <v>16.087020000000003</v>
      </c>
      <c r="HK45" s="524">
        <f t="shared" ref="HK45:HK76" si="780">AI45+AO45</f>
        <v>16.087020000000003</v>
      </c>
      <c r="HL45" s="529">
        <f t="shared" ref="HL45:HL76" si="781">SUM(AV45,EA45,BB45,EG45)</f>
        <v>0</v>
      </c>
      <c r="HM45" s="529">
        <f t="shared" ref="HM45:HM76" si="782">SUM(AW45,EB45,BC45,EH45)</f>
        <v>0</v>
      </c>
      <c r="HN45" s="529">
        <f t="shared" ref="HN45:HN76" si="783">SUM(AX45,EC45,BD45,EI45)</f>
        <v>26.252788837500002</v>
      </c>
      <c r="HO45" s="529">
        <f t="shared" ref="HO45:HO76" si="784">SUM(AY45,ED45,BE45,EJ45)</f>
        <v>132.22302637500002</v>
      </c>
      <c r="HP45" s="529">
        <f t="shared" ref="HP45:HP76" si="785">SUM(AZ45,EE45,BF45,EK45)</f>
        <v>26.811700000000002</v>
      </c>
      <c r="HQ45" s="524">
        <f t="shared" ref="HQ45:HQ76" si="786">SUM(BA45,EF45,BG45,EL45)</f>
        <v>26.811700000000002</v>
      </c>
      <c r="HR45" s="615">
        <f t="shared" si="214"/>
        <v>7.686889294653267</v>
      </c>
      <c r="HS45" s="615">
        <f t="shared" ref="HS45:HS76" si="787">SUM(GD45,GR45,GT45,GJ45,GX45,GZ45,CG45)</f>
        <v>245.02535430187504</v>
      </c>
      <c r="HT45" s="615">
        <f t="shared" ref="HT45:HT76" si="788">SUM(GE45,GK45,CH45)</f>
        <v>1.6087019999999999</v>
      </c>
      <c r="HU45" s="615">
        <f t="shared" ref="HU45:HU76" si="789">SUM(GF45,GL45,CI45)</f>
        <v>1.6087019999999999</v>
      </c>
      <c r="HV45" s="615">
        <f t="shared" ref="HV45:HV76" si="790">SUM(GG45,GU45,GM45,HA45,CJ45)</f>
        <v>5.898574</v>
      </c>
      <c r="HW45" s="615">
        <f t="shared" ref="HW45:HW76" si="791">SUM(GH45,GV45,GN45,HB45,CK45)</f>
        <v>23.594296</v>
      </c>
      <c r="IG45" s="560"/>
      <c r="IH45" s="529">
        <f t="shared" si="215"/>
        <v>0.238892247</v>
      </c>
      <c r="II45" s="529">
        <f t="shared" si="216"/>
        <v>0.195457293</v>
      </c>
      <c r="IJ45" s="529">
        <f t="shared" si="217"/>
        <v>0.39091458600000001</v>
      </c>
      <c r="IK45" s="529">
        <f t="shared" si="218"/>
        <v>0.195457293</v>
      </c>
      <c r="IL45" s="529">
        <f t="shared" si="219"/>
        <v>18.351268064999999</v>
      </c>
      <c r="IM45" s="529">
        <f t="shared" si="220"/>
        <v>2.1717476999999999E-2</v>
      </c>
      <c r="IN45" s="529">
        <f t="shared" si="221"/>
        <v>2.1717476999999999E-2</v>
      </c>
      <c r="IO45" s="529">
        <f t="shared" si="222"/>
        <v>0.71667674100000001</v>
      </c>
      <c r="IP45" s="529">
        <f t="shared" si="223"/>
        <v>0.89041655699999989</v>
      </c>
      <c r="IQ45" s="529">
        <f t="shared" si="224"/>
        <v>1.1293088040000001</v>
      </c>
      <c r="IR45" s="529">
        <f t="shared" si="225"/>
        <v>0.89041655699999989</v>
      </c>
      <c r="IS45" s="529">
        <f t="shared" si="226"/>
        <v>18.394703018999998</v>
      </c>
      <c r="IT45" s="529">
        <f t="shared" si="227"/>
        <v>0.21717476999999999</v>
      </c>
      <c r="IU45" s="526">
        <f t="shared" si="228"/>
        <v>0.21717476999999999</v>
      </c>
      <c r="IV45" s="884">
        <f t="shared" si="229"/>
        <v>0</v>
      </c>
      <c r="IW45" s="884">
        <f t="shared" si="230"/>
        <v>0</v>
      </c>
      <c r="IX45" s="529">
        <f t="shared" ref="IX45:IX76" si="792">$HH45*IB$13</f>
        <v>0</v>
      </c>
      <c r="IY45" s="529">
        <f t="shared" ref="IY45:IY76" si="793">$HH45*IC$13</f>
        <v>0</v>
      </c>
      <c r="IZ45" s="529">
        <f t="shared" ref="IZ45:IZ76" si="794">$HH45*ID$13</f>
        <v>0</v>
      </c>
      <c r="JA45" s="529">
        <f t="shared" ref="JA45:JA76" si="795">$HH45*IE$13</f>
        <v>0</v>
      </c>
      <c r="JB45" s="529">
        <f t="shared" ref="JB45:JB76" si="796">$HH45*IF$13</f>
        <v>0</v>
      </c>
      <c r="JC45" s="529">
        <f t="shared" si="231"/>
        <v>0</v>
      </c>
      <c r="JD45" s="529">
        <f t="shared" si="232"/>
        <v>0</v>
      </c>
      <c r="JE45" s="529">
        <f t="shared" ref="JE45:JE76" si="797">$HI45*IB$14</f>
        <v>0</v>
      </c>
      <c r="JF45" s="529">
        <f t="shared" ref="JF45:JF76" si="798">$HI45*IC$14</f>
        <v>0</v>
      </c>
      <c r="JG45" s="529">
        <f t="shared" ref="JG45:JG76" si="799">$HI45*ID$14</f>
        <v>0</v>
      </c>
      <c r="JH45" s="529">
        <f t="shared" ref="JH45:JH76" si="800">$HI45*IE$14</f>
        <v>0</v>
      </c>
      <c r="JI45" s="480">
        <f t="shared" ref="JI45:JI76" si="801">$HI45*IF$14</f>
        <v>0</v>
      </c>
      <c r="JJ45" s="884">
        <f t="shared" si="233"/>
        <v>0.17695722000000005</v>
      </c>
      <c r="JK45" s="884">
        <f t="shared" si="234"/>
        <v>0.14478318000000004</v>
      </c>
      <c r="JL45" s="529">
        <f t="shared" ref="JL45:JL76" si="802">$HJ45*IB$13</f>
        <v>0.28956636000000008</v>
      </c>
      <c r="JM45" s="529">
        <f t="shared" ref="JM45:JM76" si="803">$HJ45*IC$13</f>
        <v>0.14478318000000004</v>
      </c>
      <c r="JN45" s="529">
        <f t="shared" ref="JN45:JN76" si="804">$HJ45*ID$13</f>
        <v>13.593531900000002</v>
      </c>
      <c r="JO45" s="529">
        <f t="shared" ref="JO45:JO76" si="805">$HJ45*IE$13</f>
        <v>1.6087020000000004E-2</v>
      </c>
      <c r="JP45" s="529">
        <f t="shared" ref="JP45:JP76" si="806">$HJ45*IF$13</f>
        <v>1.6087020000000004E-2</v>
      </c>
      <c r="JQ45" s="529">
        <f t="shared" si="235"/>
        <v>0.53087166000000008</v>
      </c>
      <c r="JR45" s="529">
        <f t="shared" si="236"/>
        <v>0.65956782000000003</v>
      </c>
      <c r="JS45" s="474">
        <f t="shared" ref="JS45:JS76" si="807">$HK45*IB$14</f>
        <v>0.83652504000000016</v>
      </c>
      <c r="JT45" s="474">
        <f t="shared" ref="JT45:JT76" si="808">$HK45*IC$14</f>
        <v>0.65956782000000003</v>
      </c>
      <c r="JU45" s="474">
        <f t="shared" ref="JU45:JU76" si="809">$HK45*ID$14</f>
        <v>13.625705940000001</v>
      </c>
      <c r="JV45" s="474">
        <f t="shared" ref="JV45:JV76" si="810">$HK45*IE$14</f>
        <v>0.16087020000000002</v>
      </c>
      <c r="JW45" s="134">
        <f t="shared" ref="JW45:JW76" si="811">$HK45*IF$14</f>
        <v>0.16087020000000002</v>
      </c>
      <c r="JX45" s="884">
        <f t="shared" si="237"/>
        <v>0</v>
      </c>
      <c r="JY45" s="884">
        <f t="shared" si="238"/>
        <v>0</v>
      </c>
      <c r="JZ45" s="529">
        <f t="shared" ref="JZ45:JZ76" si="812">$HL45*IB$13</f>
        <v>0</v>
      </c>
      <c r="KA45" s="529">
        <f t="shared" ref="KA45:KA76" si="813">$HL45*IC$13</f>
        <v>0</v>
      </c>
      <c r="KB45" s="529">
        <f t="shared" ref="KB45:KB76" si="814">$HL45*ID$13</f>
        <v>0</v>
      </c>
      <c r="KC45" s="529">
        <f t="shared" ref="KC45:KC76" si="815">$HL45*IE$13</f>
        <v>0</v>
      </c>
      <c r="KD45" s="529">
        <f t="shared" ref="KD45:KD76" si="816">$HL45*IF$13</f>
        <v>0</v>
      </c>
      <c r="KE45" s="529">
        <f t="shared" si="239"/>
        <v>0</v>
      </c>
      <c r="KF45" s="529">
        <f t="shared" si="240"/>
        <v>0</v>
      </c>
      <c r="KG45" s="529">
        <f t="shared" ref="KG45:KG76" si="817">$HM45*IB$14</f>
        <v>0</v>
      </c>
      <c r="KH45" s="529">
        <f t="shared" ref="KH45:KH76" si="818">$HM45*IC$14</f>
        <v>0</v>
      </c>
      <c r="KI45" s="529">
        <f t="shared" ref="KI45:KI76" si="819">$HM45*ID$14</f>
        <v>0</v>
      </c>
      <c r="KJ45" s="529">
        <f t="shared" ref="KJ45:KJ76" si="820">$HM45*IE$14</f>
        <v>0</v>
      </c>
      <c r="KK45" s="526">
        <f t="shared" ref="KK45:KK76" si="821">$HM45*IF$14</f>
        <v>0</v>
      </c>
      <c r="KL45" s="884">
        <f t="shared" si="241"/>
        <v>0.28878067721250006</v>
      </c>
      <c r="KM45" s="884">
        <f t="shared" si="242"/>
        <v>0.23627509953750006</v>
      </c>
      <c r="KN45" s="529">
        <f t="shared" ref="KN45:KN76" si="822">$HN45*IB$13</f>
        <v>0.47255019907500012</v>
      </c>
      <c r="KO45" s="529">
        <f t="shared" ref="KO45:KO76" si="823">$HN45*IC$13</f>
        <v>0.23627509953750006</v>
      </c>
      <c r="KP45" s="529">
        <f t="shared" ref="KP45:KP76" si="824">$HN45*ID$13</f>
        <v>22.183606567687502</v>
      </c>
      <c r="KQ45" s="529">
        <f t="shared" ref="KQ45:KQ76" si="825">$HN45*IE$13</f>
        <v>2.6252788837500003E-2</v>
      </c>
      <c r="KR45" s="529">
        <f t="shared" ref="KR45:KR76" si="826">$HN45*IF$13</f>
        <v>2.6252788837500003E-2</v>
      </c>
      <c r="KS45" s="529">
        <f t="shared" si="243"/>
        <v>4.3633598703750005</v>
      </c>
      <c r="KT45" s="529">
        <f t="shared" si="244"/>
        <v>5.421144081375</v>
      </c>
      <c r="KU45" s="529">
        <f t="shared" ref="KU45:KU76" si="827">$HO45*IB$14</f>
        <v>6.8755973715000014</v>
      </c>
      <c r="KV45" s="529">
        <f t="shared" ref="KV45:KV76" si="828">$HO45*IC$14</f>
        <v>5.421144081375</v>
      </c>
      <c r="KW45" s="529">
        <f t="shared" ref="KW45:KW76" si="829">$HO45*ID$14</f>
        <v>111.99290333962502</v>
      </c>
      <c r="KX45" s="529">
        <f t="shared" ref="KX45:KX76" si="830">$HO45*IE$14</f>
        <v>1.3222302637500003</v>
      </c>
      <c r="KY45" s="480">
        <f t="shared" ref="KY45:KY76" si="831">$HO45*IF$14</f>
        <v>1.3222302637500003</v>
      </c>
      <c r="KZ45" s="884">
        <f t="shared" si="245"/>
        <v>0.29492870000000004</v>
      </c>
      <c r="LA45" s="884">
        <f t="shared" si="246"/>
        <v>0.24130530000000006</v>
      </c>
      <c r="LB45" s="529">
        <f t="shared" ref="LB45:LB76" si="832">$HP45*IB$13</f>
        <v>0.48261060000000011</v>
      </c>
      <c r="LC45" s="529">
        <f t="shared" ref="LC45:LC76" si="833">$HP45*IC$13</f>
        <v>0.24130530000000006</v>
      </c>
      <c r="LD45" s="529">
        <f t="shared" ref="LD45:LD76" si="834">$HP45*ID$13</f>
        <v>22.655886500000001</v>
      </c>
      <c r="LE45" s="529">
        <f t="shared" ref="LE45:LE76" si="835">$HP45*IE$13</f>
        <v>2.6811700000000001E-2</v>
      </c>
      <c r="LF45" s="529">
        <f t="shared" ref="LF45:LF76" si="836">$HP45*IF$13</f>
        <v>2.6811700000000001E-2</v>
      </c>
      <c r="LG45" s="529">
        <f t="shared" si="247"/>
        <v>0.88478610000000013</v>
      </c>
      <c r="LH45" s="529">
        <f t="shared" si="248"/>
        <v>1.0992796999999999</v>
      </c>
      <c r="LI45" s="355">
        <f t="shared" ref="LI45:LI76" si="837">$HQ45*IB$14</f>
        <v>1.3942084000000001</v>
      </c>
      <c r="LJ45" s="355">
        <f t="shared" ref="LJ45:LJ76" si="838">$HQ45*IC$14</f>
        <v>1.0992796999999999</v>
      </c>
      <c r="LK45" s="355">
        <f t="shared" ref="LK45:LK76" si="839">$HQ45*ID$14</f>
        <v>22.7095099</v>
      </c>
      <c r="LL45" s="355">
        <f t="shared" ref="LL45:LL76" si="840">$HQ45*IE$14</f>
        <v>0.26811700000000005</v>
      </c>
      <c r="LM45" s="134">
        <f t="shared" ref="LM45:LM76" si="841">$HQ45*IF$14</f>
        <v>0.26811700000000005</v>
      </c>
      <c r="LN45" s="884">
        <f t="shared" si="249"/>
        <v>8.4555782241185935E-3</v>
      </c>
      <c r="LO45" s="884">
        <f t="shared" si="250"/>
        <v>2.3060667883959799E-3</v>
      </c>
      <c r="LP45" s="529">
        <f t="shared" ref="LP45:LP76" si="842">$HR45*IB$16</f>
        <v>3.9203135402731668E-2</v>
      </c>
      <c r="LQ45" s="529">
        <f t="shared" ref="LQ45:LQ76" si="843">$HR45*IC$16</f>
        <v>6.3032492216156782E-2</v>
      </c>
      <c r="LR45" s="529">
        <f t="shared" ref="LR45:LR76" si="844">$HR45*ID$16</f>
        <v>6.1495114357226139</v>
      </c>
      <c r="LS45" s="529">
        <f t="shared" ref="LS45:LS76" si="845">$HR45*IE$16</f>
        <v>6.6875936863483421E-2</v>
      </c>
      <c r="LT45" s="529">
        <f t="shared" ref="LT45:LT76" si="846">$HR45*IF$16</f>
        <v>7.6868892946532668E-3</v>
      </c>
      <c r="LU45" s="529">
        <f t="shared" si="251"/>
        <v>14.701521258112502</v>
      </c>
      <c r="LV45" s="529">
        <f t="shared" si="252"/>
        <v>7.3507606290562508</v>
      </c>
      <c r="LW45" s="529">
        <f t="shared" ref="LW45:LW76" si="847">$HS45*IB$17</f>
        <v>17.151774801131253</v>
      </c>
      <c r="LX45" s="529">
        <f t="shared" ref="LX45:LX76" si="848">$HS45*IC$17</f>
        <v>14.701521258112502</v>
      </c>
      <c r="LY45" s="529">
        <f t="shared" ref="LY45:LY76" si="849">$HS45*ID$17</f>
        <v>242.33007540455444</v>
      </c>
      <c r="LZ45" s="529">
        <f t="shared" ref="LZ45:LZ76" si="850">$HS45*IE$17</f>
        <v>2.4502535430187504</v>
      </c>
      <c r="MA45" s="485">
        <f t="shared" ref="MA45:MA76" si="851">$HS45*IF$17</f>
        <v>2.4502535430187504</v>
      </c>
      <c r="MB45" s="884">
        <f t="shared" si="253"/>
        <v>1.7695721999999999E-3</v>
      </c>
      <c r="MC45" s="884">
        <f t="shared" si="254"/>
        <v>4.826105999999999E-4</v>
      </c>
      <c r="MD45" s="529">
        <f t="shared" ref="MD45:MD76" si="852">$HT45*IB$16</f>
        <v>8.2043801999999999E-3</v>
      </c>
      <c r="ME45" s="529">
        <f t="shared" ref="ME45:ME76" si="853">$HT45*IC$16</f>
        <v>1.3191356399999998E-2</v>
      </c>
      <c r="MF45" s="529">
        <f t="shared" ref="MF45:MF76" si="854">$HT45*ID$16</f>
        <v>1.2869615999999999</v>
      </c>
      <c r="MG45" s="529">
        <f t="shared" ref="MG45:MG76" si="855">$HT45*IE$16</f>
        <v>1.3995707399999998E-2</v>
      </c>
      <c r="MH45" s="529">
        <f t="shared" ref="MH45:MH76" si="856">$HT45*IF$16</f>
        <v>1.6087019999999998E-3</v>
      </c>
      <c r="MI45" s="529">
        <f t="shared" si="255"/>
        <v>9.6522119999999989E-2</v>
      </c>
      <c r="MJ45" s="529">
        <f t="shared" si="256"/>
        <v>4.8261059999999995E-2</v>
      </c>
      <c r="MK45" s="529">
        <f t="shared" ref="MK45:MK76" si="857">$HU45*IB$17</f>
        <v>0.11260914</v>
      </c>
      <c r="ML45" s="529">
        <f t="shared" ref="ML45:ML76" si="858">$HU45*IC$17</f>
        <v>9.6522119999999989E-2</v>
      </c>
      <c r="MM45" s="529">
        <f t="shared" ref="MM45:MM76" si="859">$HU45*ID$17</f>
        <v>1.5910062780000001</v>
      </c>
      <c r="MN45" s="529">
        <f t="shared" ref="MN45:MN76" si="860">$HU45*IE$17</f>
        <v>1.608702E-2</v>
      </c>
      <c r="MO45" s="485">
        <f t="shared" ref="MO45:MO76" si="861">$HU45*IF$17</f>
        <v>1.608702E-2</v>
      </c>
      <c r="MP45" s="884">
        <f t="shared" si="257"/>
        <v>6.4884314000000004E-3</v>
      </c>
      <c r="MQ45" s="884">
        <f t="shared" si="258"/>
        <v>1.7695721999999999E-3</v>
      </c>
      <c r="MR45" s="529">
        <f t="shared" ref="MR45:MR76" si="862">$HV45*IB$16</f>
        <v>3.0082727400000002E-2</v>
      </c>
      <c r="MS45" s="529">
        <f t="shared" ref="MS45:MS76" si="863">$HV45*IC$16</f>
        <v>4.8368306799999997E-2</v>
      </c>
      <c r="MT45" s="529">
        <f t="shared" ref="MT45:MT76" si="864">$HV45*ID$16</f>
        <v>4.7188591999999998</v>
      </c>
      <c r="MU45" s="529">
        <f t="shared" ref="MU45:MU76" si="865">$HV45*IE$16</f>
        <v>5.1317593799999998E-2</v>
      </c>
      <c r="MV45" s="529">
        <f t="shared" ref="MV45:MV76" si="866">$HV45*IF$16</f>
        <v>5.8985740000000002E-3</v>
      </c>
      <c r="MW45" s="529">
        <f t="shared" si="259"/>
        <v>1.41565776</v>
      </c>
      <c r="MX45" s="529">
        <f t="shared" si="260"/>
        <v>0.70782887999999999</v>
      </c>
      <c r="MY45" s="474">
        <f t="shared" ref="MY45:MY76" si="867">$HW45*IB$17</f>
        <v>1.6516007200000002</v>
      </c>
      <c r="MZ45" s="474">
        <f t="shared" ref="MZ45:MZ76" si="868">$HW45*IC$17</f>
        <v>1.41565776</v>
      </c>
      <c r="NA45" s="474">
        <f t="shared" ref="NA45:NA76" si="869">$HW45*ID$17</f>
        <v>23.334758744000002</v>
      </c>
      <c r="NB45" s="474">
        <f t="shared" ref="NB45:NB76" si="870">$HW45*IE$17</f>
        <v>0.23594296000000001</v>
      </c>
      <c r="NC45" s="134">
        <f t="shared" ref="NC45:NC76" si="871">$HW45*IF$17</f>
        <v>0.23594296000000001</v>
      </c>
    </row>
    <row r="46" spans="1:367" x14ac:dyDescent="0.25">
      <c r="A46" s="18">
        <v>1991</v>
      </c>
      <c r="B46" s="1271">
        <v>2722</v>
      </c>
      <c r="C46" s="1224"/>
      <c r="D46" s="1224">
        <v>0</v>
      </c>
      <c r="E46" s="1272"/>
      <c r="F46" s="1226">
        <f t="shared" si="144"/>
        <v>2681.17</v>
      </c>
      <c r="G46" s="1226"/>
      <c r="H46" s="1224">
        <f t="shared" si="145"/>
        <v>0</v>
      </c>
      <c r="I46" s="1224"/>
      <c r="J46" s="1082">
        <v>0</v>
      </c>
      <c r="K46" s="1082">
        <f t="shared" si="734"/>
        <v>0</v>
      </c>
      <c r="L46" s="1226">
        <f t="shared" si="751"/>
        <v>2681.17</v>
      </c>
      <c r="M46" s="1227"/>
      <c r="N46" s="193">
        <v>8.0999999999999996E-3</v>
      </c>
      <c r="O46" s="47">
        <v>0</v>
      </c>
      <c r="P46" s="47">
        <v>6.0000000000000001E-3</v>
      </c>
      <c r="Q46" s="192">
        <v>0</v>
      </c>
      <c r="R46" s="47">
        <v>0</v>
      </c>
      <c r="S46" s="47">
        <f t="shared" si="146"/>
        <v>5.4000000000000003E-3</v>
      </c>
      <c r="T46" s="47">
        <v>0.01</v>
      </c>
      <c r="U46" s="47">
        <v>1.8E-3</v>
      </c>
      <c r="V46" s="117">
        <v>4.0000000000000003E-5</v>
      </c>
      <c r="W46" s="47">
        <v>5.9999999999999995E-4</v>
      </c>
      <c r="X46" s="52">
        <v>1.0999999999999999E-2</v>
      </c>
      <c r="Y46" s="52">
        <v>2.0199999999999999E-2</v>
      </c>
      <c r="Z46" s="111">
        <v>6.3E-2</v>
      </c>
      <c r="AA46" s="52">
        <f t="shared" si="147"/>
        <v>0.1</v>
      </c>
      <c r="AB46" s="52">
        <f t="shared" si="148"/>
        <v>0</v>
      </c>
      <c r="AC46" s="52">
        <f t="shared" si="149"/>
        <v>0.9</v>
      </c>
      <c r="AD46" s="475">
        <f t="shared" si="150"/>
        <v>21.717476999999999</v>
      </c>
      <c r="AE46" s="474">
        <f t="shared" si="151"/>
        <v>21.717476999999999</v>
      </c>
      <c r="AF46" s="474">
        <f t="shared" si="152"/>
        <v>0</v>
      </c>
      <c r="AG46" s="474">
        <f t="shared" si="151"/>
        <v>0</v>
      </c>
      <c r="AH46" s="474">
        <f t="shared" si="153"/>
        <v>16.087020000000003</v>
      </c>
      <c r="AI46" s="474">
        <f t="shared" ref="AI46" si="872">AH46</f>
        <v>16.087020000000003</v>
      </c>
      <c r="AJ46" s="508"/>
      <c r="AK46" s="508"/>
      <c r="AL46" s="508"/>
      <c r="AM46" s="508"/>
      <c r="AN46" s="508"/>
      <c r="AO46" s="572"/>
      <c r="AP46" s="481">
        <f t="shared" si="155"/>
        <v>21.717476999999999</v>
      </c>
      <c r="AQ46" s="474">
        <f t="shared" ref="AQ46" si="873">AP46</f>
        <v>21.717476999999999</v>
      </c>
      <c r="AR46" s="474">
        <f t="shared" si="157"/>
        <v>0</v>
      </c>
      <c r="AS46" s="474">
        <f t="shared" ref="AS46" si="874">AR46</f>
        <v>0</v>
      </c>
      <c r="AT46" s="474">
        <f t="shared" si="159"/>
        <v>16.087020000000003</v>
      </c>
      <c r="AU46" s="474">
        <f t="shared" ref="AU46" si="875">AT46</f>
        <v>16.087020000000003</v>
      </c>
      <c r="AV46" s="475">
        <f t="shared" si="2"/>
        <v>0</v>
      </c>
      <c r="AW46" s="474">
        <f t="shared" ref="AW46" si="876">AV46</f>
        <v>0</v>
      </c>
      <c r="AX46" s="474">
        <f t="shared" si="3"/>
        <v>14.478318000000002</v>
      </c>
      <c r="AY46" s="474">
        <f t="shared" ref="AY46" si="877">AX46</f>
        <v>14.478318000000002</v>
      </c>
      <c r="AZ46" s="474">
        <f t="shared" si="4"/>
        <v>26.811700000000002</v>
      </c>
      <c r="BA46" s="474">
        <f t="shared" ref="BA46" si="878">AZ46</f>
        <v>26.811700000000002</v>
      </c>
      <c r="BB46" s="481"/>
      <c r="BC46" s="474"/>
      <c r="BD46" s="474"/>
      <c r="BE46" s="474"/>
      <c r="BF46" s="474"/>
      <c r="BG46" s="474"/>
      <c r="BH46" s="481">
        <f t="shared" si="5"/>
        <v>0</v>
      </c>
      <c r="BI46" s="474">
        <f t="shared" ref="BI46" si="879">BH46</f>
        <v>0</v>
      </c>
      <c r="BJ46" s="474">
        <f t="shared" si="6"/>
        <v>14.478318000000002</v>
      </c>
      <c r="BK46" s="474">
        <f t="shared" ref="BK46" si="880">BJ46</f>
        <v>14.478318000000002</v>
      </c>
      <c r="BL46" s="474">
        <f t="shared" si="7"/>
        <v>26.811700000000002</v>
      </c>
      <c r="BM46" s="474">
        <f t="shared" ref="BM46" si="881">BL46</f>
        <v>26.811700000000002</v>
      </c>
      <c r="BN46" s="475">
        <f t="shared" si="8"/>
        <v>0.10724680000000002</v>
      </c>
      <c r="BO46" s="474">
        <f t="shared" ref="BO46" si="882">BN46</f>
        <v>0.10724680000000002</v>
      </c>
      <c r="BP46" s="474">
        <f t="shared" si="9"/>
        <v>1.6087019999999999</v>
      </c>
      <c r="BQ46" s="474">
        <f t="shared" ref="BQ46" si="883">BP46</f>
        <v>1.6087019999999999</v>
      </c>
      <c r="BR46" s="474">
        <f t="shared" si="10"/>
        <v>29.49287</v>
      </c>
      <c r="BS46" s="474">
        <f t="shared" ref="BS46" si="884">BR46</f>
        <v>29.49287</v>
      </c>
      <c r="BT46" s="481"/>
      <c r="BU46" s="474"/>
      <c r="BV46" s="474"/>
      <c r="BW46" s="474"/>
      <c r="BX46" s="474"/>
      <c r="BY46" s="474"/>
      <c r="BZ46" s="481">
        <f t="shared" si="11"/>
        <v>0.10724680000000002</v>
      </c>
      <c r="CA46" s="474">
        <f t="shared" ref="CA46" si="885">BZ46</f>
        <v>0.10724680000000002</v>
      </c>
      <c r="CB46" s="474">
        <f t="shared" si="12"/>
        <v>1.6087019999999999</v>
      </c>
      <c r="CC46" s="474">
        <f t="shared" ref="CC46" si="886">CB46</f>
        <v>1.6087019999999999</v>
      </c>
      <c r="CD46" s="474">
        <f t="shared" si="13"/>
        <v>29.49287</v>
      </c>
      <c r="CE46" s="526">
        <f t="shared" ref="CE46" si="887">CD46</f>
        <v>29.49287</v>
      </c>
      <c r="CF46" s="355">
        <f t="shared" si="173"/>
        <v>0</v>
      </c>
      <c r="CG46" s="615">
        <f t="shared" si="174"/>
        <v>0</v>
      </c>
      <c r="CH46" s="355">
        <f t="shared" si="175"/>
        <v>0</v>
      </c>
      <c r="CI46" s="615">
        <f t="shared" si="491"/>
        <v>0</v>
      </c>
      <c r="CJ46" s="615">
        <f t="shared" si="176"/>
        <v>0</v>
      </c>
      <c r="CK46" s="615">
        <f t="shared" si="492"/>
        <v>0</v>
      </c>
      <c r="CL46" s="122"/>
      <c r="CM46" s="1235">
        <f t="shared" si="16"/>
        <v>2512.2562900000003</v>
      </c>
      <c r="CN46" s="1231"/>
      <c r="CO46" s="1230"/>
      <c r="CP46" s="1231"/>
      <c r="CQ46" s="1230">
        <f t="shared" si="177"/>
        <v>2512.2562900000003</v>
      </c>
      <c r="CR46" s="1232"/>
      <c r="CS46" s="30">
        <v>0.45</v>
      </c>
      <c r="CT46" s="31">
        <f t="shared" si="178"/>
        <v>0.55000000000000004</v>
      </c>
      <c r="CU46" s="31"/>
      <c r="CV46" s="32"/>
      <c r="CW46" s="1233">
        <f t="shared" si="179"/>
        <v>1073.989563975</v>
      </c>
      <c r="CX46" s="1234"/>
      <c r="CY46" s="1234">
        <f t="shared" si="180"/>
        <v>1312.653911525</v>
      </c>
      <c r="CZ46" s="1231"/>
      <c r="DA46" s="369"/>
      <c r="DB46" s="369"/>
      <c r="DC46" s="369"/>
      <c r="DD46" s="373"/>
      <c r="DE46" s="1234">
        <f t="shared" si="768"/>
        <v>1073.989563975</v>
      </c>
      <c r="DF46" s="1234"/>
      <c r="DG46" s="369">
        <f t="shared" si="341"/>
        <v>1312.653911525</v>
      </c>
      <c r="DH46" s="372">
        <f t="shared" si="182"/>
        <v>1312.653911525</v>
      </c>
      <c r="DJ46" s="493">
        <v>0.05</v>
      </c>
      <c r="DK46" s="379"/>
      <c r="DL46" s="1084">
        <f t="shared" si="18"/>
        <v>125.61281450000001</v>
      </c>
      <c r="DM46" s="1084">
        <f t="shared" si="605"/>
        <v>125.61281450000001</v>
      </c>
      <c r="DN46" s="369"/>
      <c r="DO46" s="372"/>
      <c r="DP46" s="30">
        <v>1</v>
      </c>
      <c r="DQ46" s="31">
        <f t="shared" si="183"/>
        <v>0.1</v>
      </c>
      <c r="DR46" s="31">
        <f t="shared" si="184"/>
        <v>1</v>
      </c>
      <c r="DS46" s="680">
        <f t="shared" si="185"/>
        <v>0.1</v>
      </c>
      <c r="DT46" s="77">
        <f t="shared" si="186"/>
        <v>1</v>
      </c>
      <c r="DU46" s="31">
        <v>0</v>
      </c>
      <c r="DV46" s="31">
        <v>1</v>
      </c>
      <c r="DW46" s="31">
        <v>0</v>
      </c>
      <c r="DX46" s="31">
        <v>0</v>
      </c>
      <c r="DY46" s="31">
        <v>1</v>
      </c>
      <c r="DZ46" s="31">
        <v>0</v>
      </c>
      <c r="EA46" s="383">
        <f t="shared" ref="EA46:EA77" si="888">1/2*(DL46*DQ46*DU46+DL45*DQ45*DU45)</f>
        <v>0</v>
      </c>
      <c r="EB46" s="355">
        <f t="shared" si="188"/>
        <v>0</v>
      </c>
      <c r="EC46" s="355">
        <f t="shared" ref="EC46:EC77" si="889">1/2*(DL46*DQ46*DV46+DL45*DQ45*DV45)</f>
        <v>12.561281450000003</v>
      </c>
      <c r="ED46" s="355">
        <f t="shared" si="190"/>
        <v>125.61281450000001</v>
      </c>
      <c r="EE46" s="355">
        <f t="shared" ref="EE46:EE77" si="890">1/2*(DL46*DQ46*DW46+DL45*DQ45*DW45)</f>
        <v>0</v>
      </c>
      <c r="EF46" s="355">
        <f t="shared" si="192"/>
        <v>0</v>
      </c>
      <c r="EG46" s="366"/>
      <c r="EH46" s="355"/>
      <c r="EI46" s="355"/>
      <c r="EJ46" s="355"/>
      <c r="EK46" s="355"/>
      <c r="EL46" s="356"/>
      <c r="EM46" s="355">
        <f t="shared" si="193"/>
        <v>12.561281450000003</v>
      </c>
      <c r="EN46" s="134">
        <f t="shared" si="194"/>
        <v>125.61281450000001</v>
      </c>
      <c r="EP46" s="1171">
        <f t="shared" si="769"/>
        <v>0.10724680000000002</v>
      </c>
      <c r="EQ46" s="1172"/>
      <c r="ER46" s="1172">
        <f t="shared" si="770"/>
        <v>1.6087019999999999</v>
      </c>
      <c r="ES46" s="1172"/>
      <c r="ET46" s="1172">
        <f t="shared" si="771"/>
        <v>29.49287</v>
      </c>
      <c r="EU46" s="1172"/>
      <c r="EV46" s="366"/>
      <c r="EW46" s="355"/>
      <c r="EX46" s="355"/>
      <c r="EY46" s="355"/>
      <c r="EZ46" s="1172"/>
      <c r="FA46" s="1173"/>
      <c r="FB46" s="368">
        <f t="shared" si="195"/>
        <v>1073.989563975</v>
      </c>
      <c r="FC46" s="369">
        <f t="shared" si="196"/>
        <v>1073.989563975</v>
      </c>
      <c r="FD46" s="369"/>
      <c r="FE46" s="61"/>
      <c r="FF46" s="368">
        <f t="shared" si="772"/>
        <v>1312.653911525</v>
      </c>
      <c r="FG46" s="369">
        <f t="shared" si="426"/>
        <v>1312.653911525</v>
      </c>
      <c r="FH46" s="369"/>
      <c r="FI46" s="369"/>
      <c r="FJ46" s="30">
        <v>1</v>
      </c>
      <c r="FK46" s="31">
        <v>0.2</v>
      </c>
      <c r="FL46" s="501">
        <v>0.8</v>
      </c>
      <c r="FM46" s="31">
        <f t="shared" si="198"/>
        <v>0.1</v>
      </c>
      <c r="FN46" s="501">
        <f t="shared" si="199"/>
        <v>1</v>
      </c>
      <c r="FO46" s="31">
        <f t="shared" si="200"/>
        <v>0.1</v>
      </c>
      <c r="FP46" s="31">
        <f t="shared" si="201"/>
        <v>1</v>
      </c>
      <c r="FQ46" s="31">
        <v>1</v>
      </c>
      <c r="FR46" s="31">
        <v>0</v>
      </c>
      <c r="FS46" s="89">
        <f t="shared" si="202"/>
        <v>1E-3</v>
      </c>
      <c r="FT46" s="31">
        <f t="shared" si="203"/>
        <v>0.05</v>
      </c>
      <c r="FU46" s="30">
        <v>0.05</v>
      </c>
      <c r="FV46" s="32">
        <f t="shared" si="25"/>
        <v>2.4224999999999997E-2</v>
      </c>
      <c r="FW46" s="31">
        <v>0.1</v>
      </c>
      <c r="FX46" s="77">
        <f t="shared" si="26"/>
        <v>9.0000000000000011E-2</v>
      </c>
      <c r="FY46" s="30"/>
      <c r="FZ46" s="32"/>
      <c r="GA46" s="31"/>
      <c r="GB46" s="77"/>
      <c r="GC46" s="378">
        <f t="shared" si="773"/>
        <v>0.10724680000000002</v>
      </c>
      <c r="GD46" s="379">
        <f t="shared" si="204"/>
        <v>0.10724680000000002</v>
      </c>
      <c r="GE46" s="379">
        <f t="shared" si="774"/>
        <v>1.6087019999999999</v>
      </c>
      <c r="GF46" s="379">
        <f t="shared" si="205"/>
        <v>1.6087019999999999</v>
      </c>
      <c r="GG46" s="379">
        <f t="shared" si="206"/>
        <v>5.898574</v>
      </c>
      <c r="GH46" s="218">
        <f t="shared" si="207"/>
        <v>23.594296</v>
      </c>
      <c r="GI46" s="379"/>
      <c r="GJ46" s="379"/>
      <c r="GK46" s="379"/>
      <c r="GL46" s="379"/>
      <c r="GM46" s="379"/>
      <c r="GN46" s="218"/>
      <c r="GO46" s="379">
        <f t="shared" si="208"/>
        <v>7.6145227999999996</v>
      </c>
      <c r="GP46" s="515">
        <f t="shared" si="209"/>
        <v>25.3102448</v>
      </c>
      <c r="GQ46" s="379">
        <f t="shared" ref="GQ46:GQ77" si="891">1/2*(($FB46*$FM46)*($FU46+$FV46)+$FB45*$FM45*($FU45+$FV45))</f>
        <v>7.9716875386044377</v>
      </c>
      <c r="GR46" s="379">
        <f t="shared" ref="GR46:GR77" si="892">1/2*(($FC46*$FN46)*($FW46+$FX46)+$FC45*$FN45*($FW45+$FX45))</f>
        <v>204.05801715525001</v>
      </c>
      <c r="GS46" s="355">
        <f t="shared" si="390"/>
        <v>0.11260275104375002</v>
      </c>
      <c r="GT46" s="355">
        <f t="shared" si="391"/>
        <v>56.301375521875016</v>
      </c>
      <c r="GU46" s="355">
        <f t="shared" si="392"/>
        <v>0</v>
      </c>
      <c r="GV46" s="356">
        <f t="shared" si="393"/>
        <v>0</v>
      </c>
      <c r="GW46" s="355"/>
      <c r="GX46" s="355"/>
      <c r="GY46" s="355"/>
      <c r="GZ46" s="355"/>
      <c r="HA46" s="355"/>
      <c r="HB46" s="356"/>
      <c r="HC46" s="379">
        <f t="shared" si="212"/>
        <v>8.0842902896481874</v>
      </c>
      <c r="HD46" s="38">
        <f t="shared" si="213"/>
        <v>260.35939267712502</v>
      </c>
      <c r="HE46" s="527"/>
      <c r="HF46" s="529">
        <f t="shared" si="775"/>
        <v>21.717476999999999</v>
      </c>
      <c r="HG46" s="529">
        <f t="shared" si="776"/>
        <v>21.717476999999999</v>
      </c>
      <c r="HH46" s="529">
        <f t="shared" si="777"/>
        <v>0</v>
      </c>
      <c r="HI46" s="529">
        <f t="shared" si="778"/>
        <v>0</v>
      </c>
      <c r="HJ46" s="529">
        <f t="shared" si="779"/>
        <v>16.087020000000003</v>
      </c>
      <c r="HK46" s="524">
        <f t="shared" si="780"/>
        <v>16.087020000000003</v>
      </c>
      <c r="HL46" s="529">
        <f t="shared" si="781"/>
        <v>0</v>
      </c>
      <c r="HM46" s="529">
        <f t="shared" si="782"/>
        <v>0</v>
      </c>
      <c r="HN46" s="529">
        <f t="shared" si="783"/>
        <v>27.039599450000004</v>
      </c>
      <c r="HO46" s="529">
        <f t="shared" si="784"/>
        <v>140.09113250000001</v>
      </c>
      <c r="HP46" s="529">
        <f t="shared" si="785"/>
        <v>26.811700000000002</v>
      </c>
      <c r="HQ46" s="524">
        <f t="shared" si="786"/>
        <v>26.811700000000002</v>
      </c>
      <c r="HR46" s="615">
        <f t="shared" si="214"/>
        <v>8.1915370896481878</v>
      </c>
      <c r="HS46" s="615">
        <f t="shared" si="787"/>
        <v>260.46663947712506</v>
      </c>
      <c r="HT46" s="615">
        <f t="shared" si="788"/>
        <v>1.6087019999999999</v>
      </c>
      <c r="HU46" s="615">
        <f t="shared" si="789"/>
        <v>1.6087019999999999</v>
      </c>
      <c r="HV46" s="615">
        <f t="shared" si="790"/>
        <v>5.898574</v>
      </c>
      <c r="HW46" s="615">
        <f t="shared" si="791"/>
        <v>23.594296</v>
      </c>
      <c r="IG46" s="560"/>
      <c r="IH46" s="529">
        <f t="shared" si="215"/>
        <v>0.238892247</v>
      </c>
      <c r="II46" s="529">
        <f t="shared" si="216"/>
        <v>0.195457293</v>
      </c>
      <c r="IJ46" s="529">
        <f t="shared" si="217"/>
        <v>0.39091458600000001</v>
      </c>
      <c r="IK46" s="529">
        <f t="shared" ref="IK46:IK77" si="893">$HF46*IC$13</f>
        <v>0.195457293</v>
      </c>
      <c r="IL46" s="529">
        <f t="shared" ref="IL46:IL77" si="894">$HF46*ID$13</f>
        <v>18.351268064999999</v>
      </c>
      <c r="IM46" s="529">
        <f t="shared" ref="IM46:IM77" si="895">$HF46*IE$13</f>
        <v>2.1717476999999999E-2</v>
      </c>
      <c r="IN46" s="529">
        <f t="shared" ref="IN46:IN77" si="896">$HF46*IF$13</f>
        <v>2.1717476999999999E-2</v>
      </c>
      <c r="IO46" s="529">
        <f t="shared" si="222"/>
        <v>0.71667674100000001</v>
      </c>
      <c r="IP46" s="529">
        <f t="shared" si="223"/>
        <v>0.89041655699999989</v>
      </c>
      <c r="IQ46" s="529">
        <f t="shared" ref="IQ46:IQ77" si="897">$HG46*IB$14</f>
        <v>1.1293088040000001</v>
      </c>
      <c r="IR46" s="529">
        <f t="shared" ref="IR46:IR77" si="898">$HG46*IC$14</f>
        <v>0.89041655699999989</v>
      </c>
      <c r="IS46" s="529">
        <f t="shared" ref="IS46:IS77" si="899">$HG46*ID$14</f>
        <v>18.394703018999998</v>
      </c>
      <c r="IT46" s="529">
        <f t="shared" ref="IT46:IT77" si="900">$HG46*IE$14</f>
        <v>0.21717476999999999</v>
      </c>
      <c r="IU46" s="526">
        <f t="shared" ref="IU46:IU77" si="901">$HG46*IF$14</f>
        <v>0.21717476999999999</v>
      </c>
      <c r="IV46" s="884">
        <f t="shared" si="229"/>
        <v>0</v>
      </c>
      <c r="IW46" s="884">
        <f t="shared" si="230"/>
        <v>0</v>
      </c>
      <c r="IX46" s="529">
        <f t="shared" si="792"/>
        <v>0</v>
      </c>
      <c r="IY46" s="529">
        <f t="shared" si="793"/>
        <v>0</v>
      </c>
      <c r="IZ46" s="529">
        <f t="shared" si="794"/>
        <v>0</v>
      </c>
      <c r="JA46" s="529">
        <f t="shared" si="795"/>
        <v>0</v>
      </c>
      <c r="JB46" s="529">
        <f t="shared" si="796"/>
        <v>0</v>
      </c>
      <c r="JC46" s="529">
        <f t="shared" si="231"/>
        <v>0</v>
      </c>
      <c r="JD46" s="529">
        <f t="shared" si="232"/>
        <v>0</v>
      </c>
      <c r="JE46" s="529">
        <f t="shared" si="797"/>
        <v>0</v>
      </c>
      <c r="JF46" s="529">
        <f t="shared" si="798"/>
        <v>0</v>
      </c>
      <c r="JG46" s="529">
        <f t="shared" si="799"/>
        <v>0</v>
      </c>
      <c r="JH46" s="529">
        <f t="shared" si="800"/>
        <v>0</v>
      </c>
      <c r="JI46" s="480">
        <f t="shared" si="801"/>
        <v>0</v>
      </c>
      <c r="JJ46" s="884">
        <f t="shared" si="233"/>
        <v>0.17695722000000005</v>
      </c>
      <c r="JK46" s="884">
        <f t="shared" si="234"/>
        <v>0.14478318000000004</v>
      </c>
      <c r="JL46" s="529">
        <f t="shared" si="802"/>
        <v>0.28956636000000008</v>
      </c>
      <c r="JM46" s="529">
        <f t="shared" si="803"/>
        <v>0.14478318000000004</v>
      </c>
      <c r="JN46" s="529">
        <f t="shared" si="804"/>
        <v>13.593531900000002</v>
      </c>
      <c r="JO46" s="529">
        <f t="shared" si="805"/>
        <v>1.6087020000000004E-2</v>
      </c>
      <c r="JP46" s="529">
        <f t="shared" si="806"/>
        <v>1.6087020000000004E-2</v>
      </c>
      <c r="JQ46" s="529">
        <f t="shared" si="235"/>
        <v>0.53087166000000008</v>
      </c>
      <c r="JR46" s="529">
        <f t="shared" si="236"/>
        <v>0.65956782000000003</v>
      </c>
      <c r="JS46" s="474">
        <f t="shared" si="807"/>
        <v>0.83652504000000016</v>
      </c>
      <c r="JT46" s="474">
        <f t="shared" si="808"/>
        <v>0.65956782000000003</v>
      </c>
      <c r="JU46" s="474">
        <f t="shared" si="809"/>
        <v>13.625705940000001</v>
      </c>
      <c r="JV46" s="474">
        <f t="shared" si="810"/>
        <v>0.16087020000000002</v>
      </c>
      <c r="JW46" s="134">
        <f t="shared" si="811"/>
        <v>0.16087020000000002</v>
      </c>
      <c r="JX46" s="884">
        <f t="shared" si="237"/>
        <v>0</v>
      </c>
      <c r="JY46" s="884">
        <f t="shared" si="238"/>
        <v>0</v>
      </c>
      <c r="JZ46" s="529">
        <f t="shared" si="812"/>
        <v>0</v>
      </c>
      <c r="KA46" s="529">
        <f t="shared" si="813"/>
        <v>0</v>
      </c>
      <c r="KB46" s="529">
        <f t="shared" si="814"/>
        <v>0</v>
      </c>
      <c r="KC46" s="529">
        <f t="shared" si="815"/>
        <v>0</v>
      </c>
      <c r="KD46" s="529">
        <f t="shared" si="816"/>
        <v>0</v>
      </c>
      <c r="KE46" s="529">
        <f t="shared" si="239"/>
        <v>0</v>
      </c>
      <c r="KF46" s="529">
        <f t="shared" si="240"/>
        <v>0</v>
      </c>
      <c r="KG46" s="529">
        <f t="shared" si="817"/>
        <v>0</v>
      </c>
      <c r="KH46" s="529">
        <f t="shared" si="818"/>
        <v>0</v>
      </c>
      <c r="KI46" s="529">
        <f t="shared" si="819"/>
        <v>0</v>
      </c>
      <c r="KJ46" s="529">
        <f t="shared" si="820"/>
        <v>0</v>
      </c>
      <c r="KK46" s="526">
        <f t="shared" si="821"/>
        <v>0</v>
      </c>
      <c r="KL46" s="884">
        <f t="shared" si="241"/>
        <v>0.29743559395000008</v>
      </c>
      <c r="KM46" s="884">
        <f t="shared" si="242"/>
        <v>0.24335639505000006</v>
      </c>
      <c r="KN46" s="529">
        <f t="shared" si="822"/>
        <v>0.48671279010000013</v>
      </c>
      <c r="KO46" s="529">
        <f t="shared" si="823"/>
        <v>0.24335639505000006</v>
      </c>
      <c r="KP46" s="529">
        <f t="shared" si="824"/>
        <v>22.848461535250003</v>
      </c>
      <c r="KQ46" s="529">
        <f t="shared" si="825"/>
        <v>2.7039599450000004E-2</v>
      </c>
      <c r="KR46" s="529">
        <f t="shared" si="826"/>
        <v>2.7039599450000004E-2</v>
      </c>
      <c r="KS46" s="529">
        <f t="shared" si="243"/>
        <v>4.6230073725000009</v>
      </c>
      <c r="KT46" s="529">
        <f t="shared" si="244"/>
        <v>5.7437364324999995</v>
      </c>
      <c r="KU46" s="529">
        <f t="shared" si="827"/>
        <v>7.2847388900000016</v>
      </c>
      <c r="KV46" s="529">
        <f t="shared" si="828"/>
        <v>5.7437364324999995</v>
      </c>
      <c r="KW46" s="529">
        <f t="shared" si="829"/>
        <v>118.65718922750001</v>
      </c>
      <c r="KX46" s="529">
        <f t="shared" si="830"/>
        <v>1.4009113250000003</v>
      </c>
      <c r="KY46" s="480">
        <f t="shared" si="831"/>
        <v>1.4009113250000003</v>
      </c>
      <c r="KZ46" s="884">
        <f t="shared" si="245"/>
        <v>0.29492870000000004</v>
      </c>
      <c r="LA46" s="884">
        <f t="shared" si="246"/>
        <v>0.24130530000000006</v>
      </c>
      <c r="LB46" s="529">
        <f t="shared" si="832"/>
        <v>0.48261060000000011</v>
      </c>
      <c r="LC46" s="529">
        <f t="shared" si="833"/>
        <v>0.24130530000000006</v>
      </c>
      <c r="LD46" s="529">
        <f t="shared" si="834"/>
        <v>22.655886500000001</v>
      </c>
      <c r="LE46" s="529">
        <f t="shared" si="835"/>
        <v>2.6811700000000001E-2</v>
      </c>
      <c r="LF46" s="529">
        <f t="shared" si="836"/>
        <v>2.6811700000000001E-2</v>
      </c>
      <c r="LG46" s="529">
        <f t="shared" si="247"/>
        <v>0.88478610000000013</v>
      </c>
      <c r="LH46" s="529">
        <f t="shared" si="248"/>
        <v>1.0992796999999999</v>
      </c>
      <c r="LI46" s="355">
        <f t="shared" si="837"/>
        <v>1.3942084000000001</v>
      </c>
      <c r="LJ46" s="355">
        <f t="shared" si="838"/>
        <v>1.0992796999999999</v>
      </c>
      <c r="LK46" s="355">
        <f t="shared" si="839"/>
        <v>22.7095099</v>
      </c>
      <c r="LL46" s="355">
        <f t="shared" si="840"/>
        <v>0.26811700000000005</v>
      </c>
      <c r="LM46" s="134">
        <f t="shared" si="841"/>
        <v>0.26811700000000005</v>
      </c>
      <c r="LN46" s="884">
        <f t="shared" si="249"/>
        <v>9.0106907986130073E-3</v>
      </c>
      <c r="LO46" s="884">
        <f t="shared" si="250"/>
        <v>2.4574611268944561E-3</v>
      </c>
      <c r="LP46" s="529">
        <f t="shared" si="842"/>
        <v>4.1776839157205758E-2</v>
      </c>
      <c r="LQ46" s="529">
        <f t="shared" si="843"/>
        <v>6.7170604135115136E-2</v>
      </c>
      <c r="LR46" s="529">
        <f t="shared" si="844"/>
        <v>6.553229671718551</v>
      </c>
      <c r="LS46" s="529">
        <f t="shared" si="845"/>
        <v>7.1266372679939224E-2</v>
      </c>
      <c r="LT46" s="529">
        <f t="shared" si="846"/>
        <v>8.1915370896481886E-3</v>
      </c>
      <c r="LU46" s="529">
        <f t="shared" si="251"/>
        <v>15.627998368627503</v>
      </c>
      <c r="LV46" s="529">
        <f t="shared" si="252"/>
        <v>7.8139991843137517</v>
      </c>
      <c r="LW46" s="529">
        <f t="shared" si="847"/>
        <v>18.232664763398756</v>
      </c>
      <c r="LX46" s="529">
        <f t="shared" si="848"/>
        <v>15.627998368627503</v>
      </c>
      <c r="LY46" s="529">
        <f t="shared" si="849"/>
        <v>257.60150644287671</v>
      </c>
      <c r="LZ46" s="529">
        <f t="shared" si="850"/>
        <v>2.6046663947712507</v>
      </c>
      <c r="MA46" s="485">
        <f t="shared" si="851"/>
        <v>2.6046663947712507</v>
      </c>
      <c r="MB46" s="884">
        <f t="shared" si="253"/>
        <v>1.7695721999999999E-3</v>
      </c>
      <c r="MC46" s="884">
        <f t="shared" si="254"/>
        <v>4.826105999999999E-4</v>
      </c>
      <c r="MD46" s="529">
        <f t="shared" si="852"/>
        <v>8.2043801999999999E-3</v>
      </c>
      <c r="ME46" s="529">
        <f t="shared" si="853"/>
        <v>1.3191356399999998E-2</v>
      </c>
      <c r="MF46" s="529">
        <f t="shared" si="854"/>
        <v>1.2869615999999999</v>
      </c>
      <c r="MG46" s="529">
        <f t="shared" si="855"/>
        <v>1.3995707399999998E-2</v>
      </c>
      <c r="MH46" s="529">
        <f t="shared" si="856"/>
        <v>1.6087019999999998E-3</v>
      </c>
      <c r="MI46" s="529">
        <f t="shared" si="255"/>
        <v>9.6522119999999989E-2</v>
      </c>
      <c r="MJ46" s="529">
        <f t="shared" si="256"/>
        <v>4.8261059999999995E-2</v>
      </c>
      <c r="MK46" s="529">
        <f t="shared" si="857"/>
        <v>0.11260914</v>
      </c>
      <c r="ML46" s="529">
        <f t="shared" si="858"/>
        <v>9.6522119999999989E-2</v>
      </c>
      <c r="MM46" s="529">
        <f t="shared" si="859"/>
        <v>1.5910062780000001</v>
      </c>
      <c r="MN46" s="529">
        <f t="shared" si="860"/>
        <v>1.608702E-2</v>
      </c>
      <c r="MO46" s="485">
        <f t="shared" si="861"/>
        <v>1.608702E-2</v>
      </c>
      <c r="MP46" s="884">
        <f t="shared" si="257"/>
        <v>6.4884314000000004E-3</v>
      </c>
      <c r="MQ46" s="884">
        <f t="shared" si="258"/>
        <v>1.7695721999999999E-3</v>
      </c>
      <c r="MR46" s="529">
        <f t="shared" si="862"/>
        <v>3.0082727400000002E-2</v>
      </c>
      <c r="MS46" s="529">
        <f t="shared" si="863"/>
        <v>4.8368306799999997E-2</v>
      </c>
      <c r="MT46" s="529">
        <f t="shared" si="864"/>
        <v>4.7188591999999998</v>
      </c>
      <c r="MU46" s="529">
        <f t="shared" si="865"/>
        <v>5.1317593799999998E-2</v>
      </c>
      <c r="MV46" s="529">
        <f t="shared" si="866"/>
        <v>5.8985740000000002E-3</v>
      </c>
      <c r="MW46" s="529">
        <f t="shared" si="259"/>
        <v>1.41565776</v>
      </c>
      <c r="MX46" s="529">
        <f t="shared" si="260"/>
        <v>0.70782887999999999</v>
      </c>
      <c r="MY46" s="474">
        <f t="shared" si="867"/>
        <v>1.6516007200000002</v>
      </c>
      <c r="MZ46" s="474">
        <f t="shared" si="868"/>
        <v>1.41565776</v>
      </c>
      <c r="NA46" s="474">
        <f t="shared" si="869"/>
        <v>23.334758744000002</v>
      </c>
      <c r="NB46" s="474">
        <f t="shared" si="870"/>
        <v>0.23594296000000001</v>
      </c>
      <c r="NC46" s="134">
        <f t="shared" si="871"/>
        <v>0.23594296000000001</v>
      </c>
    </row>
    <row r="47" spans="1:367" x14ac:dyDescent="0.25">
      <c r="A47" s="18">
        <v>1992</v>
      </c>
      <c r="B47" s="1271">
        <v>2722</v>
      </c>
      <c r="C47" s="1224"/>
      <c r="D47" s="1224">
        <v>0</v>
      </c>
      <c r="E47" s="1272"/>
      <c r="F47" s="1226">
        <f t="shared" si="144"/>
        <v>2681.17</v>
      </c>
      <c r="G47" s="1226"/>
      <c r="H47" s="1224">
        <f t="shared" si="145"/>
        <v>0</v>
      </c>
      <c r="I47" s="1224"/>
      <c r="J47" s="1082">
        <v>0</v>
      </c>
      <c r="K47" s="1082">
        <f t="shared" si="734"/>
        <v>0</v>
      </c>
      <c r="L47" s="1226">
        <f t="shared" si="751"/>
        <v>2681.17</v>
      </c>
      <c r="M47" s="1227"/>
      <c r="N47" s="193">
        <v>8.0999999999999996E-3</v>
      </c>
      <c r="O47" s="47">
        <v>0</v>
      </c>
      <c r="P47" s="47">
        <v>6.0000000000000001E-3</v>
      </c>
      <c r="Q47" s="192">
        <v>0</v>
      </c>
      <c r="R47" s="47">
        <v>0</v>
      </c>
      <c r="S47" s="47">
        <f t="shared" si="146"/>
        <v>5.4000000000000003E-3</v>
      </c>
      <c r="T47" s="47">
        <v>0.01</v>
      </c>
      <c r="U47" s="47">
        <v>1.8E-3</v>
      </c>
      <c r="V47" s="117">
        <v>4.0000000000000003E-5</v>
      </c>
      <c r="W47" s="47">
        <v>5.9999999999999995E-4</v>
      </c>
      <c r="X47" s="52">
        <v>1.0999999999999999E-2</v>
      </c>
      <c r="Y47" s="52">
        <v>2.0199999999999999E-2</v>
      </c>
      <c r="Z47" s="111">
        <v>6.3E-2</v>
      </c>
      <c r="AA47" s="52">
        <f t="shared" si="147"/>
        <v>0.1</v>
      </c>
      <c r="AB47" s="52">
        <f t="shared" si="148"/>
        <v>0</v>
      </c>
      <c r="AC47" s="52">
        <f t="shared" si="149"/>
        <v>0.9</v>
      </c>
      <c r="AD47" s="363">
        <f t="shared" si="150"/>
        <v>21.717476999999999</v>
      </c>
      <c r="AE47" s="355">
        <f t="shared" si="151"/>
        <v>21.717476999999999</v>
      </c>
      <c r="AF47" s="355">
        <f t="shared" si="152"/>
        <v>0</v>
      </c>
      <c r="AG47" s="355">
        <f t="shared" si="151"/>
        <v>0</v>
      </c>
      <c r="AH47" s="355">
        <f t="shared" si="153"/>
        <v>16.087020000000003</v>
      </c>
      <c r="AI47" s="355">
        <f t="shared" ref="AI47" si="902">AH47</f>
        <v>16.087020000000003</v>
      </c>
      <c r="AJ47" s="508"/>
      <c r="AK47" s="508"/>
      <c r="AL47" s="508"/>
      <c r="AM47" s="508"/>
      <c r="AN47" s="508"/>
      <c r="AO47" s="572"/>
      <c r="AP47" s="366">
        <f t="shared" si="155"/>
        <v>21.717476999999999</v>
      </c>
      <c r="AQ47" s="355">
        <f t="shared" ref="AQ47" si="903">AP47</f>
        <v>21.717476999999999</v>
      </c>
      <c r="AR47" s="355">
        <f t="shared" si="157"/>
        <v>0</v>
      </c>
      <c r="AS47" s="355">
        <f t="shared" ref="AS47" si="904">AR47</f>
        <v>0</v>
      </c>
      <c r="AT47" s="355">
        <f t="shared" si="159"/>
        <v>16.087020000000003</v>
      </c>
      <c r="AU47" s="355">
        <f t="shared" ref="AU47" si="905">AT47</f>
        <v>16.087020000000003</v>
      </c>
      <c r="AV47" s="363">
        <f t="shared" si="2"/>
        <v>0</v>
      </c>
      <c r="AW47" s="355">
        <f t="shared" ref="AW47" si="906">AV47</f>
        <v>0</v>
      </c>
      <c r="AX47" s="355">
        <f t="shared" si="3"/>
        <v>14.478318000000002</v>
      </c>
      <c r="AY47" s="355">
        <f t="shared" ref="AY47" si="907">AX47</f>
        <v>14.478318000000002</v>
      </c>
      <c r="AZ47" s="355">
        <f t="shared" si="4"/>
        <v>26.811700000000002</v>
      </c>
      <c r="BA47" s="355">
        <f t="shared" ref="BA47" si="908">AZ47</f>
        <v>26.811700000000002</v>
      </c>
      <c r="BB47" s="366"/>
      <c r="BC47" s="355"/>
      <c r="BD47" s="355"/>
      <c r="BE47" s="355"/>
      <c r="BF47" s="355"/>
      <c r="BG47" s="355"/>
      <c r="BH47" s="366">
        <f t="shared" si="5"/>
        <v>0</v>
      </c>
      <c r="BI47" s="355">
        <f t="shared" ref="BI47" si="909">BH47</f>
        <v>0</v>
      </c>
      <c r="BJ47" s="355">
        <f t="shared" si="6"/>
        <v>14.478318000000002</v>
      </c>
      <c r="BK47" s="355">
        <f t="shared" ref="BK47" si="910">BJ47</f>
        <v>14.478318000000002</v>
      </c>
      <c r="BL47" s="355">
        <f t="shared" si="7"/>
        <v>26.811700000000002</v>
      </c>
      <c r="BM47" s="355">
        <f t="shared" ref="BM47" si="911">BL47</f>
        <v>26.811700000000002</v>
      </c>
      <c r="BN47" s="363">
        <f t="shared" si="8"/>
        <v>0.10724680000000002</v>
      </c>
      <c r="BO47" s="355">
        <f t="shared" ref="BO47" si="912">BN47</f>
        <v>0.10724680000000002</v>
      </c>
      <c r="BP47" s="355">
        <f t="shared" si="9"/>
        <v>1.6087019999999999</v>
      </c>
      <c r="BQ47" s="355">
        <f t="shared" ref="BQ47" si="913">BP47</f>
        <v>1.6087019999999999</v>
      </c>
      <c r="BR47" s="355">
        <f t="shared" si="10"/>
        <v>29.49287</v>
      </c>
      <c r="BS47" s="355">
        <f t="shared" ref="BS47" si="914">BR47</f>
        <v>29.49287</v>
      </c>
      <c r="BT47" s="366"/>
      <c r="BU47" s="355"/>
      <c r="BV47" s="355"/>
      <c r="BW47" s="355"/>
      <c r="BX47" s="355"/>
      <c r="BY47" s="355"/>
      <c r="BZ47" s="366">
        <f t="shared" si="11"/>
        <v>0.10724680000000002</v>
      </c>
      <c r="CA47" s="355">
        <f t="shared" ref="CA47" si="915">BZ47</f>
        <v>0.10724680000000002</v>
      </c>
      <c r="CB47" s="355">
        <f t="shared" si="12"/>
        <v>1.6087019999999999</v>
      </c>
      <c r="CC47" s="355">
        <f t="shared" ref="CC47" si="916">CB47</f>
        <v>1.6087019999999999</v>
      </c>
      <c r="CD47" s="355">
        <f t="shared" si="13"/>
        <v>29.49287</v>
      </c>
      <c r="CE47" s="526">
        <f t="shared" ref="CE47" si="917">CD47</f>
        <v>29.49287</v>
      </c>
      <c r="CF47" s="355">
        <f t="shared" si="173"/>
        <v>0</v>
      </c>
      <c r="CG47" s="615">
        <f t="shared" si="174"/>
        <v>0</v>
      </c>
      <c r="CH47" s="355">
        <f t="shared" si="175"/>
        <v>0</v>
      </c>
      <c r="CI47" s="615">
        <f t="shared" si="491"/>
        <v>0</v>
      </c>
      <c r="CJ47" s="615">
        <f t="shared" si="176"/>
        <v>0</v>
      </c>
      <c r="CK47" s="615">
        <f t="shared" si="492"/>
        <v>0</v>
      </c>
      <c r="CL47" s="122"/>
      <c r="CM47" s="1235">
        <f t="shared" si="16"/>
        <v>2512.2562900000003</v>
      </c>
      <c r="CN47" s="1231"/>
      <c r="CO47" s="1230"/>
      <c r="CP47" s="1231"/>
      <c r="CQ47" s="1230">
        <f t="shared" si="177"/>
        <v>2512.2562900000003</v>
      </c>
      <c r="CR47" s="1232"/>
      <c r="CS47" s="30">
        <v>0.45</v>
      </c>
      <c r="CT47" s="31">
        <f t="shared" si="178"/>
        <v>0.55000000000000004</v>
      </c>
      <c r="CU47" s="31"/>
      <c r="CV47" s="32"/>
      <c r="CW47" s="1233">
        <f t="shared" si="179"/>
        <v>1073.989563975</v>
      </c>
      <c r="CX47" s="1234"/>
      <c r="CY47" s="1234">
        <f t="shared" si="180"/>
        <v>1312.653911525</v>
      </c>
      <c r="CZ47" s="1231"/>
      <c r="DA47" s="369"/>
      <c r="DB47" s="369"/>
      <c r="DC47" s="369"/>
      <c r="DD47" s="373"/>
      <c r="DE47" s="1234">
        <f t="shared" si="768"/>
        <v>1073.989563975</v>
      </c>
      <c r="DF47" s="1234"/>
      <c r="DG47" s="369">
        <f t="shared" si="341"/>
        <v>1312.653911525</v>
      </c>
      <c r="DH47" s="372">
        <f t="shared" si="182"/>
        <v>1312.653911525</v>
      </c>
      <c r="DJ47" s="493">
        <v>0.05</v>
      </c>
      <c r="DK47" s="379"/>
      <c r="DL47" s="1084">
        <f t="shared" si="18"/>
        <v>125.61281450000001</v>
      </c>
      <c r="DM47" s="1084">
        <f t="shared" si="605"/>
        <v>125.61281450000001</v>
      </c>
      <c r="DN47" s="369"/>
      <c r="DO47" s="372"/>
      <c r="DP47" s="30">
        <v>1</v>
      </c>
      <c r="DQ47" s="31">
        <f t="shared" si="183"/>
        <v>0.1</v>
      </c>
      <c r="DR47" s="31">
        <f t="shared" si="184"/>
        <v>1</v>
      </c>
      <c r="DS47" s="680">
        <f t="shared" si="185"/>
        <v>0.1</v>
      </c>
      <c r="DT47" s="77">
        <f t="shared" si="186"/>
        <v>1</v>
      </c>
      <c r="DU47" s="31">
        <v>0</v>
      </c>
      <c r="DV47" s="31">
        <v>1</v>
      </c>
      <c r="DW47" s="31">
        <v>0</v>
      </c>
      <c r="DX47" s="31">
        <v>0</v>
      </c>
      <c r="DY47" s="31">
        <v>1</v>
      </c>
      <c r="DZ47" s="31">
        <v>0</v>
      </c>
      <c r="EA47" s="383">
        <f t="shared" si="888"/>
        <v>0</v>
      </c>
      <c r="EB47" s="355">
        <f t="shared" si="188"/>
        <v>0</v>
      </c>
      <c r="EC47" s="355">
        <f t="shared" si="889"/>
        <v>12.561281450000003</v>
      </c>
      <c r="ED47" s="355">
        <f t="shared" si="190"/>
        <v>125.61281450000001</v>
      </c>
      <c r="EE47" s="355">
        <f t="shared" si="890"/>
        <v>0</v>
      </c>
      <c r="EF47" s="355">
        <f t="shared" si="192"/>
        <v>0</v>
      </c>
      <c r="EG47" s="366"/>
      <c r="EH47" s="355"/>
      <c r="EI47" s="355"/>
      <c r="EJ47" s="355"/>
      <c r="EK47" s="355"/>
      <c r="EL47" s="356"/>
      <c r="EM47" s="355">
        <f t="shared" si="193"/>
        <v>12.561281450000003</v>
      </c>
      <c r="EN47" s="134">
        <f t="shared" si="194"/>
        <v>125.61281450000001</v>
      </c>
      <c r="EP47" s="1171">
        <f t="shared" si="769"/>
        <v>0.10724680000000002</v>
      </c>
      <c r="EQ47" s="1172"/>
      <c r="ER47" s="1172">
        <f t="shared" si="770"/>
        <v>1.6087019999999999</v>
      </c>
      <c r="ES47" s="1172"/>
      <c r="ET47" s="1172">
        <f t="shared" si="771"/>
        <v>29.49287</v>
      </c>
      <c r="EU47" s="1172"/>
      <c r="EV47" s="366"/>
      <c r="EW47" s="355"/>
      <c r="EX47" s="355"/>
      <c r="EY47" s="355"/>
      <c r="EZ47" s="1172"/>
      <c r="FA47" s="1173"/>
      <c r="FB47" s="368">
        <f t="shared" si="195"/>
        <v>1073.989563975</v>
      </c>
      <c r="FC47" s="369">
        <f t="shared" si="196"/>
        <v>1073.989563975</v>
      </c>
      <c r="FD47" s="369"/>
      <c r="FE47" s="61"/>
      <c r="FF47" s="368">
        <f t="shared" si="772"/>
        <v>1312.653911525</v>
      </c>
      <c r="FG47" s="369">
        <f t="shared" si="426"/>
        <v>1312.653911525</v>
      </c>
      <c r="FH47" s="369"/>
      <c r="FI47" s="369"/>
      <c r="FJ47" s="30">
        <v>1</v>
      </c>
      <c r="FK47" s="31">
        <v>0.2</v>
      </c>
      <c r="FL47" s="501">
        <v>0.8</v>
      </c>
      <c r="FM47" s="31">
        <f t="shared" si="198"/>
        <v>0.1</v>
      </c>
      <c r="FN47" s="501">
        <f t="shared" si="199"/>
        <v>1</v>
      </c>
      <c r="FO47" s="31">
        <f t="shared" si="200"/>
        <v>0.1</v>
      </c>
      <c r="FP47" s="31">
        <f t="shared" si="201"/>
        <v>1</v>
      </c>
      <c r="FQ47" s="31">
        <v>1</v>
      </c>
      <c r="FR47" s="31">
        <v>0</v>
      </c>
      <c r="FS47" s="89">
        <f t="shared" si="202"/>
        <v>1E-3</v>
      </c>
      <c r="FT47" s="31">
        <f t="shared" si="203"/>
        <v>0.05</v>
      </c>
      <c r="FU47" s="30">
        <v>0.05</v>
      </c>
      <c r="FV47" s="32">
        <f t="shared" si="25"/>
        <v>2.4224999999999997E-2</v>
      </c>
      <c r="FW47" s="31">
        <v>0.1</v>
      </c>
      <c r="FX47" s="77">
        <f t="shared" si="26"/>
        <v>9.0000000000000011E-2</v>
      </c>
      <c r="FY47" s="30"/>
      <c r="FZ47" s="32"/>
      <c r="GA47" s="31"/>
      <c r="GB47" s="77"/>
      <c r="GC47" s="378">
        <f t="shared" si="773"/>
        <v>0.10724680000000002</v>
      </c>
      <c r="GD47" s="379">
        <f t="shared" si="204"/>
        <v>0.10724680000000002</v>
      </c>
      <c r="GE47" s="379">
        <f t="shared" si="774"/>
        <v>1.6087019999999999</v>
      </c>
      <c r="GF47" s="379">
        <f t="shared" si="205"/>
        <v>1.6087019999999999</v>
      </c>
      <c r="GG47" s="379">
        <f t="shared" si="206"/>
        <v>5.898574</v>
      </c>
      <c r="GH47" s="218">
        <f t="shared" si="207"/>
        <v>23.594296</v>
      </c>
      <c r="GI47" s="379"/>
      <c r="GJ47" s="379"/>
      <c r="GK47" s="379"/>
      <c r="GL47" s="379"/>
      <c r="GM47" s="379"/>
      <c r="GN47" s="218"/>
      <c r="GO47" s="379">
        <f t="shared" si="208"/>
        <v>7.6145227999999996</v>
      </c>
      <c r="GP47" s="515">
        <f t="shared" si="209"/>
        <v>25.3102448</v>
      </c>
      <c r="GQ47" s="379">
        <f t="shared" si="891"/>
        <v>7.9716875386044377</v>
      </c>
      <c r="GR47" s="379">
        <f t="shared" si="892"/>
        <v>204.05801715525001</v>
      </c>
      <c r="GS47" s="355">
        <f t="shared" si="390"/>
        <v>0.11700076855775002</v>
      </c>
      <c r="GT47" s="355">
        <f t="shared" si="391"/>
        <v>58.500384278875003</v>
      </c>
      <c r="GU47" s="355">
        <f t="shared" si="392"/>
        <v>0</v>
      </c>
      <c r="GV47" s="356">
        <f t="shared" si="393"/>
        <v>0</v>
      </c>
      <c r="GW47" s="355"/>
      <c r="GX47" s="355"/>
      <c r="GY47" s="355"/>
      <c r="GZ47" s="355"/>
      <c r="HA47" s="355"/>
      <c r="HB47" s="356"/>
      <c r="HC47" s="379">
        <f t="shared" si="212"/>
        <v>8.0886883071621885</v>
      </c>
      <c r="HD47" s="38">
        <f t="shared" si="213"/>
        <v>262.55840143412502</v>
      </c>
      <c r="HE47" s="527"/>
      <c r="HF47" s="529">
        <f t="shared" si="775"/>
        <v>21.717476999999999</v>
      </c>
      <c r="HG47" s="529">
        <f t="shared" si="776"/>
        <v>21.717476999999999</v>
      </c>
      <c r="HH47" s="529">
        <f t="shared" si="777"/>
        <v>0</v>
      </c>
      <c r="HI47" s="529">
        <f t="shared" si="778"/>
        <v>0</v>
      </c>
      <c r="HJ47" s="529">
        <f t="shared" si="779"/>
        <v>16.087020000000003</v>
      </c>
      <c r="HK47" s="524">
        <f t="shared" si="780"/>
        <v>16.087020000000003</v>
      </c>
      <c r="HL47" s="529">
        <f t="shared" si="781"/>
        <v>0</v>
      </c>
      <c r="HM47" s="529">
        <f t="shared" si="782"/>
        <v>0</v>
      </c>
      <c r="HN47" s="529">
        <f t="shared" si="783"/>
        <v>27.039599450000004</v>
      </c>
      <c r="HO47" s="529">
        <f t="shared" si="784"/>
        <v>140.09113250000001</v>
      </c>
      <c r="HP47" s="529">
        <f t="shared" si="785"/>
        <v>26.811700000000002</v>
      </c>
      <c r="HQ47" s="524">
        <f t="shared" si="786"/>
        <v>26.811700000000002</v>
      </c>
      <c r="HR47" s="615">
        <f t="shared" si="214"/>
        <v>8.1959351071621871</v>
      </c>
      <c r="HS47" s="615">
        <f t="shared" si="787"/>
        <v>262.665648234125</v>
      </c>
      <c r="HT47" s="615">
        <f t="shared" si="788"/>
        <v>1.6087019999999999</v>
      </c>
      <c r="HU47" s="615">
        <f t="shared" si="789"/>
        <v>1.6087019999999999</v>
      </c>
      <c r="HV47" s="615">
        <f t="shared" si="790"/>
        <v>5.898574</v>
      </c>
      <c r="HW47" s="615">
        <f t="shared" si="791"/>
        <v>23.594296</v>
      </c>
      <c r="IG47" s="560"/>
      <c r="IH47" s="529">
        <f t="shared" si="215"/>
        <v>0.238892247</v>
      </c>
      <c r="II47" s="529">
        <f t="shared" si="216"/>
        <v>0.195457293</v>
      </c>
      <c r="IJ47" s="529">
        <f t="shared" si="217"/>
        <v>0.39091458600000001</v>
      </c>
      <c r="IK47" s="529">
        <f t="shared" si="893"/>
        <v>0.195457293</v>
      </c>
      <c r="IL47" s="529">
        <f t="shared" si="894"/>
        <v>18.351268064999999</v>
      </c>
      <c r="IM47" s="529">
        <f t="shared" si="895"/>
        <v>2.1717476999999999E-2</v>
      </c>
      <c r="IN47" s="529">
        <f t="shared" si="896"/>
        <v>2.1717476999999999E-2</v>
      </c>
      <c r="IO47" s="529">
        <f t="shared" si="222"/>
        <v>0.71667674100000001</v>
      </c>
      <c r="IP47" s="529">
        <f t="shared" si="223"/>
        <v>0.89041655699999989</v>
      </c>
      <c r="IQ47" s="529">
        <f t="shared" si="897"/>
        <v>1.1293088040000001</v>
      </c>
      <c r="IR47" s="529">
        <f t="shared" si="898"/>
        <v>0.89041655699999989</v>
      </c>
      <c r="IS47" s="529">
        <f t="shared" si="899"/>
        <v>18.394703018999998</v>
      </c>
      <c r="IT47" s="529">
        <f t="shared" si="900"/>
        <v>0.21717476999999999</v>
      </c>
      <c r="IU47" s="526">
        <f t="shared" si="901"/>
        <v>0.21717476999999999</v>
      </c>
      <c r="IV47" s="884">
        <f t="shared" si="229"/>
        <v>0</v>
      </c>
      <c r="IW47" s="884">
        <f t="shared" si="230"/>
        <v>0</v>
      </c>
      <c r="IX47" s="529">
        <f t="shared" si="792"/>
        <v>0</v>
      </c>
      <c r="IY47" s="529">
        <f t="shared" si="793"/>
        <v>0</v>
      </c>
      <c r="IZ47" s="529">
        <f t="shared" si="794"/>
        <v>0</v>
      </c>
      <c r="JA47" s="529">
        <f t="shared" si="795"/>
        <v>0</v>
      </c>
      <c r="JB47" s="529">
        <f t="shared" si="796"/>
        <v>0</v>
      </c>
      <c r="JC47" s="529">
        <f t="shared" si="231"/>
        <v>0</v>
      </c>
      <c r="JD47" s="529">
        <f t="shared" si="232"/>
        <v>0</v>
      </c>
      <c r="JE47" s="529">
        <f t="shared" si="797"/>
        <v>0</v>
      </c>
      <c r="JF47" s="529">
        <f t="shared" si="798"/>
        <v>0</v>
      </c>
      <c r="JG47" s="529">
        <f t="shared" si="799"/>
        <v>0</v>
      </c>
      <c r="JH47" s="529">
        <f t="shared" si="800"/>
        <v>0</v>
      </c>
      <c r="JI47" s="480">
        <f t="shared" si="801"/>
        <v>0</v>
      </c>
      <c r="JJ47" s="884">
        <f t="shared" si="233"/>
        <v>0.17695722000000005</v>
      </c>
      <c r="JK47" s="884">
        <f t="shared" si="234"/>
        <v>0.14478318000000004</v>
      </c>
      <c r="JL47" s="529">
        <f t="shared" si="802"/>
        <v>0.28956636000000008</v>
      </c>
      <c r="JM47" s="529">
        <f t="shared" si="803"/>
        <v>0.14478318000000004</v>
      </c>
      <c r="JN47" s="529">
        <f t="shared" si="804"/>
        <v>13.593531900000002</v>
      </c>
      <c r="JO47" s="529">
        <f t="shared" si="805"/>
        <v>1.6087020000000004E-2</v>
      </c>
      <c r="JP47" s="529">
        <f t="shared" si="806"/>
        <v>1.6087020000000004E-2</v>
      </c>
      <c r="JQ47" s="529">
        <f t="shared" si="235"/>
        <v>0.53087166000000008</v>
      </c>
      <c r="JR47" s="529">
        <f t="shared" si="236"/>
        <v>0.65956782000000003</v>
      </c>
      <c r="JS47" s="474">
        <f t="shared" si="807"/>
        <v>0.83652504000000016</v>
      </c>
      <c r="JT47" s="474">
        <f t="shared" si="808"/>
        <v>0.65956782000000003</v>
      </c>
      <c r="JU47" s="474">
        <f t="shared" si="809"/>
        <v>13.625705940000001</v>
      </c>
      <c r="JV47" s="474">
        <f t="shared" si="810"/>
        <v>0.16087020000000002</v>
      </c>
      <c r="JW47" s="134">
        <f t="shared" si="811"/>
        <v>0.16087020000000002</v>
      </c>
      <c r="JX47" s="884">
        <f t="shared" si="237"/>
        <v>0</v>
      </c>
      <c r="JY47" s="884">
        <f t="shared" si="238"/>
        <v>0</v>
      </c>
      <c r="JZ47" s="529">
        <f t="shared" si="812"/>
        <v>0</v>
      </c>
      <c r="KA47" s="529">
        <f t="shared" si="813"/>
        <v>0</v>
      </c>
      <c r="KB47" s="529">
        <f t="shared" si="814"/>
        <v>0</v>
      </c>
      <c r="KC47" s="529">
        <f t="shared" si="815"/>
        <v>0</v>
      </c>
      <c r="KD47" s="529">
        <f t="shared" si="816"/>
        <v>0</v>
      </c>
      <c r="KE47" s="529">
        <f t="shared" si="239"/>
        <v>0</v>
      </c>
      <c r="KF47" s="529">
        <f t="shared" si="240"/>
        <v>0</v>
      </c>
      <c r="KG47" s="529">
        <f t="shared" si="817"/>
        <v>0</v>
      </c>
      <c r="KH47" s="529">
        <f t="shared" si="818"/>
        <v>0</v>
      </c>
      <c r="KI47" s="529">
        <f t="shared" si="819"/>
        <v>0</v>
      </c>
      <c r="KJ47" s="529">
        <f t="shared" si="820"/>
        <v>0</v>
      </c>
      <c r="KK47" s="526">
        <f t="shared" si="821"/>
        <v>0</v>
      </c>
      <c r="KL47" s="884">
        <f t="shared" si="241"/>
        <v>0.29743559395000008</v>
      </c>
      <c r="KM47" s="884">
        <f t="shared" si="242"/>
        <v>0.24335639505000006</v>
      </c>
      <c r="KN47" s="529">
        <f t="shared" si="822"/>
        <v>0.48671279010000013</v>
      </c>
      <c r="KO47" s="529">
        <f t="shared" si="823"/>
        <v>0.24335639505000006</v>
      </c>
      <c r="KP47" s="529">
        <f t="shared" si="824"/>
        <v>22.848461535250003</v>
      </c>
      <c r="KQ47" s="529">
        <f t="shared" si="825"/>
        <v>2.7039599450000004E-2</v>
      </c>
      <c r="KR47" s="529">
        <f t="shared" si="826"/>
        <v>2.7039599450000004E-2</v>
      </c>
      <c r="KS47" s="529">
        <f t="shared" si="243"/>
        <v>4.6230073725000009</v>
      </c>
      <c r="KT47" s="529">
        <f t="shared" si="244"/>
        <v>5.7437364324999995</v>
      </c>
      <c r="KU47" s="529">
        <f t="shared" si="827"/>
        <v>7.2847388900000016</v>
      </c>
      <c r="KV47" s="529">
        <f t="shared" si="828"/>
        <v>5.7437364324999995</v>
      </c>
      <c r="KW47" s="529">
        <f t="shared" si="829"/>
        <v>118.65718922750001</v>
      </c>
      <c r="KX47" s="529">
        <f t="shared" si="830"/>
        <v>1.4009113250000003</v>
      </c>
      <c r="KY47" s="480">
        <f t="shared" si="831"/>
        <v>1.4009113250000003</v>
      </c>
      <c r="KZ47" s="884">
        <f t="shared" si="245"/>
        <v>0.29492870000000004</v>
      </c>
      <c r="LA47" s="884">
        <f t="shared" si="246"/>
        <v>0.24130530000000006</v>
      </c>
      <c r="LB47" s="529">
        <f t="shared" si="832"/>
        <v>0.48261060000000011</v>
      </c>
      <c r="LC47" s="529">
        <f t="shared" si="833"/>
        <v>0.24130530000000006</v>
      </c>
      <c r="LD47" s="529">
        <f t="shared" si="834"/>
        <v>22.655886500000001</v>
      </c>
      <c r="LE47" s="529">
        <f t="shared" si="835"/>
        <v>2.6811700000000001E-2</v>
      </c>
      <c r="LF47" s="529">
        <f t="shared" si="836"/>
        <v>2.6811700000000001E-2</v>
      </c>
      <c r="LG47" s="529">
        <f t="shared" si="247"/>
        <v>0.88478610000000013</v>
      </c>
      <c r="LH47" s="529">
        <f t="shared" si="248"/>
        <v>1.0992796999999999</v>
      </c>
      <c r="LI47" s="355">
        <f t="shared" si="837"/>
        <v>1.3942084000000001</v>
      </c>
      <c r="LJ47" s="355">
        <f t="shared" si="838"/>
        <v>1.0992796999999999</v>
      </c>
      <c r="LK47" s="355">
        <f t="shared" si="839"/>
        <v>22.7095099</v>
      </c>
      <c r="LL47" s="355">
        <f t="shared" si="840"/>
        <v>0.26811700000000005</v>
      </c>
      <c r="LM47" s="134">
        <f t="shared" si="841"/>
        <v>0.26811700000000005</v>
      </c>
      <c r="LN47" s="884">
        <f t="shared" si="249"/>
        <v>9.0155286178784065E-3</v>
      </c>
      <c r="LO47" s="884">
        <f t="shared" si="250"/>
        <v>2.4587805321486561E-3</v>
      </c>
      <c r="LP47" s="529">
        <f t="shared" si="842"/>
        <v>4.1799269046527157E-2</v>
      </c>
      <c r="LQ47" s="529">
        <f t="shared" si="843"/>
        <v>6.720666787872992E-2</v>
      </c>
      <c r="LR47" s="529">
        <f t="shared" si="844"/>
        <v>6.5567480857297502</v>
      </c>
      <c r="LS47" s="529">
        <f t="shared" si="845"/>
        <v>7.1304635432311025E-2</v>
      </c>
      <c r="LT47" s="529">
        <f t="shared" si="846"/>
        <v>8.1959351071621868E-3</v>
      </c>
      <c r="LU47" s="529">
        <f t="shared" si="251"/>
        <v>15.759938894047499</v>
      </c>
      <c r="LV47" s="529">
        <f t="shared" si="252"/>
        <v>7.8799694470237496</v>
      </c>
      <c r="LW47" s="529">
        <f t="shared" si="847"/>
        <v>18.386595376388751</v>
      </c>
      <c r="LX47" s="529">
        <f t="shared" si="848"/>
        <v>15.759938894047499</v>
      </c>
      <c r="LY47" s="529">
        <f t="shared" si="849"/>
        <v>259.77632610354965</v>
      </c>
      <c r="LZ47" s="529">
        <f t="shared" si="850"/>
        <v>2.6266564823412502</v>
      </c>
      <c r="MA47" s="485">
        <f t="shared" si="851"/>
        <v>2.6266564823412502</v>
      </c>
      <c r="MB47" s="884">
        <f t="shared" si="253"/>
        <v>1.7695721999999999E-3</v>
      </c>
      <c r="MC47" s="884">
        <f t="shared" si="254"/>
        <v>4.826105999999999E-4</v>
      </c>
      <c r="MD47" s="529">
        <f t="shared" si="852"/>
        <v>8.2043801999999999E-3</v>
      </c>
      <c r="ME47" s="529">
        <f t="shared" si="853"/>
        <v>1.3191356399999998E-2</v>
      </c>
      <c r="MF47" s="529">
        <f t="shared" si="854"/>
        <v>1.2869615999999999</v>
      </c>
      <c r="MG47" s="529">
        <f t="shared" si="855"/>
        <v>1.3995707399999998E-2</v>
      </c>
      <c r="MH47" s="529">
        <f t="shared" si="856"/>
        <v>1.6087019999999998E-3</v>
      </c>
      <c r="MI47" s="529">
        <f t="shared" si="255"/>
        <v>9.6522119999999989E-2</v>
      </c>
      <c r="MJ47" s="529">
        <f t="shared" si="256"/>
        <v>4.8261059999999995E-2</v>
      </c>
      <c r="MK47" s="529">
        <f t="shared" si="857"/>
        <v>0.11260914</v>
      </c>
      <c r="ML47" s="529">
        <f t="shared" si="858"/>
        <v>9.6522119999999989E-2</v>
      </c>
      <c r="MM47" s="529">
        <f t="shared" si="859"/>
        <v>1.5910062780000001</v>
      </c>
      <c r="MN47" s="529">
        <f t="shared" si="860"/>
        <v>1.608702E-2</v>
      </c>
      <c r="MO47" s="485">
        <f t="shared" si="861"/>
        <v>1.608702E-2</v>
      </c>
      <c r="MP47" s="884">
        <f t="shared" si="257"/>
        <v>6.4884314000000004E-3</v>
      </c>
      <c r="MQ47" s="884">
        <f t="shared" si="258"/>
        <v>1.7695721999999999E-3</v>
      </c>
      <c r="MR47" s="529">
        <f t="shared" si="862"/>
        <v>3.0082727400000002E-2</v>
      </c>
      <c r="MS47" s="529">
        <f t="shared" si="863"/>
        <v>4.8368306799999997E-2</v>
      </c>
      <c r="MT47" s="529">
        <f t="shared" si="864"/>
        <v>4.7188591999999998</v>
      </c>
      <c r="MU47" s="529">
        <f t="shared" si="865"/>
        <v>5.1317593799999998E-2</v>
      </c>
      <c r="MV47" s="529">
        <f t="shared" si="866"/>
        <v>5.8985740000000002E-3</v>
      </c>
      <c r="MW47" s="529">
        <f t="shared" si="259"/>
        <v>1.41565776</v>
      </c>
      <c r="MX47" s="529">
        <f t="shared" si="260"/>
        <v>0.70782887999999999</v>
      </c>
      <c r="MY47" s="474">
        <f t="shared" si="867"/>
        <v>1.6516007200000002</v>
      </c>
      <c r="MZ47" s="474">
        <f t="shared" si="868"/>
        <v>1.41565776</v>
      </c>
      <c r="NA47" s="474">
        <f t="shared" si="869"/>
        <v>23.334758744000002</v>
      </c>
      <c r="NB47" s="474">
        <f t="shared" si="870"/>
        <v>0.23594296000000001</v>
      </c>
      <c r="NC47" s="134">
        <f t="shared" si="871"/>
        <v>0.23594296000000001</v>
      </c>
    </row>
    <row r="48" spans="1:367" x14ac:dyDescent="0.25">
      <c r="A48" s="18">
        <v>1993</v>
      </c>
      <c r="B48" s="1271">
        <v>2722</v>
      </c>
      <c r="C48" s="1224"/>
      <c r="D48" s="1224">
        <v>0</v>
      </c>
      <c r="E48" s="1272"/>
      <c r="F48" s="1226">
        <f t="shared" si="144"/>
        <v>2681.17</v>
      </c>
      <c r="G48" s="1226"/>
      <c r="H48" s="1224">
        <f t="shared" si="145"/>
        <v>0</v>
      </c>
      <c r="I48" s="1224"/>
      <c r="J48" s="1082">
        <f t="shared" ref="J48:J56" si="918">J49-2.5</f>
        <v>2.5</v>
      </c>
      <c r="K48" s="1082">
        <f t="shared" si="734"/>
        <v>2.5</v>
      </c>
      <c r="L48" s="1226">
        <f t="shared" si="751"/>
        <v>2681.17</v>
      </c>
      <c r="M48" s="1227"/>
      <c r="N48" s="193">
        <v>8.0999999999999996E-3</v>
      </c>
      <c r="O48" s="47">
        <v>0</v>
      </c>
      <c r="P48" s="47">
        <v>6.0000000000000001E-3</v>
      </c>
      <c r="Q48" s="192">
        <v>0</v>
      </c>
      <c r="R48" s="47">
        <v>0</v>
      </c>
      <c r="S48" s="47">
        <f t="shared" si="146"/>
        <v>5.4000000000000003E-3</v>
      </c>
      <c r="T48" s="47">
        <v>0.01</v>
      </c>
      <c r="U48" s="47">
        <v>1.8E-3</v>
      </c>
      <c r="V48" s="117">
        <v>4.0000000000000003E-5</v>
      </c>
      <c r="W48" s="47">
        <v>5.9999999999999995E-4</v>
      </c>
      <c r="X48" s="52">
        <v>1.0999999999999999E-2</v>
      </c>
      <c r="Y48" s="52">
        <v>2.0199999999999999E-2</v>
      </c>
      <c r="Z48" s="111">
        <v>6.3E-2</v>
      </c>
      <c r="AA48" s="52">
        <f t="shared" si="147"/>
        <v>0.1</v>
      </c>
      <c r="AB48" s="52">
        <f t="shared" si="148"/>
        <v>0</v>
      </c>
      <c r="AC48" s="52">
        <f t="shared" si="149"/>
        <v>0.9</v>
      </c>
      <c r="AD48" s="363">
        <f t="shared" si="150"/>
        <v>21.717476999999999</v>
      </c>
      <c r="AE48" s="355">
        <f t="shared" si="151"/>
        <v>21.717476999999999</v>
      </c>
      <c r="AF48" s="355">
        <f t="shared" si="152"/>
        <v>0</v>
      </c>
      <c r="AG48" s="355">
        <f t="shared" si="151"/>
        <v>0</v>
      </c>
      <c r="AH48" s="355">
        <f t="shared" si="153"/>
        <v>16.087020000000003</v>
      </c>
      <c r="AI48" s="355">
        <f t="shared" ref="AI48" si="919">AH48</f>
        <v>16.087020000000003</v>
      </c>
      <c r="AJ48" s="508"/>
      <c r="AK48" s="508"/>
      <c r="AL48" s="508"/>
      <c r="AM48" s="508"/>
      <c r="AN48" s="508"/>
      <c r="AO48" s="572"/>
      <c r="AP48" s="366">
        <f t="shared" si="155"/>
        <v>21.717476999999999</v>
      </c>
      <c r="AQ48" s="355">
        <f t="shared" ref="AQ48" si="920">AP48</f>
        <v>21.717476999999999</v>
      </c>
      <c r="AR48" s="355">
        <f t="shared" si="157"/>
        <v>0</v>
      </c>
      <c r="AS48" s="355">
        <f t="shared" ref="AS48" si="921">AR48</f>
        <v>0</v>
      </c>
      <c r="AT48" s="355">
        <f t="shared" si="159"/>
        <v>16.087020000000003</v>
      </c>
      <c r="AU48" s="355">
        <f t="shared" ref="AU48" si="922">AT48</f>
        <v>16.087020000000003</v>
      </c>
      <c r="AV48" s="363">
        <f t="shared" si="2"/>
        <v>0</v>
      </c>
      <c r="AW48" s="355">
        <f t="shared" ref="AW48" si="923">AV48</f>
        <v>0</v>
      </c>
      <c r="AX48" s="355">
        <f t="shared" si="3"/>
        <v>14.478318000000002</v>
      </c>
      <c r="AY48" s="355">
        <f t="shared" ref="AY48" si="924">AX48</f>
        <v>14.478318000000002</v>
      </c>
      <c r="AZ48" s="355">
        <f t="shared" si="4"/>
        <v>26.811700000000002</v>
      </c>
      <c r="BA48" s="355">
        <f t="shared" ref="BA48" si="925">AZ48</f>
        <v>26.811700000000002</v>
      </c>
      <c r="BB48" s="366"/>
      <c r="BC48" s="355"/>
      <c r="BD48" s="355"/>
      <c r="BE48" s="355"/>
      <c r="BF48" s="355"/>
      <c r="BG48" s="355"/>
      <c r="BH48" s="366">
        <f t="shared" si="5"/>
        <v>0</v>
      </c>
      <c r="BI48" s="355">
        <f t="shared" ref="BI48" si="926">BH48</f>
        <v>0</v>
      </c>
      <c r="BJ48" s="355">
        <f t="shared" si="6"/>
        <v>14.478318000000002</v>
      </c>
      <c r="BK48" s="355">
        <f t="shared" ref="BK48" si="927">BJ48</f>
        <v>14.478318000000002</v>
      </c>
      <c r="BL48" s="355">
        <f t="shared" si="7"/>
        <v>26.811700000000002</v>
      </c>
      <c r="BM48" s="355">
        <f t="shared" ref="BM48" si="928">BL48</f>
        <v>26.811700000000002</v>
      </c>
      <c r="BN48" s="363">
        <f t="shared" si="8"/>
        <v>0.10724680000000002</v>
      </c>
      <c r="BO48" s="355">
        <f t="shared" ref="BO48" si="929">BN48</f>
        <v>0.10724680000000002</v>
      </c>
      <c r="BP48" s="355">
        <f t="shared" si="9"/>
        <v>1.6087019999999999</v>
      </c>
      <c r="BQ48" s="355">
        <f t="shared" ref="BQ48" si="930">BP48</f>
        <v>1.6087019999999999</v>
      </c>
      <c r="BR48" s="355">
        <f t="shared" si="10"/>
        <v>29.49287</v>
      </c>
      <c r="BS48" s="355">
        <f t="shared" ref="BS48" si="931">BR48</f>
        <v>29.49287</v>
      </c>
      <c r="BT48" s="366"/>
      <c r="BU48" s="355"/>
      <c r="BV48" s="355"/>
      <c r="BW48" s="355"/>
      <c r="BX48" s="355"/>
      <c r="BY48" s="355"/>
      <c r="BZ48" s="366">
        <f t="shared" si="11"/>
        <v>0.10724680000000002</v>
      </c>
      <c r="CA48" s="355">
        <f t="shared" ref="CA48" si="932">BZ48</f>
        <v>0.10724680000000002</v>
      </c>
      <c r="CB48" s="355">
        <f t="shared" si="12"/>
        <v>1.6087019999999999</v>
      </c>
      <c r="CC48" s="355">
        <f t="shared" ref="CC48" si="933">CB48</f>
        <v>1.6087019999999999</v>
      </c>
      <c r="CD48" s="355">
        <f t="shared" si="13"/>
        <v>29.49287</v>
      </c>
      <c r="CE48" s="526">
        <f t="shared" ref="CE48" si="934">CD48</f>
        <v>29.49287</v>
      </c>
      <c r="CF48" s="355">
        <f t="shared" si="173"/>
        <v>0.25</v>
      </c>
      <c r="CG48" s="615">
        <f t="shared" si="174"/>
        <v>0.25</v>
      </c>
      <c r="CH48" s="355">
        <f t="shared" si="175"/>
        <v>0</v>
      </c>
      <c r="CI48" s="615">
        <f t="shared" si="491"/>
        <v>0</v>
      </c>
      <c r="CJ48" s="615">
        <f t="shared" si="176"/>
        <v>2.25</v>
      </c>
      <c r="CK48" s="615">
        <f t="shared" si="492"/>
        <v>2.25</v>
      </c>
      <c r="CL48" s="122"/>
      <c r="CM48" s="1235">
        <f t="shared" si="16"/>
        <v>2509.7562900000003</v>
      </c>
      <c r="CN48" s="1231"/>
      <c r="CO48" s="1230"/>
      <c r="CP48" s="1231"/>
      <c r="CQ48" s="1230">
        <f t="shared" si="177"/>
        <v>2509.7562900000003</v>
      </c>
      <c r="CR48" s="1232"/>
      <c r="CS48" s="30">
        <v>0.45</v>
      </c>
      <c r="CT48" s="31">
        <f t="shared" si="178"/>
        <v>0.55000000000000004</v>
      </c>
      <c r="CU48" s="31"/>
      <c r="CV48" s="32"/>
      <c r="CW48" s="1233">
        <f t="shared" si="179"/>
        <v>1072.9208139750001</v>
      </c>
      <c r="CX48" s="1234"/>
      <c r="CY48" s="1234">
        <f t="shared" si="180"/>
        <v>1311.3476615250001</v>
      </c>
      <c r="CZ48" s="1231"/>
      <c r="DA48" s="369"/>
      <c r="DB48" s="369"/>
      <c r="DC48" s="369"/>
      <c r="DD48" s="373"/>
      <c r="DE48" s="1234">
        <f t="shared" si="768"/>
        <v>1072.9208139750001</v>
      </c>
      <c r="DF48" s="1234"/>
      <c r="DG48" s="369">
        <f t="shared" si="341"/>
        <v>1311.3476615250001</v>
      </c>
      <c r="DH48" s="372">
        <f t="shared" si="182"/>
        <v>1311.3476615250001</v>
      </c>
      <c r="DJ48" s="493">
        <v>0.05</v>
      </c>
      <c r="DK48" s="379"/>
      <c r="DL48" s="1084">
        <f t="shared" si="18"/>
        <v>125.48781450000001</v>
      </c>
      <c r="DM48" s="1084">
        <f t="shared" si="605"/>
        <v>125.48781450000001</v>
      </c>
      <c r="DN48" s="369"/>
      <c r="DO48" s="372"/>
      <c r="DP48" s="30">
        <v>1</v>
      </c>
      <c r="DQ48" s="31">
        <f t="shared" si="183"/>
        <v>0.1</v>
      </c>
      <c r="DR48" s="31">
        <f t="shared" si="184"/>
        <v>1</v>
      </c>
      <c r="DS48" s="680">
        <f t="shared" si="185"/>
        <v>0.1</v>
      </c>
      <c r="DT48" s="77">
        <f t="shared" si="186"/>
        <v>1</v>
      </c>
      <c r="DU48" s="31">
        <v>0</v>
      </c>
      <c r="DV48" s="31">
        <v>1</v>
      </c>
      <c r="DW48" s="31">
        <v>0</v>
      </c>
      <c r="DX48" s="31">
        <v>0</v>
      </c>
      <c r="DY48" s="31">
        <v>1</v>
      </c>
      <c r="DZ48" s="31">
        <v>0</v>
      </c>
      <c r="EA48" s="383">
        <f t="shared" si="888"/>
        <v>0</v>
      </c>
      <c r="EB48" s="355">
        <f t="shared" si="188"/>
        <v>0</v>
      </c>
      <c r="EC48" s="355">
        <f t="shared" si="889"/>
        <v>12.555031450000001</v>
      </c>
      <c r="ED48" s="355">
        <f t="shared" si="190"/>
        <v>125.55031450000001</v>
      </c>
      <c r="EE48" s="355">
        <f t="shared" si="890"/>
        <v>0</v>
      </c>
      <c r="EF48" s="355">
        <f t="shared" si="192"/>
        <v>0</v>
      </c>
      <c r="EG48" s="366"/>
      <c r="EH48" s="355"/>
      <c r="EI48" s="355"/>
      <c r="EJ48" s="355"/>
      <c r="EK48" s="355"/>
      <c r="EL48" s="356"/>
      <c r="EM48" s="355">
        <f t="shared" si="193"/>
        <v>12.555031450000001</v>
      </c>
      <c r="EN48" s="134">
        <f t="shared" si="194"/>
        <v>125.55031450000001</v>
      </c>
      <c r="EP48" s="1171">
        <f t="shared" si="769"/>
        <v>0.10724680000000002</v>
      </c>
      <c r="EQ48" s="1172"/>
      <c r="ER48" s="1172">
        <f t="shared" si="770"/>
        <v>1.6087019999999999</v>
      </c>
      <c r="ES48" s="1172"/>
      <c r="ET48" s="1172">
        <f t="shared" si="771"/>
        <v>29.49287</v>
      </c>
      <c r="EU48" s="1172"/>
      <c r="EV48" s="366"/>
      <c r="EW48" s="355"/>
      <c r="EX48" s="355"/>
      <c r="EY48" s="355"/>
      <c r="EZ48" s="1172"/>
      <c r="FA48" s="1173"/>
      <c r="FB48" s="368">
        <f t="shared" si="195"/>
        <v>1072.9208139750001</v>
      </c>
      <c r="FC48" s="369">
        <f t="shared" si="196"/>
        <v>1072.9208139750001</v>
      </c>
      <c r="FD48" s="369"/>
      <c r="FE48" s="61"/>
      <c r="FF48" s="368">
        <f t="shared" si="772"/>
        <v>1311.3476615250001</v>
      </c>
      <c r="FG48" s="369">
        <f t="shared" si="426"/>
        <v>1311.3476615250001</v>
      </c>
      <c r="FH48" s="369"/>
      <c r="FI48" s="369"/>
      <c r="FJ48" s="30">
        <v>1</v>
      </c>
      <c r="FK48" s="31">
        <v>0.2</v>
      </c>
      <c r="FL48" s="501">
        <v>0.8</v>
      </c>
      <c r="FM48" s="31">
        <f t="shared" si="198"/>
        <v>0.1</v>
      </c>
      <c r="FN48" s="501">
        <f t="shared" si="199"/>
        <v>1</v>
      </c>
      <c r="FO48" s="31">
        <f t="shared" si="200"/>
        <v>0.1</v>
      </c>
      <c r="FP48" s="31">
        <f t="shared" si="201"/>
        <v>1</v>
      </c>
      <c r="FQ48" s="31">
        <v>1</v>
      </c>
      <c r="FR48" s="31">
        <v>0</v>
      </c>
      <c r="FS48" s="89">
        <f t="shared" si="202"/>
        <v>1E-3</v>
      </c>
      <c r="FT48" s="31">
        <f t="shared" si="203"/>
        <v>0.05</v>
      </c>
      <c r="FU48" s="30">
        <v>0.05</v>
      </c>
      <c r="FV48" s="32">
        <f t="shared" si="25"/>
        <v>2.4224999999999997E-2</v>
      </c>
      <c r="FW48" s="31">
        <v>0.1</v>
      </c>
      <c r="FX48" s="77">
        <f t="shared" si="26"/>
        <v>9.0000000000000011E-2</v>
      </c>
      <c r="FY48" s="30"/>
      <c r="FZ48" s="32"/>
      <c r="GA48" s="31"/>
      <c r="GB48" s="77"/>
      <c r="GC48" s="378">
        <f t="shared" si="773"/>
        <v>0.10724680000000002</v>
      </c>
      <c r="GD48" s="379">
        <f t="shared" si="204"/>
        <v>0.10724680000000002</v>
      </c>
      <c r="GE48" s="379">
        <f t="shared" si="774"/>
        <v>1.6087019999999999</v>
      </c>
      <c r="GF48" s="379">
        <f t="shared" si="205"/>
        <v>1.6087019999999999</v>
      </c>
      <c r="GG48" s="379">
        <f t="shared" si="206"/>
        <v>5.898574</v>
      </c>
      <c r="GH48" s="218">
        <f t="shared" si="207"/>
        <v>23.594296</v>
      </c>
      <c r="GI48" s="379"/>
      <c r="GJ48" s="379"/>
      <c r="GK48" s="379"/>
      <c r="GL48" s="379"/>
      <c r="GM48" s="379"/>
      <c r="GN48" s="218"/>
      <c r="GO48" s="379">
        <f t="shared" si="208"/>
        <v>7.6145227999999996</v>
      </c>
      <c r="GP48" s="515">
        <f t="shared" si="209"/>
        <v>25.3102448</v>
      </c>
      <c r="GQ48" s="379">
        <f t="shared" si="891"/>
        <v>7.9677211401669386</v>
      </c>
      <c r="GR48" s="379">
        <f t="shared" si="892"/>
        <v>203.95648590525002</v>
      </c>
      <c r="GS48" s="355">
        <f t="shared" si="390"/>
        <v>0.12046946992300001</v>
      </c>
      <c r="GT48" s="355">
        <f t="shared" si="391"/>
        <v>60.23473496150001</v>
      </c>
      <c r="GU48" s="355">
        <f t="shared" si="392"/>
        <v>0</v>
      </c>
      <c r="GV48" s="356">
        <f t="shared" si="393"/>
        <v>0</v>
      </c>
      <c r="GW48" s="355"/>
      <c r="GX48" s="355"/>
      <c r="GY48" s="355"/>
      <c r="GZ48" s="355"/>
      <c r="HA48" s="355"/>
      <c r="HB48" s="356"/>
      <c r="HC48" s="379">
        <f t="shared" si="212"/>
        <v>8.0881906100899386</v>
      </c>
      <c r="HD48" s="38">
        <f t="shared" si="213"/>
        <v>264.19122086675003</v>
      </c>
      <c r="HE48" s="527"/>
      <c r="HF48" s="529">
        <f t="shared" si="775"/>
        <v>21.717476999999999</v>
      </c>
      <c r="HG48" s="529">
        <f t="shared" si="776"/>
        <v>21.717476999999999</v>
      </c>
      <c r="HH48" s="529">
        <f t="shared" si="777"/>
        <v>0</v>
      </c>
      <c r="HI48" s="529">
        <f t="shared" si="778"/>
        <v>0</v>
      </c>
      <c r="HJ48" s="529">
        <f t="shared" si="779"/>
        <v>16.087020000000003</v>
      </c>
      <c r="HK48" s="524">
        <f t="shared" si="780"/>
        <v>16.087020000000003</v>
      </c>
      <c r="HL48" s="529">
        <f t="shared" si="781"/>
        <v>0</v>
      </c>
      <c r="HM48" s="529">
        <f t="shared" si="782"/>
        <v>0</v>
      </c>
      <c r="HN48" s="529">
        <f t="shared" si="783"/>
        <v>27.033349450000003</v>
      </c>
      <c r="HO48" s="529">
        <f t="shared" si="784"/>
        <v>140.02863250000001</v>
      </c>
      <c r="HP48" s="529">
        <f t="shared" si="785"/>
        <v>26.811700000000002</v>
      </c>
      <c r="HQ48" s="524">
        <f t="shared" si="786"/>
        <v>26.811700000000002</v>
      </c>
      <c r="HR48" s="615">
        <f t="shared" si="214"/>
        <v>8.445437410089939</v>
      </c>
      <c r="HS48" s="615">
        <f t="shared" si="787"/>
        <v>264.54846766675007</v>
      </c>
      <c r="HT48" s="615">
        <f t="shared" si="788"/>
        <v>1.6087019999999999</v>
      </c>
      <c r="HU48" s="615">
        <f t="shared" si="789"/>
        <v>1.6087019999999999</v>
      </c>
      <c r="HV48" s="615">
        <f t="shared" si="790"/>
        <v>8.148574</v>
      </c>
      <c r="HW48" s="615">
        <f t="shared" si="791"/>
        <v>25.844296</v>
      </c>
      <c r="IG48" s="560"/>
      <c r="IH48" s="529">
        <f t="shared" si="215"/>
        <v>0.238892247</v>
      </c>
      <c r="II48" s="529">
        <f t="shared" si="216"/>
        <v>0.195457293</v>
      </c>
      <c r="IJ48" s="529">
        <f t="shared" si="217"/>
        <v>0.39091458600000001</v>
      </c>
      <c r="IK48" s="529">
        <f t="shared" si="893"/>
        <v>0.195457293</v>
      </c>
      <c r="IL48" s="529">
        <f t="shared" si="894"/>
        <v>18.351268064999999</v>
      </c>
      <c r="IM48" s="529">
        <f t="shared" si="895"/>
        <v>2.1717476999999999E-2</v>
      </c>
      <c r="IN48" s="529">
        <f t="shared" si="896"/>
        <v>2.1717476999999999E-2</v>
      </c>
      <c r="IO48" s="529">
        <f t="shared" si="222"/>
        <v>0.71667674100000001</v>
      </c>
      <c r="IP48" s="529">
        <f t="shared" si="223"/>
        <v>0.89041655699999989</v>
      </c>
      <c r="IQ48" s="529">
        <f t="shared" si="897"/>
        <v>1.1293088040000001</v>
      </c>
      <c r="IR48" s="529">
        <f t="shared" si="898"/>
        <v>0.89041655699999989</v>
      </c>
      <c r="IS48" s="529">
        <f t="shared" si="899"/>
        <v>18.394703018999998</v>
      </c>
      <c r="IT48" s="529">
        <f t="shared" si="900"/>
        <v>0.21717476999999999</v>
      </c>
      <c r="IU48" s="526">
        <f t="shared" si="901"/>
        <v>0.21717476999999999</v>
      </c>
      <c r="IV48" s="884">
        <f t="shared" si="229"/>
        <v>0</v>
      </c>
      <c r="IW48" s="884">
        <f t="shared" si="230"/>
        <v>0</v>
      </c>
      <c r="IX48" s="529">
        <f t="shared" si="792"/>
        <v>0</v>
      </c>
      <c r="IY48" s="529">
        <f t="shared" si="793"/>
        <v>0</v>
      </c>
      <c r="IZ48" s="529">
        <f t="shared" si="794"/>
        <v>0</v>
      </c>
      <c r="JA48" s="529">
        <f t="shared" si="795"/>
        <v>0</v>
      </c>
      <c r="JB48" s="529">
        <f t="shared" si="796"/>
        <v>0</v>
      </c>
      <c r="JC48" s="529">
        <f t="shared" si="231"/>
        <v>0</v>
      </c>
      <c r="JD48" s="529">
        <f t="shared" si="232"/>
        <v>0</v>
      </c>
      <c r="JE48" s="529">
        <f t="shared" si="797"/>
        <v>0</v>
      </c>
      <c r="JF48" s="529">
        <f t="shared" si="798"/>
        <v>0</v>
      </c>
      <c r="JG48" s="529">
        <f t="shared" si="799"/>
        <v>0</v>
      </c>
      <c r="JH48" s="529">
        <f t="shared" si="800"/>
        <v>0</v>
      </c>
      <c r="JI48" s="480">
        <f t="shared" si="801"/>
        <v>0</v>
      </c>
      <c r="JJ48" s="884">
        <f t="shared" si="233"/>
        <v>0.17695722000000005</v>
      </c>
      <c r="JK48" s="884">
        <f t="shared" si="234"/>
        <v>0.14478318000000004</v>
      </c>
      <c r="JL48" s="529">
        <f t="shared" si="802"/>
        <v>0.28956636000000008</v>
      </c>
      <c r="JM48" s="529">
        <f t="shared" si="803"/>
        <v>0.14478318000000004</v>
      </c>
      <c r="JN48" s="529">
        <f t="shared" si="804"/>
        <v>13.593531900000002</v>
      </c>
      <c r="JO48" s="529">
        <f t="shared" si="805"/>
        <v>1.6087020000000004E-2</v>
      </c>
      <c r="JP48" s="529">
        <f t="shared" si="806"/>
        <v>1.6087020000000004E-2</v>
      </c>
      <c r="JQ48" s="529">
        <f t="shared" si="235"/>
        <v>0.53087166000000008</v>
      </c>
      <c r="JR48" s="529">
        <f t="shared" si="236"/>
        <v>0.65956782000000003</v>
      </c>
      <c r="JS48" s="474">
        <f t="shared" si="807"/>
        <v>0.83652504000000016</v>
      </c>
      <c r="JT48" s="474">
        <f t="shared" si="808"/>
        <v>0.65956782000000003</v>
      </c>
      <c r="JU48" s="474">
        <f t="shared" si="809"/>
        <v>13.625705940000001</v>
      </c>
      <c r="JV48" s="474">
        <f t="shared" si="810"/>
        <v>0.16087020000000002</v>
      </c>
      <c r="JW48" s="134">
        <f t="shared" si="811"/>
        <v>0.16087020000000002</v>
      </c>
      <c r="JX48" s="884">
        <f t="shared" si="237"/>
        <v>0</v>
      </c>
      <c r="JY48" s="884">
        <f t="shared" si="238"/>
        <v>0</v>
      </c>
      <c r="JZ48" s="529">
        <f t="shared" si="812"/>
        <v>0</v>
      </c>
      <c r="KA48" s="529">
        <f t="shared" si="813"/>
        <v>0</v>
      </c>
      <c r="KB48" s="529">
        <f t="shared" si="814"/>
        <v>0</v>
      </c>
      <c r="KC48" s="529">
        <f t="shared" si="815"/>
        <v>0</v>
      </c>
      <c r="KD48" s="529">
        <f t="shared" si="816"/>
        <v>0</v>
      </c>
      <c r="KE48" s="529">
        <f t="shared" si="239"/>
        <v>0</v>
      </c>
      <c r="KF48" s="529">
        <f t="shared" si="240"/>
        <v>0</v>
      </c>
      <c r="KG48" s="529">
        <f t="shared" si="817"/>
        <v>0</v>
      </c>
      <c r="KH48" s="529">
        <f t="shared" si="818"/>
        <v>0</v>
      </c>
      <c r="KI48" s="529">
        <f t="shared" si="819"/>
        <v>0</v>
      </c>
      <c r="KJ48" s="529">
        <f t="shared" si="820"/>
        <v>0</v>
      </c>
      <c r="KK48" s="526">
        <f t="shared" si="821"/>
        <v>0</v>
      </c>
      <c r="KL48" s="884">
        <f t="shared" si="241"/>
        <v>0.29736684395000007</v>
      </c>
      <c r="KM48" s="884">
        <f t="shared" si="242"/>
        <v>0.24330014505000006</v>
      </c>
      <c r="KN48" s="529">
        <f t="shared" si="822"/>
        <v>0.48660029010000011</v>
      </c>
      <c r="KO48" s="529">
        <f t="shared" si="823"/>
        <v>0.24330014505000006</v>
      </c>
      <c r="KP48" s="529">
        <f t="shared" si="824"/>
        <v>22.843180285250003</v>
      </c>
      <c r="KQ48" s="529">
        <f t="shared" si="825"/>
        <v>2.7033349450000004E-2</v>
      </c>
      <c r="KR48" s="529">
        <f t="shared" si="826"/>
        <v>2.7033349450000004E-2</v>
      </c>
      <c r="KS48" s="529">
        <f t="shared" si="243"/>
        <v>4.6209448725000009</v>
      </c>
      <c r="KT48" s="529">
        <f t="shared" si="244"/>
        <v>5.7411739324999997</v>
      </c>
      <c r="KU48" s="529">
        <f t="shared" si="827"/>
        <v>7.2814888900000012</v>
      </c>
      <c r="KV48" s="529">
        <f t="shared" si="828"/>
        <v>5.7411739324999997</v>
      </c>
      <c r="KW48" s="529">
        <f t="shared" si="829"/>
        <v>118.60425172750001</v>
      </c>
      <c r="KX48" s="529">
        <f t="shared" si="830"/>
        <v>1.4002863250000002</v>
      </c>
      <c r="KY48" s="480">
        <f t="shared" si="831"/>
        <v>1.4002863250000002</v>
      </c>
      <c r="KZ48" s="884">
        <f t="shared" si="245"/>
        <v>0.29492870000000004</v>
      </c>
      <c r="LA48" s="884">
        <f t="shared" si="246"/>
        <v>0.24130530000000006</v>
      </c>
      <c r="LB48" s="529">
        <f t="shared" si="832"/>
        <v>0.48261060000000011</v>
      </c>
      <c r="LC48" s="529">
        <f t="shared" si="833"/>
        <v>0.24130530000000006</v>
      </c>
      <c r="LD48" s="529">
        <f t="shared" si="834"/>
        <v>22.655886500000001</v>
      </c>
      <c r="LE48" s="529">
        <f t="shared" si="835"/>
        <v>2.6811700000000001E-2</v>
      </c>
      <c r="LF48" s="529">
        <f t="shared" si="836"/>
        <v>2.6811700000000001E-2</v>
      </c>
      <c r="LG48" s="529">
        <f t="shared" si="247"/>
        <v>0.88478610000000013</v>
      </c>
      <c r="LH48" s="529">
        <f t="shared" si="248"/>
        <v>1.0992796999999999</v>
      </c>
      <c r="LI48" s="355">
        <f t="shared" si="837"/>
        <v>1.3942084000000001</v>
      </c>
      <c r="LJ48" s="355">
        <f t="shared" si="838"/>
        <v>1.0992796999999999</v>
      </c>
      <c r="LK48" s="355">
        <f t="shared" si="839"/>
        <v>22.7095099</v>
      </c>
      <c r="LL48" s="355">
        <f t="shared" si="840"/>
        <v>0.26811700000000005</v>
      </c>
      <c r="LM48" s="134">
        <f t="shared" si="841"/>
        <v>0.26811700000000005</v>
      </c>
      <c r="LN48" s="884">
        <f t="shared" si="249"/>
        <v>9.289981151098933E-3</v>
      </c>
      <c r="LO48" s="884">
        <f t="shared" si="250"/>
        <v>2.5336312230269816E-3</v>
      </c>
      <c r="LP48" s="529">
        <f t="shared" si="842"/>
        <v>4.3071730791458693E-2</v>
      </c>
      <c r="LQ48" s="529">
        <f t="shared" si="843"/>
        <v>6.9252586762737489E-2</v>
      </c>
      <c r="LR48" s="529">
        <f t="shared" si="844"/>
        <v>6.7563499280719519</v>
      </c>
      <c r="LS48" s="529">
        <f t="shared" si="845"/>
        <v>7.347530546778247E-2</v>
      </c>
      <c r="LT48" s="529">
        <f t="shared" si="846"/>
        <v>8.4454374100899395E-3</v>
      </c>
      <c r="LU48" s="529">
        <f t="shared" si="251"/>
        <v>15.872908060005004</v>
      </c>
      <c r="LV48" s="529">
        <f t="shared" si="252"/>
        <v>7.9364540300025022</v>
      </c>
      <c r="LW48" s="529">
        <f t="shared" si="847"/>
        <v>18.518392736672507</v>
      </c>
      <c r="LX48" s="529">
        <f t="shared" si="848"/>
        <v>15.872908060005004</v>
      </c>
      <c r="LY48" s="529">
        <f t="shared" si="849"/>
        <v>261.63843452241582</v>
      </c>
      <c r="LZ48" s="529">
        <f t="shared" si="850"/>
        <v>2.6454846766675009</v>
      </c>
      <c r="MA48" s="485">
        <f t="shared" si="851"/>
        <v>2.6454846766675009</v>
      </c>
      <c r="MB48" s="884">
        <f t="shared" si="253"/>
        <v>1.7695721999999999E-3</v>
      </c>
      <c r="MC48" s="884">
        <f t="shared" si="254"/>
        <v>4.826105999999999E-4</v>
      </c>
      <c r="MD48" s="529">
        <f t="shared" si="852"/>
        <v>8.2043801999999999E-3</v>
      </c>
      <c r="ME48" s="529">
        <f t="shared" si="853"/>
        <v>1.3191356399999998E-2</v>
      </c>
      <c r="MF48" s="529">
        <f t="shared" si="854"/>
        <v>1.2869615999999999</v>
      </c>
      <c r="MG48" s="529">
        <f t="shared" si="855"/>
        <v>1.3995707399999998E-2</v>
      </c>
      <c r="MH48" s="529">
        <f t="shared" si="856"/>
        <v>1.6087019999999998E-3</v>
      </c>
      <c r="MI48" s="529">
        <f t="shared" si="255"/>
        <v>9.6522119999999989E-2</v>
      </c>
      <c r="MJ48" s="529">
        <f t="shared" si="256"/>
        <v>4.8261059999999995E-2</v>
      </c>
      <c r="MK48" s="529">
        <f t="shared" si="857"/>
        <v>0.11260914</v>
      </c>
      <c r="ML48" s="529">
        <f t="shared" si="858"/>
        <v>9.6522119999999989E-2</v>
      </c>
      <c r="MM48" s="529">
        <f t="shared" si="859"/>
        <v>1.5910062780000001</v>
      </c>
      <c r="MN48" s="529">
        <f t="shared" si="860"/>
        <v>1.608702E-2</v>
      </c>
      <c r="MO48" s="485">
        <f t="shared" si="861"/>
        <v>1.608702E-2</v>
      </c>
      <c r="MP48" s="884">
        <f t="shared" si="257"/>
        <v>8.963431400000001E-3</v>
      </c>
      <c r="MQ48" s="884">
        <f t="shared" si="258"/>
        <v>2.4445722E-3</v>
      </c>
      <c r="MR48" s="529">
        <f t="shared" si="862"/>
        <v>4.1557727400000001E-2</v>
      </c>
      <c r="MS48" s="529">
        <f t="shared" si="863"/>
        <v>6.6818306799999991E-2</v>
      </c>
      <c r="MT48" s="529">
        <f t="shared" si="864"/>
        <v>6.5188592000000005</v>
      </c>
      <c r="MU48" s="529">
        <f t="shared" si="865"/>
        <v>7.0892593800000001E-2</v>
      </c>
      <c r="MV48" s="529">
        <f t="shared" si="866"/>
        <v>8.1485740000000004E-3</v>
      </c>
      <c r="MW48" s="529">
        <f t="shared" si="259"/>
        <v>1.55065776</v>
      </c>
      <c r="MX48" s="529">
        <f t="shared" si="260"/>
        <v>0.77532888</v>
      </c>
      <c r="MY48" s="474">
        <f t="shared" si="867"/>
        <v>1.8091007200000002</v>
      </c>
      <c r="MZ48" s="474">
        <f t="shared" si="868"/>
        <v>1.55065776</v>
      </c>
      <c r="NA48" s="474">
        <f t="shared" si="869"/>
        <v>25.560008744000001</v>
      </c>
      <c r="NB48" s="474">
        <f t="shared" si="870"/>
        <v>0.25844296</v>
      </c>
      <c r="NC48" s="134">
        <f t="shared" si="871"/>
        <v>0.25844296</v>
      </c>
    </row>
    <row r="49" spans="1:367" x14ac:dyDescent="0.25">
      <c r="A49" s="18">
        <v>1994</v>
      </c>
      <c r="B49" s="1271">
        <v>2722</v>
      </c>
      <c r="C49" s="1224"/>
      <c r="D49" s="1224">
        <v>0</v>
      </c>
      <c r="E49" s="1272"/>
      <c r="F49" s="1226">
        <f t="shared" si="144"/>
        <v>2681.17</v>
      </c>
      <c r="G49" s="1226"/>
      <c r="H49" s="1224">
        <f t="shared" si="145"/>
        <v>0</v>
      </c>
      <c r="I49" s="1224"/>
      <c r="J49" s="1082">
        <f t="shared" si="918"/>
        <v>5</v>
      </c>
      <c r="K49" s="1082">
        <f t="shared" si="734"/>
        <v>5</v>
      </c>
      <c r="L49" s="1226">
        <f t="shared" si="751"/>
        <v>2681.17</v>
      </c>
      <c r="M49" s="1227"/>
      <c r="N49" s="193">
        <v>8.0999999999999996E-3</v>
      </c>
      <c r="O49" s="47">
        <v>0</v>
      </c>
      <c r="P49" s="47">
        <v>6.0000000000000001E-3</v>
      </c>
      <c r="Q49" s="192">
        <v>0</v>
      </c>
      <c r="R49" s="47">
        <v>0</v>
      </c>
      <c r="S49" s="47">
        <f t="shared" si="146"/>
        <v>5.4000000000000003E-3</v>
      </c>
      <c r="T49" s="47">
        <v>0.01</v>
      </c>
      <c r="U49" s="47">
        <v>1.8E-3</v>
      </c>
      <c r="V49" s="117">
        <v>4.0000000000000003E-5</v>
      </c>
      <c r="W49" s="47">
        <v>5.9999999999999995E-4</v>
      </c>
      <c r="X49" s="52">
        <v>1.0999999999999999E-2</v>
      </c>
      <c r="Y49" s="52">
        <v>2.0199999999999999E-2</v>
      </c>
      <c r="Z49" s="111">
        <v>6.3E-2</v>
      </c>
      <c r="AA49" s="52">
        <f t="shared" si="147"/>
        <v>0.1</v>
      </c>
      <c r="AB49" s="52">
        <f t="shared" si="148"/>
        <v>0</v>
      </c>
      <c r="AC49" s="52">
        <f t="shared" si="149"/>
        <v>0.9</v>
      </c>
      <c r="AD49" s="363">
        <f t="shared" si="150"/>
        <v>21.717476999999999</v>
      </c>
      <c r="AE49" s="355">
        <f t="shared" si="151"/>
        <v>21.717476999999999</v>
      </c>
      <c r="AF49" s="355">
        <f t="shared" si="152"/>
        <v>0</v>
      </c>
      <c r="AG49" s="355">
        <f t="shared" si="151"/>
        <v>0</v>
      </c>
      <c r="AH49" s="355">
        <f t="shared" si="153"/>
        <v>16.087020000000003</v>
      </c>
      <c r="AI49" s="355">
        <f t="shared" ref="AI49" si="935">AH49</f>
        <v>16.087020000000003</v>
      </c>
      <c r="AJ49" s="508"/>
      <c r="AK49" s="508"/>
      <c r="AL49" s="508"/>
      <c r="AM49" s="508"/>
      <c r="AN49" s="508"/>
      <c r="AO49" s="572"/>
      <c r="AP49" s="366">
        <f t="shared" si="155"/>
        <v>21.717476999999999</v>
      </c>
      <c r="AQ49" s="355">
        <f t="shared" ref="AQ49" si="936">AP49</f>
        <v>21.717476999999999</v>
      </c>
      <c r="AR49" s="355">
        <f t="shared" si="157"/>
        <v>0</v>
      </c>
      <c r="AS49" s="355">
        <f t="shared" ref="AS49" si="937">AR49</f>
        <v>0</v>
      </c>
      <c r="AT49" s="355">
        <f t="shared" si="159"/>
        <v>16.087020000000003</v>
      </c>
      <c r="AU49" s="355">
        <f t="shared" ref="AU49" si="938">AT49</f>
        <v>16.087020000000003</v>
      </c>
      <c r="AV49" s="363">
        <f t="shared" si="2"/>
        <v>0</v>
      </c>
      <c r="AW49" s="355">
        <f t="shared" ref="AW49" si="939">AV49</f>
        <v>0</v>
      </c>
      <c r="AX49" s="355">
        <f t="shared" si="3"/>
        <v>14.478318000000002</v>
      </c>
      <c r="AY49" s="355">
        <f t="shared" ref="AY49" si="940">AX49</f>
        <v>14.478318000000002</v>
      </c>
      <c r="AZ49" s="355">
        <f t="shared" si="4"/>
        <v>26.811700000000002</v>
      </c>
      <c r="BA49" s="355">
        <f t="shared" ref="BA49" si="941">AZ49</f>
        <v>26.811700000000002</v>
      </c>
      <c r="BB49" s="366"/>
      <c r="BC49" s="355"/>
      <c r="BD49" s="355"/>
      <c r="BE49" s="355"/>
      <c r="BF49" s="355"/>
      <c r="BG49" s="355"/>
      <c r="BH49" s="366">
        <f t="shared" si="5"/>
        <v>0</v>
      </c>
      <c r="BI49" s="355">
        <f t="shared" ref="BI49" si="942">BH49</f>
        <v>0</v>
      </c>
      <c r="BJ49" s="355">
        <f t="shared" si="6"/>
        <v>14.478318000000002</v>
      </c>
      <c r="BK49" s="355">
        <f t="shared" ref="BK49" si="943">BJ49</f>
        <v>14.478318000000002</v>
      </c>
      <c r="BL49" s="355">
        <f t="shared" si="7"/>
        <v>26.811700000000002</v>
      </c>
      <c r="BM49" s="355">
        <f t="shared" ref="BM49" si="944">BL49</f>
        <v>26.811700000000002</v>
      </c>
      <c r="BN49" s="363">
        <f t="shared" si="8"/>
        <v>0.10724680000000002</v>
      </c>
      <c r="BO49" s="355">
        <f t="shared" ref="BO49" si="945">BN49</f>
        <v>0.10724680000000002</v>
      </c>
      <c r="BP49" s="355">
        <f t="shared" si="9"/>
        <v>1.6087019999999999</v>
      </c>
      <c r="BQ49" s="355">
        <f t="shared" ref="BQ49" si="946">BP49</f>
        <v>1.6087019999999999</v>
      </c>
      <c r="BR49" s="355">
        <f t="shared" si="10"/>
        <v>29.49287</v>
      </c>
      <c r="BS49" s="355">
        <f t="shared" ref="BS49" si="947">BR49</f>
        <v>29.49287</v>
      </c>
      <c r="BT49" s="366"/>
      <c r="BU49" s="355"/>
      <c r="BV49" s="355"/>
      <c r="BW49" s="355"/>
      <c r="BX49" s="355"/>
      <c r="BY49" s="355"/>
      <c r="BZ49" s="366">
        <f t="shared" si="11"/>
        <v>0.10724680000000002</v>
      </c>
      <c r="CA49" s="355">
        <f t="shared" ref="CA49" si="948">BZ49</f>
        <v>0.10724680000000002</v>
      </c>
      <c r="CB49" s="355">
        <f t="shared" si="12"/>
        <v>1.6087019999999999</v>
      </c>
      <c r="CC49" s="355">
        <f t="shared" ref="CC49" si="949">CB49</f>
        <v>1.6087019999999999</v>
      </c>
      <c r="CD49" s="355">
        <f t="shared" si="13"/>
        <v>29.49287</v>
      </c>
      <c r="CE49" s="526">
        <f t="shared" ref="CE49" si="950">CD49</f>
        <v>29.49287</v>
      </c>
      <c r="CF49" s="355">
        <f t="shared" si="173"/>
        <v>0.5</v>
      </c>
      <c r="CG49" s="615">
        <f t="shared" si="174"/>
        <v>0.5</v>
      </c>
      <c r="CH49" s="355">
        <f t="shared" si="175"/>
        <v>0</v>
      </c>
      <c r="CI49" s="615">
        <f t="shared" si="491"/>
        <v>0</v>
      </c>
      <c r="CJ49" s="615">
        <f t="shared" si="176"/>
        <v>4.5</v>
      </c>
      <c r="CK49" s="615">
        <f t="shared" si="492"/>
        <v>4.5</v>
      </c>
      <c r="CL49" s="122"/>
      <c r="CM49" s="1235">
        <f t="shared" si="16"/>
        <v>2507.2562900000003</v>
      </c>
      <c r="CN49" s="1231"/>
      <c r="CO49" s="1230"/>
      <c r="CP49" s="1231"/>
      <c r="CQ49" s="1230">
        <f t="shared" si="177"/>
        <v>2507.2562900000003</v>
      </c>
      <c r="CR49" s="1232"/>
      <c r="CS49" s="30">
        <v>0.45</v>
      </c>
      <c r="CT49" s="31">
        <f t="shared" si="178"/>
        <v>0.55000000000000004</v>
      </c>
      <c r="CU49" s="31"/>
      <c r="CV49" s="32"/>
      <c r="CW49" s="1233">
        <f t="shared" si="179"/>
        <v>1071.852063975</v>
      </c>
      <c r="CX49" s="1234"/>
      <c r="CY49" s="1234">
        <f t="shared" si="180"/>
        <v>1310.0414115250001</v>
      </c>
      <c r="CZ49" s="1231"/>
      <c r="DA49" s="369"/>
      <c r="DB49" s="369"/>
      <c r="DC49" s="369"/>
      <c r="DD49" s="373"/>
      <c r="DE49" s="1234">
        <f t="shared" si="768"/>
        <v>1071.852063975</v>
      </c>
      <c r="DF49" s="1234"/>
      <c r="DG49" s="369">
        <f t="shared" si="341"/>
        <v>1310.0414115250001</v>
      </c>
      <c r="DH49" s="372">
        <f t="shared" si="182"/>
        <v>1310.0414115250001</v>
      </c>
      <c r="DJ49" s="493">
        <v>0.05</v>
      </c>
      <c r="DK49" s="379"/>
      <c r="DL49" s="1084">
        <f t="shared" si="18"/>
        <v>125.36281450000001</v>
      </c>
      <c r="DM49" s="1084">
        <f t="shared" si="605"/>
        <v>125.36281450000001</v>
      </c>
      <c r="DN49" s="369"/>
      <c r="DO49" s="372"/>
      <c r="DP49" s="30">
        <v>1</v>
      </c>
      <c r="DQ49" s="31">
        <f t="shared" si="183"/>
        <v>0.1</v>
      </c>
      <c r="DR49" s="31">
        <f t="shared" si="184"/>
        <v>1</v>
      </c>
      <c r="DS49" s="680">
        <f t="shared" si="185"/>
        <v>0.1</v>
      </c>
      <c r="DT49" s="77">
        <f t="shared" si="186"/>
        <v>1</v>
      </c>
      <c r="DU49" s="31">
        <v>0</v>
      </c>
      <c r="DV49" s="31">
        <v>1</v>
      </c>
      <c r="DW49" s="31">
        <v>0</v>
      </c>
      <c r="DX49" s="31">
        <v>0</v>
      </c>
      <c r="DY49" s="31">
        <v>1</v>
      </c>
      <c r="DZ49" s="31">
        <v>0</v>
      </c>
      <c r="EA49" s="383">
        <f t="shared" si="888"/>
        <v>0</v>
      </c>
      <c r="EB49" s="355">
        <f t="shared" si="188"/>
        <v>0</v>
      </c>
      <c r="EC49" s="355">
        <f t="shared" si="889"/>
        <v>12.542531450000002</v>
      </c>
      <c r="ED49" s="355">
        <f t="shared" si="190"/>
        <v>125.42531450000001</v>
      </c>
      <c r="EE49" s="355">
        <f t="shared" si="890"/>
        <v>0</v>
      </c>
      <c r="EF49" s="355">
        <f t="shared" si="192"/>
        <v>0</v>
      </c>
      <c r="EG49" s="366"/>
      <c r="EH49" s="355"/>
      <c r="EI49" s="355"/>
      <c r="EJ49" s="355"/>
      <c r="EK49" s="355"/>
      <c r="EL49" s="356"/>
      <c r="EM49" s="355">
        <f t="shared" si="193"/>
        <v>12.542531450000002</v>
      </c>
      <c r="EN49" s="134">
        <f t="shared" si="194"/>
        <v>125.42531450000001</v>
      </c>
      <c r="EP49" s="1171">
        <f t="shared" si="769"/>
        <v>0.10724680000000002</v>
      </c>
      <c r="EQ49" s="1172"/>
      <c r="ER49" s="1172">
        <f t="shared" si="770"/>
        <v>1.6087019999999999</v>
      </c>
      <c r="ES49" s="1172"/>
      <c r="ET49" s="1172">
        <f t="shared" si="771"/>
        <v>29.49287</v>
      </c>
      <c r="EU49" s="1172"/>
      <c r="EV49" s="366"/>
      <c r="EW49" s="355"/>
      <c r="EX49" s="355"/>
      <c r="EY49" s="355"/>
      <c r="EZ49" s="1172"/>
      <c r="FA49" s="1173"/>
      <c r="FB49" s="368">
        <f t="shared" si="195"/>
        <v>1071.852063975</v>
      </c>
      <c r="FC49" s="369">
        <f t="shared" si="196"/>
        <v>1071.852063975</v>
      </c>
      <c r="FD49" s="369"/>
      <c r="FE49" s="61"/>
      <c r="FF49" s="368">
        <f t="shared" si="772"/>
        <v>1310.0414115250001</v>
      </c>
      <c r="FG49" s="369">
        <f t="shared" si="426"/>
        <v>1310.0414115250001</v>
      </c>
      <c r="FH49" s="369"/>
      <c r="FI49" s="369"/>
      <c r="FJ49" s="30">
        <v>1</v>
      </c>
      <c r="FK49" s="31">
        <v>0.2</v>
      </c>
      <c r="FL49" s="501">
        <v>0.8</v>
      </c>
      <c r="FM49" s="31">
        <f t="shared" si="198"/>
        <v>0.1</v>
      </c>
      <c r="FN49" s="501">
        <f t="shared" si="199"/>
        <v>1</v>
      </c>
      <c r="FO49" s="31">
        <f t="shared" si="200"/>
        <v>0.1</v>
      </c>
      <c r="FP49" s="31">
        <f t="shared" si="201"/>
        <v>1</v>
      </c>
      <c r="FQ49" s="31">
        <v>1</v>
      </c>
      <c r="FR49" s="31">
        <v>0</v>
      </c>
      <c r="FS49" s="89">
        <f t="shared" si="202"/>
        <v>1E-3</v>
      </c>
      <c r="FT49" s="31">
        <f t="shared" si="203"/>
        <v>0.05</v>
      </c>
      <c r="FU49" s="30">
        <v>0.05</v>
      </c>
      <c r="FV49" s="32">
        <f t="shared" si="25"/>
        <v>2.4224999999999997E-2</v>
      </c>
      <c r="FW49" s="31">
        <v>0.1</v>
      </c>
      <c r="FX49" s="77">
        <f t="shared" si="26"/>
        <v>9.0000000000000011E-2</v>
      </c>
      <c r="FY49" s="30"/>
      <c r="FZ49" s="32"/>
      <c r="GA49" s="31"/>
      <c r="GB49" s="77"/>
      <c r="GC49" s="378">
        <f t="shared" si="773"/>
        <v>0.10724680000000002</v>
      </c>
      <c r="GD49" s="379">
        <f t="shared" si="204"/>
        <v>0.10724680000000002</v>
      </c>
      <c r="GE49" s="379">
        <f t="shared" si="774"/>
        <v>1.6087019999999999</v>
      </c>
      <c r="GF49" s="379">
        <f t="shared" si="205"/>
        <v>1.6087019999999999</v>
      </c>
      <c r="GG49" s="379">
        <f t="shared" si="206"/>
        <v>5.898574</v>
      </c>
      <c r="GH49" s="218">
        <f t="shared" si="207"/>
        <v>23.594296</v>
      </c>
      <c r="GI49" s="379"/>
      <c r="GJ49" s="379"/>
      <c r="GK49" s="379"/>
      <c r="GL49" s="379"/>
      <c r="GM49" s="379"/>
      <c r="GN49" s="218"/>
      <c r="GO49" s="379">
        <f t="shared" si="208"/>
        <v>7.6145227999999996</v>
      </c>
      <c r="GP49" s="515">
        <f t="shared" si="209"/>
        <v>25.3102448</v>
      </c>
      <c r="GQ49" s="379">
        <f t="shared" si="891"/>
        <v>7.9597883432919376</v>
      </c>
      <c r="GR49" s="379">
        <f t="shared" si="892"/>
        <v>203.75342340525</v>
      </c>
      <c r="GS49" s="355">
        <f t="shared" si="390"/>
        <v>0.12300403275187502</v>
      </c>
      <c r="GT49" s="355">
        <f t="shared" si="391"/>
        <v>61.502016375937501</v>
      </c>
      <c r="GU49" s="355">
        <f t="shared" si="392"/>
        <v>0</v>
      </c>
      <c r="GV49" s="356">
        <f t="shared" si="393"/>
        <v>0</v>
      </c>
      <c r="GW49" s="355"/>
      <c r="GX49" s="355"/>
      <c r="GY49" s="355"/>
      <c r="GZ49" s="355"/>
      <c r="HA49" s="355"/>
      <c r="HB49" s="356"/>
      <c r="HC49" s="379">
        <f t="shared" si="212"/>
        <v>8.0827923760438125</v>
      </c>
      <c r="HD49" s="38">
        <f t="shared" si="213"/>
        <v>265.25543978118753</v>
      </c>
      <c r="HE49" s="527"/>
      <c r="HF49" s="529">
        <f t="shared" si="775"/>
        <v>21.717476999999999</v>
      </c>
      <c r="HG49" s="529">
        <f t="shared" si="776"/>
        <v>21.717476999999999</v>
      </c>
      <c r="HH49" s="529">
        <f t="shared" si="777"/>
        <v>0</v>
      </c>
      <c r="HI49" s="529">
        <f t="shared" si="778"/>
        <v>0</v>
      </c>
      <c r="HJ49" s="529">
        <f t="shared" si="779"/>
        <v>16.087020000000003</v>
      </c>
      <c r="HK49" s="524">
        <f t="shared" si="780"/>
        <v>16.087020000000003</v>
      </c>
      <c r="HL49" s="529">
        <f t="shared" si="781"/>
        <v>0</v>
      </c>
      <c r="HM49" s="529">
        <f t="shared" si="782"/>
        <v>0</v>
      </c>
      <c r="HN49" s="529">
        <f t="shared" si="783"/>
        <v>27.020849450000004</v>
      </c>
      <c r="HO49" s="529">
        <f t="shared" si="784"/>
        <v>139.90363250000001</v>
      </c>
      <c r="HP49" s="529">
        <f t="shared" si="785"/>
        <v>26.811700000000002</v>
      </c>
      <c r="HQ49" s="524">
        <f t="shared" si="786"/>
        <v>26.811700000000002</v>
      </c>
      <c r="HR49" s="615">
        <f t="shared" si="214"/>
        <v>8.6900391760438129</v>
      </c>
      <c r="HS49" s="615">
        <f t="shared" si="787"/>
        <v>265.86268658118752</v>
      </c>
      <c r="HT49" s="615">
        <f t="shared" si="788"/>
        <v>1.6087019999999999</v>
      </c>
      <c r="HU49" s="615">
        <f t="shared" si="789"/>
        <v>1.6087019999999999</v>
      </c>
      <c r="HV49" s="615">
        <f t="shared" si="790"/>
        <v>10.398574</v>
      </c>
      <c r="HW49" s="615">
        <f t="shared" si="791"/>
        <v>28.094296</v>
      </c>
      <c r="IG49" s="560"/>
      <c r="IH49" s="529">
        <f t="shared" si="215"/>
        <v>0.238892247</v>
      </c>
      <c r="II49" s="529">
        <f t="shared" si="216"/>
        <v>0.195457293</v>
      </c>
      <c r="IJ49" s="529">
        <f t="shared" si="217"/>
        <v>0.39091458600000001</v>
      </c>
      <c r="IK49" s="529">
        <f t="shared" si="893"/>
        <v>0.195457293</v>
      </c>
      <c r="IL49" s="529">
        <f t="shared" si="894"/>
        <v>18.351268064999999</v>
      </c>
      <c r="IM49" s="529">
        <f t="shared" si="895"/>
        <v>2.1717476999999999E-2</v>
      </c>
      <c r="IN49" s="529">
        <f t="shared" si="896"/>
        <v>2.1717476999999999E-2</v>
      </c>
      <c r="IO49" s="529">
        <f t="shared" si="222"/>
        <v>0.71667674100000001</v>
      </c>
      <c r="IP49" s="529">
        <f t="shared" si="223"/>
        <v>0.89041655699999989</v>
      </c>
      <c r="IQ49" s="529">
        <f t="shared" si="897"/>
        <v>1.1293088040000001</v>
      </c>
      <c r="IR49" s="529">
        <f t="shared" si="898"/>
        <v>0.89041655699999989</v>
      </c>
      <c r="IS49" s="529">
        <f t="shared" si="899"/>
        <v>18.394703018999998</v>
      </c>
      <c r="IT49" s="529">
        <f t="shared" si="900"/>
        <v>0.21717476999999999</v>
      </c>
      <c r="IU49" s="526">
        <f t="shared" si="901"/>
        <v>0.21717476999999999</v>
      </c>
      <c r="IV49" s="884">
        <f t="shared" si="229"/>
        <v>0</v>
      </c>
      <c r="IW49" s="884">
        <f t="shared" si="230"/>
        <v>0</v>
      </c>
      <c r="IX49" s="529">
        <f t="shared" si="792"/>
        <v>0</v>
      </c>
      <c r="IY49" s="529">
        <f t="shared" si="793"/>
        <v>0</v>
      </c>
      <c r="IZ49" s="529">
        <f t="shared" si="794"/>
        <v>0</v>
      </c>
      <c r="JA49" s="529">
        <f t="shared" si="795"/>
        <v>0</v>
      </c>
      <c r="JB49" s="529">
        <f t="shared" si="796"/>
        <v>0</v>
      </c>
      <c r="JC49" s="529">
        <f t="shared" si="231"/>
        <v>0</v>
      </c>
      <c r="JD49" s="529">
        <f t="shared" si="232"/>
        <v>0</v>
      </c>
      <c r="JE49" s="529">
        <f t="shared" si="797"/>
        <v>0</v>
      </c>
      <c r="JF49" s="529">
        <f t="shared" si="798"/>
        <v>0</v>
      </c>
      <c r="JG49" s="529">
        <f t="shared" si="799"/>
        <v>0</v>
      </c>
      <c r="JH49" s="529">
        <f t="shared" si="800"/>
        <v>0</v>
      </c>
      <c r="JI49" s="480">
        <f t="shared" si="801"/>
        <v>0</v>
      </c>
      <c r="JJ49" s="884">
        <f t="shared" si="233"/>
        <v>0.17695722000000005</v>
      </c>
      <c r="JK49" s="884">
        <f t="shared" si="234"/>
        <v>0.14478318000000004</v>
      </c>
      <c r="JL49" s="529">
        <f t="shared" si="802"/>
        <v>0.28956636000000008</v>
      </c>
      <c r="JM49" s="529">
        <f t="shared" si="803"/>
        <v>0.14478318000000004</v>
      </c>
      <c r="JN49" s="529">
        <f t="shared" si="804"/>
        <v>13.593531900000002</v>
      </c>
      <c r="JO49" s="529">
        <f t="shared" si="805"/>
        <v>1.6087020000000004E-2</v>
      </c>
      <c r="JP49" s="529">
        <f t="shared" si="806"/>
        <v>1.6087020000000004E-2</v>
      </c>
      <c r="JQ49" s="529">
        <f t="shared" si="235"/>
        <v>0.53087166000000008</v>
      </c>
      <c r="JR49" s="529">
        <f t="shared" si="236"/>
        <v>0.65956782000000003</v>
      </c>
      <c r="JS49" s="474">
        <f t="shared" si="807"/>
        <v>0.83652504000000016</v>
      </c>
      <c r="JT49" s="474">
        <f t="shared" si="808"/>
        <v>0.65956782000000003</v>
      </c>
      <c r="JU49" s="474">
        <f t="shared" si="809"/>
        <v>13.625705940000001</v>
      </c>
      <c r="JV49" s="474">
        <f t="shared" si="810"/>
        <v>0.16087020000000002</v>
      </c>
      <c r="JW49" s="134">
        <f t="shared" si="811"/>
        <v>0.16087020000000002</v>
      </c>
      <c r="JX49" s="884">
        <f t="shared" si="237"/>
        <v>0</v>
      </c>
      <c r="JY49" s="884">
        <f t="shared" si="238"/>
        <v>0</v>
      </c>
      <c r="JZ49" s="529">
        <f t="shared" si="812"/>
        <v>0</v>
      </c>
      <c r="KA49" s="529">
        <f t="shared" si="813"/>
        <v>0</v>
      </c>
      <c r="KB49" s="529">
        <f t="shared" si="814"/>
        <v>0</v>
      </c>
      <c r="KC49" s="529">
        <f t="shared" si="815"/>
        <v>0</v>
      </c>
      <c r="KD49" s="529">
        <f t="shared" si="816"/>
        <v>0</v>
      </c>
      <c r="KE49" s="529">
        <f t="shared" si="239"/>
        <v>0</v>
      </c>
      <c r="KF49" s="529">
        <f t="shared" si="240"/>
        <v>0</v>
      </c>
      <c r="KG49" s="529">
        <f t="shared" si="817"/>
        <v>0</v>
      </c>
      <c r="KH49" s="529">
        <f t="shared" si="818"/>
        <v>0</v>
      </c>
      <c r="KI49" s="529">
        <f t="shared" si="819"/>
        <v>0</v>
      </c>
      <c r="KJ49" s="529">
        <f t="shared" si="820"/>
        <v>0</v>
      </c>
      <c r="KK49" s="526">
        <f t="shared" si="821"/>
        <v>0</v>
      </c>
      <c r="KL49" s="884">
        <f t="shared" si="241"/>
        <v>0.29722934395000006</v>
      </c>
      <c r="KM49" s="884">
        <f t="shared" si="242"/>
        <v>0.24318764505000007</v>
      </c>
      <c r="KN49" s="529">
        <f t="shared" si="822"/>
        <v>0.48637529010000013</v>
      </c>
      <c r="KO49" s="529">
        <f t="shared" si="823"/>
        <v>0.24318764505000007</v>
      </c>
      <c r="KP49" s="529">
        <f t="shared" si="824"/>
        <v>22.832617785250001</v>
      </c>
      <c r="KQ49" s="529">
        <f t="shared" si="825"/>
        <v>2.7020849450000006E-2</v>
      </c>
      <c r="KR49" s="529">
        <f t="shared" si="826"/>
        <v>2.7020849450000006E-2</v>
      </c>
      <c r="KS49" s="529">
        <f t="shared" si="243"/>
        <v>4.6168198725000007</v>
      </c>
      <c r="KT49" s="529">
        <f t="shared" si="244"/>
        <v>5.7360489325000001</v>
      </c>
      <c r="KU49" s="529">
        <f t="shared" si="827"/>
        <v>7.2749888900000013</v>
      </c>
      <c r="KV49" s="529">
        <f t="shared" si="828"/>
        <v>5.7360489325000001</v>
      </c>
      <c r="KW49" s="529">
        <f t="shared" si="829"/>
        <v>118.4983767275</v>
      </c>
      <c r="KX49" s="529">
        <f t="shared" si="830"/>
        <v>1.3990363250000002</v>
      </c>
      <c r="KY49" s="480">
        <f t="shared" si="831"/>
        <v>1.3990363250000002</v>
      </c>
      <c r="KZ49" s="884">
        <f t="shared" si="245"/>
        <v>0.29492870000000004</v>
      </c>
      <c r="LA49" s="884">
        <f t="shared" si="246"/>
        <v>0.24130530000000006</v>
      </c>
      <c r="LB49" s="529">
        <f t="shared" si="832"/>
        <v>0.48261060000000011</v>
      </c>
      <c r="LC49" s="529">
        <f t="shared" si="833"/>
        <v>0.24130530000000006</v>
      </c>
      <c r="LD49" s="529">
        <f t="shared" si="834"/>
        <v>22.655886500000001</v>
      </c>
      <c r="LE49" s="529">
        <f t="shared" si="835"/>
        <v>2.6811700000000001E-2</v>
      </c>
      <c r="LF49" s="529">
        <f t="shared" si="836"/>
        <v>2.6811700000000001E-2</v>
      </c>
      <c r="LG49" s="529">
        <f t="shared" si="247"/>
        <v>0.88478610000000013</v>
      </c>
      <c r="LH49" s="529">
        <f t="shared" si="248"/>
        <v>1.0992796999999999</v>
      </c>
      <c r="LI49" s="355">
        <f t="shared" si="837"/>
        <v>1.3942084000000001</v>
      </c>
      <c r="LJ49" s="355">
        <f t="shared" si="838"/>
        <v>1.0992796999999999</v>
      </c>
      <c r="LK49" s="355">
        <f t="shared" si="839"/>
        <v>22.7095099</v>
      </c>
      <c r="LL49" s="355">
        <f t="shared" si="840"/>
        <v>0.26811700000000005</v>
      </c>
      <c r="LM49" s="134">
        <f t="shared" si="841"/>
        <v>0.26811700000000005</v>
      </c>
      <c r="LN49" s="884">
        <f t="shared" si="249"/>
        <v>9.5590430936481948E-3</v>
      </c>
      <c r="LO49" s="884">
        <f t="shared" si="250"/>
        <v>2.6070117528131436E-3</v>
      </c>
      <c r="LP49" s="529">
        <f t="shared" si="842"/>
        <v>4.431919979782345E-2</v>
      </c>
      <c r="LQ49" s="529">
        <f t="shared" si="843"/>
        <v>7.1258321243559256E-2</v>
      </c>
      <c r="LR49" s="529">
        <f t="shared" si="844"/>
        <v>6.9520313408350507</v>
      </c>
      <c r="LS49" s="529">
        <f t="shared" si="845"/>
        <v>7.560334083158117E-2</v>
      </c>
      <c r="LT49" s="529">
        <f t="shared" si="846"/>
        <v>8.6900391760438133E-3</v>
      </c>
      <c r="LU49" s="529">
        <f t="shared" si="251"/>
        <v>15.951761194871251</v>
      </c>
      <c r="LV49" s="529">
        <f t="shared" si="252"/>
        <v>7.9758805974356255</v>
      </c>
      <c r="LW49" s="529">
        <f t="shared" si="847"/>
        <v>18.610388060683128</v>
      </c>
      <c r="LX49" s="529">
        <f t="shared" si="848"/>
        <v>15.951761194871251</v>
      </c>
      <c r="LY49" s="529">
        <f t="shared" si="849"/>
        <v>262.93819702879449</v>
      </c>
      <c r="LZ49" s="529">
        <f t="shared" si="850"/>
        <v>2.658626865811875</v>
      </c>
      <c r="MA49" s="485">
        <f t="shared" si="851"/>
        <v>2.658626865811875</v>
      </c>
      <c r="MB49" s="884">
        <f t="shared" si="253"/>
        <v>1.7695721999999999E-3</v>
      </c>
      <c r="MC49" s="884">
        <f t="shared" si="254"/>
        <v>4.826105999999999E-4</v>
      </c>
      <c r="MD49" s="529">
        <f t="shared" si="852"/>
        <v>8.2043801999999999E-3</v>
      </c>
      <c r="ME49" s="529">
        <f t="shared" si="853"/>
        <v>1.3191356399999998E-2</v>
      </c>
      <c r="MF49" s="529">
        <f t="shared" si="854"/>
        <v>1.2869615999999999</v>
      </c>
      <c r="MG49" s="529">
        <f t="shared" si="855"/>
        <v>1.3995707399999998E-2</v>
      </c>
      <c r="MH49" s="529">
        <f t="shared" si="856"/>
        <v>1.6087019999999998E-3</v>
      </c>
      <c r="MI49" s="529">
        <f t="shared" si="255"/>
        <v>9.6522119999999989E-2</v>
      </c>
      <c r="MJ49" s="529">
        <f t="shared" si="256"/>
        <v>4.8261059999999995E-2</v>
      </c>
      <c r="MK49" s="529">
        <f t="shared" si="857"/>
        <v>0.11260914</v>
      </c>
      <c r="ML49" s="529">
        <f t="shared" si="858"/>
        <v>9.6522119999999989E-2</v>
      </c>
      <c r="MM49" s="529">
        <f t="shared" si="859"/>
        <v>1.5910062780000001</v>
      </c>
      <c r="MN49" s="529">
        <f t="shared" si="860"/>
        <v>1.608702E-2</v>
      </c>
      <c r="MO49" s="485">
        <f t="shared" si="861"/>
        <v>1.608702E-2</v>
      </c>
      <c r="MP49" s="884">
        <f t="shared" si="257"/>
        <v>1.1438431400000001E-2</v>
      </c>
      <c r="MQ49" s="884">
        <f t="shared" si="258"/>
        <v>3.1195721999999998E-3</v>
      </c>
      <c r="MR49" s="529">
        <f t="shared" si="862"/>
        <v>5.3032727400000007E-2</v>
      </c>
      <c r="MS49" s="529">
        <f t="shared" si="863"/>
        <v>8.5268306799999985E-2</v>
      </c>
      <c r="MT49" s="529">
        <f t="shared" si="864"/>
        <v>8.3188592000000003</v>
      </c>
      <c r="MU49" s="529">
        <f t="shared" si="865"/>
        <v>9.0467593799999996E-2</v>
      </c>
      <c r="MV49" s="529">
        <f t="shared" si="866"/>
        <v>1.0398574000000001E-2</v>
      </c>
      <c r="MW49" s="529">
        <f t="shared" si="259"/>
        <v>1.68565776</v>
      </c>
      <c r="MX49" s="529">
        <f t="shared" si="260"/>
        <v>0.84282888</v>
      </c>
      <c r="MY49" s="474">
        <f t="shared" si="867"/>
        <v>1.9666007200000002</v>
      </c>
      <c r="MZ49" s="474">
        <f t="shared" si="868"/>
        <v>1.68565776</v>
      </c>
      <c r="NA49" s="474">
        <f t="shared" si="869"/>
        <v>27.785258744000004</v>
      </c>
      <c r="NB49" s="474">
        <f t="shared" si="870"/>
        <v>0.28094296000000002</v>
      </c>
      <c r="NC49" s="134">
        <f t="shared" si="871"/>
        <v>0.28094296000000002</v>
      </c>
    </row>
    <row r="50" spans="1:367" x14ac:dyDescent="0.25">
      <c r="A50" s="18">
        <v>1995</v>
      </c>
      <c r="B50" s="1271">
        <v>3629</v>
      </c>
      <c r="C50" s="1224"/>
      <c r="D50" s="1224">
        <v>0</v>
      </c>
      <c r="E50" s="1272"/>
      <c r="F50" s="1226">
        <f t="shared" si="144"/>
        <v>3574.5650000000001</v>
      </c>
      <c r="G50" s="1226"/>
      <c r="H50" s="1224">
        <f t="shared" si="145"/>
        <v>0</v>
      </c>
      <c r="I50" s="1224"/>
      <c r="J50" s="1082">
        <f t="shared" si="918"/>
        <v>7.5</v>
      </c>
      <c r="K50" s="1082">
        <f t="shared" si="734"/>
        <v>7.5</v>
      </c>
      <c r="L50" s="1226">
        <f t="shared" si="751"/>
        <v>3574.5650000000001</v>
      </c>
      <c r="M50" s="1227"/>
      <c r="N50" s="193">
        <v>8.0999999999999996E-3</v>
      </c>
      <c r="O50" s="47">
        <v>0</v>
      </c>
      <c r="P50" s="47">
        <v>6.0000000000000001E-3</v>
      </c>
      <c r="Q50" s="192">
        <v>0</v>
      </c>
      <c r="R50" s="47">
        <v>0</v>
      </c>
      <c r="S50" s="47">
        <f t="shared" si="146"/>
        <v>5.4000000000000003E-3</v>
      </c>
      <c r="T50" s="47">
        <v>0.01</v>
      </c>
      <c r="U50" s="47">
        <v>1.8E-3</v>
      </c>
      <c r="V50" s="117">
        <v>4.0000000000000003E-5</v>
      </c>
      <c r="W50" s="47">
        <v>5.9999999999999995E-4</v>
      </c>
      <c r="X50" s="52">
        <v>1.0999999999999999E-2</v>
      </c>
      <c r="Y50" s="52">
        <v>2.0199999999999999E-2</v>
      </c>
      <c r="Z50" s="111">
        <v>6.3E-2</v>
      </c>
      <c r="AA50" s="52">
        <f t="shared" si="147"/>
        <v>0.1</v>
      </c>
      <c r="AB50" s="52">
        <f t="shared" si="148"/>
        <v>0</v>
      </c>
      <c r="AC50" s="52">
        <f t="shared" si="149"/>
        <v>0.9</v>
      </c>
      <c r="AD50" s="363">
        <f t="shared" si="150"/>
        <v>28.9539765</v>
      </c>
      <c r="AE50" s="355">
        <f t="shared" si="151"/>
        <v>28.9539765</v>
      </c>
      <c r="AF50" s="355">
        <f t="shared" si="152"/>
        <v>0</v>
      </c>
      <c r="AG50" s="355">
        <f t="shared" si="151"/>
        <v>0</v>
      </c>
      <c r="AH50" s="355">
        <f t="shared" si="153"/>
        <v>21.447390000000002</v>
      </c>
      <c r="AI50" s="355">
        <f t="shared" ref="AI50" si="951">AH50</f>
        <v>21.447390000000002</v>
      </c>
      <c r="AJ50" s="508"/>
      <c r="AK50" s="508"/>
      <c r="AL50" s="508"/>
      <c r="AM50" s="508"/>
      <c r="AN50" s="508"/>
      <c r="AO50" s="572"/>
      <c r="AP50" s="366">
        <f t="shared" si="155"/>
        <v>28.9539765</v>
      </c>
      <c r="AQ50" s="355">
        <f t="shared" ref="AQ50" si="952">AP50</f>
        <v>28.9539765</v>
      </c>
      <c r="AR50" s="355">
        <f t="shared" si="157"/>
        <v>0</v>
      </c>
      <c r="AS50" s="355">
        <f t="shared" ref="AS50" si="953">AR50</f>
        <v>0</v>
      </c>
      <c r="AT50" s="355">
        <f t="shared" si="159"/>
        <v>21.447390000000002</v>
      </c>
      <c r="AU50" s="355">
        <f t="shared" ref="AU50" si="954">AT50</f>
        <v>21.447390000000002</v>
      </c>
      <c r="AV50" s="363">
        <f t="shared" si="2"/>
        <v>0</v>
      </c>
      <c r="AW50" s="355">
        <f t="shared" ref="AW50" si="955">AV50</f>
        <v>0</v>
      </c>
      <c r="AX50" s="355">
        <f t="shared" si="3"/>
        <v>19.302651000000001</v>
      </c>
      <c r="AY50" s="355">
        <f t="shared" ref="AY50" si="956">AX50</f>
        <v>19.302651000000001</v>
      </c>
      <c r="AZ50" s="355">
        <f t="shared" si="4"/>
        <v>35.745650000000005</v>
      </c>
      <c r="BA50" s="355">
        <f t="shared" ref="BA50" si="957">AZ50</f>
        <v>35.745650000000005</v>
      </c>
      <c r="BB50" s="366"/>
      <c r="BC50" s="355"/>
      <c r="BD50" s="355"/>
      <c r="BE50" s="355"/>
      <c r="BF50" s="355"/>
      <c r="BG50" s="355"/>
      <c r="BH50" s="366">
        <f t="shared" si="5"/>
        <v>0</v>
      </c>
      <c r="BI50" s="355">
        <f t="shared" ref="BI50" si="958">BH50</f>
        <v>0</v>
      </c>
      <c r="BJ50" s="355">
        <f t="shared" si="6"/>
        <v>19.302651000000001</v>
      </c>
      <c r="BK50" s="355">
        <f t="shared" ref="BK50" si="959">BJ50</f>
        <v>19.302651000000001</v>
      </c>
      <c r="BL50" s="355">
        <f t="shared" si="7"/>
        <v>35.745650000000005</v>
      </c>
      <c r="BM50" s="355">
        <f t="shared" ref="BM50" si="960">BL50</f>
        <v>35.745650000000005</v>
      </c>
      <c r="BN50" s="363">
        <f t="shared" si="8"/>
        <v>0.14298260000000002</v>
      </c>
      <c r="BO50" s="355">
        <f t="shared" ref="BO50" si="961">BN50</f>
        <v>0.14298260000000002</v>
      </c>
      <c r="BP50" s="355">
        <f t="shared" si="9"/>
        <v>2.144739</v>
      </c>
      <c r="BQ50" s="355">
        <f t="shared" ref="BQ50" si="962">BP50</f>
        <v>2.144739</v>
      </c>
      <c r="BR50" s="355">
        <f t="shared" si="10"/>
        <v>39.320214999999997</v>
      </c>
      <c r="BS50" s="355">
        <f t="shared" ref="BS50" si="963">BR50</f>
        <v>39.320214999999997</v>
      </c>
      <c r="BT50" s="366"/>
      <c r="BU50" s="355"/>
      <c r="BV50" s="355"/>
      <c r="BW50" s="355"/>
      <c r="BX50" s="355"/>
      <c r="BY50" s="355"/>
      <c r="BZ50" s="366">
        <f t="shared" si="11"/>
        <v>0.14298260000000002</v>
      </c>
      <c r="CA50" s="355">
        <f t="shared" ref="CA50" si="964">BZ50</f>
        <v>0.14298260000000002</v>
      </c>
      <c r="CB50" s="355">
        <f t="shared" si="12"/>
        <v>2.144739</v>
      </c>
      <c r="CC50" s="355">
        <f t="shared" ref="CC50" si="965">CB50</f>
        <v>2.144739</v>
      </c>
      <c r="CD50" s="355">
        <f t="shared" si="13"/>
        <v>39.320214999999997</v>
      </c>
      <c r="CE50" s="526">
        <f t="shared" ref="CE50" si="966">CD50</f>
        <v>39.320214999999997</v>
      </c>
      <c r="CF50" s="355">
        <f t="shared" si="173"/>
        <v>0.75</v>
      </c>
      <c r="CG50" s="615">
        <f t="shared" si="174"/>
        <v>0.75</v>
      </c>
      <c r="CH50" s="355">
        <f t="shared" si="175"/>
        <v>0</v>
      </c>
      <c r="CI50" s="615">
        <f t="shared" si="491"/>
        <v>0</v>
      </c>
      <c r="CJ50" s="615">
        <f t="shared" si="176"/>
        <v>6.75</v>
      </c>
      <c r="CK50" s="615">
        <f t="shared" si="492"/>
        <v>6.75</v>
      </c>
      <c r="CL50" s="122"/>
      <c r="CM50" s="1235">
        <f t="shared" si="16"/>
        <v>3341.867405</v>
      </c>
      <c r="CN50" s="1231"/>
      <c r="CO50" s="1230"/>
      <c r="CP50" s="1231"/>
      <c r="CQ50" s="1230">
        <f t="shared" si="177"/>
        <v>3341.867405</v>
      </c>
      <c r="CR50" s="1232"/>
      <c r="CS50" s="30">
        <v>0.45</v>
      </c>
      <c r="CT50" s="31">
        <f t="shared" si="178"/>
        <v>0.55000000000000004</v>
      </c>
      <c r="CU50" s="31"/>
      <c r="CV50" s="32"/>
      <c r="CW50" s="1233">
        <f t="shared" si="179"/>
        <v>1428.6483156375</v>
      </c>
      <c r="CX50" s="1234"/>
      <c r="CY50" s="1234">
        <f t="shared" si="180"/>
        <v>1746.1257191125001</v>
      </c>
      <c r="CZ50" s="1231"/>
      <c r="DA50" s="369"/>
      <c r="DB50" s="369"/>
      <c r="DC50" s="369"/>
      <c r="DD50" s="373"/>
      <c r="DE50" s="1234">
        <f t="shared" si="768"/>
        <v>1428.6483156375</v>
      </c>
      <c r="DF50" s="1234"/>
      <c r="DG50" s="369">
        <f t="shared" si="341"/>
        <v>1746.1257191125001</v>
      </c>
      <c r="DH50" s="372">
        <f t="shared" si="182"/>
        <v>1746.1257191125001</v>
      </c>
      <c r="DJ50" s="493">
        <v>0.05</v>
      </c>
      <c r="DK50" s="379"/>
      <c r="DL50" s="1084">
        <f t="shared" si="18"/>
        <v>167.09337025000002</v>
      </c>
      <c r="DM50" s="1084">
        <f t="shared" si="605"/>
        <v>167.09337025000002</v>
      </c>
      <c r="DN50" s="369"/>
      <c r="DO50" s="372"/>
      <c r="DP50" s="30">
        <v>1</v>
      </c>
      <c r="DQ50" s="31">
        <f t="shared" si="183"/>
        <v>0.1</v>
      </c>
      <c r="DR50" s="31">
        <f t="shared" si="184"/>
        <v>1</v>
      </c>
      <c r="DS50" s="680">
        <f t="shared" si="185"/>
        <v>0.1</v>
      </c>
      <c r="DT50" s="77">
        <f t="shared" si="186"/>
        <v>1</v>
      </c>
      <c r="DU50" s="31">
        <v>0</v>
      </c>
      <c r="DV50" s="31">
        <v>1</v>
      </c>
      <c r="DW50" s="31">
        <v>0</v>
      </c>
      <c r="DX50" s="31">
        <v>0</v>
      </c>
      <c r="DY50" s="31">
        <v>1</v>
      </c>
      <c r="DZ50" s="31">
        <v>0</v>
      </c>
      <c r="EA50" s="383">
        <f t="shared" si="888"/>
        <v>0</v>
      </c>
      <c r="EB50" s="355">
        <f t="shared" si="188"/>
        <v>0</v>
      </c>
      <c r="EC50" s="355">
        <f t="shared" si="889"/>
        <v>14.622809237500004</v>
      </c>
      <c r="ED50" s="355">
        <f t="shared" si="190"/>
        <v>146.22809237500002</v>
      </c>
      <c r="EE50" s="355">
        <f t="shared" si="890"/>
        <v>0</v>
      </c>
      <c r="EF50" s="355">
        <f t="shared" si="192"/>
        <v>0</v>
      </c>
      <c r="EG50" s="366"/>
      <c r="EH50" s="355"/>
      <c r="EI50" s="355"/>
      <c r="EJ50" s="355"/>
      <c r="EK50" s="355"/>
      <c r="EL50" s="356"/>
      <c r="EM50" s="355">
        <f t="shared" si="193"/>
        <v>14.622809237500004</v>
      </c>
      <c r="EN50" s="134">
        <f t="shared" si="194"/>
        <v>146.22809237500002</v>
      </c>
      <c r="EP50" s="1171">
        <f t="shared" si="769"/>
        <v>0.14298260000000002</v>
      </c>
      <c r="EQ50" s="1172"/>
      <c r="ER50" s="1172">
        <f t="shared" si="770"/>
        <v>2.144739</v>
      </c>
      <c r="ES50" s="1172"/>
      <c r="ET50" s="1172">
        <f t="shared" si="771"/>
        <v>39.320214999999997</v>
      </c>
      <c r="EU50" s="1172"/>
      <c r="EV50" s="366"/>
      <c r="EW50" s="355"/>
      <c r="EX50" s="355"/>
      <c r="EY50" s="355"/>
      <c r="EZ50" s="1172"/>
      <c r="FA50" s="1173"/>
      <c r="FB50" s="368">
        <f t="shared" si="195"/>
        <v>1428.6483156375</v>
      </c>
      <c r="FC50" s="369">
        <f t="shared" si="196"/>
        <v>1428.6483156375</v>
      </c>
      <c r="FD50" s="369"/>
      <c r="FE50" s="61"/>
      <c r="FF50" s="368">
        <f t="shared" si="772"/>
        <v>1746.1257191125001</v>
      </c>
      <c r="FG50" s="369">
        <f t="shared" si="426"/>
        <v>1746.1257191125001</v>
      </c>
      <c r="FH50" s="369"/>
      <c r="FI50" s="369"/>
      <c r="FJ50" s="30">
        <v>1</v>
      </c>
      <c r="FK50" s="31">
        <v>0.2</v>
      </c>
      <c r="FL50" s="501">
        <v>0.8</v>
      </c>
      <c r="FM50" s="31">
        <f t="shared" si="198"/>
        <v>0.1</v>
      </c>
      <c r="FN50" s="501">
        <f t="shared" si="199"/>
        <v>1</v>
      </c>
      <c r="FO50" s="31">
        <f t="shared" si="200"/>
        <v>0.1</v>
      </c>
      <c r="FP50" s="31">
        <f t="shared" si="201"/>
        <v>1</v>
      </c>
      <c r="FQ50" s="31">
        <v>1</v>
      </c>
      <c r="FR50" s="31">
        <v>0</v>
      </c>
      <c r="FS50" s="89">
        <f t="shared" si="202"/>
        <v>1E-3</v>
      </c>
      <c r="FT50" s="31">
        <f t="shared" si="203"/>
        <v>0.05</v>
      </c>
      <c r="FU50" s="30">
        <v>0.05</v>
      </c>
      <c r="FV50" s="32">
        <f t="shared" si="25"/>
        <v>2.4224999999999997E-2</v>
      </c>
      <c r="FW50" s="31">
        <v>0.1</v>
      </c>
      <c r="FX50" s="77">
        <f t="shared" si="26"/>
        <v>9.0000000000000011E-2</v>
      </c>
      <c r="FY50" s="30"/>
      <c r="FZ50" s="32"/>
      <c r="GA50" s="31"/>
      <c r="GB50" s="77"/>
      <c r="GC50" s="378">
        <f t="shared" si="773"/>
        <v>0.14298260000000002</v>
      </c>
      <c r="GD50" s="379">
        <f t="shared" si="204"/>
        <v>0.14298260000000002</v>
      </c>
      <c r="GE50" s="379">
        <f t="shared" si="774"/>
        <v>2.144739</v>
      </c>
      <c r="GF50" s="379">
        <f t="shared" si="205"/>
        <v>2.144739</v>
      </c>
      <c r="GG50" s="379">
        <f t="shared" si="206"/>
        <v>7.8640429999999997</v>
      </c>
      <c r="GH50" s="218">
        <f t="shared" si="207"/>
        <v>31.456171999999999</v>
      </c>
      <c r="GI50" s="379"/>
      <c r="GJ50" s="379"/>
      <c r="GK50" s="379"/>
      <c r="GL50" s="379"/>
      <c r="GM50" s="379"/>
      <c r="GN50" s="218"/>
      <c r="GO50" s="379">
        <f t="shared" si="208"/>
        <v>10.1517646</v>
      </c>
      <c r="GP50" s="515">
        <f t="shared" si="209"/>
        <v>33.7438936</v>
      </c>
      <c r="GQ50" s="379">
        <f t="shared" si="891"/>
        <v>9.279982033836891</v>
      </c>
      <c r="GR50" s="379">
        <f t="shared" si="892"/>
        <v>237.54753606318749</v>
      </c>
      <c r="GS50" s="355">
        <f t="shared" si="390"/>
        <v>0.12898318500787503</v>
      </c>
      <c r="GT50" s="355">
        <f t="shared" si="391"/>
        <v>64.491592503937497</v>
      </c>
      <c r="GU50" s="355">
        <f t="shared" si="392"/>
        <v>0</v>
      </c>
      <c r="GV50" s="356">
        <f t="shared" si="393"/>
        <v>0</v>
      </c>
      <c r="GW50" s="355"/>
      <c r="GX50" s="355"/>
      <c r="GY50" s="355"/>
      <c r="GZ50" s="355"/>
      <c r="HA50" s="355"/>
      <c r="HB50" s="356"/>
      <c r="HC50" s="379">
        <f t="shared" si="212"/>
        <v>9.4089652188447666</v>
      </c>
      <c r="HD50" s="38">
        <f t="shared" si="213"/>
        <v>302.03912856712498</v>
      </c>
      <c r="HE50" s="527"/>
      <c r="HF50" s="529">
        <f t="shared" si="775"/>
        <v>28.9539765</v>
      </c>
      <c r="HG50" s="529">
        <f t="shared" si="776"/>
        <v>28.9539765</v>
      </c>
      <c r="HH50" s="529">
        <f t="shared" si="777"/>
        <v>0</v>
      </c>
      <c r="HI50" s="529">
        <f t="shared" si="778"/>
        <v>0</v>
      </c>
      <c r="HJ50" s="529">
        <f t="shared" si="779"/>
        <v>21.447390000000002</v>
      </c>
      <c r="HK50" s="524">
        <f t="shared" si="780"/>
        <v>21.447390000000002</v>
      </c>
      <c r="HL50" s="529">
        <f t="shared" si="781"/>
        <v>0</v>
      </c>
      <c r="HM50" s="529">
        <f t="shared" si="782"/>
        <v>0</v>
      </c>
      <c r="HN50" s="529">
        <f t="shared" si="783"/>
        <v>33.925460237500005</v>
      </c>
      <c r="HO50" s="529">
        <f t="shared" si="784"/>
        <v>165.53074337500001</v>
      </c>
      <c r="HP50" s="529">
        <f t="shared" si="785"/>
        <v>35.745650000000005</v>
      </c>
      <c r="HQ50" s="524">
        <f t="shared" si="786"/>
        <v>35.745650000000005</v>
      </c>
      <c r="HR50" s="615">
        <f t="shared" si="214"/>
        <v>10.301947818844766</v>
      </c>
      <c r="HS50" s="615">
        <f t="shared" si="787"/>
        <v>302.93211116712502</v>
      </c>
      <c r="HT50" s="615">
        <f t="shared" si="788"/>
        <v>2.144739</v>
      </c>
      <c r="HU50" s="615">
        <f t="shared" si="789"/>
        <v>2.144739</v>
      </c>
      <c r="HV50" s="615">
        <f t="shared" si="790"/>
        <v>14.614042999999999</v>
      </c>
      <c r="HW50" s="615">
        <f t="shared" si="791"/>
        <v>38.206171999999995</v>
      </c>
      <c r="IG50" s="560"/>
      <c r="IH50" s="529">
        <f t="shared" si="215"/>
        <v>0.31849374150000004</v>
      </c>
      <c r="II50" s="529">
        <f t="shared" si="216"/>
        <v>0.26058578850000003</v>
      </c>
      <c r="IJ50" s="529">
        <f t="shared" si="217"/>
        <v>0.52117157700000005</v>
      </c>
      <c r="IK50" s="529">
        <f t="shared" si="893"/>
        <v>0.26058578850000003</v>
      </c>
      <c r="IL50" s="529">
        <f t="shared" si="894"/>
        <v>24.4661101425</v>
      </c>
      <c r="IM50" s="529">
        <f t="shared" si="895"/>
        <v>2.8953976499999999E-2</v>
      </c>
      <c r="IN50" s="529">
        <f t="shared" si="896"/>
        <v>2.8953976499999999E-2</v>
      </c>
      <c r="IO50" s="529">
        <f t="shared" si="222"/>
        <v>0.95548122450000006</v>
      </c>
      <c r="IP50" s="529">
        <f t="shared" si="223"/>
        <v>1.1871130364999998</v>
      </c>
      <c r="IQ50" s="529">
        <f t="shared" si="897"/>
        <v>1.5056067780000002</v>
      </c>
      <c r="IR50" s="529">
        <f t="shared" si="898"/>
        <v>1.1871130364999998</v>
      </c>
      <c r="IS50" s="529">
        <f t="shared" si="899"/>
        <v>24.524018095500001</v>
      </c>
      <c r="IT50" s="529">
        <f t="shared" si="900"/>
        <v>0.289539765</v>
      </c>
      <c r="IU50" s="526">
        <f t="shared" si="901"/>
        <v>0.289539765</v>
      </c>
      <c r="IV50" s="884">
        <f t="shared" si="229"/>
        <v>0</v>
      </c>
      <c r="IW50" s="884">
        <f t="shared" si="230"/>
        <v>0</v>
      </c>
      <c r="IX50" s="529">
        <f t="shared" si="792"/>
        <v>0</v>
      </c>
      <c r="IY50" s="529">
        <f t="shared" si="793"/>
        <v>0</v>
      </c>
      <c r="IZ50" s="529">
        <f t="shared" si="794"/>
        <v>0</v>
      </c>
      <c r="JA50" s="529">
        <f t="shared" si="795"/>
        <v>0</v>
      </c>
      <c r="JB50" s="529">
        <f t="shared" si="796"/>
        <v>0</v>
      </c>
      <c r="JC50" s="529">
        <f t="shared" si="231"/>
        <v>0</v>
      </c>
      <c r="JD50" s="529">
        <f t="shared" si="232"/>
        <v>0</v>
      </c>
      <c r="JE50" s="529">
        <f t="shared" si="797"/>
        <v>0</v>
      </c>
      <c r="JF50" s="529">
        <f t="shared" si="798"/>
        <v>0</v>
      </c>
      <c r="JG50" s="529">
        <f t="shared" si="799"/>
        <v>0</v>
      </c>
      <c r="JH50" s="529">
        <f t="shared" si="800"/>
        <v>0</v>
      </c>
      <c r="JI50" s="480">
        <f t="shared" si="801"/>
        <v>0</v>
      </c>
      <c r="JJ50" s="884">
        <f t="shared" si="233"/>
        <v>0.23592129000000006</v>
      </c>
      <c r="JK50" s="884">
        <f t="shared" si="234"/>
        <v>0.19302651000000004</v>
      </c>
      <c r="JL50" s="529">
        <f t="shared" si="802"/>
        <v>0.38605302000000008</v>
      </c>
      <c r="JM50" s="529">
        <f t="shared" si="803"/>
        <v>0.19302651000000004</v>
      </c>
      <c r="JN50" s="529">
        <f t="shared" si="804"/>
        <v>18.123044550000003</v>
      </c>
      <c r="JO50" s="529">
        <f t="shared" si="805"/>
        <v>2.1447390000000004E-2</v>
      </c>
      <c r="JP50" s="529">
        <f t="shared" si="806"/>
        <v>2.1447390000000004E-2</v>
      </c>
      <c r="JQ50" s="529">
        <f t="shared" si="235"/>
        <v>0.70776387000000007</v>
      </c>
      <c r="JR50" s="529">
        <f t="shared" si="236"/>
        <v>0.87934298999999994</v>
      </c>
      <c r="JS50" s="474">
        <f t="shared" si="807"/>
        <v>1.1152642800000001</v>
      </c>
      <c r="JT50" s="474">
        <f t="shared" si="808"/>
        <v>0.87934298999999994</v>
      </c>
      <c r="JU50" s="474">
        <f t="shared" si="809"/>
        <v>18.16593933</v>
      </c>
      <c r="JV50" s="474">
        <f t="shared" si="810"/>
        <v>0.21447390000000002</v>
      </c>
      <c r="JW50" s="134">
        <f t="shared" si="811"/>
        <v>0.21447390000000002</v>
      </c>
      <c r="JX50" s="884">
        <f t="shared" si="237"/>
        <v>0</v>
      </c>
      <c r="JY50" s="884">
        <f t="shared" si="238"/>
        <v>0</v>
      </c>
      <c r="JZ50" s="529">
        <f t="shared" si="812"/>
        <v>0</v>
      </c>
      <c r="KA50" s="529">
        <f t="shared" si="813"/>
        <v>0</v>
      </c>
      <c r="KB50" s="529">
        <f t="shared" si="814"/>
        <v>0</v>
      </c>
      <c r="KC50" s="529">
        <f t="shared" si="815"/>
        <v>0</v>
      </c>
      <c r="KD50" s="529">
        <f t="shared" si="816"/>
        <v>0</v>
      </c>
      <c r="KE50" s="529">
        <f t="shared" si="239"/>
        <v>0</v>
      </c>
      <c r="KF50" s="529">
        <f t="shared" si="240"/>
        <v>0</v>
      </c>
      <c r="KG50" s="529">
        <f t="shared" si="817"/>
        <v>0</v>
      </c>
      <c r="KH50" s="529">
        <f t="shared" si="818"/>
        <v>0</v>
      </c>
      <c r="KI50" s="529">
        <f t="shared" si="819"/>
        <v>0</v>
      </c>
      <c r="KJ50" s="529">
        <f t="shared" si="820"/>
        <v>0</v>
      </c>
      <c r="KK50" s="526">
        <f t="shared" si="821"/>
        <v>0</v>
      </c>
      <c r="KL50" s="884">
        <f t="shared" si="241"/>
        <v>0.37318006261250009</v>
      </c>
      <c r="KM50" s="884">
        <f t="shared" si="242"/>
        <v>0.30532914213750006</v>
      </c>
      <c r="KN50" s="529">
        <f t="shared" si="822"/>
        <v>0.61065828427500013</v>
      </c>
      <c r="KO50" s="529">
        <f t="shared" si="823"/>
        <v>0.30532914213750006</v>
      </c>
      <c r="KP50" s="529">
        <f t="shared" si="824"/>
        <v>28.667013900687504</v>
      </c>
      <c r="KQ50" s="529">
        <f t="shared" si="825"/>
        <v>3.3925460237500003E-2</v>
      </c>
      <c r="KR50" s="529">
        <f t="shared" si="826"/>
        <v>3.3925460237500003E-2</v>
      </c>
      <c r="KS50" s="529">
        <f t="shared" si="243"/>
        <v>5.4625145313750005</v>
      </c>
      <c r="KT50" s="529">
        <f t="shared" si="244"/>
        <v>6.7867604783749993</v>
      </c>
      <c r="KU50" s="529">
        <f t="shared" si="827"/>
        <v>8.6075986555000021</v>
      </c>
      <c r="KV50" s="529">
        <f t="shared" si="828"/>
        <v>6.7867604783749993</v>
      </c>
      <c r="KW50" s="529">
        <f t="shared" si="829"/>
        <v>140.20453963862502</v>
      </c>
      <c r="KX50" s="529">
        <f t="shared" si="830"/>
        <v>1.6553074337500002</v>
      </c>
      <c r="KY50" s="480">
        <f t="shared" si="831"/>
        <v>1.6553074337500002</v>
      </c>
      <c r="KZ50" s="884">
        <f t="shared" si="245"/>
        <v>0.39320215000000008</v>
      </c>
      <c r="LA50" s="884">
        <f t="shared" si="246"/>
        <v>0.3217108500000001</v>
      </c>
      <c r="LB50" s="529">
        <f t="shared" si="832"/>
        <v>0.64342170000000021</v>
      </c>
      <c r="LC50" s="529">
        <f t="shared" si="833"/>
        <v>0.3217108500000001</v>
      </c>
      <c r="LD50" s="529">
        <f t="shared" si="834"/>
        <v>30.205074250000003</v>
      </c>
      <c r="LE50" s="529">
        <f t="shared" si="835"/>
        <v>3.5745650000000004E-2</v>
      </c>
      <c r="LF50" s="529">
        <f t="shared" si="836"/>
        <v>3.5745650000000004E-2</v>
      </c>
      <c r="LG50" s="529">
        <f t="shared" si="247"/>
        <v>1.1796064500000003</v>
      </c>
      <c r="LH50" s="529">
        <f t="shared" si="248"/>
        <v>1.46557165</v>
      </c>
      <c r="LI50" s="355">
        <f t="shared" si="837"/>
        <v>1.8587738000000005</v>
      </c>
      <c r="LJ50" s="355">
        <f t="shared" si="838"/>
        <v>1.46557165</v>
      </c>
      <c r="LK50" s="355">
        <f t="shared" si="839"/>
        <v>30.276565550000004</v>
      </c>
      <c r="LL50" s="355">
        <f t="shared" si="840"/>
        <v>0.35745650000000007</v>
      </c>
      <c r="LM50" s="134">
        <f t="shared" si="841"/>
        <v>0.35745650000000007</v>
      </c>
      <c r="LN50" s="884">
        <f t="shared" si="249"/>
        <v>1.1332142600729244E-2</v>
      </c>
      <c r="LO50" s="884">
        <f t="shared" si="250"/>
        <v>3.0905843456534294E-3</v>
      </c>
      <c r="LP50" s="529">
        <f t="shared" si="842"/>
        <v>5.2539933876108315E-2</v>
      </c>
      <c r="LQ50" s="529">
        <f t="shared" si="843"/>
        <v>8.4475972114527079E-2</v>
      </c>
      <c r="LR50" s="529">
        <f t="shared" si="844"/>
        <v>8.2415582550758142</v>
      </c>
      <c r="LS50" s="529">
        <f t="shared" si="845"/>
        <v>8.9626946023949466E-2</v>
      </c>
      <c r="LT50" s="529">
        <f t="shared" si="846"/>
        <v>1.0301947818844767E-2</v>
      </c>
      <c r="LU50" s="529">
        <f t="shared" si="251"/>
        <v>18.175926670027501</v>
      </c>
      <c r="LV50" s="529">
        <f t="shared" si="252"/>
        <v>9.0879633350137503</v>
      </c>
      <c r="LW50" s="529">
        <f t="shared" si="847"/>
        <v>21.205247781698752</v>
      </c>
      <c r="LX50" s="529">
        <f t="shared" si="848"/>
        <v>18.175926670027501</v>
      </c>
      <c r="LY50" s="529">
        <f t="shared" si="849"/>
        <v>299.59985794428667</v>
      </c>
      <c r="LZ50" s="529">
        <f t="shared" si="850"/>
        <v>3.0293211116712504</v>
      </c>
      <c r="MA50" s="485">
        <f t="shared" si="851"/>
        <v>3.0293211116712504</v>
      </c>
      <c r="MB50" s="884">
        <f t="shared" si="253"/>
        <v>2.3592129000000002E-3</v>
      </c>
      <c r="MC50" s="884">
        <f t="shared" si="254"/>
        <v>6.4342169999999995E-4</v>
      </c>
      <c r="MD50" s="529">
        <f t="shared" si="852"/>
        <v>1.09381689E-2</v>
      </c>
      <c r="ME50" s="529">
        <f t="shared" si="853"/>
        <v>1.7586859799999997E-2</v>
      </c>
      <c r="MF50" s="529">
        <f t="shared" si="854"/>
        <v>1.7157912</v>
      </c>
      <c r="MG50" s="529">
        <f t="shared" si="855"/>
        <v>1.86592293E-2</v>
      </c>
      <c r="MH50" s="529">
        <f t="shared" si="856"/>
        <v>2.1447390000000001E-3</v>
      </c>
      <c r="MI50" s="529">
        <f t="shared" si="255"/>
        <v>0.12868433999999998</v>
      </c>
      <c r="MJ50" s="529">
        <f t="shared" si="256"/>
        <v>6.434216999999999E-2</v>
      </c>
      <c r="MK50" s="529">
        <f t="shared" si="857"/>
        <v>0.15013173000000002</v>
      </c>
      <c r="ML50" s="529">
        <f t="shared" si="858"/>
        <v>0.12868433999999998</v>
      </c>
      <c r="MM50" s="529">
        <f t="shared" si="859"/>
        <v>2.1211468710000001</v>
      </c>
      <c r="MN50" s="529">
        <f t="shared" si="860"/>
        <v>2.144739E-2</v>
      </c>
      <c r="MO50" s="485">
        <f t="shared" si="861"/>
        <v>2.144739E-2</v>
      </c>
      <c r="MP50" s="884">
        <f t="shared" si="257"/>
        <v>1.60754473E-2</v>
      </c>
      <c r="MQ50" s="884">
        <f t="shared" si="258"/>
        <v>4.3842128999999992E-3</v>
      </c>
      <c r="MR50" s="529">
        <f t="shared" si="862"/>
        <v>7.4531619300000004E-2</v>
      </c>
      <c r="MS50" s="529">
        <f t="shared" si="863"/>
        <v>0.11983515259999998</v>
      </c>
      <c r="MT50" s="529">
        <f t="shared" si="864"/>
        <v>11.691234399999999</v>
      </c>
      <c r="MU50" s="529">
        <f t="shared" si="865"/>
        <v>0.12714217409999998</v>
      </c>
      <c r="MV50" s="529">
        <f t="shared" si="866"/>
        <v>1.4614042999999998E-2</v>
      </c>
      <c r="MW50" s="529">
        <f t="shared" si="259"/>
        <v>2.2923703199999994</v>
      </c>
      <c r="MX50" s="529">
        <f t="shared" si="260"/>
        <v>1.1461851599999997</v>
      </c>
      <c r="MY50" s="474">
        <f t="shared" si="867"/>
        <v>2.6744320400000001</v>
      </c>
      <c r="MZ50" s="474">
        <f t="shared" si="868"/>
        <v>2.2923703199999994</v>
      </c>
      <c r="NA50" s="474">
        <f t="shared" si="869"/>
        <v>37.785904107999997</v>
      </c>
      <c r="NB50" s="474">
        <f t="shared" si="870"/>
        <v>0.38206171999999994</v>
      </c>
      <c r="NC50" s="134">
        <f t="shared" si="871"/>
        <v>0.38206171999999994</v>
      </c>
    </row>
    <row r="51" spans="1:367" x14ac:dyDescent="0.25">
      <c r="A51" s="18">
        <v>1996</v>
      </c>
      <c r="B51" s="1271">
        <v>3629</v>
      </c>
      <c r="C51" s="1224"/>
      <c r="D51" s="1224">
        <v>0</v>
      </c>
      <c r="E51" s="1272"/>
      <c r="F51" s="1226">
        <f t="shared" si="144"/>
        <v>3574.5650000000001</v>
      </c>
      <c r="G51" s="1226"/>
      <c r="H51" s="1224">
        <f t="shared" si="145"/>
        <v>0</v>
      </c>
      <c r="I51" s="1224"/>
      <c r="J51" s="1082">
        <f t="shared" si="918"/>
        <v>10</v>
      </c>
      <c r="K51" s="1082">
        <f t="shared" si="734"/>
        <v>10</v>
      </c>
      <c r="L51" s="1226">
        <f t="shared" si="751"/>
        <v>3574.5650000000001</v>
      </c>
      <c r="M51" s="1227"/>
      <c r="N51" s="193">
        <v>8.0999999999999996E-3</v>
      </c>
      <c r="O51" s="47">
        <v>0</v>
      </c>
      <c r="P51" s="47">
        <v>6.0000000000000001E-3</v>
      </c>
      <c r="Q51" s="192">
        <v>0</v>
      </c>
      <c r="R51" s="47">
        <v>0</v>
      </c>
      <c r="S51" s="47">
        <f t="shared" si="146"/>
        <v>5.4000000000000003E-3</v>
      </c>
      <c r="T51" s="47">
        <v>0.01</v>
      </c>
      <c r="U51" s="47">
        <v>1.8E-3</v>
      </c>
      <c r="V51" s="117">
        <v>4.0000000000000003E-5</v>
      </c>
      <c r="W51" s="47">
        <v>5.9999999999999995E-4</v>
      </c>
      <c r="X51" s="52">
        <v>1.0999999999999999E-2</v>
      </c>
      <c r="Y51" s="52">
        <v>2.0199999999999999E-2</v>
      </c>
      <c r="Z51" s="111">
        <v>6.3E-2</v>
      </c>
      <c r="AA51" s="52">
        <f t="shared" si="147"/>
        <v>0.1</v>
      </c>
      <c r="AB51" s="52">
        <f t="shared" si="148"/>
        <v>0</v>
      </c>
      <c r="AC51" s="52">
        <f t="shared" si="149"/>
        <v>0.9</v>
      </c>
      <c r="AD51" s="363">
        <f t="shared" si="150"/>
        <v>28.9539765</v>
      </c>
      <c r="AE51" s="355">
        <f t="shared" si="151"/>
        <v>28.9539765</v>
      </c>
      <c r="AF51" s="355">
        <f t="shared" si="152"/>
        <v>0</v>
      </c>
      <c r="AG51" s="355">
        <f t="shared" si="151"/>
        <v>0</v>
      </c>
      <c r="AH51" s="355">
        <f t="shared" si="153"/>
        <v>21.447390000000002</v>
      </c>
      <c r="AI51" s="355">
        <f t="shared" ref="AI51" si="967">AH51</f>
        <v>21.447390000000002</v>
      </c>
      <c r="AJ51" s="508"/>
      <c r="AK51" s="508"/>
      <c r="AL51" s="508"/>
      <c r="AM51" s="508"/>
      <c r="AN51" s="508"/>
      <c r="AO51" s="572"/>
      <c r="AP51" s="366">
        <f t="shared" si="155"/>
        <v>28.9539765</v>
      </c>
      <c r="AQ51" s="355">
        <f t="shared" ref="AQ51" si="968">AP51</f>
        <v>28.9539765</v>
      </c>
      <c r="AR51" s="355">
        <f t="shared" si="157"/>
        <v>0</v>
      </c>
      <c r="AS51" s="355">
        <f t="shared" ref="AS51" si="969">AR51</f>
        <v>0</v>
      </c>
      <c r="AT51" s="355">
        <f t="shared" si="159"/>
        <v>21.447390000000002</v>
      </c>
      <c r="AU51" s="355">
        <f t="shared" ref="AU51" si="970">AT51</f>
        <v>21.447390000000002</v>
      </c>
      <c r="AV51" s="363">
        <f t="shared" si="2"/>
        <v>0</v>
      </c>
      <c r="AW51" s="355">
        <f t="shared" ref="AW51" si="971">AV51</f>
        <v>0</v>
      </c>
      <c r="AX51" s="355">
        <f t="shared" si="3"/>
        <v>19.302651000000001</v>
      </c>
      <c r="AY51" s="355">
        <f t="shared" ref="AY51" si="972">AX51</f>
        <v>19.302651000000001</v>
      </c>
      <c r="AZ51" s="355">
        <f t="shared" si="4"/>
        <v>35.745650000000005</v>
      </c>
      <c r="BA51" s="355">
        <f t="shared" ref="BA51" si="973">AZ51</f>
        <v>35.745650000000005</v>
      </c>
      <c r="BB51" s="366"/>
      <c r="BC51" s="355"/>
      <c r="BD51" s="355"/>
      <c r="BE51" s="355"/>
      <c r="BF51" s="355"/>
      <c r="BG51" s="355"/>
      <c r="BH51" s="366">
        <f t="shared" si="5"/>
        <v>0</v>
      </c>
      <c r="BI51" s="355">
        <f t="shared" ref="BI51" si="974">BH51</f>
        <v>0</v>
      </c>
      <c r="BJ51" s="355">
        <f t="shared" si="6"/>
        <v>19.302651000000001</v>
      </c>
      <c r="BK51" s="355">
        <f t="shared" ref="BK51" si="975">BJ51</f>
        <v>19.302651000000001</v>
      </c>
      <c r="BL51" s="355">
        <f t="shared" si="7"/>
        <v>35.745650000000005</v>
      </c>
      <c r="BM51" s="355">
        <f t="shared" ref="BM51" si="976">BL51</f>
        <v>35.745650000000005</v>
      </c>
      <c r="BN51" s="363">
        <f t="shared" si="8"/>
        <v>0.14298260000000002</v>
      </c>
      <c r="BO51" s="355">
        <f t="shared" ref="BO51" si="977">BN51</f>
        <v>0.14298260000000002</v>
      </c>
      <c r="BP51" s="355">
        <f t="shared" si="9"/>
        <v>2.144739</v>
      </c>
      <c r="BQ51" s="355">
        <f t="shared" ref="BQ51" si="978">BP51</f>
        <v>2.144739</v>
      </c>
      <c r="BR51" s="355">
        <f t="shared" si="10"/>
        <v>39.320214999999997</v>
      </c>
      <c r="BS51" s="355">
        <f t="shared" ref="BS51" si="979">BR51</f>
        <v>39.320214999999997</v>
      </c>
      <c r="BT51" s="366"/>
      <c r="BU51" s="355"/>
      <c r="BV51" s="355"/>
      <c r="BW51" s="355"/>
      <c r="BX51" s="355"/>
      <c r="BY51" s="355"/>
      <c r="BZ51" s="366">
        <f t="shared" si="11"/>
        <v>0.14298260000000002</v>
      </c>
      <c r="CA51" s="355">
        <f t="shared" ref="CA51" si="980">BZ51</f>
        <v>0.14298260000000002</v>
      </c>
      <c r="CB51" s="355">
        <f t="shared" si="12"/>
        <v>2.144739</v>
      </c>
      <c r="CC51" s="355">
        <f t="shared" ref="CC51" si="981">CB51</f>
        <v>2.144739</v>
      </c>
      <c r="CD51" s="355">
        <f t="shared" si="13"/>
        <v>39.320214999999997</v>
      </c>
      <c r="CE51" s="526">
        <f t="shared" ref="CE51" si="982">CD51</f>
        <v>39.320214999999997</v>
      </c>
      <c r="CF51" s="355">
        <f t="shared" si="173"/>
        <v>1</v>
      </c>
      <c r="CG51" s="615">
        <f t="shared" si="174"/>
        <v>1</v>
      </c>
      <c r="CH51" s="355">
        <f t="shared" si="175"/>
        <v>0</v>
      </c>
      <c r="CI51" s="615">
        <f t="shared" si="491"/>
        <v>0</v>
      </c>
      <c r="CJ51" s="615">
        <f t="shared" si="176"/>
        <v>9</v>
      </c>
      <c r="CK51" s="615">
        <f t="shared" si="492"/>
        <v>9</v>
      </c>
      <c r="CL51" s="122"/>
      <c r="CM51" s="1235">
        <f t="shared" si="16"/>
        <v>3339.367405</v>
      </c>
      <c r="CN51" s="1231"/>
      <c r="CO51" s="1230"/>
      <c r="CP51" s="1231"/>
      <c r="CQ51" s="1230">
        <f t="shared" si="177"/>
        <v>3339.367405</v>
      </c>
      <c r="CR51" s="1232"/>
      <c r="CS51" s="30">
        <v>0.45</v>
      </c>
      <c r="CT51" s="31">
        <f t="shared" si="178"/>
        <v>0.55000000000000004</v>
      </c>
      <c r="CU51" s="31"/>
      <c r="CV51" s="32"/>
      <c r="CW51" s="1233">
        <f t="shared" si="179"/>
        <v>1427.5795656374999</v>
      </c>
      <c r="CX51" s="1234"/>
      <c r="CY51" s="1234">
        <f t="shared" si="180"/>
        <v>1744.8194691125</v>
      </c>
      <c r="CZ51" s="1231"/>
      <c r="DA51" s="369"/>
      <c r="DB51" s="369"/>
      <c r="DC51" s="369"/>
      <c r="DD51" s="373"/>
      <c r="DE51" s="1234">
        <f t="shared" si="768"/>
        <v>1427.5795656374999</v>
      </c>
      <c r="DF51" s="1234"/>
      <c r="DG51" s="369">
        <f t="shared" si="341"/>
        <v>1744.8194691125</v>
      </c>
      <c r="DH51" s="372">
        <f>CY51+DD51</f>
        <v>1744.8194691125</v>
      </c>
      <c r="DJ51" s="493">
        <v>0.05</v>
      </c>
      <c r="DK51" s="379"/>
      <c r="DL51" s="1084">
        <f t="shared" si="18"/>
        <v>166.96837025000002</v>
      </c>
      <c r="DM51" s="1084">
        <f t="shared" si="605"/>
        <v>166.96837025000002</v>
      </c>
      <c r="DN51" s="369"/>
      <c r="DO51" s="372"/>
      <c r="DP51" s="30">
        <v>1</v>
      </c>
      <c r="DQ51" s="31">
        <f t="shared" si="183"/>
        <v>0.1</v>
      </c>
      <c r="DR51" s="31">
        <f t="shared" si="184"/>
        <v>1</v>
      </c>
      <c r="DS51" s="680">
        <f t="shared" si="185"/>
        <v>0.1</v>
      </c>
      <c r="DT51" s="77">
        <f t="shared" si="186"/>
        <v>1</v>
      </c>
      <c r="DU51" s="31">
        <v>0</v>
      </c>
      <c r="DV51" s="31">
        <v>1</v>
      </c>
      <c r="DW51" s="31">
        <v>0</v>
      </c>
      <c r="DX51" s="31">
        <v>0</v>
      </c>
      <c r="DY51" s="31">
        <v>1</v>
      </c>
      <c r="DZ51" s="31">
        <v>0</v>
      </c>
      <c r="EA51" s="383">
        <f t="shared" si="888"/>
        <v>0</v>
      </c>
      <c r="EB51" s="355">
        <f t="shared" si="188"/>
        <v>0</v>
      </c>
      <c r="EC51" s="355">
        <f t="shared" si="889"/>
        <v>16.703087025000002</v>
      </c>
      <c r="ED51" s="355">
        <f t="shared" si="190"/>
        <v>167.03087025000002</v>
      </c>
      <c r="EE51" s="355">
        <f t="shared" si="890"/>
        <v>0</v>
      </c>
      <c r="EF51" s="355">
        <f t="shared" si="192"/>
        <v>0</v>
      </c>
      <c r="EG51" s="366"/>
      <c r="EH51" s="355"/>
      <c r="EI51" s="355"/>
      <c r="EJ51" s="355"/>
      <c r="EK51" s="355"/>
      <c r="EL51" s="356"/>
      <c r="EM51" s="355">
        <f t="shared" si="193"/>
        <v>16.703087025000002</v>
      </c>
      <c r="EN51" s="134">
        <f t="shared" si="194"/>
        <v>167.03087025000002</v>
      </c>
      <c r="EP51" s="1171">
        <f t="shared" si="769"/>
        <v>0.14298260000000002</v>
      </c>
      <c r="EQ51" s="1172"/>
      <c r="ER51" s="1172">
        <f t="shared" si="770"/>
        <v>2.144739</v>
      </c>
      <c r="ES51" s="1172"/>
      <c r="ET51" s="1172">
        <f t="shared" si="771"/>
        <v>39.320214999999997</v>
      </c>
      <c r="EU51" s="1172"/>
      <c r="EV51" s="366"/>
      <c r="EW51" s="355"/>
      <c r="EX51" s="355"/>
      <c r="EY51" s="355"/>
      <c r="EZ51" s="1172"/>
      <c r="FA51" s="1173"/>
      <c r="FB51" s="368">
        <f t="shared" si="195"/>
        <v>1427.5795656374999</v>
      </c>
      <c r="FC51" s="369">
        <f t="shared" si="196"/>
        <v>1427.5795656374999</v>
      </c>
      <c r="FD51" s="369"/>
      <c r="FE51" s="61"/>
      <c r="FF51" s="368">
        <f t="shared" si="772"/>
        <v>1744.8194691125</v>
      </c>
      <c r="FG51" s="369">
        <f t="shared" si="426"/>
        <v>1744.8194691125</v>
      </c>
      <c r="FH51" s="369"/>
      <c r="FI51" s="369"/>
      <c r="FJ51" s="30">
        <v>1</v>
      </c>
      <c r="FK51" s="31">
        <v>0.2</v>
      </c>
      <c r="FL51" s="501">
        <v>0.8</v>
      </c>
      <c r="FM51" s="31">
        <f t="shared" si="198"/>
        <v>0.1</v>
      </c>
      <c r="FN51" s="501">
        <f t="shared" si="199"/>
        <v>1</v>
      </c>
      <c r="FO51" s="31">
        <f t="shared" si="200"/>
        <v>0.1</v>
      </c>
      <c r="FP51" s="31">
        <f t="shared" si="201"/>
        <v>1</v>
      </c>
      <c r="FQ51" s="31">
        <v>1</v>
      </c>
      <c r="FR51" s="31">
        <v>0</v>
      </c>
      <c r="FS51" s="89">
        <f t="shared" si="202"/>
        <v>1E-3</v>
      </c>
      <c r="FT51" s="31">
        <f t="shared" si="203"/>
        <v>0.05</v>
      </c>
      <c r="FU51" s="30">
        <v>0.05</v>
      </c>
      <c r="FV51" s="32">
        <f t="shared" si="25"/>
        <v>2.4224999999999997E-2</v>
      </c>
      <c r="FW51" s="31">
        <v>0.1</v>
      </c>
      <c r="FX51" s="77">
        <f t="shared" si="26"/>
        <v>9.0000000000000011E-2</v>
      </c>
      <c r="FY51" s="30"/>
      <c r="FZ51" s="32"/>
      <c r="GA51" s="31"/>
      <c r="GB51" s="77"/>
      <c r="GC51" s="378">
        <f t="shared" si="773"/>
        <v>0.14298260000000002</v>
      </c>
      <c r="GD51" s="379">
        <f t="shared" si="204"/>
        <v>0.14298260000000002</v>
      </c>
      <c r="GE51" s="379">
        <f t="shared" si="774"/>
        <v>2.144739</v>
      </c>
      <c r="GF51" s="379">
        <f t="shared" si="205"/>
        <v>2.144739</v>
      </c>
      <c r="GG51" s="379">
        <f t="shared" si="206"/>
        <v>7.8640429999999997</v>
      </c>
      <c r="GH51" s="218">
        <f t="shared" si="207"/>
        <v>31.456171999999999</v>
      </c>
      <c r="GI51" s="379"/>
      <c r="GJ51" s="379"/>
      <c r="GK51" s="379"/>
      <c r="GL51" s="379"/>
      <c r="GM51" s="379"/>
      <c r="GN51" s="218"/>
      <c r="GO51" s="379">
        <f t="shared" si="208"/>
        <v>10.1517646</v>
      </c>
      <c r="GP51" s="515">
        <f t="shared" si="209"/>
        <v>33.7438936</v>
      </c>
      <c r="GQ51" s="379">
        <f t="shared" si="891"/>
        <v>10.600175724381844</v>
      </c>
      <c r="GR51" s="379">
        <f t="shared" si="892"/>
        <v>271.34164872112501</v>
      </c>
      <c r="GS51" s="355">
        <f t="shared" si="390"/>
        <v>0.13494927476387503</v>
      </c>
      <c r="GT51" s="355">
        <f t="shared" si="391"/>
        <v>67.474637381937498</v>
      </c>
      <c r="GU51" s="355">
        <f t="shared" si="392"/>
        <v>0</v>
      </c>
      <c r="GV51" s="356">
        <f t="shared" si="393"/>
        <v>0</v>
      </c>
      <c r="GW51" s="355"/>
      <c r="GX51" s="355"/>
      <c r="GY51" s="355"/>
      <c r="GZ51" s="355"/>
      <c r="HA51" s="355"/>
      <c r="HB51" s="356"/>
      <c r="HC51" s="379">
        <f t="shared" si="212"/>
        <v>10.735124999145718</v>
      </c>
      <c r="HD51" s="38">
        <f t="shared" si="213"/>
        <v>338.81628610306251</v>
      </c>
      <c r="HE51" s="527"/>
      <c r="HF51" s="529">
        <f t="shared" si="775"/>
        <v>28.9539765</v>
      </c>
      <c r="HG51" s="529">
        <f t="shared" si="776"/>
        <v>28.9539765</v>
      </c>
      <c r="HH51" s="529">
        <f t="shared" si="777"/>
        <v>0</v>
      </c>
      <c r="HI51" s="529">
        <f t="shared" si="778"/>
        <v>0</v>
      </c>
      <c r="HJ51" s="529">
        <f t="shared" si="779"/>
        <v>21.447390000000002</v>
      </c>
      <c r="HK51" s="524">
        <f t="shared" si="780"/>
        <v>21.447390000000002</v>
      </c>
      <c r="HL51" s="529">
        <f t="shared" si="781"/>
        <v>0</v>
      </c>
      <c r="HM51" s="529">
        <f t="shared" si="782"/>
        <v>0</v>
      </c>
      <c r="HN51" s="529">
        <f t="shared" si="783"/>
        <v>36.005738024999999</v>
      </c>
      <c r="HO51" s="529">
        <f t="shared" si="784"/>
        <v>186.33352125000002</v>
      </c>
      <c r="HP51" s="529">
        <f t="shared" si="785"/>
        <v>35.745650000000005</v>
      </c>
      <c r="HQ51" s="524">
        <f t="shared" si="786"/>
        <v>35.745650000000005</v>
      </c>
      <c r="HR51" s="615">
        <f t="shared" si="214"/>
        <v>11.878107599145718</v>
      </c>
      <c r="HS51" s="615">
        <f t="shared" si="787"/>
        <v>339.95926870306249</v>
      </c>
      <c r="HT51" s="615">
        <f t="shared" si="788"/>
        <v>2.144739</v>
      </c>
      <c r="HU51" s="615">
        <f t="shared" si="789"/>
        <v>2.144739</v>
      </c>
      <c r="HV51" s="615">
        <f t="shared" si="790"/>
        <v>16.864042999999999</v>
      </c>
      <c r="HW51" s="615">
        <f t="shared" si="791"/>
        <v>40.456171999999995</v>
      </c>
      <c r="IG51" s="560"/>
      <c r="IH51" s="529">
        <f t="shared" si="215"/>
        <v>0.31849374150000004</v>
      </c>
      <c r="II51" s="529">
        <f t="shared" si="216"/>
        <v>0.26058578850000003</v>
      </c>
      <c r="IJ51" s="529">
        <f t="shared" si="217"/>
        <v>0.52117157700000005</v>
      </c>
      <c r="IK51" s="529">
        <f t="shared" si="893"/>
        <v>0.26058578850000003</v>
      </c>
      <c r="IL51" s="529">
        <f t="shared" si="894"/>
        <v>24.4661101425</v>
      </c>
      <c r="IM51" s="529">
        <f t="shared" si="895"/>
        <v>2.8953976499999999E-2</v>
      </c>
      <c r="IN51" s="529">
        <f t="shared" si="896"/>
        <v>2.8953976499999999E-2</v>
      </c>
      <c r="IO51" s="529">
        <f t="shared" si="222"/>
        <v>0.95548122450000006</v>
      </c>
      <c r="IP51" s="529">
        <f t="shared" si="223"/>
        <v>1.1871130364999998</v>
      </c>
      <c r="IQ51" s="529">
        <f t="shared" si="897"/>
        <v>1.5056067780000002</v>
      </c>
      <c r="IR51" s="529">
        <f t="shared" si="898"/>
        <v>1.1871130364999998</v>
      </c>
      <c r="IS51" s="529">
        <f t="shared" si="899"/>
        <v>24.524018095500001</v>
      </c>
      <c r="IT51" s="529">
        <f t="shared" si="900"/>
        <v>0.289539765</v>
      </c>
      <c r="IU51" s="526">
        <f t="shared" si="901"/>
        <v>0.289539765</v>
      </c>
      <c r="IV51" s="884">
        <f t="shared" si="229"/>
        <v>0</v>
      </c>
      <c r="IW51" s="884">
        <f t="shared" si="230"/>
        <v>0</v>
      </c>
      <c r="IX51" s="529">
        <f t="shared" si="792"/>
        <v>0</v>
      </c>
      <c r="IY51" s="529">
        <f t="shared" si="793"/>
        <v>0</v>
      </c>
      <c r="IZ51" s="529">
        <f t="shared" si="794"/>
        <v>0</v>
      </c>
      <c r="JA51" s="529">
        <f t="shared" si="795"/>
        <v>0</v>
      </c>
      <c r="JB51" s="529">
        <f t="shared" si="796"/>
        <v>0</v>
      </c>
      <c r="JC51" s="529">
        <f t="shared" si="231"/>
        <v>0</v>
      </c>
      <c r="JD51" s="529">
        <f t="shared" si="232"/>
        <v>0</v>
      </c>
      <c r="JE51" s="529">
        <f t="shared" si="797"/>
        <v>0</v>
      </c>
      <c r="JF51" s="529">
        <f t="shared" si="798"/>
        <v>0</v>
      </c>
      <c r="JG51" s="529">
        <f t="shared" si="799"/>
        <v>0</v>
      </c>
      <c r="JH51" s="529">
        <f t="shared" si="800"/>
        <v>0</v>
      </c>
      <c r="JI51" s="480">
        <f t="shared" si="801"/>
        <v>0</v>
      </c>
      <c r="JJ51" s="884">
        <f t="shared" si="233"/>
        <v>0.23592129000000006</v>
      </c>
      <c r="JK51" s="884">
        <f t="shared" si="234"/>
        <v>0.19302651000000004</v>
      </c>
      <c r="JL51" s="529">
        <f t="shared" si="802"/>
        <v>0.38605302000000008</v>
      </c>
      <c r="JM51" s="529">
        <f t="shared" si="803"/>
        <v>0.19302651000000004</v>
      </c>
      <c r="JN51" s="529">
        <f t="shared" si="804"/>
        <v>18.123044550000003</v>
      </c>
      <c r="JO51" s="529">
        <f t="shared" si="805"/>
        <v>2.1447390000000004E-2</v>
      </c>
      <c r="JP51" s="529">
        <f t="shared" si="806"/>
        <v>2.1447390000000004E-2</v>
      </c>
      <c r="JQ51" s="529">
        <f t="shared" si="235"/>
        <v>0.70776387000000007</v>
      </c>
      <c r="JR51" s="529">
        <f t="shared" si="236"/>
        <v>0.87934298999999994</v>
      </c>
      <c r="JS51" s="474">
        <f t="shared" si="807"/>
        <v>1.1152642800000001</v>
      </c>
      <c r="JT51" s="474">
        <f t="shared" si="808"/>
        <v>0.87934298999999994</v>
      </c>
      <c r="JU51" s="474">
        <f t="shared" si="809"/>
        <v>18.16593933</v>
      </c>
      <c r="JV51" s="474">
        <f t="shared" si="810"/>
        <v>0.21447390000000002</v>
      </c>
      <c r="JW51" s="134">
        <f t="shared" si="811"/>
        <v>0.21447390000000002</v>
      </c>
      <c r="JX51" s="884">
        <f t="shared" si="237"/>
        <v>0</v>
      </c>
      <c r="JY51" s="884">
        <f t="shared" si="238"/>
        <v>0</v>
      </c>
      <c r="JZ51" s="529">
        <f t="shared" si="812"/>
        <v>0</v>
      </c>
      <c r="KA51" s="529">
        <f t="shared" si="813"/>
        <v>0</v>
      </c>
      <c r="KB51" s="529">
        <f t="shared" si="814"/>
        <v>0</v>
      </c>
      <c r="KC51" s="529">
        <f t="shared" si="815"/>
        <v>0</v>
      </c>
      <c r="KD51" s="529">
        <f t="shared" si="816"/>
        <v>0</v>
      </c>
      <c r="KE51" s="529">
        <f t="shared" si="239"/>
        <v>0</v>
      </c>
      <c r="KF51" s="529">
        <f t="shared" si="240"/>
        <v>0</v>
      </c>
      <c r="KG51" s="529">
        <f t="shared" si="817"/>
        <v>0</v>
      </c>
      <c r="KH51" s="529">
        <f t="shared" si="818"/>
        <v>0</v>
      </c>
      <c r="KI51" s="529">
        <f t="shared" si="819"/>
        <v>0</v>
      </c>
      <c r="KJ51" s="529">
        <f t="shared" si="820"/>
        <v>0</v>
      </c>
      <c r="KK51" s="526">
        <f t="shared" si="821"/>
        <v>0</v>
      </c>
      <c r="KL51" s="884">
        <f t="shared" si="241"/>
        <v>0.39606311827500001</v>
      </c>
      <c r="KM51" s="884">
        <f t="shared" si="242"/>
        <v>0.32405164222500005</v>
      </c>
      <c r="KN51" s="529">
        <f t="shared" si="822"/>
        <v>0.64810328445000009</v>
      </c>
      <c r="KO51" s="529">
        <f t="shared" si="823"/>
        <v>0.32405164222500005</v>
      </c>
      <c r="KP51" s="529">
        <f t="shared" si="824"/>
        <v>30.424848631124998</v>
      </c>
      <c r="KQ51" s="529">
        <f t="shared" si="825"/>
        <v>3.6005738024999998E-2</v>
      </c>
      <c r="KR51" s="529">
        <f t="shared" si="826"/>
        <v>3.6005738024999998E-2</v>
      </c>
      <c r="KS51" s="529">
        <f t="shared" si="243"/>
        <v>6.1490062012500006</v>
      </c>
      <c r="KT51" s="529">
        <f t="shared" si="244"/>
        <v>7.6396743712499999</v>
      </c>
      <c r="KU51" s="529">
        <f t="shared" si="827"/>
        <v>9.6893431050000025</v>
      </c>
      <c r="KV51" s="529">
        <f t="shared" si="828"/>
        <v>7.6396743712499999</v>
      </c>
      <c r="KW51" s="529">
        <f t="shared" si="829"/>
        <v>157.82449249875</v>
      </c>
      <c r="KX51" s="529">
        <f t="shared" si="830"/>
        <v>1.8633352125000002</v>
      </c>
      <c r="KY51" s="480">
        <f t="shared" si="831"/>
        <v>1.8633352125000002</v>
      </c>
      <c r="KZ51" s="884">
        <f t="shared" si="245"/>
        <v>0.39320215000000008</v>
      </c>
      <c r="LA51" s="884">
        <f t="shared" si="246"/>
        <v>0.3217108500000001</v>
      </c>
      <c r="LB51" s="529">
        <f t="shared" si="832"/>
        <v>0.64342170000000021</v>
      </c>
      <c r="LC51" s="529">
        <f t="shared" si="833"/>
        <v>0.3217108500000001</v>
      </c>
      <c r="LD51" s="529">
        <f t="shared" si="834"/>
        <v>30.205074250000003</v>
      </c>
      <c r="LE51" s="529">
        <f t="shared" si="835"/>
        <v>3.5745650000000004E-2</v>
      </c>
      <c r="LF51" s="529">
        <f t="shared" si="836"/>
        <v>3.5745650000000004E-2</v>
      </c>
      <c r="LG51" s="529">
        <f t="shared" si="247"/>
        <v>1.1796064500000003</v>
      </c>
      <c r="LH51" s="529">
        <f t="shared" si="248"/>
        <v>1.46557165</v>
      </c>
      <c r="LI51" s="355">
        <f t="shared" si="837"/>
        <v>1.8587738000000005</v>
      </c>
      <c r="LJ51" s="355">
        <f t="shared" si="838"/>
        <v>1.46557165</v>
      </c>
      <c r="LK51" s="355">
        <f t="shared" si="839"/>
        <v>30.276565550000004</v>
      </c>
      <c r="LL51" s="355">
        <f t="shared" si="840"/>
        <v>0.35745650000000007</v>
      </c>
      <c r="LM51" s="134">
        <f t="shared" si="841"/>
        <v>0.35745650000000007</v>
      </c>
      <c r="LN51" s="884">
        <f t="shared" si="249"/>
        <v>1.3065918359060291E-2</v>
      </c>
      <c r="LO51" s="884">
        <f t="shared" si="250"/>
        <v>3.5634322797437152E-3</v>
      </c>
      <c r="LP51" s="529">
        <f t="shared" si="842"/>
        <v>6.0578348755643163E-2</v>
      </c>
      <c r="LQ51" s="529">
        <f t="shared" si="843"/>
        <v>9.7400482312994877E-2</v>
      </c>
      <c r="LR51" s="529">
        <f t="shared" si="844"/>
        <v>9.502486079316574</v>
      </c>
      <c r="LS51" s="529">
        <f t="shared" si="845"/>
        <v>0.10333953611256774</v>
      </c>
      <c r="LT51" s="529">
        <f t="shared" si="846"/>
        <v>1.1878107599145718E-2</v>
      </c>
      <c r="LU51" s="529">
        <f t="shared" si="251"/>
        <v>20.397556122183747</v>
      </c>
      <c r="LV51" s="529">
        <f t="shared" si="252"/>
        <v>10.198778061091874</v>
      </c>
      <c r="LW51" s="529">
        <f t="shared" si="847"/>
        <v>23.797148809214377</v>
      </c>
      <c r="LX51" s="529">
        <f t="shared" si="848"/>
        <v>20.397556122183747</v>
      </c>
      <c r="LY51" s="529">
        <f t="shared" si="849"/>
        <v>336.21971674732885</v>
      </c>
      <c r="LZ51" s="529">
        <f t="shared" si="850"/>
        <v>3.399592687030625</v>
      </c>
      <c r="MA51" s="485">
        <f t="shared" si="851"/>
        <v>3.399592687030625</v>
      </c>
      <c r="MB51" s="884">
        <f t="shared" si="253"/>
        <v>2.3592129000000002E-3</v>
      </c>
      <c r="MC51" s="884">
        <f t="shared" si="254"/>
        <v>6.4342169999999995E-4</v>
      </c>
      <c r="MD51" s="529">
        <f t="shared" si="852"/>
        <v>1.09381689E-2</v>
      </c>
      <c r="ME51" s="529">
        <f t="shared" si="853"/>
        <v>1.7586859799999997E-2</v>
      </c>
      <c r="MF51" s="529">
        <f t="shared" si="854"/>
        <v>1.7157912</v>
      </c>
      <c r="MG51" s="529">
        <f t="shared" si="855"/>
        <v>1.86592293E-2</v>
      </c>
      <c r="MH51" s="529">
        <f t="shared" si="856"/>
        <v>2.1447390000000001E-3</v>
      </c>
      <c r="MI51" s="529">
        <f t="shared" si="255"/>
        <v>0.12868433999999998</v>
      </c>
      <c r="MJ51" s="529">
        <f t="shared" si="256"/>
        <v>6.434216999999999E-2</v>
      </c>
      <c r="MK51" s="529">
        <f t="shared" si="857"/>
        <v>0.15013173000000002</v>
      </c>
      <c r="ML51" s="529">
        <f t="shared" si="858"/>
        <v>0.12868433999999998</v>
      </c>
      <c r="MM51" s="529">
        <f t="shared" si="859"/>
        <v>2.1211468710000001</v>
      </c>
      <c r="MN51" s="529">
        <f t="shared" si="860"/>
        <v>2.144739E-2</v>
      </c>
      <c r="MO51" s="485">
        <f t="shared" si="861"/>
        <v>2.144739E-2</v>
      </c>
      <c r="MP51" s="884">
        <f t="shared" si="257"/>
        <v>1.8550447299999998E-2</v>
      </c>
      <c r="MQ51" s="884">
        <f t="shared" si="258"/>
        <v>5.0592128999999994E-3</v>
      </c>
      <c r="MR51" s="529">
        <f t="shared" si="862"/>
        <v>8.6006619300000003E-2</v>
      </c>
      <c r="MS51" s="529">
        <f t="shared" si="863"/>
        <v>0.13828515259999996</v>
      </c>
      <c r="MT51" s="529">
        <f t="shared" si="864"/>
        <v>13.4912344</v>
      </c>
      <c r="MU51" s="529">
        <f t="shared" si="865"/>
        <v>0.14671717409999999</v>
      </c>
      <c r="MV51" s="529">
        <f t="shared" si="866"/>
        <v>1.6864042999999999E-2</v>
      </c>
      <c r="MW51" s="529">
        <f t="shared" si="259"/>
        <v>2.4273703199999996</v>
      </c>
      <c r="MX51" s="529">
        <f t="shared" si="260"/>
        <v>1.2136851599999998</v>
      </c>
      <c r="MY51" s="474">
        <f t="shared" si="867"/>
        <v>2.8319320399999999</v>
      </c>
      <c r="MZ51" s="474">
        <f t="shared" si="868"/>
        <v>2.4273703199999996</v>
      </c>
      <c r="NA51" s="474">
        <f t="shared" si="869"/>
        <v>40.011154107999999</v>
      </c>
      <c r="NB51" s="474">
        <f t="shared" si="870"/>
        <v>0.40456171999999996</v>
      </c>
      <c r="NC51" s="134">
        <f t="shared" si="871"/>
        <v>0.40456171999999996</v>
      </c>
    </row>
    <row r="52" spans="1:367" x14ac:dyDescent="0.25">
      <c r="A52" s="18">
        <v>1997</v>
      </c>
      <c r="B52" s="1271">
        <v>3629</v>
      </c>
      <c r="C52" s="1224"/>
      <c r="D52" s="1224">
        <v>0</v>
      </c>
      <c r="E52" s="1272"/>
      <c r="F52" s="1226">
        <f t="shared" si="144"/>
        <v>3574.5650000000001</v>
      </c>
      <c r="G52" s="1226"/>
      <c r="H52" s="1224">
        <f t="shared" si="145"/>
        <v>0</v>
      </c>
      <c r="I52" s="1224"/>
      <c r="J52" s="1082">
        <f t="shared" si="918"/>
        <v>12.5</v>
      </c>
      <c r="K52" s="1082">
        <f t="shared" si="734"/>
        <v>12.5</v>
      </c>
      <c r="L52" s="1226">
        <f t="shared" si="751"/>
        <v>3574.5650000000001</v>
      </c>
      <c r="M52" s="1227"/>
      <c r="N52" s="193">
        <v>8.0999999999999996E-3</v>
      </c>
      <c r="O52" s="47">
        <v>0</v>
      </c>
      <c r="P52" s="47">
        <v>6.0000000000000001E-3</v>
      </c>
      <c r="Q52" s="192">
        <v>0</v>
      </c>
      <c r="R52" s="47">
        <v>0</v>
      </c>
      <c r="S52" s="47">
        <f t="shared" si="146"/>
        <v>5.4000000000000003E-3</v>
      </c>
      <c r="T52" s="47">
        <v>0.01</v>
      </c>
      <c r="U52" s="47">
        <v>1.8E-3</v>
      </c>
      <c r="V52" s="117">
        <v>4.0000000000000003E-5</v>
      </c>
      <c r="W52" s="47">
        <v>5.9999999999999995E-4</v>
      </c>
      <c r="X52" s="52">
        <v>1.0999999999999999E-2</v>
      </c>
      <c r="Y52" s="52">
        <v>2.0199999999999999E-2</v>
      </c>
      <c r="Z52" s="111">
        <v>6.3E-2</v>
      </c>
      <c r="AA52" s="52">
        <f t="shared" si="147"/>
        <v>0.1</v>
      </c>
      <c r="AB52" s="52">
        <f t="shared" si="148"/>
        <v>0</v>
      </c>
      <c r="AC52" s="52">
        <f t="shared" si="149"/>
        <v>0.9</v>
      </c>
      <c r="AD52" s="363">
        <f t="shared" si="150"/>
        <v>28.9539765</v>
      </c>
      <c r="AE52" s="355">
        <f t="shared" si="151"/>
        <v>28.9539765</v>
      </c>
      <c r="AF52" s="355">
        <f t="shared" si="152"/>
        <v>0</v>
      </c>
      <c r="AG52" s="355">
        <f t="shared" si="151"/>
        <v>0</v>
      </c>
      <c r="AH52" s="355">
        <f t="shared" si="153"/>
        <v>21.447390000000002</v>
      </c>
      <c r="AI52" s="355">
        <f t="shared" ref="AI52" si="983">AH52</f>
        <v>21.447390000000002</v>
      </c>
      <c r="AJ52" s="508"/>
      <c r="AK52" s="508"/>
      <c r="AL52" s="508"/>
      <c r="AM52" s="508"/>
      <c r="AN52" s="508"/>
      <c r="AO52" s="572"/>
      <c r="AP52" s="366">
        <f t="shared" si="155"/>
        <v>28.9539765</v>
      </c>
      <c r="AQ52" s="355">
        <f t="shared" ref="AQ52" si="984">AP52</f>
        <v>28.9539765</v>
      </c>
      <c r="AR52" s="355">
        <f t="shared" si="157"/>
        <v>0</v>
      </c>
      <c r="AS52" s="355">
        <f t="shared" ref="AS52" si="985">AR52</f>
        <v>0</v>
      </c>
      <c r="AT52" s="355">
        <f t="shared" si="159"/>
        <v>21.447390000000002</v>
      </c>
      <c r="AU52" s="355">
        <f t="shared" ref="AU52" si="986">AT52</f>
        <v>21.447390000000002</v>
      </c>
      <c r="AV52" s="363">
        <f t="shared" si="2"/>
        <v>0</v>
      </c>
      <c r="AW52" s="355">
        <f t="shared" ref="AW52" si="987">AV52</f>
        <v>0</v>
      </c>
      <c r="AX52" s="355">
        <f t="shared" si="3"/>
        <v>19.302651000000001</v>
      </c>
      <c r="AY52" s="355">
        <f t="shared" ref="AY52" si="988">AX52</f>
        <v>19.302651000000001</v>
      </c>
      <c r="AZ52" s="355">
        <f t="shared" si="4"/>
        <v>35.745650000000005</v>
      </c>
      <c r="BA52" s="355">
        <f t="shared" ref="BA52" si="989">AZ52</f>
        <v>35.745650000000005</v>
      </c>
      <c r="BB52" s="366"/>
      <c r="BC52" s="355"/>
      <c r="BD52" s="355"/>
      <c r="BE52" s="355"/>
      <c r="BF52" s="355"/>
      <c r="BG52" s="355"/>
      <c r="BH52" s="366">
        <f t="shared" si="5"/>
        <v>0</v>
      </c>
      <c r="BI52" s="355">
        <f t="shared" ref="BI52" si="990">BH52</f>
        <v>0</v>
      </c>
      <c r="BJ52" s="355">
        <f t="shared" si="6"/>
        <v>19.302651000000001</v>
      </c>
      <c r="BK52" s="355">
        <f t="shared" ref="BK52" si="991">BJ52</f>
        <v>19.302651000000001</v>
      </c>
      <c r="BL52" s="355">
        <f t="shared" si="7"/>
        <v>35.745650000000005</v>
      </c>
      <c r="BM52" s="355">
        <f t="shared" ref="BM52" si="992">BL52</f>
        <v>35.745650000000005</v>
      </c>
      <c r="BN52" s="363">
        <f t="shared" si="8"/>
        <v>0.14298260000000002</v>
      </c>
      <c r="BO52" s="355">
        <f t="shared" ref="BO52" si="993">BN52</f>
        <v>0.14298260000000002</v>
      </c>
      <c r="BP52" s="355">
        <f t="shared" si="9"/>
        <v>2.144739</v>
      </c>
      <c r="BQ52" s="355">
        <f t="shared" ref="BQ52" si="994">BP52</f>
        <v>2.144739</v>
      </c>
      <c r="BR52" s="355">
        <f t="shared" si="10"/>
        <v>39.320214999999997</v>
      </c>
      <c r="BS52" s="355">
        <f t="shared" ref="BS52" si="995">BR52</f>
        <v>39.320214999999997</v>
      </c>
      <c r="BT52" s="366"/>
      <c r="BU52" s="355"/>
      <c r="BV52" s="355"/>
      <c r="BW52" s="355"/>
      <c r="BX52" s="355"/>
      <c r="BY52" s="355"/>
      <c r="BZ52" s="366">
        <f t="shared" si="11"/>
        <v>0.14298260000000002</v>
      </c>
      <c r="CA52" s="355">
        <f t="shared" ref="CA52" si="996">BZ52</f>
        <v>0.14298260000000002</v>
      </c>
      <c r="CB52" s="355">
        <f t="shared" si="12"/>
        <v>2.144739</v>
      </c>
      <c r="CC52" s="355">
        <f t="shared" ref="CC52" si="997">CB52</f>
        <v>2.144739</v>
      </c>
      <c r="CD52" s="355">
        <f t="shared" si="13"/>
        <v>39.320214999999997</v>
      </c>
      <c r="CE52" s="526">
        <f t="shared" ref="CE52" si="998">CD52</f>
        <v>39.320214999999997</v>
      </c>
      <c r="CF52" s="355">
        <f t="shared" si="173"/>
        <v>1.25</v>
      </c>
      <c r="CG52" s="615">
        <f t="shared" si="174"/>
        <v>1.25</v>
      </c>
      <c r="CH52" s="355">
        <f t="shared" si="175"/>
        <v>0</v>
      </c>
      <c r="CI52" s="615">
        <f t="shared" si="491"/>
        <v>0</v>
      </c>
      <c r="CJ52" s="615">
        <f t="shared" si="176"/>
        <v>11.25</v>
      </c>
      <c r="CK52" s="615">
        <f t="shared" si="492"/>
        <v>11.25</v>
      </c>
      <c r="CL52" s="122"/>
      <c r="CM52" s="1235">
        <f t="shared" si="16"/>
        <v>3336.867405</v>
      </c>
      <c r="CN52" s="1231"/>
      <c r="CO52" s="1230"/>
      <c r="CP52" s="1231"/>
      <c r="CQ52" s="1230">
        <f t="shared" si="177"/>
        <v>3336.867405</v>
      </c>
      <c r="CR52" s="1232"/>
      <c r="CS52" s="30">
        <v>0.45</v>
      </c>
      <c r="CT52" s="31">
        <f t="shared" si="178"/>
        <v>0.55000000000000004</v>
      </c>
      <c r="CU52" s="31"/>
      <c r="CV52" s="32"/>
      <c r="CW52" s="1233">
        <f t="shared" si="179"/>
        <v>1426.5108156374999</v>
      </c>
      <c r="CX52" s="1234"/>
      <c r="CY52" s="1234">
        <f t="shared" si="180"/>
        <v>1743.5132191125001</v>
      </c>
      <c r="CZ52" s="1231"/>
      <c r="DA52" s="369"/>
      <c r="DB52" s="369"/>
      <c r="DC52" s="369"/>
      <c r="DD52" s="373"/>
      <c r="DE52" s="1234">
        <f t="shared" si="768"/>
        <v>1426.5108156374999</v>
      </c>
      <c r="DF52" s="1234"/>
      <c r="DG52" s="369">
        <f t="shared" si="341"/>
        <v>1743.5132191125001</v>
      </c>
      <c r="DH52" s="372">
        <f t="shared" si="182"/>
        <v>1743.5132191125001</v>
      </c>
      <c r="DJ52" s="493">
        <v>0.05</v>
      </c>
      <c r="DK52" s="379"/>
      <c r="DL52" s="1084">
        <f t="shared" si="18"/>
        <v>166.84337025000002</v>
      </c>
      <c r="DM52" s="1084">
        <f t="shared" si="605"/>
        <v>166.84337025000002</v>
      </c>
      <c r="DN52" s="369"/>
      <c r="DO52" s="372"/>
      <c r="DP52" s="30">
        <v>1</v>
      </c>
      <c r="DQ52" s="31">
        <f t="shared" si="183"/>
        <v>0.1</v>
      </c>
      <c r="DR52" s="31">
        <f t="shared" si="184"/>
        <v>1</v>
      </c>
      <c r="DS52" s="680">
        <f t="shared" si="185"/>
        <v>0.1</v>
      </c>
      <c r="DT52" s="77">
        <f t="shared" si="186"/>
        <v>1</v>
      </c>
      <c r="DU52" s="31">
        <v>0</v>
      </c>
      <c r="DV52" s="31">
        <v>1</v>
      </c>
      <c r="DW52" s="31">
        <v>0</v>
      </c>
      <c r="DX52" s="31">
        <v>0</v>
      </c>
      <c r="DY52" s="31">
        <v>1</v>
      </c>
      <c r="DZ52" s="31">
        <v>0</v>
      </c>
      <c r="EA52" s="383">
        <f t="shared" si="888"/>
        <v>0</v>
      </c>
      <c r="EB52" s="355">
        <f t="shared" si="188"/>
        <v>0</v>
      </c>
      <c r="EC52" s="355">
        <f t="shared" si="889"/>
        <v>16.690587025000003</v>
      </c>
      <c r="ED52" s="355">
        <f t="shared" si="190"/>
        <v>166.90587025000002</v>
      </c>
      <c r="EE52" s="355">
        <f t="shared" si="890"/>
        <v>0</v>
      </c>
      <c r="EF52" s="355">
        <f t="shared" si="192"/>
        <v>0</v>
      </c>
      <c r="EG52" s="366"/>
      <c r="EH52" s="355"/>
      <c r="EI52" s="355"/>
      <c r="EJ52" s="355"/>
      <c r="EK52" s="355"/>
      <c r="EL52" s="356"/>
      <c r="EM52" s="355">
        <f t="shared" si="193"/>
        <v>16.690587025000003</v>
      </c>
      <c r="EN52" s="134">
        <f t="shared" si="194"/>
        <v>166.90587025000002</v>
      </c>
      <c r="EP52" s="1171">
        <f t="shared" si="769"/>
        <v>0.14298260000000002</v>
      </c>
      <c r="EQ52" s="1172"/>
      <c r="ER52" s="1172">
        <f t="shared" si="770"/>
        <v>2.144739</v>
      </c>
      <c r="ES52" s="1172"/>
      <c r="ET52" s="1172">
        <f t="shared" si="771"/>
        <v>39.320214999999997</v>
      </c>
      <c r="EU52" s="1172"/>
      <c r="EV52" s="366"/>
      <c r="EW52" s="355"/>
      <c r="EX52" s="355"/>
      <c r="EY52" s="355"/>
      <c r="EZ52" s="1172"/>
      <c r="FA52" s="1173"/>
      <c r="FB52" s="368">
        <f t="shared" si="195"/>
        <v>1426.5108156374999</v>
      </c>
      <c r="FC52" s="369">
        <f t="shared" si="196"/>
        <v>1426.5108156374999</v>
      </c>
      <c r="FD52" s="369"/>
      <c r="FE52" s="61"/>
      <c r="FF52" s="368">
        <f t="shared" si="772"/>
        <v>1743.5132191125001</v>
      </c>
      <c r="FG52" s="369">
        <f t="shared" si="426"/>
        <v>1743.5132191125001</v>
      </c>
      <c r="FH52" s="369"/>
      <c r="FI52" s="369"/>
      <c r="FJ52" s="30">
        <v>1</v>
      </c>
      <c r="FK52" s="31">
        <v>0.2</v>
      </c>
      <c r="FL52" s="501">
        <v>0.8</v>
      </c>
      <c r="FM52" s="31">
        <f t="shared" si="198"/>
        <v>0.1</v>
      </c>
      <c r="FN52" s="501">
        <f t="shared" si="199"/>
        <v>1</v>
      </c>
      <c r="FO52" s="31">
        <f t="shared" si="200"/>
        <v>0.1</v>
      </c>
      <c r="FP52" s="31">
        <f t="shared" si="201"/>
        <v>1</v>
      </c>
      <c r="FQ52" s="31">
        <v>1</v>
      </c>
      <c r="FR52" s="31">
        <v>0</v>
      </c>
      <c r="FS52" s="89">
        <f t="shared" si="202"/>
        <v>1E-3</v>
      </c>
      <c r="FT52" s="31">
        <f t="shared" si="203"/>
        <v>0.05</v>
      </c>
      <c r="FU52" s="30">
        <v>0.05</v>
      </c>
      <c r="FV52" s="32">
        <f t="shared" si="25"/>
        <v>2.4224999999999997E-2</v>
      </c>
      <c r="FW52" s="31">
        <v>0.1</v>
      </c>
      <c r="FX52" s="77">
        <f t="shared" si="26"/>
        <v>9.0000000000000011E-2</v>
      </c>
      <c r="FY52" s="30"/>
      <c r="FZ52" s="32"/>
      <c r="GA52" s="31"/>
      <c r="GB52" s="77"/>
      <c r="GC52" s="378">
        <f t="shared" si="773"/>
        <v>0.14298260000000002</v>
      </c>
      <c r="GD52" s="379">
        <f t="shared" si="204"/>
        <v>0.14298260000000002</v>
      </c>
      <c r="GE52" s="379">
        <f t="shared" si="774"/>
        <v>2.144739</v>
      </c>
      <c r="GF52" s="379">
        <f t="shared" si="205"/>
        <v>2.144739</v>
      </c>
      <c r="GG52" s="379">
        <f t="shared" si="206"/>
        <v>7.8640429999999997</v>
      </c>
      <c r="GH52" s="218">
        <f t="shared" si="207"/>
        <v>31.456171999999999</v>
      </c>
      <c r="GI52" s="379"/>
      <c r="GJ52" s="379"/>
      <c r="GK52" s="379"/>
      <c r="GL52" s="379"/>
      <c r="GM52" s="379"/>
      <c r="GN52" s="218"/>
      <c r="GO52" s="379">
        <f t="shared" si="208"/>
        <v>10.1517646</v>
      </c>
      <c r="GP52" s="515">
        <f t="shared" si="209"/>
        <v>33.7438936</v>
      </c>
      <c r="GQ52" s="379">
        <f t="shared" si="891"/>
        <v>10.592242927506843</v>
      </c>
      <c r="GR52" s="379">
        <f t="shared" si="892"/>
        <v>271.13858622112497</v>
      </c>
      <c r="GS52" s="355">
        <f t="shared" si="390"/>
        <v>0.14090230201987503</v>
      </c>
      <c r="GT52" s="355">
        <f t="shared" si="391"/>
        <v>70.45115100993749</v>
      </c>
      <c r="GU52" s="355">
        <f t="shared" si="392"/>
        <v>0</v>
      </c>
      <c r="GV52" s="356">
        <f t="shared" si="393"/>
        <v>0</v>
      </c>
      <c r="GW52" s="355"/>
      <c r="GX52" s="355"/>
      <c r="GY52" s="355"/>
      <c r="GZ52" s="355"/>
      <c r="HA52" s="355"/>
      <c r="HB52" s="356"/>
      <c r="HC52" s="379">
        <f t="shared" si="212"/>
        <v>10.733145229526718</v>
      </c>
      <c r="HD52" s="38">
        <f t="shared" si="213"/>
        <v>341.58973723106249</v>
      </c>
      <c r="HE52" s="527"/>
      <c r="HF52" s="529">
        <f t="shared" si="775"/>
        <v>28.9539765</v>
      </c>
      <c r="HG52" s="529">
        <f t="shared" si="776"/>
        <v>28.9539765</v>
      </c>
      <c r="HH52" s="529">
        <f t="shared" si="777"/>
        <v>0</v>
      </c>
      <c r="HI52" s="529">
        <f t="shared" si="778"/>
        <v>0</v>
      </c>
      <c r="HJ52" s="529">
        <f t="shared" si="779"/>
        <v>21.447390000000002</v>
      </c>
      <c r="HK52" s="524">
        <f t="shared" si="780"/>
        <v>21.447390000000002</v>
      </c>
      <c r="HL52" s="529">
        <f t="shared" si="781"/>
        <v>0</v>
      </c>
      <c r="HM52" s="529">
        <f t="shared" si="782"/>
        <v>0</v>
      </c>
      <c r="HN52" s="529">
        <f t="shared" si="783"/>
        <v>35.993238025000004</v>
      </c>
      <c r="HO52" s="529">
        <f t="shared" si="784"/>
        <v>186.20852125000002</v>
      </c>
      <c r="HP52" s="529">
        <f t="shared" si="785"/>
        <v>35.745650000000005</v>
      </c>
      <c r="HQ52" s="524">
        <f t="shared" si="786"/>
        <v>35.745650000000005</v>
      </c>
      <c r="HR52" s="615">
        <f t="shared" si="214"/>
        <v>12.126127829526718</v>
      </c>
      <c r="HS52" s="615">
        <f t="shared" si="787"/>
        <v>342.98271983106247</v>
      </c>
      <c r="HT52" s="615">
        <f t="shared" si="788"/>
        <v>2.144739</v>
      </c>
      <c r="HU52" s="615">
        <f t="shared" si="789"/>
        <v>2.144739</v>
      </c>
      <c r="HV52" s="615">
        <f t="shared" si="790"/>
        <v>19.114042999999999</v>
      </c>
      <c r="HW52" s="615">
        <f t="shared" si="791"/>
        <v>42.706171999999995</v>
      </c>
      <c r="IG52" s="560"/>
      <c r="IH52" s="529">
        <f t="shared" si="215"/>
        <v>0.31849374150000004</v>
      </c>
      <c r="II52" s="529">
        <f t="shared" si="216"/>
        <v>0.26058578850000003</v>
      </c>
      <c r="IJ52" s="529">
        <f t="shared" si="217"/>
        <v>0.52117157700000005</v>
      </c>
      <c r="IK52" s="529">
        <f t="shared" si="893"/>
        <v>0.26058578850000003</v>
      </c>
      <c r="IL52" s="529">
        <f t="shared" si="894"/>
        <v>24.4661101425</v>
      </c>
      <c r="IM52" s="529">
        <f t="shared" si="895"/>
        <v>2.8953976499999999E-2</v>
      </c>
      <c r="IN52" s="529">
        <f t="shared" si="896"/>
        <v>2.8953976499999999E-2</v>
      </c>
      <c r="IO52" s="529">
        <f t="shared" si="222"/>
        <v>0.95548122450000006</v>
      </c>
      <c r="IP52" s="529">
        <f t="shared" si="223"/>
        <v>1.1871130364999998</v>
      </c>
      <c r="IQ52" s="529">
        <f t="shared" si="897"/>
        <v>1.5056067780000002</v>
      </c>
      <c r="IR52" s="529">
        <f t="shared" si="898"/>
        <v>1.1871130364999998</v>
      </c>
      <c r="IS52" s="529">
        <f t="shared" si="899"/>
        <v>24.524018095500001</v>
      </c>
      <c r="IT52" s="529">
        <f t="shared" si="900"/>
        <v>0.289539765</v>
      </c>
      <c r="IU52" s="526">
        <f t="shared" si="901"/>
        <v>0.289539765</v>
      </c>
      <c r="IV52" s="884">
        <f t="shared" si="229"/>
        <v>0</v>
      </c>
      <c r="IW52" s="884">
        <f t="shared" si="230"/>
        <v>0</v>
      </c>
      <c r="IX52" s="529">
        <f t="shared" si="792"/>
        <v>0</v>
      </c>
      <c r="IY52" s="529">
        <f t="shared" si="793"/>
        <v>0</v>
      </c>
      <c r="IZ52" s="529">
        <f t="shared" si="794"/>
        <v>0</v>
      </c>
      <c r="JA52" s="529">
        <f t="shared" si="795"/>
        <v>0</v>
      </c>
      <c r="JB52" s="529">
        <f t="shared" si="796"/>
        <v>0</v>
      </c>
      <c r="JC52" s="529">
        <f t="shared" si="231"/>
        <v>0</v>
      </c>
      <c r="JD52" s="529">
        <f t="shared" si="232"/>
        <v>0</v>
      </c>
      <c r="JE52" s="529">
        <f t="shared" si="797"/>
        <v>0</v>
      </c>
      <c r="JF52" s="529">
        <f t="shared" si="798"/>
        <v>0</v>
      </c>
      <c r="JG52" s="529">
        <f t="shared" si="799"/>
        <v>0</v>
      </c>
      <c r="JH52" s="529">
        <f t="shared" si="800"/>
        <v>0</v>
      </c>
      <c r="JI52" s="480">
        <f t="shared" si="801"/>
        <v>0</v>
      </c>
      <c r="JJ52" s="884">
        <f t="shared" si="233"/>
        <v>0.23592129000000006</v>
      </c>
      <c r="JK52" s="884">
        <f t="shared" si="234"/>
        <v>0.19302651000000004</v>
      </c>
      <c r="JL52" s="529">
        <f t="shared" si="802"/>
        <v>0.38605302000000008</v>
      </c>
      <c r="JM52" s="529">
        <f t="shared" si="803"/>
        <v>0.19302651000000004</v>
      </c>
      <c r="JN52" s="529">
        <f t="shared" si="804"/>
        <v>18.123044550000003</v>
      </c>
      <c r="JO52" s="529">
        <f t="shared" si="805"/>
        <v>2.1447390000000004E-2</v>
      </c>
      <c r="JP52" s="529">
        <f t="shared" si="806"/>
        <v>2.1447390000000004E-2</v>
      </c>
      <c r="JQ52" s="529">
        <f t="shared" si="235"/>
        <v>0.70776387000000007</v>
      </c>
      <c r="JR52" s="529">
        <f t="shared" si="236"/>
        <v>0.87934298999999994</v>
      </c>
      <c r="JS52" s="474">
        <f t="shared" si="807"/>
        <v>1.1152642800000001</v>
      </c>
      <c r="JT52" s="474">
        <f t="shared" si="808"/>
        <v>0.87934298999999994</v>
      </c>
      <c r="JU52" s="474">
        <f t="shared" si="809"/>
        <v>18.16593933</v>
      </c>
      <c r="JV52" s="474">
        <f t="shared" si="810"/>
        <v>0.21447390000000002</v>
      </c>
      <c r="JW52" s="134">
        <f t="shared" si="811"/>
        <v>0.21447390000000002</v>
      </c>
      <c r="JX52" s="884">
        <f t="shared" si="237"/>
        <v>0</v>
      </c>
      <c r="JY52" s="884">
        <f t="shared" si="238"/>
        <v>0</v>
      </c>
      <c r="JZ52" s="529">
        <f t="shared" si="812"/>
        <v>0</v>
      </c>
      <c r="KA52" s="529">
        <f t="shared" si="813"/>
        <v>0</v>
      </c>
      <c r="KB52" s="529">
        <f t="shared" si="814"/>
        <v>0</v>
      </c>
      <c r="KC52" s="529">
        <f t="shared" si="815"/>
        <v>0</v>
      </c>
      <c r="KD52" s="529">
        <f t="shared" si="816"/>
        <v>0</v>
      </c>
      <c r="KE52" s="529">
        <f t="shared" si="239"/>
        <v>0</v>
      </c>
      <c r="KF52" s="529">
        <f t="shared" si="240"/>
        <v>0</v>
      </c>
      <c r="KG52" s="529">
        <f t="shared" si="817"/>
        <v>0</v>
      </c>
      <c r="KH52" s="529">
        <f t="shared" si="818"/>
        <v>0</v>
      </c>
      <c r="KI52" s="529">
        <f t="shared" si="819"/>
        <v>0</v>
      </c>
      <c r="KJ52" s="529">
        <f t="shared" si="820"/>
        <v>0</v>
      </c>
      <c r="KK52" s="526">
        <f t="shared" si="821"/>
        <v>0</v>
      </c>
      <c r="KL52" s="884">
        <f t="shared" si="241"/>
        <v>0.39592561827500006</v>
      </c>
      <c r="KM52" s="884">
        <f t="shared" si="242"/>
        <v>0.32393914222500009</v>
      </c>
      <c r="KN52" s="529">
        <f t="shared" si="822"/>
        <v>0.64787828445000017</v>
      </c>
      <c r="KO52" s="529">
        <f t="shared" si="823"/>
        <v>0.32393914222500009</v>
      </c>
      <c r="KP52" s="529">
        <f t="shared" si="824"/>
        <v>30.414286131125003</v>
      </c>
      <c r="KQ52" s="529">
        <f t="shared" si="825"/>
        <v>3.5993238025000006E-2</v>
      </c>
      <c r="KR52" s="529">
        <f t="shared" si="826"/>
        <v>3.5993238025000006E-2</v>
      </c>
      <c r="KS52" s="529">
        <f t="shared" si="243"/>
        <v>6.1448812012500005</v>
      </c>
      <c r="KT52" s="529">
        <f t="shared" si="244"/>
        <v>7.6345493712499994</v>
      </c>
      <c r="KU52" s="529">
        <f t="shared" si="827"/>
        <v>9.6828431050000017</v>
      </c>
      <c r="KV52" s="529">
        <f t="shared" si="828"/>
        <v>7.6345493712499994</v>
      </c>
      <c r="KW52" s="529">
        <f t="shared" si="829"/>
        <v>157.71861749875001</v>
      </c>
      <c r="KX52" s="529">
        <f t="shared" si="830"/>
        <v>1.8620852125000003</v>
      </c>
      <c r="KY52" s="480">
        <f t="shared" si="831"/>
        <v>1.8620852125000003</v>
      </c>
      <c r="KZ52" s="884">
        <f t="shared" si="245"/>
        <v>0.39320215000000008</v>
      </c>
      <c r="LA52" s="884">
        <f t="shared" si="246"/>
        <v>0.3217108500000001</v>
      </c>
      <c r="LB52" s="529">
        <f t="shared" si="832"/>
        <v>0.64342170000000021</v>
      </c>
      <c r="LC52" s="529">
        <f t="shared" si="833"/>
        <v>0.3217108500000001</v>
      </c>
      <c r="LD52" s="529">
        <f t="shared" si="834"/>
        <v>30.205074250000003</v>
      </c>
      <c r="LE52" s="529">
        <f t="shared" si="835"/>
        <v>3.5745650000000004E-2</v>
      </c>
      <c r="LF52" s="529">
        <f t="shared" si="836"/>
        <v>3.5745650000000004E-2</v>
      </c>
      <c r="LG52" s="529">
        <f t="shared" si="247"/>
        <v>1.1796064500000003</v>
      </c>
      <c r="LH52" s="529">
        <f t="shared" si="248"/>
        <v>1.46557165</v>
      </c>
      <c r="LI52" s="355">
        <f t="shared" si="837"/>
        <v>1.8587738000000005</v>
      </c>
      <c r="LJ52" s="355">
        <f t="shared" si="838"/>
        <v>1.46557165</v>
      </c>
      <c r="LK52" s="355">
        <f t="shared" si="839"/>
        <v>30.276565550000004</v>
      </c>
      <c r="LL52" s="355">
        <f t="shared" si="840"/>
        <v>0.35745650000000007</v>
      </c>
      <c r="LM52" s="134">
        <f t="shared" si="841"/>
        <v>0.35745650000000007</v>
      </c>
      <c r="LN52" s="884">
        <f t="shared" si="249"/>
        <v>1.333874061247939E-2</v>
      </c>
      <c r="LO52" s="884">
        <f t="shared" si="250"/>
        <v>3.637838348858015E-3</v>
      </c>
      <c r="LP52" s="529">
        <f t="shared" si="842"/>
        <v>6.1843251930586263E-2</v>
      </c>
      <c r="LQ52" s="529">
        <f t="shared" si="843"/>
        <v>9.9434248202119074E-2</v>
      </c>
      <c r="LR52" s="529">
        <f t="shared" si="844"/>
        <v>9.7009022636213746</v>
      </c>
      <c r="LS52" s="529">
        <f t="shared" si="845"/>
        <v>0.10549731211688244</v>
      </c>
      <c r="LT52" s="529">
        <f t="shared" si="846"/>
        <v>1.2126127829526719E-2</v>
      </c>
      <c r="LU52" s="529">
        <f t="shared" si="251"/>
        <v>20.578963189863746</v>
      </c>
      <c r="LV52" s="529">
        <f t="shared" si="252"/>
        <v>10.289481594931873</v>
      </c>
      <c r="LW52" s="529">
        <f t="shared" si="847"/>
        <v>24.008790388174376</v>
      </c>
      <c r="LX52" s="529">
        <f t="shared" si="848"/>
        <v>20.578963189863746</v>
      </c>
      <c r="LY52" s="529">
        <f t="shared" si="849"/>
        <v>339.20990991292081</v>
      </c>
      <c r="LZ52" s="529">
        <f t="shared" si="850"/>
        <v>3.4298271983106248</v>
      </c>
      <c r="MA52" s="485">
        <f t="shared" si="851"/>
        <v>3.4298271983106248</v>
      </c>
      <c r="MB52" s="884">
        <f t="shared" si="253"/>
        <v>2.3592129000000002E-3</v>
      </c>
      <c r="MC52" s="884">
        <f t="shared" si="254"/>
        <v>6.4342169999999995E-4</v>
      </c>
      <c r="MD52" s="529">
        <f t="shared" si="852"/>
        <v>1.09381689E-2</v>
      </c>
      <c r="ME52" s="529">
        <f t="shared" si="853"/>
        <v>1.7586859799999997E-2</v>
      </c>
      <c r="MF52" s="529">
        <f t="shared" si="854"/>
        <v>1.7157912</v>
      </c>
      <c r="MG52" s="529">
        <f t="shared" si="855"/>
        <v>1.86592293E-2</v>
      </c>
      <c r="MH52" s="529">
        <f t="shared" si="856"/>
        <v>2.1447390000000001E-3</v>
      </c>
      <c r="MI52" s="529">
        <f t="shared" si="255"/>
        <v>0.12868433999999998</v>
      </c>
      <c r="MJ52" s="529">
        <f t="shared" si="256"/>
        <v>6.434216999999999E-2</v>
      </c>
      <c r="MK52" s="529">
        <f t="shared" si="857"/>
        <v>0.15013173000000002</v>
      </c>
      <c r="ML52" s="529">
        <f t="shared" si="858"/>
        <v>0.12868433999999998</v>
      </c>
      <c r="MM52" s="529">
        <f t="shared" si="859"/>
        <v>2.1211468710000001</v>
      </c>
      <c r="MN52" s="529">
        <f t="shared" si="860"/>
        <v>2.144739E-2</v>
      </c>
      <c r="MO52" s="485">
        <f t="shared" si="861"/>
        <v>2.144739E-2</v>
      </c>
      <c r="MP52" s="884">
        <f t="shared" si="257"/>
        <v>2.10254473E-2</v>
      </c>
      <c r="MQ52" s="884">
        <f t="shared" si="258"/>
        <v>5.7342128999999988E-3</v>
      </c>
      <c r="MR52" s="529">
        <f t="shared" si="862"/>
        <v>9.7481619300000003E-2</v>
      </c>
      <c r="MS52" s="529">
        <f t="shared" si="863"/>
        <v>0.15673515259999998</v>
      </c>
      <c r="MT52" s="529">
        <f t="shared" si="864"/>
        <v>15.2912344</v>
      </c>
      <c r="MU52" s="529">
        <f t="shared" si="865"/>
        <v>0.16629217409999997</v>
      </c>
      <c r="MV52" s="529">
        <f t="shared" si="866"/>
        <v>1.9114043000000001E-2</v>
      </c>
      <c r="MW52" s="529">
        <f t="shared" si="259"/>
        <v>2.5623703199999994</v>
      </c>
      <c r="MX52" s="529">
        <f t="shared" si="260"/>
        <v>1.2811851599999997</v>
      </c>
      <c r="MY52" s="474">
        <f t="shared" si="867"/>
        <v>2.9894320400000001</v>
      </c>
      <c r="MZ52" s="474">
        <f t="shared" si="868"/>
        <v>2.5623703199999994</v>
      </c>
      <c r="NA52" s="474">
        <f t="shared" si="869"/>
        <v>42.236404108000002</v>
      </c>
      <c r="NB52" s="474">
        <f t="shared" si="870"/>
        <v>0.42706171999999998</v>
      </c>
      <c r="NC52" s="134">
        <f t="shared" si="871"/>
        <v>0.42706171999999998</v>
      </c>
    </row>
    <row r="53" spans="1:367" x14ac:dyDescent="0.25">
      <c r="A53" s="18">
        <v>1998</v>
      </c>
      <c r="B53" s="1271">
        <v>3629</v>
      </c>
      <c r="C53" s="1224"/>
      <c r="D53" s="1224">
        <v>0</v>
      </c>
      <c r="E53" s="1272"/>
      <c r="F53" s="1226">
        <f t="shared" si="144"/>
        <v>3574.5650000000001</v>
      </c>
      <c r="G53" s="1226"/>
      <c r="H53" s="1224">
        <f t="shared" si="145"/>
        <v>0</v>
      </c>
      <c r="I53" s="1224"/>
      <c r="J53" s="1082">
        <f t="shared" si="918"/>
        <v>15</v>
      </c>
      <c r="K53" s="1082">
        <f t="shared" si="734"/>
        <v>15</v>
      </c>
      <c r="L53" s="1226">
        <f t="shared" si="751"/>
        <v>3574.5650000000001</v>
      </c>
      <c r="M53" s="1227"/>
      <c r="N53" s="193">
        <v>2E-3</v>
      </c>
      <c r="O53" s="47">
        <v>0</v>
      </c>
      <c r="P53" s="47">
        <v>0</v>
      </c>
      <c r="Q53" s="192">
        <v>6.0000000000000001E-3</v>
      </c>
      <c r="R53" s="47">
        <v>0</v>
      </c>
      <c r="S53" s="47">
        <f>0.3%-0.03%</f>
        <v>2.7000000000000001E-3</v>
      </c>
      <c r="T53" s="47">
        <v>0</v>
      </c>
      <c r="U53" s="47">
        <v>1.18E-2</v>
      </c>
      <c r="V53" s="117">
        <v>1.0000000000000001E-5</v>
      </c>
      <c r="W53" s="47">
        <v>2.9999999999999997E-4</v>
      </c>
      <c r="X53" s="52">
        <v>0</v>
      </c>
      <c r="Y53" s="52">
        <v>3.1E-2</v>
      </c>
      <c r="Z53" s="111">
        <v>5.2999999999999999E-2</v>
      </c>
      <c r="AA53" s="52">
        <f t="shared" si="147"/>
        <v>0.1</v>
      </c>
      <c r="AB53" s="52">
        <f t="shared" si="148"/>
        <v>0</v>
      </c>
      <c r="AC53" s="52">
        <f t="shared" si="149"/>
        <v>0.9</v>
      </c>
      <c r="AD53" s="363">
        <f t="shared" si="150"/>
        <v>7.1491300000000004</v>
      </c>
      <c r="AE53" s="355">
        <f t="shared" si="151"/>
        <v>7.1491300000000004</v>
      </c>
      <c r="AF53" s="355">
        <f t="shared" si="152"/>
        <v>0</v>
      </c>
      <c r="AG53" s="355">
        <f t="shared" si="151"/>
        <v>0</v>
      </c>
      <c r="AH53" s="355">
        <f t="shared" si="153"/>
        <v>0</v>
      </c>
      <c r="AI53" s="355">
        <f t="shared" ref="AI53" si="999">AH53</f>
        <v>0</v>
      </c>
      <c r="AJ53" s="508"/>
      <c r="AK53" s="508"/>
      <c r="AL53" s="508"/>
      <c r="AM53" s="508"/>
      <c r="AN53" s="508"/>
      <c r="AO53" s="572"/>
      <c r="AP53" s="366">
        <f t="shared" si="155"/>
        <v>7.1491300000000004</v>
      </c>
      <c r="AQ53" s="355">
        <f t="shared" ref="AQ53" si="1000">AP53</f>
        <v>7.1491300000000004</v>
      </c>
      <c r="AR53" s="355">
        <f t="shared" si="157"/>
        <v>0</v>
      </c>
      <c r="AS53" s="355">
        <f t="shared" ref="AS53" si="1001">AR53</f>
        <v>0</v>
      </c>
      <c r="AT53" s="355">
        <f t="shared" si="159"/>
        <v>0</v>
      </c>
      <c r="AU53" s="355">
        <f t="shared" ref="AU53" si="1002">AT53</f>
        <v>0</v>
      </c>
      <c r="AV53" s="363">
        <f t="shared" si="2"/>
        <v>0</v>
      </c>
      <c r="AW53" s="355">
        <f t="shared" ref="AW53" si="1003">AV53</f>
        <v>0</v>
      </c>
      <c r="AX53" s="355">
        <f t="shared" si="3"/>
        <v>9.6513255000000004</v>
      </c>
      <c r="AY53" s="355">
        <f t="shared" ref="AY53" si="1004">AX53</f>
        <v>9.6513255000000004</v>
      </c>
      <c r="AZ53" s="355">
        <f t="shared" si="4"/>
        <v>0</v>
      </c>
      <c r="BA53" s="355">
        <f t="shared" ref="BA53" si="1005">AZ53</f>
        <v>0</v>
      </c>
      <c r="BB53" s="366"/>
      <c r="BC53" s="355"/>
      <c r="BD53" s="355"/>
      <c r="BE53" s="355"/>
      <c r="BF53" s="355"/>
      <c r="BG53" s="355"/>
      <c r="BH53" s="366">
        <f t="shared" si="5"/>
        <v>0</v>
      </c>
      <c r="BI53" s="355">
        <f t="shared" ref="BI53" si="1006">BH53</f>
        <v>0</v>
      </c>
      <c r="BJ53" s="355">
        <f t="shared" si="6"/>
        <v>9.6513255000000004</v>
      </c>
      <c r="BK53" s="355">
        <f t="shared" ref="BK53" si="1007">BJ53</f>
        <v>9.6513255000000004</v>
      </c>
      <c r="BL53" s="355">
        <f t="shared" si="7"/>
        <v>0</v>
      </c>
      <c r="BM53" s="355">
        <f t="shared" ref="BM53" si="1008">BL53</f>
        <v>0</v>
      </c>
      <c r="BN53" s="363">
        <f t="shared" si="8"/>
        <v>3.5745650000000004E-2</v>
      </c>
      <c r="BO53" s="355">
        <f t="shared" ref="BO53" si="1009">BN53</f>
        <v>3.5745650000000004E-2</v>
      </c>
      <c r="BP53" s="355">
        <f t="shared" si="9"/>
        <v>1.0723695</v>
      </c>
      <c r="BQ53" s="355">
        <f t="shared" ref="BQ53" si="1010">BP53</f>
        <v>1.0723695</v>
      </c>
      <c r="BR53" s="355">
        <f t="shared" si="10"/>
        <v>0</v>
      </c>
      <c r="BS53" s="355">
        <f t="shared" ref="BS53" si="1011">BR53</f>
        <v>0</v>
      </c>
      <c r="BT53" s="366"/>
      <c r="BU53" s="355"/>
      <c r="BV53" s="355"/>
      <c r="BW53" s="355"/>
      <c r="BX53" s="355"/>
      <c r="BY53" s="355"/>
      <c r="BZ53" s="366">
        <f t="shared" si="11"/>
        <v>3.5745650000000004E-2</v>
      </c>
      <c r="CA53" s="355">
        <f t="shared" ref="CA53" si="1012">BZ53</f>
        <v>3.5745650000000004E-2</v>
      </c>
      <c r="CB53" s="355">
        <f t="shared" si="12"/>
        <v>1.0723695</v>
      </c>
      <c r="CC53" s="355">
        <f t="shared" ref="CC53" si="1013">CB53</f>
        <v>1.0723695</v>
      </c>
      <c r="CD53" s="355">
        <f t="shared" si="13"/>
        <v>0</v>
      </c>
      <c r="CE53" s="526">
        <f t="shared" ref="CE53" si="1014">CD53</f>
        <v>0</v>
      </c>
      <c r="CF53" s="355">
        <f t="shared" si="173"/>
        <v>1.5</v>
      </c>
      <c r="CG53" s="615">
        <f t="shared" si="174"/>
        <v>1.5</v>
      </c>
      <c r="CH53" s="355">
        <f t="shared" si="175"/>
        <v>0</v>
      </c>
      <c r="CI53" s="615">
        <f t="shared" si="491"/>
        <v>0</v>
      </c>
      <c r="CJ53" s="615">
        <f t="shared" si="176"/>
        <v>13.5</v>
      </c>
      <c r="CK53" s="615">
        <f t="shared" si="492"/>
        <v>13.5</v>
      </c>
      <c r="CL53" s="122"/>
      <c r="CM53" s="1235">
        <f t="shared" si="16"/>
        <v>3370.1130550000003</v>
      </c>
      <c r="CN53" s="1231"/>
      <c r="CO53" s="1230"/>
      <c r="CP53" s="1231"/>
      <c r="CQ53" s="1230">
        <f t="shared" si="177"/>
        <v>3370.1130550000003</v>
      </c>
      <c r="CR53" s="1232"/>
      <c r="CS53" s="30">
        <v>0.45</v>
      </c>
      <c r="CT53" s="31">
        <f t="shared" si="178"/>
        <v>0.55000000000000004</v>
      </c>
      <c r="CU53" s="31"/>
      <c r="CV53" s="32"/>
      <c r="CW53" s="1233">
        <f t="shared" si="179"/>
        <v>1440.7233310125</v>
      </c>
      <c r="CX53" s="1234"/>
      <c r="CY53" s="1234">
        <f t="shared" si="180"/>
        <v>1760.8840712375002</v>
      </c>
      <c r="CZ53" s="1231"/>
      <c r="DA53" s="369"/>
      <c r="DB53" s="369"/>
      <c r="DC53" s="369"/>
      <c r="DD53" s="373"/>
      <c r="DE53" s="1234">
        <f t="shared" si="768"/>
        <v>1440.7233310125</v>
      </c>
      <c r="DF53" s="1234"/>
      <c r="DG53" s="369">
        <f t="shared" si="341"/>
        <v>1760.8840712375002</v>
      </c>
      <c r="DH53" s="372">
        <f t="shared" si="182"/>
        <v>1760.8840712375002</v>
      </c>
      <c r="DJ53" s="493">
        <v>0.05</v>
      </c>
      <c r="DK53" s="379"/>
      <c r="DL53" s="1084">
        <f t="shared" si="18"/>
        <v>168.50565275000002</v>
      </c>
      <c r="DM53" s="1084">
        <f t="shared" si="605"/>
        <v>168.50565275000002</v>
      </c>
      <c r="DN53" s="369"/>
      <c r="DO53" s="372"/>
      <c r="DP53" s="30">
        <v>1</v>
      </c>
      <c r="DQ53" s="31">
        <f t="shared" si="183"/>
        <v>0.1</v>
      </c>
      <c r="DR53" s="31">
        <f t="shared" si="184"/>
        <v>1</v>
      </c>
      <c r="DS53" s="680">
        <f t="shared" si="185"/>
        <v>0.1</v>
      </c>
      <c r="DT53" s="77">
        <f t="shared" si="186"/>
        <v>1</v>
      </c>
      <c r="DU53" s="31">
        <v>0</v>
      </c>
      <c r="DV53" s="31">
        <v>1</v>
      </c>
      <c r="DW53" s="31">
        <v>0</v>
      </c>
      <c r="DX53" s="31">
        <v>0</v>
      </c>
      <c r="DY53" s="31">
        <v>1</v>
      </c>
      <c r="DZ53" s="31">
        <v>0</v>
      </c>
      <c r="EA53" s="383">
        <f t="shared" si="888"/>
        <v>0</v>
      </c>
      <c r="EB53" s="355">
        <f t="shared" si="188"/>
        <v>0</v>
      </c>
      <c r="EC53" s="355">
        <f t="shared" si="889"/>
        <v>16.767451150000003</v>
      </c>
      <c r="ED53" s="355">
        <f t="shared" si="190"/>
        <v>167.67451150000002</v>
      </c>
      <c r="EE53" s="355">
        <f t="shared" si="890"/>
        <v>0</v>
      </c>
      <c r="EF53" s="355">
        <f t="shared" si="192"/>
        <v>0</v>
      </c>
      <c r="EG53" s="366"/>
      <c r="EH53" s="355"/>
      <c r="EI53" s="355"/>
      <c r="EJ53" s="355"/>
      <c r="EK53" s="355"/>
      <c r="EL53" s="356"/>
      <c r="EM53" s="355">
        <f t="shared" si="193"/>
        <v>16.767451150000003</v>
      </c>
      <c r="EN53" s="134">
        <f t="shared" si="194"/>
        <v>167.67451150000002</v>
      </c>
      <c r="EP53" s="1171">
        <f t="shared" si="769"/>
        <v>3.5745650000000004E-2</v>
      </c>
      <c r="EQ53" s="1172"/>
      <c r="ER53" s="1172">
        <f t="shared" si="770"/>
        <v>1.0723695</v>
      </c>
      <c r="ES53" s="1172"/>
      <c r="ET53" s="1172">
        <f t="shared" si="771"/>
        <v>0</v>
      </c>
      <c r="EU53" s="1172"/>
      <c r="EV53" s="366"/>
      <c r="EW53" s="355"/>
      <c r="EX53" s="355"/>
      <c r="EY53" s="355"/>
      <c r="EZ53" s="1172"/>
      <c r="FA53" s="1173"/>
      <c r="FB53" s="368">
        <f t="shared" si="195"/>
        <v>1440.7233310125</v>
      </c>
      <c r="FC53" s="369">
        <f t="shared" si="196"/>
        <v>1440.7233310125</v>
      </c>
      <c r="FD53" s="369"/>
      <c r="FE53" s="61"/>
      <c r="FF53" s="368">
        <f t="shared" si="772"/>
        <v>1760.8840712375002</v>
      </c>
      <c r="FG53" s="369">
        <f t="shared" si="426"/>
        <v>1760.8840712375002</v>
      </c>
      <c r="FH53" s="369"/>
      <c r="FI53" s="369"/>
      <c r="FJ53" s="30">
        <v>1</v>
      </c>
      <c r="FK53" s="31">
        <v>0.2</v>
      </c>
      <c r="FL53" s="501">
        <v>0.8</v>
      </c>
      <c r="FM53" s="31">
        <f t="shared" si="198"/>
        <v>0.1</v>
      </c>
      <c r="FN53" s="501">
        <f t="shared" si="199"/>
        <v>1</v>
      </c>
      <c r="FO53" s="31">
        <f t="shared" si="200"/>
        <v>0.1</v>
      </c>
      <c r="FP53" s="31">
        <f t="shared" si="201"/>
        <v>1</v>
      </c>
      <c r="FQ53" s="31">
        <v>1</v>
      </c>
      <c r="FR53" s="31">
        <v>0</v>
      </c>
      <c r="FS53" s="89">
        <f t="shared" si="202"/>
        <v>1E-3</v>
      </c>
      <c r="FT53" s="31">
        <f t="shared" si="203"/>
        <v>0.05</v>
      </c>
      <c r="FU53" s="30">
        <v>0.05</v>
      </c>
      <c r="FV53" s="32">
        <f t="shared" si="25"/>
        <v>2.4224999999999997E-2</v>
      </c>
      <c r="FW53" s="31">
        <v>0.1</v>
      </c>
      <c r="FX53" s="77">
        <f t="shared" si="26"/>
        <v>9.0000000000000011E-2</v>
      </c>
      <c r="FY53" s="30"/>
      <c r="FZ53" s="32"/>
      <c r="GA53" s="31"/>
      <c r="GB53" s="77"/>
      <c r="GC53" s="378">
        <f t="shared" si="773"/>
        <v>3.5745650000000004E-2</v>
      </c>
      <c r="GD53" s="379">
        <f t="shared" si="204"/>
        <v>3.5745650000000004E-2</v>
      </c>
      <c r="GE53" s="379">
        <f t="shared" si="774"/>
        <v>1.0723695</v>
      </c>
      <c r="GF53" s="379">
        <f t="shared" si="205"/>
        <v>1.0723695</v>
      </c>
      <c r="GG53" s="379">
        <f t="shared" si="206"/>
        <v>0</v>
      </c>
      <c r="GH53" s="218">
        <f t="shared" si="207"/>
        <v>0</v>
      </c>
      <c r="GI53" s="379"/>
      <c r="GJ53" s="379"/>
      <c r="GK53" s="379"/>
      <c r="GL53" s="379"/>
      <c r="GM53" s="379"/>
      <c r="GN53" s="218"/>
      <c r="GO53" s="379">
        <f t="shared" si="208"/>
        <v>1.1081151499999999</v>
      </c>
      <c r="GP53" s="515">
        <f t="shared" si="209"/>
        <v>1.1081151499999999</v>
      </c>
      <c r="GQ53" s="379">
        <f t="shared" si="891"/>
        <v>10.641022726754812</v>
      </c>
      <c r="GR53" s="379">
        <f t="shared" si="892"/>
        <v>272.38724393174999</v>
      </c>
      <c r="GS53" s="355">
        <f t="shared" si="390"/>
        <v>0.14702903779712501</v>
      </c>
      <c r="GT53" s="355">
        <f t="shared" si="391"/>
        <v>73.5145188985625</v>
      </c>
      <c r="GU53" s="355">
        <f t="shared" si="392"/>
        <v>0</v>
      </c>
      <c r="GV53" s="356">
        <f t="shared" si="393"/>
        <v>0</v>
      </c>
      <c r="GW53" s="355"/>
      <c r="GX53" s="355"/>
      <c r="GY53" s="355"/>
      <c r="GZ53" s="355"/>
      <c r="HA53" s="355"/>
      <c r="HB53" s="356"/>
      <c r="HC53" s="379">
        <f t="shared" si="212"/>
        <v>10.788051764551938</v>
      </c>
      <c r="HD53" s="38">
        <f t="shared" si="213"/>
        <v>345.90176283031246</v>
      </c>
      <c r="HE53" s="527"/>
      <c r="HF53" s="529">
        <f t="shared" si="775"/>
        <v>7.1491300000000004</v>
      </c>
      <c r="HG53" s="529">
        <f t="shared" si="776"/>
        <v>7.1491300000000004</v>
      </c>
      <c r="HH53" s="529">
        <f t="shared" si="777"/>
        <v>0</v>
      </c>
      <c r="HI53" s="529">
        <f t="shared" si="778"/>
        <v>0</v>
      </c>
      <c r="HJ53" s="529">
        <f t="shared" si="779"/>
        <v>0</v>
      </c>
      <c r="HK53" s="524">
        <f t="shared" si="780"/>
        <v>0</v>
      </c>
      <c r="HL53" s="529">
        <f t="shared" si="781"/>
        <v>0</v>
      </c>
      <c r="HM53" s="529">
        <f t="shared" si="782"/>
        <v>0</v>
      </c>
      <c r="HN53" s="529">
        <f t="shared" si="783"/>
        <v>26.418776650000005</v>
      </c>
      <c r="HO53" s="529">
        <f t="shared" si="784"/>
        <v>177.32583700000004</v>
      </c>
      <c r="HP53" s="529">
        <f t="shared" si="785"/>
        <v>0</v>
      </c>
      <c r="HQ53" s="524">
        <f t="shared" si="786"/>
        <v>0</v>
      </c>
      <c r="HR53" s="615">
        <f t="shared" si="214"/>
        <v>12.323797414551938</v>
      </c>
      <c r="HS53" s="615">
        <f t="shared" si="787"/>
        <v>347.43750848031254</v>
      </c>
      <c r="HT53" s="615">
        <f t="shared" si="788"/>
        <v>1.0723695</v>
      </c>
      <c r="HU53" s="615">
        <f t="shared" si="789"/>
        <v>1.0723695</v>
      </c>
      <c r="HV53" s="615">
        <f t="shared" si="790"/>
        <v>13.5</v>
      </c>
      <c r="HW53" s="615">
        <f t="shared" si="791"/>
        <v>13.5</v>
      </c>
      <c r="IG53" s="560"/>
      <c r="IH53" s="529">
        <f t="shared" si="215"/>
        <v>7.8640430000000011E-2</v>
      </c>
      <c r="II53" s="529">
        <f t="shared" si="216"/>
        <v>6.4342170000000018E-2</v>
      </c>
      <c r="IJ53" s="529">
        <f t="shared" si="217"/>
        <v>0.12868434000000004</v>
      </c>
      <c r="IK53" s="529">
        <f t="shared" si="893"/>
        <v>6.4342170000000018E-2</v>
      </c>
      <c r="IL53" s="529">
        <f t="shared" si="894"/>
        <v>6.0410148499999998</v>
      </c>
      <c r="IM53" s="529">
        <f t="shared" si="895"/>
        <v>7.1491300000000009E-3</v>
      </c>
      <c r="IN53" s="529">
        <f t="shared" si="896"/>
        <v>7.1491300000000009E-3</v>
      </c>
      <c r="IO53" s="529">
        <f t="shared" si="222"/>
        <v>0.23592129000000003</v>
      </c>
      <c r="IP53" s="529">
        <f t="shared" si="223"/>
        <v>0.29311432999999998</v>
      </c>
      <c r="IQ53" s="529">
        <f t="shared" si="897"/>
        <v>0.37175476000000007</v>
      </c>
      <c r="IR53" s="529">
        <f t="shared" si="898"/>
        <v>0.29311432999999998</v>
      </c>
      <c r="IS53" s="529">
        <f t="shared" si="899"/>
        <v>6.0553131100000002</v>
      </c>
      <c r="IT53" s="529">
        <f t="shared" si="900"/>
        <v>7.1491300000000008E-2</v>
      </c>
      <c r="IU53" s="526">
        <f t="shared" si="901"/>
        <v>7.1491300000000008E-2</v>
      </c>
      <c r="IV53" s="884">
        <f t="shared" si="229"/>
        <v>0</v>
      </c>
      <c r="IW53" s="884">
        <f t="shared" si="230"/>
        <v>0</v>
      </c>
      <c r="IX53" s="529">
        <f t="shared" si="792"/>
        <v>0</v>
      </c>
      <c r="IY53" s="529">
        <f t="shared" si="793"/>
        <v>0</v>
      </c>
      <c r="IZ53" s="529">
        <f t="shared" si="794"/>
        <v>0</v>
      </c>
      <c r="JA53" s="529">
        <f t="shared" si="795"/>
        <v>0</v>
      </c>
      <c r="JB53" s="529">
        <f t="shared" si="796"/>
        <v>0</v>
      </c>
      <c r="JC53" s="529">
        <f t="shared" si="231"/>
        <v>0</v>
      </c>
      <c r="JD53" s="529">
        <f t="shared" si="232"/>
        <v>0</v>
      </c>
      <c r="JE53" s="529">
        <f t="shared" si="797"/>
        <v>0</v>
      </c>
      <c r="JF53" s="529">
        <f t="shared" si="798"/>
        <v>0</v>
      </c>
      <c r="JG53" s="529">
        <f t="shared" si="799"/>
        <v>0</v>
      </c>
      <c r="JH53" s="529">
        <f t="shared" si="800"/>
        <v>0</v>
      </c>
      <c r="JI53" s="480">
        <f t="shared" si="801"/>
        <v>0</v>
      </c>
      <c r="JJ53" s="884">
        <f t="shared" si="233"/>
        <v>0</v>
      </c>
      <c r="JK53" s="884">
        <f t="shared" si="234"/>
        <v>0</v>
      </c>
      <c r="JL53" s="529">
        <f t="shared" si="802"/>
        <v>0</v>
      </c>
      <c r="JM53" s="529">
        <f t="shared" si="803"/>
        <v>0</v>
      </c>
      <c r="JN53" s="529">
        <f t="shared" si="804"/>
        <v>0</v>
      </c>
      <c r="JO53" s="529">
        <f t="shared" si="805"/>
        <v>0</v>
      </c>
      <c r="JP53" s="529">
        <f t="shared" si="806"/>
        <v>0</v>
      </c>
      <c r="JQ53" s="529">
        <f t="shared" si="235"/>
        <v>0</v>
      </c>
      <c r="JR53" s="529">
        <f t="shared" si="236"/>
        <v>0</v>
      </c>
      <c r="JS53" s="474">
        <f t="shared" si="807"/>
        <v>0</v>
      </c>
      <c r="JT53" s="474">
        <f t="shared" si="808"/>
        <v>0</v>
      </c>
      <c r="JU53" s="474">
        <f t="shared" si="809"/>
        <v>0</v>
      </c>
      <c r="JV53" s="474">
        <f t="shared" si="810"/>
        <v>0</v>
      </c>
      <c r="JW53" s="134">
        <f t="shared" si="811"/>
        <v>0</v>
      </c>
      <c r="JX53" s="884">
        <f t="shared" si="237"/>
        <v>0</v>
      </c>
      <c r="JY53" s="884">
        <f t="shared" si="238"/>
        <v>0</v>
      </c>
      <c r="JZ53" s="529">
        <f t="shared" si="812"/>
        <v>0</v>
      </c>
      <c r="KA53" s="529">
        <f t="shared" si="813"/>
        <v>0</v>
      </c>
      <c r="KB53" s="529">
        <f t="shared" si="814"/>
        <v>0</v>
      </c>
      <c r="KC53" s="529">
        <f t="shared" si="815"/>
        <v>0</v>
      </c>
      <c r="KD53" s="529">
        <f t="shared" si="816"/>
        <v>0</v>
      </c>
      <c r="KE53" s="529">
        <f t="shared" si="239"/>
        <v>0</v>
      </c>
      <c r="KF53" s="529">
        <f t="shared" si="240"/>
        <v>0</v>
      </c>
      <c r="KG53" s="529">
        <f t="shared" si="817"/>
        <v>0</v>
      </c>
      <c r="KH53" s="529">
        <f t="shared" si="818"/>
        <v>0</v>
      </c>
      <c r="KI53" s="529">
        <f t="shared" si="819"/>
        <v>0</v>
      </c>
      <c r="KJ53" s="529">
        <f t="shared" si="820"/>
        <v>0</v>
      </c>
      <c r="KK53" s="526">
        <f t="shared" si="821"/>
        <v>0</v>
      </c>
      <c r="KL53" s="884">
        <f t="shared" si="241"/>
        <v>0.29060654315000006</v>
      </c>
      <c r="KM53" s="884">
        <f t="shared" si="242"/>
        <v>0.23776898985000008</v>
      </c>
      <c r="KN53" s="529">
        <f t="shared" si="822"/>
        <v>0.47553797970000017</v>
      </c>
      <c r="KO53" s="529">
        <f t="shared" si="823"/>
        <v>0.23776898985000008</v>
      </c>
      <c r="KP53" s="529">
        <f t="shared" si="824"/>
        <v>22.323866269250004</v>
      </c>
      <c r="KQ53" s="529">
        <f t="shared" si="825"/>
        <v>2.6418776650000007E-2</v>
      </c>
      <c r="KR53" s="529">
        <f t="shared" si="826"/>
        <v>2.6418776650000007E-2</v>
      </c>
      <c r="KS53" s="529">
        <f t="shared" si="243"/>
        <v>5.851752621000001</v>
      </c>
      <c r="KT53" s="529">
        <f t="shared" si="244"/>
        <v>7.2703593170000005</v>
      </c>
      <c r="KU53" s="529">
        <f t="shared" si="827"/>
        <v>9.2209435240000026</v>
      </c>
      <c r="KV53" s="529">
        <f t="shared" si="828"/>
        <v>7.2703593170000005</v>
      </c>
      <c r="KW53" s="529">
        <f t="shared" si="829"/>
        <v>150.19498393900002</v>
      </c>
      <c r="KX53" s="529">
        <f t="shared" si="830"/>
        <v>1.7732583700000004</v>
      </c>
      <c r="KY53" s="480">
        <f t="shared" si="831"/>
        <v>1.7732583700000004</v>
      </c>
      <c r="KZ53" s="884">
        <f t="shared" si="245"/>
        <v>0</v>
      </c>
      <c r="LA53" s="884">
        <f t="shared" si="246"/>
        <v>0</v>
      </c>
      <c r="LB53" s="529">
        <f t="shared" si="832"/>
        <v>0</v>
      </c>
      <c r="LC53" s="529">
        <f t="shared" si="833"/>
        <v>0</v>
      </c>
      <c r="LD53" s="529">
        <f t="shared" si="834"/>
        <v>0</v>
      </c>
      <c r="LE53" s="529">
        <f t="shared" si="835"/>
        <v>0</v>
      </c>
      <c r="LF53" s="529">
        <f t="shared" si="836"/>
        <v>0</v>
      </c>
      <c r="LG53" s="529">
        <f t="shared" si="247"/>
        <v>0</v>
      </c>
      <c r="LH53" s="529">
        <f t="shared" si="248"/>
        <v>0</v>
      </c>
      <c r="LI53" s="355">
        <f t="shared" si="837"/>
        <v>0</v>
      </c>
      <c r="LJ53" s="355">
        <f t="shared" si="838"/>
        <v>0</v>
      </c>
      <c r="LK53" s="355">
        <f t="shared" si="839"/>
        <v>0</v>
      </c>
      <c r="LL53" s="355">
        <f t="shared" si="840"/>
        <v>0</v>
      </c>
      <c r="LM53" s="134">
        <f t="shared" si="841"/>
        <v>0</v>
      </c>
      <c r="LN53" s="884">
        <f t="shared" si="249"/>
        <v>1.3556177156007133E-2</v>
      </c>
      <c r="LO53" s="884">
        <f t="shared" si="250"/>
        <v>3.6971392243655811E-3</v>
      </c>
      <c r="LP53" s="529">
        <f t="shared" si="842"/>
        <v>6.2851366814214896E-2</v>
      </c>
      <c r="LQ53" s="529">
        <f t="shared" si="843"/>
        <v>0.10105513879932589</v>
      </c>
      <c r="LR53" s="529">
        <f t="shared" si="844"/>
        <v>9.8590379316415522</v>
      </c>
      <c r="LS53" s="529">
        <f t="shared" si="845"/>
        <v>0.10721703750660186</v>
      </c>
      <c r="LT53" s="529">
        <f t="shared" si="846"/>
        <v>1.2323797414551939E-2</v>
      </c>
      <c r="LU53" s="529">
        <f t="shared" si="251"/>
        <v>20.846250508818752</v>
      </c>
      <c r="LV53" s="529">
        <f t="shared" si="252"/>
        <v>10.423125254409376</v>
      </c>
      <c r="LW53" s="529">
        <f t="shared" si="847"/>
        <v>24.32062559362188</v>
      </c>
      <c r="LX53" s="529">
        <f t="shared" si="848"/>
        <v>20.846250508818752</v>
      </c>
      <c r="LY53" s="529">
        <f t="shared" si="849"/>
        <v>343.61569588702912</v>
      </c>
      <c r="LZ53" s="529">
        <f t="shared" si="850"/>
        <v>3.4743750848031256</v>
      </c>
      <c r="MA53" s="485">
        <f t="shared" si="851"/>
        <v>3.4743750848031256</v>
      </c>
      <c r="MB53" s="884">
        <f t="shared" si="253"/>
        <v>1.1796064500000001E-3</v>
      </c>
      <c r="MC53" s="884">
        <f t="shared" si="254"/>
        <v>3.2171084999999997E-4</v>
      </c>
      <c r="MD53" s="529">
        <f t="shared" si="852"/>
        <v>5.4690844499999999E-3</v>
      </c>
      <c r="ME53" s="529">
        <f t="shared" si="853"/>
        <v>8.7934298999999983E-3</v>
      </c>
      <c r="MF53" s="529">
        <f t="shared" si="854"/>
        <v>0.85789559999999998</v>
      </c>
      <c r="MG53" s="529">
        <f t="shared" si="855"/>
        <v>9.32961465E-3</v>
      </c>
      <c r="MH53" s="529">
        <f t="shared" si="856"/>
        <v>1.0723695000000001E-3</v>
      </c>
      <c r="MI53" s="529">
        <f t="shared" si="255"/>
        <v>6.434216999999999E-2</v>
      </c>
      <c r="MJ53" s="529">
        <f t="shared" si="256"/>
        <v>3.2171084999999995E-2</v>
      </c>
      <c r="MK53" s="529">
        <f t="shared" si="857"/>
        <v>7.5065865000000009E-2</v>
      </c>
      <c r="ML53" s="529">
        <f t="shared" si="858"/>
        <v>6.434216999999999E-2</v>
      </c>
      <c r="MM53" s="529">
        <f t="shared" si="859"/>
        <v>1.0605734355000001</v>
      </c>
      <c r="MN53" s="529">
        <f t="shared" si="860"/>
        <v>1.0723695E-2</v>
      </c>
      <c r="MO53" s="485">
        <f t="shared" si="861"/>
        <v>1.0723695E-2</v>
      </c>
      <c r="MP53" s="884">
        <f t="shared" si="257"/>
        <v>1.485E-2</v>
      </c>
      <c r="MQ53" s="884">
        <f t="shared" si="258"/>
        <v>4.0499999999999998E-3</v>
      </c>
      <c r="MR53" s="529">
        <f t="shared" si="862"/>
        <v>6.8850000000000008E-2</v>
      </c>
      <c r="MS53" s="529">
        <f t="shared" si="863"/>
        <v>0.11069999999999999</v>
      </c>
      <c r="MT53" s="529">
        <f t="shared" si="864"/>
        <v>10.8</v>
      </c>
      <c r="MU53" s="529">
        <f t="shared" si="865"/>
        <v>0.11745</v>
      </c>
      <c r="MV53" s="529">
        <f t="shared" si="866"/>
        <v>1.35E-2</v>
      </c>
      <c r="MW53" s="529">
        <f t="shared" si="259"/>
        <v>0.80999999999999994</v>
      </c>
      <c r="MX53" s="529">
        <f t="shared" si="260"/>
        <v>0.40499999999999997</v>
      </c>
      <c r="MY53" s="474">
        <f t="shared" si="867"/>
        <v>0.94500000000000006</v>
      </c>
      <c r="MZ53" s="474">
        <f t="shared" si="868"/>
        <v>0.80999999999999994</v>
      </c>
      <c r="NA53" s="474">
        <f t="shared" si="869"/>
        <v>13.351500000000001</v>
      </c>
      <c r="NB53" s="474">
        <f t="shared" si="870"/>
        <v>0.13500000000000001</v>
      </c>
      <c r="NC53" s="134">
        <f t="shared" si="871"/>
        <v>0.13500000000000001</v>
      </c>
    </row>
    <row r="54" spans="1:367" x14ac:dyDescent="0.25">
      <c r="A54" s="18">
        <v>1999</v>
      </c>
      <c r="B54" s="1271">
        <v>3629</v>
      </c>
      <c r="C54" s="1224"/>
      <c r="D54" s="1224">
        <v>0</v>
      </c>
      <c r="E54" s="1272"/>
      <c r="F54" s="1226">
        <f t="shared" si="144"/>
        <v>3574.5650000000001</v>
      </c>
      <c r="G54" s="1226"/>
      <c r="H54" s="1224">
        <f t="shared" si="145"/>
        <v>0</v>
      </c>
      <c r="I54" s="1224"/>
      <c r="J54" s="1082">
        <f t="shared" si="918"/>
        <v>17.5</v>
      </c>
      <c r="K54" s="1082">
        <f t="shared" si="734"/>
        <v>17.5</v>
      </c>
      <c r="L54" s="1226">
        <f t="shared" si="751"/>
        <v>3574.5650000000001</v>
      </c>
      <c r="M54" s="1227"/>
      <c r="N54" s="193">
        <v>2E-3</v>
      </c>
      <c r="O54" s="47">
        <v>0</v>
      </c>
      <c r="P54" s="47">
        <v>0</v>
      </c>
      <c r="Q54" s="192">
        <v>6.0000000000000001E-3</v>
      </c>
      <c r="R54" s="47">
        <v>0</v>
      </c>
      <c r="S54" s="47">
        <v>2.7000000000000001E-3</v>
      </c>
      <c r="T54" s="47">
        <v>0</v>
      </c>
      <c r="U54" s="47">
        <v>1.18E-2</v>
      </c>
      <c r="V54" s="117">
        <v>1.0000000000000001E-5</v>
      </c>
      <c r="W54" s="47">
        <v>2.9999999999999997E-4</v>
      </c>
      <c r="X54" s="52">
        <v>0</v>
      </c>
      <c r="Y54" s="52">
        <v>3.1E-2</v>
      </c>
      <c r="Z54" s="111">
        <v>5.2999999999999999E-2</v>
      </c>
      <c r="AA54" s="52">
        <f t="shared" si="147"/>
        <v>0.1</v>
      </c>
      <c r="AB54" s="52">
        <f t="shared" si="148"/>
        <v>0</v>
      </c>
      <c r="AC54" s="52">
        <f t="shared" si="149"/>
        <v>0.9</v>
      </c>
      <c r="AD54" s="363">
        <f t="shared" si="150"/>
        <v>7.1491300000000004</v>
      </c>
      <c r="AE54" s="355">
        <f t="shared" si="151"/>
        <v>7.1491300000000004</v>
      </c>
      <c r="AF54" s="355">
        <f t="shared" si="152"/>
        <v>0</v>
      </c>
      <c r="AG54" s="355">
        <f t="shared" si="151"/>
        <v>0</v>
      </c>
      <c r="AH54" s="355">
        <f t="shared" si="153"/>
        <v>0</v>
      </c>
      <c r="AI54" s="355">
        <f t="shared" ref="AI54" si="1015">AH54</f>
        <v>0</v>
      </c>
      <c r="AJ54" s="508"/>
      <c r="AK54" s="508"/>
      <c r="AL54" s="508"/>
      <c r="AM54" s="508"/>
      <c r="AN54" s="508"/>
      <c r="AO54" s="572"/>
      <c r="AP54" s="366">
        <f t="shared" si="155"/>
        <v>7.1491300000000004</v>
      </c>
      <c r="AQ54" s="355">
        <f t="shared" ref="AQ54" si="1016">AP54</f>
        <v>7.1491300000000004</v>
      </c>
      <c r="AR54" s="355">
        <f t="shared" si="157"/>
        <v>0</v>
      </c>
      <c r="AS54" s="355">
        <f t="shared" ref="AS54" si="1017">AR54</f>
        <v>0</v>
      </c>
      <c r="AT54" s="355">
        <f t="shared" si="159"/>
        <v>0</v>
      </c>
      <c r="AU54" s="355">
        <f t="shared" ref="AU54" si="1018">AT54</f>
        <v>0</v>
      </c>
      <c r="AV54" s="363">
        <f t="shared" si="2"/>
        <v>0</v>
      </c>
      <c r="AW54" s="355">
        <f t="shared" ref="AW54" si="1019">AV54</f>
        <v>0</v>
      </c>
      <c r="AX54" s="355">
        <f t="shared" si="3"/>
        <v>9.6513255000000004</v>
      </c>
      <c r="AY54" s="355">
        <f t="shared" ref="AY54" si="1020">AX54</f>
        <v>9.6513255000000004</v>
      </c>
      <c r="AZ54" s="355">
        <f t="shared" si="4"/>
        <v>0</v>
      </c>
      <c r="BA54" s="355">
        <f t="shared" ref="BA54" si="1021">AZ54</f>
        <v>0</v>
      </c>
      <c r="BB54" s="366"/>
      <c r="BC54" s="355"/>
      <c r="BD54" s="355"/>
      <c r="BE54" s="355"/>
      <c r="BF54" s="355"/>
      <c r="BG54" s="355"/>
      <c r="BH54" s="366">
        <f t="shared" si="5"/>
        <v>0</v>
      </c>
      <c r="BI54" s="355">
        <f t="shared" ref="BI54" si="1022">BH54</f>
        <v>0</v>
      </c>
      <c r="BJ54" s="355">
        <f t="shared" si="6"/>
        <v>9.6513255000000004</v>
      </c>
      <c r="BK54" s="355">
        <f t="shared" ref="BK54" si="1023">BJ54</f>
        <v>9.6513255000000004</v>
      </c>
      <c r="BL54" s="355">
        <f t="shared" si="7"/>
        <v>0</v>
      </c>
      <c r="BM54" s="355">
        <f t="shared" ref="BM54" si="1024">BL54</f>
        <v>0</v>
      </c>
      <c r="BN54" s="363">
        <f t="shared" si="8"/>
        <v>3.5745650000000004E-2</v>
      </c>
      <c r="BO54" s="355">
        <f t="shared" ref="BO54" si="1025">BN54</f>
        <v>3.5745650000000004E-2</v>
      </c>
      <c r="BP54" s="355">
        <f t="shared" si="9"/>
        <v>1.0723695</v>
      </c>
      <c r="BQ54" s="355">
        <f t="shared" ref="BQ54" si="1026">BP54</f>
        <v>1.0723695</v>
      </c>
      <c r="BR54" s="355">
        <f t="shared" si="10"/>
        <v>0</v>
      </c>
      <c r="BS54" s="355">
        <f t="shared" ref="BS54" si="1027">BR54</f>
        <v>0</v>
      </c>
      <c r="BT54" s="366"/>
      <c r="BU54" s="355"/>
      <c r="BV54" s="355"/>
      <c r="BW54" s="355"/>
      <c r="BX54" s="355"/>
      <c r="BY54" s="355"/>
      <c r="BZ54" s="366">
        <f t="shared" si="11"/>
        <v>3.5745650000000004E-2</v>
      </c>
      <c r="CA54" s="355">
        <f t="shared" ref="CA54" si="1028">BZ54</f>
        <v>3.5745650000000004E-2</v>
      </c>
      <c r="CB54" s="355">
        <f t="shared" si="12"/>
        <v>1.0723695</v>
      </c>
      <c r="CC54" s="355">
        <f t="shared" ref="CC54" si="1029">CB54</f>
        <v>1.0723695</v>
      </c>
      <c r="CD54" s="355">
        <f t="shared" si="13"/>
        <v>0</v>
      </c>
      <c r="CE54" s="526">
        <f t="shared" ref="CE54" si="1030">CD54</f>
        <v>0</v>
      </c>
      <c r="CF54" s="355">
        <f t="shared" si="173"/>
        <v>1.75</v>
      </c>
      <c r="CG54" s="615">
        <f t="shared" si="174"/>
        <v>1.75</v>
      </c>
      <c r="CH54" s="355">
        <f t="shared" si="175"/>
        <v>0</v>
      </c>
      <c r="CI54" s="615">
        <f t="shared" si="491"/>
        <v>0</v>
      </c>
      <c r="CJ54" s="615">
        <f t="shared" si="176"/>
        <v>15.75</v>
      </c>
      <c r="CK54" s="615">
        <f t="shared" si="492"/>
        <v>15.75</v>
      </c>
      <c r="CL54" s="122"/>
      <c r="CM54" s="1235">
        <f t="shared" si="16"/>
        <v>3367.6130550000003</v>
      </c>
      <c r="CN54" s="1231"/>
      <c r="CO54" s="1230"/>
      <c r="CP54" s="1231"/>
      <c r="CQ54" s="1230">
        <f t="shared" si="177"/>
        <v>3367.6130550000003</v>
      </c>
      <c r="CR54" s="1232"/>
      <c r="CS54" s="30">
        <v>0.45</v>
      </c>
      <c r="CT54" s="31">
        <f t="shared" si="178"/>
        <v>0.55000000000000004</v>
      </c>
      <c r="CU54" s="31"/>
      <c r="CV54" s="32"/>
      <c r="CW54" s="1233">
        <f t="shared" si="179"/>
        <v>1439.6545810125001</v>
      </c>
      <c r="CX54" s="1234"/>
      <c r="CY54" s="1234">
        <f t="shared" si="180"/>
        <v>1759.5778212375003</v>
      </c>
      <c r="CZ54" s="1231"/>
      <c r="DA54" s="369"/>
      <c r="DB54" s="369"/>
      <c r="DC54" s="369"/>
      <c r="DD54" s="373"/>
      <c r="DE54" s="1234">
        <f t="shared" si="768"/>
        <v>1439.6545810125001</v>
      </c>
      <c r="DF54" s="1234"/>
      <c r="DG54" s="369">
        <f t="shared" si="341"/>
        <v>1759.5778212375003</v>
      </c>
      <c r="DH54" s="372">
        <f t="shared" si="182"/>
        <v>1759.5778212375003</v>
      </c>
      <c r="DJ54" s="493">
        <v>0.05</v>
      </c>
      <c r="DK54" s="379"/>
      <c r="DL54" s="1084">
        <f t="shared" si="18"/>
        <v>168.38065275000002</v>
      </c>
      <c r="DM54" s="1084">
        <f t="shared" si="605"/>
        <v>168.38065275000002</v>
      </c>
      <c r="DN54" s="369"/>
      <c r="DO54" s="372"/>
      <c r="DP54" s="30">
        <v>1</v>
      </c>
      <c r="DQ54" s="31">
        <f t="shared" si="183"/>
        <v>0.1</v>
      </c>
      <c r="DR54" s="31">
        <f t="shared" si="184"/>
        <v>1</v>
      </c>
      <c r="DS54" s="680">
        <f t="shared" si="185"/>
        <v>0.1</v>
      </c>
      <c r="DT54" s="77">
        <f t="shared" si="186"/>
        <v>1</v>
      </c>
      <c r="DU54" s="31">
        <v>0</v>
      </c>
      <c r="DV54" s="31">
        <v>1</v>
      </c>
      <c r="DW54" s="31">
        <v>0</v>
      </c>
      <c r="DX54" s="31">
        <v>0</v>
      </c>
      <c r="DY54" s="31">
        <v>1</v>
      </c>
      <c r="DZ54" s="31">
        <v>0</v>
      </c>
      <c r="EA54" s="383">
        <f t="shared" si="888"/>
        <v>0</v>
      </c>
      <c r="EB54" s="355">
        <f t="shared" si="188"/>
        <v>0</v>
      </c>
      <c r="EC54" s="355">
        <f t="shared" si="889"/>
        <v>16.844315275000003</v>
      </c>
      <c r="ED54" s="355">
        <f t="shared" si="190"/>
        <v>168.44315275000002</v>
      </c>
      <c r="EE54" s="355">
        <f t="shared" si="890"/>
        <v>0</v>
      </c>
      <c r="EF54" s="355">
        <f t="shared" si="192"/>
        <v>0</v>
      </c>
      <c r="EG54" s="366"/>
      <c r="EH54" s="355"/>
      <c r="EI54" s="355"/>
      <c r="EJ54" s="355"/>
      <c r="EK54" s="355"/>
      <c r="EL54" s="356"/>
      <c r="EM54" s="355">
        <f t="shared" si="193"/>
        <v>16.844315275000003</v>
      </c>
      <c r="EN54" s="134">
        <f t="shared" si="194"/>
        <v>168.44315275000002</v>
      </c>
      <c r="EP54" s="1171">
        <f t="shared" si="769"/>
        <v>3.5745650000000004E-2</v>
      </c>
      <c r="EQ54" s="1172"/>
      <c r="ER54" s="1172">
        <f t="shared" si="770"/>
        <v>1.0723695</v>
      </c>
      <c r="ES54" s="1172"/>
      <c r="ET54" s="1172">
        <f t="shared" si="771"/>
        <v>0</v>
      </c>
      <c r="EU54" s="1172"/>
      <c r="EV54" s="366"/>
      <c r="EW54" s="355"/>
      <c r="EX54" s="355"/>
      <c r="EY54" s="355"/>
      <c r="EZ54" s="1172"/>
      <c r="FA54" s="1173"/>
      <c r="FB54" s="368">
        <f t="shared" si="195"/>
        <v>1439.6545810125001</v>
      </c>
      <c r="FC54" s="369">
        <f t="shared" si="196"/>
        <v>1439.6545810125001</v>
      </c>
      <c r="FD54" s="369"/>
      <c r="FE54" s="61"/>
      <c r="FF54" s="368">
        <f t="shared" si="772"/>
        <v>1759.5778212375003</v>
      </c>
      <c r="FG54" s="369">
        <f t="shared" si="426"/>
        <v>1759.5778212375003</v>
      </c>
      <c r="FH54" s="369"/>
      <c r="FI54" s="369"/>
      <c r="FJ54" s="30">
        <v>1</v>
      </c>
      <c r="FK54" s="31">
        <v>0.2</v>
      </c>
      <c r="FL54" s="501">
        <v>0.8</v>
      </c>
      <c r="FM54" s="31">
        <f t="shared" si="198"/>
        <v>0.1</v>
      </c>
      <c r="FN54" s="501">
        <f t="shared" si="199"/>
        <v>1</v>
      </c>
      <c r="FO54" s="31">
        <f t="shared" si="200"/>
        <v>0.1</v>
      </c>
      <c r="FP54" s="31">
        <f t="shared" si="201"/>
        <v>1</v>
      </c>
      <c r="FQ54" s="31">
        <v>1</v>
      </c>
      <c r="FR54" s="31">
        <v>0</v>
      </c>
      <c r="FS54" s="89">
        <f t="shared" si="202"/>
        <v>1E-3</v>
      </c>
      <c r="FT54" s="31">
        <f t="shared" si="203"/>
        <v>0.05</v>
      </c>
      <c r="FU54" s="30">
        <v>0.05</v>
      </c>
      <c r="FV54" s="32">
        <f t="shared" si="25"/>
        <v>2.4224999999999997E-2</v>
      </c>
      <c r="FW54" s="31">
        <v>0.1</v>
      </c>
      <c r="FX54" s="77">
        <f t="shared" si="26"/>
        <v>9.0000000000000011E-2</v>
      </c>
      <c r="FY54" s="30"/>
      <c r="FZ54" s="32"/>
      <c r="GA54" s="31"/>
      <c r="GB54" s="77"/>
      <c r="GC54" s="378">
        <f t="shared" si="773"/>
        <v>3.5745650000000004E-2</v>
      </c>
      <c r="GD54" s="379">
        <f t="shared" si="204"/>
        <v>3.5745650000000004E-2</v>
      </c>
      <c r="GE54" s="379">
        <f t="shared" si="774"/>
        <v>1.0723695</v>
      </c>
      <c r="GF54" s="379">
        <f t="shared" si="205"/>
        <v>1.0723695</v>
      </c>
      <c r="GG54" s="379">
        <f t="shared" si="206"/>
        <v>0</v>
      </c>
      <c r="GH54" s="218">
        <f t="shared" si="207"/>
        <v>0</v>
      </c>
      <c r="GI54" s="379"/>
      <c r="GJ54" s="379"/>
      <c r="GK54" s="379"/>
      <c r="GL54" s="379"/>
      <c r="GM54" s="379"/>
      <c r="GN54" s="218"/>
      <c r="GO54" s="379">
        <f t="shared" si="208"/>
        <v>1.1081151499999999</v>
      </c>
      <c r="GP54" s="515">
        <f t="shared" si="209"/>
        <v>1.1081151499999999</v>
      </c>
      <c r="GQ54" s="379">
        <f t="shared" si="891"/>
        <v>10.689802526002783</v>
      </c>
      <c r="GR54" s="379">
        <f>1/2*(($FC54*$FN54)*($FW54+$FX54)+$FC53*$FN53*($FW53+$FX53))</f>
        <v>273.63590164237502</v>
      </c>
      <c r="GS54" s="355">
        <f t="shared" ref="GS54:GS85" si="1031">1/10*($FF54*$FQ54*$FM54*$FS54+$FF53*$FQ53*$FM53*$FS53+$FF52*$FQ52*$FM52*$FS52+$FF51*$FQ51*$FM51*$FS51+$FF50*$FQ50*$FM50*$FS50+$FF49*$FQ49*$FM49*$FS49+$FF48*$FQ48*$FM48*$FS48+$FF47*$FQ47*$FM47*$FS47+$FF46*$FQ46*$FM46*$FS46+$FF45*$FQ45*$FM45*$FS45)</f>
        <v>0.15314271107437499</v>
      </c>
      <c r="GT54" s="355">
        <f t="shared" ref="GT54:GT85" si="1032">1/10*($FG54*$FQ54*$FN54*$FT54+$FG53*$FQ53*$FN53*$FT53+$FG52*$FQ52*$FN52*$FT52+$FG51*$FQ51*$FN51*$FT51+$FG50*$FQ50*$FN50*$FT50+$FG49*$FQ49*$FN49*$FT49+$FG48*$FQ48*$FN48*$FT48+$FG47*$FQ47*$FN47*$FT47+$FG46*$FQ46*$FN46*$FT46+$FG45*$FQ45*$FN45*$FT45)</f>
        <v>76.5713555371875</v>
      </c>
      <c r="GU54" s="355">
        <f t="shared" ref="GU54:GU85" si="1033">1/10*($FF54*$FR54*$FM54*$FS54+$FF53*$FR53*$FM53*$FS53+$FF52*$FR52*$FM52*$FS52+$FF51*$FR51*$FM51*$FS51+$FF50*$FR50*$FM50*$FS50+$FF49*$FR49*$FM49*$FS49+$FF48*$FR48*$FM48*$FS48+$FF47*$FR47*$FM47*$FS47+$FF46*$FR46*$FM46*$FS46+$FF45*$FR45*$FM45*$FS45)</f>
        <v>0</v>
      </c>
      <c r="GV54" s="356">
        <f t="shared" ref="GV54:GV85" si="1034">1/10*($FG54*$FR54*$FN54*$FT54+$FG53*$FR53*$FN53*$FT53+$FG52*$FR52*$FN52*$FT52+$FG51*$FR51*$FN51*$FT51+$FG50*$FR50*$FN50*$FT50+$FG49*$FR49*$FN49*$FT49+$FG48*$FR48*$FN48*$FT48+$FG47*$FR47*$FN47*$FT47+$FG46*$FR46*$FN46*$FT46+$FG45*$FR45*$FN45*$FT45)</f>
        <v>0</v>
      </c>
      <c r="GW54" s="355"/>
      <c r="GX54" s="355"/>
      <c r="GY54" s="355"/>
      <c r="GZ54" s="355"/>
      <c r="HA54" s="355"/>
      <c r="HB54" s="356"/>
      <c r="HC54" s="379">
        <f t="shared" si="212"/>
        <v>10.842945237077158</v>
      </c>
      <c r="HD54" s="38">
        <f t="shared" si="213"/>
        <v>350.20725717956253</v>
      </c>
      <c r="HE54" s="527"/>
      <c r="HF54" s="529">
        <f t="shared" si="775"/>
        <v>7.1491300000000004</v>
      </c>
      <c r="HG54" s="529">
        <f t="shared" si="776"/>
        <v>7.1491300000000004</v>
      </c>
      <c r="HH54" s="529">
        <f t="shared" si="777"/>
        <v>0</v>
      </c>
      <c r="HI54" s="529">
        <f t="shared" si="778"/>
        <v>0</v>
      </c>
      <c r="HJ54" s="529">
        <f t="shared" si="779"/>
        <v>0</v>
      </c>
      <c r="HK54" s="524">
        <f t="shared" si="780"/>
        <v>0</v>
      </c>
      <c r="HL54" s="529">
        <f t="shared" si="781"/>
        <v>0</v>
      </c>
      <c r="HM54" s="529">
        <f t="shared" si="782"/>
        <v>0</v>
      </c>
      <c r="HN54" s="529">
        <f t="shared" si="783"/>
        <v>26.495640775000005</v>
      </c>
      <c r="HO54" s="529">
        <f t="shared" si="784"/>
        <v>178.09447825000004</v>
      </c>
      <c r="HP54" s="529">
        <f t="shared" si="785"/>
        <v>0</v>
      </c>
      <c r="HQ54" s="524">
        <f t="shared" si="786"/>
        <v>0</v>
      </c>
      <c r="HR54" s="615">
        <f t="shared" si="214"/>
        <v>12.628690887077159</v>
      </c>
      <c r="HS54" s="615">
        <f t="shared" si="787"/>
        <v>351.99300282956256</v>
      </c>
      <c r="HT54" s="615">
        <f t="shared" si="788"/>
        <v>1.0723695</v>
      </c>
      <c r="HU54" s="615">
        <f t="shared" si="789"/>
        <v>1.0723695</v>
      </c>
      <c r="HV54" s="615">
        <f t="shared" si="790"/>
        <v>15.75</v>
      </c>
      <c r="HW54" s="615">
        <f t="shared" si="791"/>
        <v>15.75</v>
      </c>
      <c r="IG54" s="560"/>
      <c r="IH54" s="529">
        <f t="shared" si="215"/>
        <v>7.8640430000000011E-2</v>
      </c>
      <c r="II54" s="529">
        <f t="shared" si="216"/>
        <v>6.4342170000000018E-2</v>
      </c>
      <c r="IJ54" s="529">
        <f t="shared" si="217"/>
        <v>0.12868434000000004</v>
      </c>
      <c r="IK54" s="529">
        <f t="shared" si="893"/>
        <v>6.4342170000000018E-2</v>
      </c>
      <c r="IL54" s="529">
        <f t="shared" si="894"/>
        <v>6.0410148499999998</v>
      </c>
      <c r="IM54" s="529">
        <f t="shared" si="895"/>
        <v>7.1491300000000009E-3</v>
      </c>
      <c r="IN54" s="529">
        <f t="shared" si="896"/>
        <v>7.1491300000000009E-3</v>
      </c>
      <c r="IO54" s="529">
        <f t="shared" si="222"/>
        <v>0.23592129000000003</v>
      </c>
      <c r="IP54" s="529">
        <f t="shared" si="223"/>
        <v>0.29311432999999998</v>
      </c>
      <c r="IQ54" s="529">
        <f t="shared" si="897"/>
        <v>0.37175476000000007</v>
      </c>
      <c r="IR54" s="529">
        <f t="shared" si="898"/>
        <v>0.29311432999999998</v>
      </c>
      <c r="IS54" s="529">
        <f t="shared" si="899"/>
        <v>6.0553131100000002</v>
      </c>
      <c r="IT54" s="529">
        <f t="shared" si="900"/>
        <v>7.1491300000000008E-2</v>
      </c>
      <c r="IU54" s="526">
        <f t="shared" si="901"/>
        <v>7.1491300000000008E-2</v>
      </c>
      <c r="IV54" s="884">
        <f t="shared" si="229"/>
        <v>0</v>
      </c>
      <c r="IW54" s="884">
        <f t="shared" si="230"/>
        <v>0</v>
      </c>
      <c r="IX54" s="529">
        <f t="shared" si="792"/>
        <v>0</v>
      </c>
      <c r="IY54" s="529">
        <f t="shared" si="793"/>
        <v>0</v>
      </c>
      <c r="IZ54" s="529">
        <f t="shared" si="794"/>
        <v>0</v>
      </c>
      <c r="JA54" s="529">
        <f t="shared" si="795"/>
        <v>0</v>
      </c>
      <c r="JB54" s="529">
        <f t="shared" si="796"/>
        <v>0</v>
      </c>
      <c r="JC54" s="529">
        <f t="shared" si="231"/>
        <v>0</v>
      </c>
      <c r="JD54" s="529">
        <f t="shared" si="232"/>
        <v>0</v>
      </c>
      <c r="JE54" s="529">
        <f t="shared" si="797"/>
        <v>0</v>
      </c>
      <c r="JF54" s="529">
        <f t="shared" si="798"/>
        <v>0</v>
      </c>
      <c r="JG54" s="529">
        <f t="shared" si="799"/>
        <v>0</v>
      </c>
      <c r="JH54" s="529">
        <f t="shared" si="800"/>
        <v>0</v>
      </c>
      <c r="JI54" s="480">
        <f t="shared" si="801"/>
        <v>0</v>
      </c>
      <c r="JJ54" s="884">
        <f t="shared" si="233"/>
        <v>0</v>
      </c>
      <c r="JK54" s="884">
        <f t="shared" si="234"/>
        <v>0</v>
      </c>
      <c r="JL54" s="529">
        <f t="shared" si="802"/>
        <v>0</v>
      </c>
      <c r="JM54" s="529">
        <f t="shared" si="803"/>
        <v>0</v>
      </c>
      <c r="JN54" s="529">
        <f t="shared" si="804"/>
        <v>0</v>
      </c>
      <c r="JO54" s="529">
        <f t="shared" si="805"/>
        <v>0</v>
      </c>
      <c r="JP54" s="529">
        <f t="shared" si="806"/>
        <v>0</v>
      </c>
      <c r="JQ54" s="529">
        <f t="shared" si="235"/>
        <v>0</v>
      </c>
      <c r="JR54" s="529">
        <f t="shared" si="236"/>
        <v>0</v>
      </c>
      <c r="JS54" s="474">
        <f t="shared" si="807"/>
        <v>0</v>
      </c>
      <c r="JT54" s="474">
        <f t="shared" si="808"/>
        <v>0</v>
      </c>
      <c r="JU54" s="474">
        <f t="shared" si="809"/>
        <v>0</v>
      </c>
      <c r="JV54" s="474">
        <f t="shared" si="810"/>
        <v>0</v>
      </c>
      <c r="JW54" s="134">
        <f t="shared" si="811"/>
        <v>0</v>
      </c>
      <c r="JX54" s="884">
        <f t="shared" si="237"/>
        <v>0</v>
      </c>
      <c r="JY54" s="884">
        <f t="shared" si="238"/>
        <v>0</v>
      </c>
      <c r="JZ54" s="529">
        <f t="shared" si="812"/>
        <v>0</v>
      </c>
      <c r="KA54" s="529">
        <f t="shared" si="813"/>
        <v>0</v>
      </c>
      <c r="KB54" s="529">
        <f t="shared" si="814"/>
        <v>0</v>
      </c>
      <c r="KC54" s="529">
        <f t="shared" si="815"/>
        <v>0</v>
      </c>
      <c r="KD54" s="529">
        <f t="shared" si="816"/>
        <v>0</v>
      </c>
      <c r="KE54" s="529">
        <f t="shared" si="239"/>
        <v>0</v>
      </c>
      <c r="KF54" s="529">
        <f t="shared" si="240"/>
        <v>0</v>
      </c>
      <c r="KG54" s="529">
        <f t="shared" si="817"/>
        <v>0</v>
      </c>
      <c r="KH54" s="529">
        <f t="shared" si="818"/>
        <v>0</v>
      </c>
      <c r="KI54" s="529">
        <f t="shared" si="819"/>
        <v>0</v>
      </c>
      <c r="KJ54" s="529">
        <f t="shared" si="820"/>
        <v>0</v>
      </c>
      <c r="KK54" s="526">
        <f t="shared" si="821"/>
        <v>0</v>
      </c>
      <c r="KL54" s="884">
        <f t="shared" si="241"/>
        <v>0.29145204852500006</v>
      </c>
      <c r="KM54" s="884">
        <f t="shared" si="242"/>
        <v>0.23846076697500007</v>
      </c>
      <c r="KN54" s="529">
        <f t="shared" si="822"/>
        <v>0.47692153395000014</v>
      </c>
      <c r="KO54" s="529">
        <f t="shared" si="823"/>
        <v>0.23846076697500007</v>
      </c>
      <c r="KP54" s="529">
        <f t="shared" si="824"/>
        <v>22.388816454875005</v>
      </c>
      <c r="KQ54" s="529">
        <f t="shared" si="825"/>
        <v>2.6495640775000006E-2</v>
      </c>
      <c r="KR54" s="529">
        <f t="shared" si="826"/>
        <v>2.6495640775000006E-2</v>
      </c>
      <c r="KS54" s="529">
        <f t="shared" si="243"/>
        <v>5.8771177822500018</v>
      </c>
      <c r="KT54" s="529">
        <f t="shared" si="244"/>
        <v>7.3018736082500002</v>
      </c>
      <c r="KU54" s="529">
        <f t="shared" si="827"/>
        <v>9.260912869000002</v>
      </c>
      <c r="KV54" s="529">
        <f t="shared" si="828"/>
        <v>7.3018736082500002</v>
      </c>
      <c r="KW54" s="529">
        <f t="shared" si="829"/>
        <v>150.84602307775003</v>
      </c>
      <c r="KX54" s="529">
        <f t="shared" si="830"/>
        <v>1.7809447825000004</v>
      </c>
      <c r="KY54" s="480">
        <f t="shared" si="831"/>
        <v>1.7809447825000004</v>
      </c>
      <c r="KZ54" s="884">
        <f t="shared" si="245"/>
        <v>0</v>
      </c>
      <c r="LA54" s="884">
        <f t="shared" si="246"/>
        <v>0</v>
      </c>
      <c r="LB54" s="529">
        <f t="shared" si="832"/>
        <v>0</v>
      </c>
      <c r="LC54" s="529">
        <f t="shared" si="833"/>
        <v>0</v>
      </c>
      <c r="LD54" s="529">
        <f t="shared" si="834"/>
        <v>0</v>
      </c>
      <c r="LE54" s="529">
        <f t="shared" si="835"/>
        <v>0</v>
      </c>
      <c r="LF54" s="529">
        <f t="shared" si="836"/>
        <v>0</v>
      </c>
      <c r="LG54" s="529">
        <f t="shared" si="247"/>
        <v>0</v>
      </c>
      <c r="LH54" s="529">
        <f t="shared" si="248"/>
        <v>0</v>
      </c>
      <c r="LI54" s="355">
        <f t="shared" si="837"/>
        <v>0</v>
      </c>
      <c r="LJ54" s="355">
        <f t="shared" si="838"/>
        <v>0</v>
      </c>
      <c r="LK54" s="355">
        <f t="shared" si="839"/>
        <v>0</v>
      </c>
      <c r="LL54" s="355">
        <f t="shared" si="840"/>
        <v>0</v>
      </c>
      <c r="LM54" s="134">
        <f t="shared" si="841"/>
        <v>0</v>
      </c>
      <c r="LN54" s="884">
        <f t="shared" si="249"/>
        <v>1.3891559975784876E-2</v>
      </c>
      <c r="LO54" s="884">
        <f t="shared" si="250"/>
        <v>3.7886072661231472E-3</v>
      </c>
      <c r="LP54" s="529">
        <f t="shared" si="842"/>
        <v>6.440632352409352E-2</v>
      </c>
      <c r="LQ54" s="529">
        <f t="shared" si="843"/>
        <v>0.10355526527403269</v>
      </c>
      <c r="LR54" s="529">
        <f t="shared" si="844"/>
        <v>10.102952709661729</v>
      </c>
      <c r="LS54" s="529">
        <f t="shared" si="845"/>
        <v>0.10986961071757127</v>
      </c>
      <c r="LT54" s="529">
        <f t="shared" si="846"/>
        <v>1.262869088707716E-2</v>
      </c>
      <c r="LU54" s="529">
        <f t="shared" si="251"/>
        <v>21.119580169773752</v>
      </c>
      <c r="LV54" s="529">
        <f t="shared" si="252"/>
        <v>10.559790084886876</v>
      </c>
      <c r="LW54" s="529">
        <f t="shared" si="847"/>
        <v>24.639510198069381</v>
      </c>
      <c r="LX54" s="529">
        <f t="shared" si="848"/>
        <v>21.119580169773752</v>
      </c>
      <c r="LY54" s="529">
        <f t="shared" si="849"/>
        <v>348.12107979843739</v>
      </c>
      <c r="LZ54" s="529">
        <f t="shared" si="850"/>
        <v>3.5199300282956258</v>
      </c>
      <c r="MA54" s="485">
        <f t="shared" si="851"/>
        <v>3.5199300282956258</v>
      </c>
      <c r="MB54" s="884">
        <f t="shared" si="253"/>
        <v>1.1796064500000001E-3</v>
      </c>
      <c r="MC54" s="884">
        <f t="shared" si="254"/>
        <v>3.2171084999999997E-4</v>
      </c>
      <c r="MD54" s="529">
        <f t="shared" si="852"/>
        <v>5.4690844499999999E-3</v>
      </c>
      <c r="ME54" s="529">
        <f t="shared" si="853"/>
        <v>8.7934298999999983E-3</v>
      </c>
      <c r="MF54" s="529">
        <f t="shared" si="854"/>
        <v>0.85789559999999998</v>
      </c>
      <c r="MG54" s="529">
        <f t="shared" si="855"/>
        <v>9.32961465E-3</v>
      </c>
      <c r="MH54" s="529">
        <f t="shared" si="856"/>
        <v>1.0723695000000001E-3</v>
      </c>
      <c r="MI54" s="529">
        <f t="shared" si="255"/>
        <v>6.434216999999999E-2</v>
      </c>
      <c r="MJ54" s="529">
        <f t="shared" si="256"/>
        <v>3.2171084999999995E-2</v>
      </c>
      <c r="MK54" s="529">
        <f t="shared" si="857"/>
        <v>7.5065865000000009E-2</v>
      </c>
      <c r="ML54" s="529">
        <f t="shared" si="858"/>
        <v>6.434216999999999E-2</v>
      </c>
      <c r="MM54" s="529">
        <f t="shared" si="859"/>
        <v>1.0605734355000001</v>
      </c>
      <c r="MN54" s="529">
        <f t="shared" si="860"/>
        <v>1.0723695E-2</v>
      </c>
      <c r="MO54" s="485">
        <f t="shared" si="861"/>
        <v>1.0723695E-2</v>
      </c>
      <c r="MP54" s="884">
        <f t="shared" si="257"/>
        <v>1.7325E-2</v>
      </c>
      <c r="MQ54" s="884">
        <f t="shared" si="258"/>
        <v>4.7249999999999992E-3</v>
      </c>
      <c r="MR54" s="529">
        <f t="shared" si="862"/>
        <v>8.0325000000000008E-2</v>
      </c>
      <c r="MS54" s="529">
        <f t="shared" si="863"/>
        <v>0.12914999999999999</v>
      </c>
      <c r="MT54" s="529">
        <f t="shared" si="864"/>
        <v>12.600000000000001</v>
      </c>
      <c r="MU54" s="529">
        <f t="shared" si="865"/>
        <v>0.13702499999999998</v>
      </c>
      <c r="MV54" s="529">
        <f t="shared" si="866"/>
        <v>1.575E-2</v>
      </c>
      <c r="MW54" s="529">
        <f t="shared" si="259"/>
        <v>0.94499999999999995</v>
      </c>
      <c r="MX54" s="529">
        <f t="shared" si="260"/>
        <v>0.47249999999999998</v>
      </c>
      <c r="MY54" s="474">
        <f t="shared" si="867"/>
        <v>1.1025</v>
      </c>
      <c r="MZ54" s="474">
        <f t="shared" si="868"/>
        <v>0.94499999999999995</v>
      </c>
      <c r="NA54" s="474">
        <f t="shared" si="869"/>
        <v>15.576750000000002</v>
      </c>
      <c r="NB54" s="474">
        <f t="shared" si="870"/>
        <v>0.1575</v>
      </c>
      <c r="NC54" s="134">
        <f t="shared" si="871"/>
        <v>0.1575</v>
      </c>
    </row>
    <row r="55" spans="1:367" x14ac:dyDescent="0.25">
      <c r="A55" s="18">
        <v>2000</v>
      </c>
      <c r="B55" s="1271">
        <v>4368</v>
      </c>
      <c r="C55" s="1224"/>
      <c r="D55" s="1224">
        <v>0</v>
      </c>
      <c r="E55" s="1272"/>
      <c r="F55" s="1226">
        <f t="shared" si="144"/>
        <v>4302.4799999999996</v>
      </c>
      <c r="G55" s="1226"/>
      <c r="H55" s="1224">
        <f t="shared" si="145"/>
        <v>0</v>
      </c>
      <c r="I55" s="1224"/>
      <c r="J55" s="1082">
        <f t="shared" si="918"/>
        <v>20</v>
      </c>
      <c r="K55" s="1082">
        <f t="shared" si="734"/>
        <v>20</v>
      </c>
      <c r="L55" s="1226">
        <f t="shared" si="751"/>
        <v>4302.4799999999996</v>
      </c>
      <c r="M55" s="1227"/>
      <c r="N55" s="193">
        <v>2E-3</v>
      </c>
      <c r="O55" s="47">
        <v>0</v>
      </c>
      <c r="P55" s="47">
        <v>0</v>
      </c>
      <c r="Q55" s="192">
        <v>6.0000000000000001E-3</v>
      </c>
      <c r="R55" s="47">
        <v>0</v>
      </c>
      <c r="S55" s="47">
        <v>2.7000000000000001E-3</v>
      </c>
      <c r="T55" s="47">
        <v>0</v>
      </c>
      <c r="U55" s="47">
        <v>1.18E-2</v>
      </c>
      <c r="V55" s="117">
        <v>1.0000000000000001E-5</v>
      </c>
      <c r="W55" s="47">
        <v>2.9999999999999997E-4</v>
      </c>
      <c r="X55" s="52">
        <v>0</v>
      </c>
      <c r="Y55" s="52">
        <v>3.1E-2</v>
      </c>
      <c r="Z55" s="111">
        <v>5.2999999999999999E-2</v>
      </c>
      <c r="AA55" s="52">
        <f t="shared" si="147"/>
        <v>0.1</v>
      </c>
      <c r="AB55" s="52">
        <f t="shared" si="148"/>
        <v>0</v>
      </c>
      <c r="AC55" s="52">
        <f t="shared" si="149"/>
        <v>0.9</v>
      </c>
      <c r="AD55" s="363">
        <f t="shared" si="150"/>
        <v>8.6049600000000002</v>
      </c>
      <c r="AE55" s="355">
        <f t="shared" si="151"/>
        <v>8.6049600000000002</v>
      </c>
      <c r="AF55" s="355">
        <f t="shared" si="152"/>
        <v>0</v>
      </c>
      <c r="AG55" s="355">
        <f t="shared" si="151"/>
        <v>0</v>
      </c>
      <c r="AH55" s="355">
        <f t="shared" si="153"/>
        <v>0</v>
      </c>
      <c r="AI55" s="355">
        <f t="shared" ref="AI55" si="1035">AH55</f>
        <v>0</v>
      </c>
      <c r="AJ55" s="508"/>
      <c r="AK55" s="508"/>
      <c r="AL55" s="508"/>
      <c r="AM55" s="508"/>
      <c r="AN55" s="508"/>
      <c r="AO55" s="572"/>
      <c r="AP55" s="366">
        <f t="shared" si="155"/>
        <v>8.6049600000000002</v>
      </c>
      <c r="AQ55" s="355">
        <f t="shared" ref="AQ55" si="1036">AP55</f>
        <v>8.6049600000000002</v>
      </c>
      <c r="AR55" s="355">
        <f t="shared" si="157"/>
        <v>0</v>
      </c>
      <c r="AS55" s="355">
        <f t="shared" ref="AS55" si="1037">AR55</f>
        <v>0</v>
      </c>
      <c r="AT55" s="355">
        <f t="shared" si="159"/>
        <v>0</v>
      </c>
      <c r="AU55" s="355">
        <f t="shared" ref="AU55" si="1038">AT55</f>
        <v>0</v>
      </c>
      <c r="AV55" s="363">
        <f t="shared" si="2"/>
        <v>0</v>
      </c>
      <c r="AW55" s="355">
        <f t="shared" ref="AW55" si="1039">AV55</f>
        <v>0</v>
      </c>
      <c r="AX55" s="355">
        <f t="shared" si="3"/>
        <v>11.616695999999999</v>
      </c>
      <c r="AY55" s="355">
        <f t="shared" ref="AY55" si="1040">AX55</f>
        <v>11.616695999999999</v>
      </c>
      <c r="AZ55" s="355">
        <f t="shared" si="4"/>
        <v>0</v>
      </c>
      <c r="BA55" s="355">
        <f t="shared" ref="BA55" si="1041">AZ55</f>
        <v>0</v>
      </c>
      <c r="BB55" s="366"/>
      <c r="BC55" s="355"/>
      <c r="BD55" s="355"/>
      <c r="BE55" s="355"/>
      <c r="BF55" s="355"/>
      <c r="BG55" s="355"/>
      <c r="BH55" s="366">
        <f t="shared" si="5"/>
        <v>0</v>
      </c>
      <c r="BI55" s="355">
        <f t="shared" ref="BI55" si="1042">BH55</f>
        <v>0</v>
      </c>
      <c r="BJ55" s="355">
        <f t="shared" si="6"/>
        <v>11.616695999999999</v>
      </c>
      <c r="BK55" s="355">
        <f t="shared" ref="BK55" si="1043">BJ55</f>
        <v>11.616695999999999</v>
      </c>
      <c r="BL55" s="355">
        <f t="shared" si="7"/>
        <v>0</v>
      </c>
      <c r="BM55" s="355">
        <f t="shared" ref="BM55" si="1044">BL55</f>
        <v>0</v>
      </c>
      <c r="BN55" s="363">
        <f t="shared" si="8"/>
        <v>4.3024800000000002E-2</v>
      </c>
      <c r="BO55" s="355">
        <f t="shared" ref="BO55" si="1045">BN55</f>
        <v>4.3024800000000002E-2</v>
      </c>
      <c r="BP55" s="355">
        <f t="shared" si="9"/>
        <v>1.2907439999999997</v>
      </c>
      <c r="BQ55" s="355">
        <f t="shared" ref="BQ55" si="1046">BP55</f>
        <v>1.2907439999999997</v>
      </c>
      <c r="BR55" s="355">
        <f t="shared" si="10"/>
        <v>0</v>
      </c>
      <c r="BS55" s="355">
        <f t="shared" ref="BS55" si="1047">BR55</f>
        <v>0</v>
      </c>
      <c r="BT55" s="366"/>
      <c r="BU55" s="355"/>
      <c r="BV55" s="355"/>
      <c r="BW55" s="355"/>
      <c r="BX55" s="355"/>
      <c r="BY55" s="355"/>
      <c r="BZ55" s="366">
        <f t="shared" si="11"/>
        <v>4.3024800000000002E-2</v>
      </c>
      <c r="CA55" s="355">
        <f t="shared" ref="CA55" si="1048">BZ55</f>
        <v>4.3024800000000002E-2</v>
      </c>
      <c r="CB55" s="355">
        <f t="shared" si="12"/>
        <v>1.2907439999999997</v>
      </c>
      <c r="CC55" s="355">
        <f t="shared" ref="CC55" si="1049">CB55</f>
        <v>1.2907439999999997</v>
      </c>
      <c r="CD55" s="355">
        <f t="shared" si="13"/>
        <v>0</v>
      </c>
      <c r="CE55" s="526">
        <f t="shared" ref="CE55" si="1050">CD55</f>
        <v>0</v>
      </c>
      <c r="CF55" s="355">
        <f t="shared" si="173"/>
        <v>2</v>
      </c>
      <c r="CG55" s="615">
        <f t="shared" si="174"/>
        <v>2</v>
      </c>
      <c r="CH55" s="355">
        <f t="shared" si="175"/>
        <v>0</v>
      </c>
      <c r="CI55" s="615">
        <f t="shared" si="491"/>
        <v>0</v>
      </c>
      <c r="CJ55" s="615">
        <f t="shared" si="176"/>
        <v>18</v>
      </c>
      <c r="CK55" s="615">
        <f t="shared" si="492"/>
        <v>18</v>
      </c>
      <c r="CL55" s="122"/>
      <c r="CM55" s="1235">
        <f t="shared" si="16"/>
        <v>4054.4485599999998</v>
      </c>
      <c r="CN55" s="1231"/>
      <c r="CO55" s="1230"/>
      <c r="CP55" s="1231"/>
      <c r="CQ55" s="1230">
        <f t="shared" si="177"/>
        <v>4054.4485599999998</v>
      </c>
      <c r="CR55" s="1232"/>
      <c r="CS55" s="30">
        <v>0.45</v>
      </c>
      <c r="CT55" s="31">
        <f t="shared" si="178"/>
        <v>0.55000000000000004</v>
      </c>
      <c r="CU55" s="31"/>
      <c r="CV55" s="32"/>
      <c r="CW55" s="1233">
        <f t="shared" si="179"/>
        <v>1733.2767593999999</v>
      </c>
      <c r="CX55" s="1234"/>
      <c r="CY55" s="1234">
        <f t="shared" si="180"/>
        <v>2118.4493726000001</v>
      </c>
      <c r="CZ55" s="1231"/>
      <c r="DA55" s="369"/>
      <c r="DB55" s="369"/>
      <c r="DC55" s="369"/>
      <c r="DD55" s="373"/>
      <c r="DE55" s="1234">
        <f t="shared" si="768"/>
        <v>1733.2767593999999</v>
      </c>
      <c r="DF55" s="1234"/>
      <c r="DG55" s="369">
        <f t="shared" si="341"/>
        <v>2118.4493726000001</v>
      </c>
      <c r="DH55" s="372">
        <f t="shared" si="182"/>
        <v>2118.4493726000001</v>
      </c>
      <c r="DJ55" s="493">
        <v>0.05</v>
      </c>
      <c r="DK55" s="379"/>
      <c r="DL55" s="1084">
        <f t="shared" si="18"/>
        <v>202.72242800000001</v>
      </c>
      <c r="DM55" s="1084">
        <f t="shared" si="605"/>
        <v>202.72242800000001</v>
      </c>
      <c r="DN55" s="369"/>
      <c r="DO55" s="372"/>
      <c r="DP55" s="30">
        <v>1</v>
      </c>
      <c r="DQ55" s="31">
        <f t="shared" si="183"/>
        <v>0.1</v>
      </c>
      <c r="DR55" s="31">
        <f t="shared" si="184"/>
        <v>1</v>
      </c>
      <c r="DS55" s="680">
        <f t="shared" si="185"/>
        <v>0.1</v>
      </c>
      <c r="DT55" s="77">
        <f t="shared" si="186"/>
        <v>1</v>
      </c>
      <c r="DU55" s="31">
        <v>0</v>
      </c>
      <c r="DV55" s="31">
        <v>1</v>
      </c>
      <c r="DW55" s="31">
        <v>0</v>
      </c>
      <c r="DX55" s="31">
        <v>0</v>
      </c>
      <c r="DY55" s="31">
        <v>1</v>
      </c>
      <c r="DZ55" s="31">
        <v>0</v>
      </c>
      <c r="EA55" s="383">
        <f t="shared" si="888"/>
        <v>0</v>
      </c>
      <c r="EB55" s="355">
        <f t="shared" si="188"/>
        <v>0</v>
      </c>
      <c r="EC55" s="355">
        <f t="shared" si="889"/>
        <v>18.555154037500003</v>
      </c>
      <c r="ED55" s="355">
        <f t="shared" si="190"/>
        <v>185.551540375</v>
      </c>
      <c r="EE55" s="355">
        <f t="shared" si="890"/>
        <v>0</v>
      </c>
      <c r="EF55" s="355">
        <f t="shared" si="192"/>
        <v>0</v>
      </c>
      <c r="EG55" s="366"/>
      <c r="EH55" s="355"/>
      <c r="EI55" s="355"/>
      <c r="EJ55" s="355"/>
      <c r="EK55" s="355"/>
      <c r="EL55" s="356"/>
      <c r="EM55" s="355">
        <f t="shared" si="193"/>
        <v>18.555154037500003</v>
      </c>
      <c r="EN55" s="134">
        <f t="shared" si="194"/>
        <v>185.551540375</v>
      </c>
      <c r="EP55" s="1171">
        <f t="shared" si="769"/>
        <v>4.3024800000000002E-2</v>
      </c>
      <c r="EQ55" s="1172"/>
      <c r="ER55" s="1172">
        <f t="shared" si="770"/>
        <v>1.2907439999999997</v>
      </c>
      <c r="ES55" s="1172"/>
      <c r="ET55" s="1172">
        <f t="shared" si="771"/>
        <v>0</v>
      </c>
      <c r="EU55" s="1172"/>
      <c r="EV55" s="366"/>
      <c r="EW55" s="355"/>
      <c r="EX55" s="355"/>
      <c r="EY55" s="355"/>
      <c r="EZ55" s="1172"/>
      <c r="FA55" s="1173"/>
      <c r="FB55" s="368">
        <f t="shared" si="195"/>
        <v>1733.2767593999999</v>
      </c>
      <c r="FC55" s="369">
        <f t="shared" si="196"/>
        <v>1733.2767593999999</v>
      </c>
      <c r="FD55" s="369"/>
      <c r="FE55" s="61"/>
      <c r="FF55" s="368">
        <f t="shared" si="772"/>
        <v>2118.4493726000001</v>
      </c>
      <c r="FG55" s="369">
        <f t="shared" si="426"/>
        <v>2118.4493726000001</v>
      </c>
      <c r="FH55" s="369"/>
      <c r="FI55" s="369"/>
      <c r="FJ55" s="30">
        <v>1</v>
      </c>
      <c r="FK55" s="31">
        <v>0.2</v>
      </c>
      <c r="FL55" s="501">
        <v>0.8</v>
      </c>
      <c r="FM55" s="31">
        <f t="shared" si="198"/>
        <v>0.1</v>
      </c>
      <c r="FN55" s="501">
        <f t="shared" si="199"/>
        <v>1</v>
      </c>
      <c r="FO55" s="31">
        <f t="shared" si="200"/>
        <v>0.1</v>
      </c>
      <c r="FP55" s="31">
        <f t="shared" si="201"/>
        <v>1</v>
      </c>
      <c r="FQ55" s="31">
        <v>1</v>
      </c>
      <c r="FR55" s="31">
        <v>0</v>
      </c>
      <c r="FS55" s="89">
        <f t="shared" si="202"/>
        <v>1E-3</v>
      </c>
      <c r="FT55" s="31">
        <f t="shared" si="203"/>
        <v>0.05</v>
      </c>
      <c r="FU55" s="30">
        <v>0.05</v>
      </c>
      <c r="FV55" s="32">
        <f t="shared" si="25"/>
        <v>2.4224999999999997E-2</v>
      </c>
      <c r="FW55" s="31">
        <v>0.1</v>
      </c>
      <c r="FX55" s="77">
        <f t="shared" si="26"/>
        <v>9.0000000000000011E-2</v>
      </c>
      <c r="FY55" s="30"/>
      <c r="FZ55" s="32"/>
      <c r="GA55" s="31"/>
      <c r="GB55" s="77"/>
      <c r="GC55" s="378">
        <f t="shared" si="773"/>
        <v>4.3024800000000002E-2</v>
      </c>
      <c r="GD55" s="379">
        <f t="shared" si="204"/>
        <v>4.3024800000000002E-2</v>
      </c>
      <c r="GE55" s="379">
        <f t="shared" si="774"/>
        <v>1.2907439999999997</v>
      </c>
      <c r="GF55" s="379">
        <f t="shared" si="205"/>
        <v>1.2907439999999997</v>
      </c>
      <c r="GG55" s="379">
        <f t="shared" si="206"/>
        <v>0</v>
      </c>
      <c r="GH55" s="218">
        <f t="shared" si="207"/>
        <v>0</v>
      </c>
      <c r="GI55" s="379"/>
      <c r="GJ55" s="379"/>
      <c r="GK55" s="379"/>
      <c r="GL55" s="379"/>
      <c r="GM55" s="379"/>
      <c r="GN55" s="218"/>
      <c r="GO55" s="379">
        <f t="shared" si="208"/>
        <v>1.3337687999999996</v>
      </c>
      <c r="GP55" s="515">
        <f t="shared" si="209"/>
        <v>1.3337687999999996</v>
      </c>
      <c r="GQ55" s="379">
        <f t="shared" si="891"/>
        <v>11.775541437105892</v>
      </c>
      <c r="GR55" s="379">
        <f t="shared" si="892"/>
        <v>301.42847733918751</v>
      </c>
      <c r="GS55" s="355">
        <f t="shared" si="1031"/>
        <v>0.16120066568512503</v>
      </c>
      <c r="GT55" s="355">
        <f t="shared" si="1032"/>
        <v>80.600332842562523</v>
      </c>
      <c r="GU55" s="355">
        <f t="shared" si="1033"/>
        <v>0</v>
      </c>
      <c r="GV55" s="356">
        <f t="shared" si="1034"/>
        <v>0</v>
      </c>
      <c r="GW55" s="355"/>
      <c r="GX55" s="355"/>
      <c r="GY55" s="355"/>
      <c r="GZ55" s="355"/>
      <c r="HA55" s="355"/>
      <c r="HB55" s="356"/>
      <c r="HC55" s="379">
        <f t="shared" si="212"/>
        <v>11.936742102791017</v>
      </c>
      <c r="HD55" s="38">
        <f t="shared" si="213"/>
        <v>382.02881018175003</v>
      </c>
      <c r="HE55" s="527"/>
      <c r="HF55" s="529">
        <f t="shared" si="775"/>
        <v>8.6049600000000002</v>
      </c>
      <c r="HG55" s="529">
        <f t="shared" si="776"/>
        <v>8.6049600000000002</v>
      </c>
      <c r="HH55" s="529">
        <f t="shared" si="777"/>
        <v>0</v>
      </c>
      <c r="HI55" s="529">
        <f t="shared" si="778"/>
        <v>0</v>
      </c>
      <c r="HJ55" s="529">
        <f t="shared" si="779"/>
        <v>0</v>
      </c>
      <c r="HK55" s="524">
        <f t="shared" si="780"/>
        <v>0</v>
      </c>
      <c r="HL55" s="529">
        <f t="shared" si="781"/>
        <v>0</v>
      </c>
      <c r="HM55" s="529">
        <f t="shared" si="782"/>
        <v>0</v>
      </c>
      <c r="HN55" s="529">
        <f t="shared" si="783"/>
        <v>30.1718500375</v>
      </c>
      <c r="HO55" s="529">
        <f t="shared" si="784"/>
        <v>197.16823637499999</v>
      </c>
      <c r="HP55" s="529">
        <f t="shared" si="785"/>
        <v>0</v>
      </c>
      <c r="HQ55" s="524">
        <f t="shared" si="786"/>
        <v>0</v>
      </c>
      <c r="HR55" s="615">
        <f t="shared" si="214"/>
        <v>13.979766902791017</v>
      </c>
      <c r="HS55" s="615">
        <f t="shared" si="787"/>
        <v>384.07183498175004</v>
      </c>
      <c r="HT55" s="615">
        <f t="shared" si="788"/>
        <v>1.2907439999999997</v>
      </c>
      <c r="HU55" s="615">
        <f t="shared" si="789"/>
        <v>1.2907439999999997</v>
      </c>
      <c r="HV55" s="615">
        <f t="shared" si="790"/>
        <v>18</v>
      </c>
      <c r="HW55" s="615">
        <f t="shared" si="791"/>
        <v>18</v>
      </c>
      <c r="IG55" s="560"/>
      <c r="IH55" s="529">
        <f t="shared" si="215"/>
        <v>9.4654560000000013E-2</v>
      </c>
      <c r="II55" s="529">
        <f t="shared" si="216"/>
        <v>7.7444640000000009E-2</v>
      </c>
      <c r="IJ55" s="529">
        <f t="shared" si="217"/>
        <v>0.15488928000000002</v>
      </c>
      <c r="IK55" s="529">
        <f t="shared" si="893"/>
        <v>7.7444640000000009E-2</v>
      </c>
      <c r="IL55" s="529">
        <f t="shared" si="894"/>
        <v>7.2711911999999996</v>
      </c>
      <c r="IM55" s="529">
        <f t="shared" si="895"/>
        <v>8.60496E-3</v>
      </c>
      <c r="IN55" s="529">
        <f t="shared" si="896"/>
        <v>8.60496E-3</v>
      </c>
      <c r="IO55" s="529">
        <f t="shared" si="222"/>
        <v>0.28396368</v>
      </c>
      <c r="IP55" s="529">
        <f t="shared" si="223"/>
        <v>0.35280335999999995</v>
      </c>
      <c r="IQ55" s="529">
        <f t="shared" si="897"/>
        <v>0.44745792000000006</v>
      </c>
      <c r="IR55" s="529">
        <f t="shared" si="898"/>
        <v>0.35280335999999995</v>
      </c>
      <c r="IS55" s="529">
        <f t="shared" si="899"/>
        <v>7.2884011199999996</v>
      </c>
      <c r="IT55" s="529">
        <f t="shared" si="900"/>
        <v>8.6049600000000004E-2</v>
      </c>
      <c r="IU55" s="526">
        <f t="shared" si="901"/>
        <v>8.6049600000000004E-2</v>
      </c>
      <c r="IV55" s="884">
        <f t="shared" si="229"/>
        <v>0</v>
      </c>
      <c r="IW55" s="884">
        <f t="shared" si="230"/>
        <v>0</v>
      </c>
      <c r="IX55" s="529">
        <f t="shared" si="792"/>
        <v>0</v>
      </c>
      <c r="IY55" s="529">
        <f t="shared" si="793"/>
        <v>0</v>
      </c>
      <c r="IZ55" s="529">
        <f t="shared" si="794"/>
        <v>0</v>
      </c>
      <c r="JA55" s="529">
        <f t="shared" si="795"/>
        <v>0</v>
      </c>
      <c r="JB55" s="529">
        <f t="shared" si="796"/>
        <v>0</v>
      </c>
      <c r="JC55" s="529">
        <f t="shared" si="231"/>
        <v>0</v>
      </c>
      <c r="JD55" s="529">
        <f t="shared" si="232"/>
        <v>0</v>
      </c>
      <c r="JE55" s="529">
        <f t="shared" si="797"/>
        <v>0</v>
      </c>
      <c r="JF55" s="529">
        <f t="shared" si="798"/>
        <v>0</v>
      </c>
      <c r="JG55" s="529">
        <f t="shared" si="799"/>
        <v>0</v>
      </c>
      <c r="JH55" s="529">
        <f t="shared" si="800"/>
        <v>0</v>
      </c>
      <c r="JI55" s="480">
        <f t="shared" si="801"/>
        <v>0</v>
      </c>
      <c r="JJ55" s="884">
        <f t="shared" si="233"/>
        <v>0</v>
      </c>
      <c r="JK55" s="884">
        <f t="shared" si="234"/>
        <v>0</v>
      </c>
      <c r="JL55" s="529">
        <f t="shared" si="802"/>
        <v>0</v>
      </c>
      <c r="JM55" s="529">
        <f t="shared" si="803"/>
        <v>0</v>
      </c>
      <c r="JN55" s="529">
        <f t="shared" si="804"/>
        <v>0</v>
      </c>
      <c r="JO55" s="529">
        <f t="shared" si="805"/>
        <v>0</v>
      </c>
      <c r="JP55" s="529">
        <f t="shared" si="806"/>
        <v>0</v>
      </c>
      <c r="JQ55" s="529">
        <f t="shared" si="235"/>
        <v>0</v>
      </c>
      <c r="JR55" s="529">
        <f t="shared" si="236"/>
        <v>0</v>
      </c>
      <c r="JS55" s="474">
        <f t="shared" si="807"/>
        <v>0</v>
      </c>
      <c r="JT55" s="474">
        <f t="shared" si="808"/>
        <v>0</v>
      </c>
      <c r="JU55" s="474">
        <f t="shared" si="809"/>
        <v>0</v>
      </c>
      <c r="JV55" s="474">
        <f t="shared" si="810"/>
        <v>0</v>
      </c>
      <c r="JW55" s="134">
        <f t="shared" si="811"/>
        <v>0</v>
      </c>
      <c r="JX55" s="884">
        <f t="shared" si="237"/>
        <v>0</v>
      </c>
      <c r="JY55" s="884">
        <f t="shared" si="238"/>
        <v>0</v>
      </c>
      <c r="JZ55" s="529">
        <f t="shared" si="812"/>
        <v>0</v>
      </c>
      <c r="KA55" s="529">
        <f t="shared" si="813"/>
        <v>0</v>
      </c>
      <c r="KB55" s="529">
        <f t="shared" si="814"/>
        <v>0</v>
      </c>
      <c r="KC55" s="529">
        <f t="shared" si="815"/>
        <v>0</v>
      </c>
      <c r="KD55" s="529">
        <f t="shared" si="816"/>
        <v>0</v>
      </c>
      <c r="KE55" s="529">
        <f t="shared" si="239"/>
        <v>0</v>
      </c>
      <c r="KF55" s="529">
        <f t="shared" si="240"/>
        <v>0</v>
      </c>
      <c r="KG55" s="529">
        <f t="shared" si="817"/>
        <v>0</v>
      </c>
      <c r="KH55" s="529">
        <f t="shared" si="818"/>
        <v>0</v>
      </c>
      <c r="KI55" s="529">
        <f t="shared" si="819"/>
        <v>0</v>
      </c>
      <c r="KJ55" s="529">
        <f t="shared" si="820"/>
        <v>0</v>
      </c>
      <c r="KK55" s="526">
        <f t="shared" si="821"/>
        <v>0</v>
      </c>
      <c r="KL55" s="884">
        <f t="shared" si="241"/>
        <v>0.33189035041250003</v>
      </c>
      <c r="KM55" s="884">
        <f t="shared" si="242"/>
        <v>0.27154665033750003</v>
      </c>
      <c r="KN55" s="529">
        <f t="shared" si="822"/>
        <v>0.54309330067500006</v>
      </c>
      <c r="KO55" s="529">
        <f t="shared" si="823"/>
        <v>0.27154665033750003</v>
      </c>
      <c r="KP55" s="529">
        <f t="shared" si="824"/>
        <v>25.495213281687498</v>
      </c>
      <c r="KQ55" s="529">
        <f t="shared" si="825"/>
        <v>3.01718500375E-2</v>
      </c>
      <c r="KR55" s="529">
        <f t="shared" si="826"/>
        <v>3.01718500375E-2</v>
      </c>
      <c r="KS55" s="529">
        <f t="shared" si="243"/>
        <v>6.506551800375</v>
      </c>
      <c r="KT55" s="529">
        <f t="shared" si="244"/>
        <v>8.0838976913749985</v>
      </c>
      <c r="KU55" s="529">
        <f t="shared" si="827"/>
        <v>10.2527482915</v>
      </c>
      <c r="KV55" s="529">
        <f t="shared" si="828"/>
        <v>8.0838976913749985</v>
      </c>
      <c r="KW55" s="529">
        <f t="shared" si="829"/>
        <v>167.00149620962497</v>
      </c>
      <c r="KX55" s="529">
        <f t="shared" si="830"/>
        <v>1.9716823637500001</v>
      </c>
      <c r="KY55" s="480">
        <f t="shared" si="831"/>
        <v>1.9716823637500001</v>
      </c>
      <c r="KZ55" s="884">
        <f t="shared" si="245"/>
        <v>0</v>
      </c>
      <c r="LA55" s="884">
        <f t="shared" si="246"/>
        <v>0</v>
      </c>
      <c r="LB55" s="529">
        <f t="shared" si="832"/>
        <v>0</v>
      </c>
      <c r="LC55" s="529">
        <f t="shared" si="833"/>
        <v>0</v>
      </c>
      <c r="LD55" s="529">
        <f t="shared" si="834"/>
        <v>0</v>
      </c>
      <c r="LE55" s="529">
        <f t="shared" si="835"/>
        <v>0</v>
      </c>
      <c r="LF55" s="529">
        <f t="shared" si="836"/>
        <v>0</v>
      </c>
      <c r="LG55" s="529">
        <f t="shared" si="247"/>
        <v>0</v>
      </c>
      <c r="LH55" s="529">
        <f t="shared" si="248"/>
        <v>0</v>
      </c>
      <c r="LI55" s="355">
        <f t="shared" si="837"/>
        <v>0</v>
      </c>
      <c r="LJ55" s="355">
        <f t="shared" si="838"/>
        <v>0</v>
      </c>
      <c r="LK55" s="355">
        <f t="shared" si="839"/>
        <v>0</v>
      </c>
      <c r="LL55" s="355">
        <f t="shared" si="840"/>
        <v>0</v>
      </c>
      <c r="LM55" s="134">
        <f t="shared" si="841"/>
        <v>0</v>
      </c>
      <c r="LN55" s="884">
        <f t="shared" si="249"/>
        <v>1.537774359307012E-2</v>
      </c>
      <c r="LO55" s="884">
        <f t="shared" si="250"/>
        <v>4.193930070837305E-3</v>
      </c>
      <c r="LP55" s="529">
        <f t="shared" si="842"/>
        <v>7.1296811204234187E-2</v>
      </c>
      <c r="LQ55" s="529">
        <f t="shared" si="843"/>
        <v>0.11463408860288632</v>
      </c>
      <c r="LR55" s="529">
        <f t="shared" si="844"/>
        <v>11.183813522232814</v>
      </c>
      <c r="LS55" s="529">
        <f t="shared" si="845"/>
        <v>0.12162397205428184</v>
      </c>
      <c r="LT55" s="529">
        <f t="shared" si="846"/>
        <v>1.3979766902791017E-2</v>
      </c>
      <c r="LU55" s="529">
        <f t="shared" si="251"/>
        <v>23.044310098905001</v>
      </c>
      <c r="LV55" s="529">
        <f t="shared" si="252"/>
        <v>11.5221550494525</v>
      </c>
      <c r="LW55" s="529">
        <f t="shared" si="847"/>
        <v>26.885028448722505</v>
      </c>
      <c r="LX55" s="529">
        <f t="shared" si="848"/>
        <v>23.044310098905001</v>
      </c>
      <c r="LY55" s="529">
        <f t="shared" si="849"/>
        <v>379.84704479695085</v>
      </c>
      <c r="LZ55" s="529">
        <f t="shared" si="850"/>
        <v>3.8407183498175006</v>
      </c>
      <c r="MA55" s="485">
        <f t="shared" si="851"/>
        <v>3.8407183498175006</v>
      </c>
      <c r="MB55" s="884">
        <f t="shared" si="253"/>
        <v>1.4198183999999997E-3</v>
      </c>
      <c r="MC55" s="884">
        <f t="shared" si="254"/>
        <v>3.8722319999999987E-4</v>
      </c>
      <c r="MD55" s="529">
        <f t="shared" si="852"/>
        <v>6.5827943999999987E-3</v>
      </c>
      <c r="ME55" s="529">
        <f t="shared" si="853"/>
        <v>1.0584100799999996E-2</v>
      </c>
      <c r="MF55" s="529">
        <f t="shared" si="854"/>
        <v>1.0325951999999998</v>
      </c>
      <c r="MG55" s="529">
        <f t="shared" si="855"/>
        <v>1.1229472799999996E-2</v>
      </c>
      <c r="MH55" s="529">
        <f t="shared" si="856"/>
        <v>1.2907439999999997E-3</v>
      </c>
      <c r="MI55" s="529">
        <f t="shared" si="255"/>
        <v>7.7444639999999981E-2</v>
      </c>
      <c r="MJ55" s="529">
        <f t="shared" si="256"/>
        <v>3.8722319999999991E-2</v>
      </c>
      <c r="MK55" s="529">
        <f t="shared" si="857"/>
        <v>9.0352079999999987E-2</v>
      </c>
      <c r="ML55" s="529">
        <f t="shared" si="858"/>
        <v>7.7444639999999981E-2</v>
      </c>
      <c r="MM55" s="529">
        <f t="shared" si="859"/>
        <v>1.2765458159999998</v>
      </c>
      <c r="MN55" s="529">
        <f t="shared" si="860"/>
        <v>1.2907439999999997E-2</v>
      </c>
      <c r="MO55" s="485">
        <f t="shared" si="861"/>
        <v>1.2907439999999997E-2</v>
      </c>
      <c r="MP55" s="884">
        <f t="shared" si="257"/>
        <v>1.9800000000000002E-2</v>
      </c>
      <c r="MQ55" s="884">
        <f t="shared" si="258"/>
        <v>5.3999999999999994E-3</v>
      </c>
      <c r="MR55" s="529">
        <f t="shared" si="862"/>
        <v>9.1800000000000007E-2</v>
      </c>
      <c r="MS55" s="529">
        <f t="shared" si="863"/>
        <v>0.14759999999999998</v>
      </c>
      <c r="MT55" s="529">
        <f t="shared" si="864"/>
        <v>14.4</v>
      </c>
      <c r="MU55" s="529">
        <f t="shared" si="865"/>
        <v>0.15659999999999999</v>
      </c>
      <c r="MV55" s="529">
        <f t="shared" si="866"/>
        <v>1.8000000000000002E-2</v>
      </c>
      <c r="MW55" s="529">
        <f t="shared" si="259"/>
        <v>1.08</v>
      </c>
      <c r="MX55" s="529">
        <f t="shared" si="260"/>
        <v>0.54</v>
      </c>
      <c r="MY55" s="474">
        <f t="shared" si="867"/>
        <v>1.2600000000000002</v>
      </c>
      <c r="MZ55" s="474">
        <f t="shared" si="868"/>
        <v>1.08</v>
      </c>
      <c r="NA55" s="474">
        <f t="shared" si="869"/>
        <v>17.802000000000003</v>
      </c>
      <c r="NB55" s="474">
        <f t="shared" si="870"/>
        <v>0.18</v>
      </c>
      <c r="NC55" s="134">
        <f t="shared" si="871"/>
        <v>0.18</v>
      </c>
    </row>
    <row r="56" spans="1:367" x14ac:dyDescent="0.25">
      <c r="A56" s="18">
        <v>2001</v>
      </c>
      <c r="B56" s="1271">
        <v>218</v>
      </c>
      <c r="C56" s="1224"/>
      <c r="D56" s="1224">
        <v>0</v>
      </c>
      <c r="E56" s="1272"/>
      <c r="F56" s="1226">
        <f t="shared" si="144"/>
        <v>214.73</v>
      </c>
      <c r="G56" s="1226"/>
      <c r="H56" s="1224">
        <f t="shared" si="145"/>
        <v>0</v>
      </c>
      <c r="I56" s="1224"/>
      <c r="J56" s="1082">
        <f t="shared" si="918"/>
        <v>22.5</v>
      </c>
      <c r="K56" s="1082">
        <f t="shared" si="734"/>
        <v>22.5</v>
      </c>
      <c r="L56" s="1226">
        <f t="shared" si="751"/>
        <v>214.73</v>
      </c>
      <c r="M56" s="1227"/>
      <c r="N56" s="193">
        <v>2E-3</v>
      </c>
      <c r="O56" s="47">
        <v>0</v>
      </c>
      <c r="P56" s="47">
        <v>0</v>
      </c>
      <c r="Q56" s="192">
        <v>6.0000000000000001E-3</v>
      </c>
      <c r="R56" s="47">
        <v>0</v>
      </c>
      <c r="S56" s="47">
        <v>2.7000000000000001E-3</v>
      </c>
      <c r="T56" s="47">
        <v>0</v>
      </c>
      <c r="U56" s="47">
        <v>1.18E-2</v>
      </c>
      <c r="V56" s="117">
        <v>1.0000000000000001E-5</v>
      </c>
      <c r="W56" s="47">
        <v>2.9999999999999997E-4</v>
      </c>
      <c r="X56" s="52">
        <v>0</v>
      </c>
      <c r="Y56" s="52">
        <v>3.1E-2</v>
      </c>
      <c r="Z56" s="111">
        <v>5.2999999999999999E-2</v>
      </c>
      <c r="AA56" s="52">
        <f t="shared" si="147"/>
        <v>0.1</v>
      </c>
      <c r="AB56" s="52">
        <f t="shared" si="148"/>
        <v>0</v>
      </c>
      <c r="AC56" s="52">
        <f t="shared" si="149"/>
        <v>0.9</v>
      </c>
      <c r="AD56" s="363">
        <f t="shared" si="150"/>
        <v>0.42946000000000001</v>
      </c>
      <c r="AE56" s="355">
        <f t="shared" si="151"/>
        <v>0.42946000000000001</v>
      </c>
      <c r="AF56" s="355">
        <f t="shared" si="152"/>
        <v>0</v>
      </c>
      <c r="AG56" s="355">
        <f t="shared" si="151"/>
        <v>0</v>
      </c>
      <c r="AH56" s="355">
        <f t="shared" si="153"/>
        <v>0</v>
      </c>
      <c r="AI56" s="355">
        <f t="shared" ref="AI56" si="1051">AH56</f>
        <v>0</v>
      </c>
      <c r="AJ56" s="508"/>
      <c r="AK56" s="508"/>
      <c r="AL56" s="508"/>
      <c r="AM56" s="508"/>
      <c r="AN56" s="508"/>
      <c r="AO56" s="572"/>
      <c r="AP56" s="366">
        <f t="shared" si="155"/>
        <v>0.42946000000000001</v>
      </c>
      <c r="AQ56" s="355">
        <f t="shared" ref="AQ56" si="1052">AP56</f>
        <v>0.42946000000000001</v>
      </c>
      <c r="AR56" s="355">
        <f t="shared" si="157"/>
        <v>0</v>
      </c>
      <c r="AS56" s="355">
        <f t="shared" ref="AS56" si="1053">AR56</f>
        <v>0</v>
      </c>
      <c r="AT56" s="355">
        <f t="shared" si="159"/>
        <v>0</v>
      </c>
      <c r="AU56" s="355">
        <f t="shared" ref="AU56" si="1054">AT56</f>
        <v>0</v>
      </c>
      <c r="AV56" s="363">
        <f t="shared" si="2"/>
        <v>0</v>
      </c>
      <c r="AW56" s="355">
        <f t="shared" ref="AW56" si="1055">AV56</f>
        <v>0</v>
      </c>
      <c r="AX56" s="355">
        <f t="shared" si="3"/>
        <v>0.57977100000000004</v>
      </c>
      <c r="AY56" s="355">
        <f t="shared" ref="AY56" si="1056">AX56</f>
        <v>0.57977100000000004</v>
      </c>
      <c r="AZ56" s="355">
        <f t="shared" si="4"/>
        <v>0</v>
      </c>
      <c r="BA56" s="355">
        <f t="shared" ref="BA56" si="1057">AZ56</f>
        <v>0</v>
      </c>
      <c r="BB56" s="366"/>
      <c r="BC56" s="355"/>
      <c r="BD56" s="355"/>
      <c r="BE56" s="355"/>
      <c r="BF56" s="355"/>
      <c r="BG56" s="355"/>
      <c r="BH56" s="366">
        <f t="shared" si="5"/>
        <v>0</v>
      </c>
      <c r="BI56" s="355">
        <f t="shared" ref="BI56" si="1058">BH56</f>
        <v>0</v>
      </c>
      <c r="BJ56" s="355">
        <f t="shared" si="6"/>
        <v>0.57977100000000004</v>
      </c>
      <c r="BK56" s="355">
        <f t="shared" ref="BK56" si="1059">BJ56</f>
        <v>0.57977100000000004</v>
      </c>
      <c r="BL56" s="355">
        <f t="shared" si="7"/>
        <v>0</v>
      </c>
      <c r="BM56" s="355">
        <f t="shared" ref="BM56" si="1060">BL56</f>
        <v>0</v>
      </c>
      <c r="BN56" s="363">
        <f t="shared" si="8"/>
        <v>2.1473E-3</v>
      </c>
      <c r="BO56" s="355">
        <f t="shared" ref="BO56" si="1061">BN56</f>
        <v>2.1473E-3</v>
      </c>
      <c r="BP56" s="355">
        <f t="shared" si="9"/>
        <v>6.441899999999999E-2</v>
      </c>
      <c r="BQ56" s="355">
        <f t="shared" ref="BQ56" si="1062">BP56</f>
        <v>6.441899999999999E-2</v>
      </c>
      <c r="BR56" s="355">
        <f t="shared" si="10"/>
        <v>0</v>
      </c>
      <c r="BS56" s="355">
        <f t="shared" ref="BS56" si="1063">BR56</f>
        <v>0</v>
      </c>
      <c r="BT56" s="366"/>
      <c r="BU56" s="355"/>
      <c r="BV56" s="355"/>
      <c r="BW56" s="355"/>
      <c r="BX56" s="355"/>
      <c r="BY56" s="355"/>
      <c r="BZ56" s="366">
        <f t="shared" si="11"/>
        <v>2.1473E-3</v>
      </c>
      <c r="CA56" s="355">
        <f t="shared" ref="CA56" si="1064">BZ56</f>
        <v>2.1473E-3</v>
      </c>
      <c r="CB56" s="355">
        <f t="shared" si="12"/>
        <v>6.441899999999999E-2</v>
      </c>
      <c r="CC56" s="355">
        <f t="shared" ref="CC56" si="1065">CB56</f>
        <v>6.441899999999999E-2</v>
      </c>
      <c r="CD56" s="355">
        <f t="shared" si="13"/>
        <v>0</v>
      </c>
      <c r="CE56" s="526">
        <f t="shared" ref="CE56" si="1066">CD56</f>
        <v>0</v>
      </c>
      <c r="CF56" s="355">
        <f t="shared" si="173"/>
        <v>2.25</v>
      </c>
      <c r="CG56" s="615">
        <f t="shared" si="174"/>
        <v>2.25</v>
      </c>
      <c r="CH56" s="355">
        <f t="shared" si="175"/>
        <v>0</v>
      </c>
      <c r="CI56" s="615">
        <f t="shared" si="491"/>
        <v>0</v>
      </c>
      <c r="CJ56" s="615">
        <f t="shared" si="176"/>
        <v>20.25</v>
      </c>
      <c r="CK56" s="615">
        <f t="shared" si="492"/>
        <v>20.25</v>
      </c>
      <c r="CL56" s="122"/>
      <c r="CM56" s="1235">
        <f>F56-F56*Z56-J56</f>
        <v>180.84931</v>
      </c>
      <c r="CN56" s="1231"/>
      <c r="CO56" s="1230"/>
      <c r="CP56" s="1231"/>
      <c r="CQ56" s="1230">
        <f t="shared" si="177"/>
        <v>180.84931</v>
      </c>
      <c r="CR56" s="1232"/>
      <c r="CS56" s="30">
        <v>0.8</v>
      </c>
      <c r="CT56" s="31">
        <f t="shared" si="178"/>
        <v>0.19999999999999996</v>
      </c>
      <c r="CU56" s="31"/>
      <c r="CV56" s="32"/>
      <c r="CW56" s="1233">
        <f t="shared" si="179"/>
        <v>137.44547559999998</v>
      </c>
      <c r="CX56" s="1234"/>
      <c r="CY56" s="1234">
        <f t="shared" si="180"/>
        <v>34.361368899999988</v>
      </c>
      <c r="CZ56" s="1231"/>
      <c r="DA56" s="369"/>
      <c r="DB56" s="369"/>
      <c r="DC56" s="369"/>
      <c r="DD56" s="373"/>
      <c r="DE56" s="1234">
        <f t="shared" si="768"/>
        <v>137.44547559999998</v>
      </c>
      <c r="DF56" s="1234"/>
      <c r="DG56" s="369">
        <f t="shared" si="341"/>
        <v>34.361368899999988</v>
      </c>
      <c r="DH56" s="372">
        <f t="shared" si="182"/>
        <v>34.361368899999988</v>
      </c>
      <c r="DJ56" s="493">
        <v>0.05</v>
      </c>
      <c r="DK56" s="379"/>
      <c r="DL56" s="1084">
        <v>100</v>
      </c>
      <c r="DM56" s="1084">
        <f t="shared" si="605"/>
        <v>100</v>
      </c>
      <c r="DN56" s="369"/>
      <c r="DO56" s="372"/>
      <c r="DP56" s="30">
        <v>1</v>
      </c>
      <c r="DQ56" s="31">
        <f t="shared" si="183"/>
        <v>0.1</v>
      </c>
      <c r="DR56" s="31">
        <f t="shared" si="184"/>
        <v>1</v>
      </c>
      <c r="DS56" s="680">
        <f t="shared" si="185"/>
        <v>0.1</v>
      </c>
      <c r="DT56" s="77">
        <f t="shared" si="186"/>
        <v>1</v>
      </c>
      <c r="DU56" s="31">
        <v>0</v>
      </c>
      <c r="DV56" s="31">
        <v>1</v>
      </c>
      <c r="DW56" s="31">
        <v>0</v>
      </c>
      <c r="DX56" s="31">
        <v>0</v>
      </c>
      <c r="DY56" s="31">
        <v>1</v>
      </c>
      <c r="DZ56" s="31">
        <v>0</v>
      </c>
      <c r="EA56" s="383">
        <f t="shared" si="888"/>
        <v>0</v>
      </c>
      <c r="EB56" s="355">
        <f t="shared" si="188"/>
        <v>0</v>
      </c>
      <c r="EC56" s="355">
        <f t="shared" si="889"/>
        <v>15.1361214</v>
      </c>
      <c r="ED56" s="355">
        <f t="shared" si="190"/>
        <v>151.36121400000002</v>
      </c>
      <c r="EE56" s="355">
        <f t="shared" si="890"/>
        <v>0</v>
      </c>
      <c r="EF56" s="355">
        <f t="shared" si="192"/>
        <v>0</v>
      </c>
      <c r="EG56" s="366"/>
      <c r="EH56" s="355"/>
      <c r="EI56" s="355"/>
      <c r="EJ56" s="355"/>
      <c r="EK56" s="355"/>
      <c r="EL56" s="356"/>
      <c r="EM56" s="355">
        <f t="shared" si="193"/>
        <v>15.1361214</v>
      </c>
      <c r="EN56" s="134">
        <f t="shared" si="194"/>
        <v>151.36121400000002</v>
      </c>
      <c r="EP56" s="1171">
        <f t="shared" si="769"/>
        <v>2.1473E-3</v>
      </c>
      <c r="EQ56" s="1172"/>
      <c r="ER56" s="1172">
        <f t="shared" si="770"/>
        <v>6.441899999999999E-2</v>
      </c>
      <c r="ES56" s="1172"/>
      <c r="ET56" s="1172">
        <f t="shared" si="771"/>
        <v>0</v>
      </c>
      <c r="EU56" s="1172"/>
      <c r="EV56" s="366"/>
      <c r="EW56" s="355"/>
      <c r="EX56" s="355"/>
      <c r="EY56" s="355"/>
      <c r="EZ56" s="1172"/>
      <c r="FA56" s="1173"/>
      <c r="FB56" s="368">
        <f t="shared" si="195"/>
        <v>137.44547559999998</v>
      </c>
      <c r="FC56" s="369">
        <f t="shared" si="196"/>
        <v>137.44547559999998</v>
      </c>
      <c r="FD56" s="369"/>
      <c r="FE56" s="61"/>
      <c r="FF56" s="368">
        <f t="shared" si="772"/>
        <v>34.361368899999988</v>
      </c>
      <c r="FG56" s="369">
        <f t="shared" si="426"/>
        <v>34.361368899999988</v>
      </c>
      <c r="FH56" s="369"/>
      <c r="FI56" s="369"/>
      <c r="FJ56" s="30">
        <v>1</v>
      </c>
      <c r="FK56" s="31">
        <v>0.2</v>
      </c>
      <c r="FL56" s="501">
        <v>0.8</v>
      </c>
      <c r="FM56" s="31">
        <f t="shared" si="198"/>
        <v>0.1</v>
      </c>
      <c r="FN56" s="501">
        <f t="shared" si="199"/>
        <v>1</v>
      </c>
      <c r="FO56" s="31">
        <f t="shared" si="200"/>
        <v>0.1</v>
      </c>
      <c r="FP56" s="31">
        <f t="shared" si="201"/>
        <v>1</v>
      </c>
      <c r="FQ56" s="31">
        <v>1</v>
      </c>
      <c r="FR56" s="31">
        <v>0</v>
      </c>
      <c r="FS56" s="89">
        <f t="shared" si="202"/>
        <v>1E-3</v>
      </c>
      <c r="FT56" s="31">
        <f t="shared" si="203"/>
        <v>0.05</v>
      </c>
      <c r="FU56" s="30">
        <v>0.05</v>
      </c>
      <c r="FV56" s="32">
        <f t="shared" si="25"/>
        <v>2.4224999999999997E-2</v>
      </c>
      <c r="FW56" s="31">
        <v>0.1</v>
      </c>
      <c r="FX56" s="77">
        <f t="shared" si="26"/>
        <v>9.0000000000000011E-2</v>
      </c>
      <c r="FY56" s="30"/>
      <c r="FZ56" s="32"/>
      <c r="GA56" s="31"/>
      <c r="GB56" s="77"/>
      <c r="GC56" s="378">
        <f t="shared" si="773"/>
        <v>2.1473E-3</v>
      </c>
      <c r="GD56" s="379">
        <f t="shared" si="204"/>
        <v>2.1473E-3</v>
      </c>
      <c r="GE56" s="379">
        <f t="shared" si="774"/>
        <v>6.441899999999999E-2</v>
      </c>
      <c r="GF56" s="379">
        <f t="shared" si="205"/>
        <v>6.441899999999999E-2</v>
      </c>
      <c r="GG56" s="379">
        <f t="shared" si="206"/>
        <v>0</v>
      </c>
      <c r="GH56" s="218">
        <f t="shared" si="207"/>
        <v>0</v>
      </c>
      <c r="GI56" s="379"/>
      <c r="GJ56" s="379"/>
      <c r="GK56" s="379"/>
      <c r="GL56" s="379"/>
      <c r="GM56" s="379"/>
      <c r="GN56" s="218"/>
      <c r="GO56" s="379">
        <f t="shared" si="208"/>
        <v>6.6566299999999995E-2</v>
      </c>
      <c r="GP56" s="515">
        <f t="shared" si="209"/>
        <v>6.6566299999999995E-2</v>
      </c>
      <c r="GQ56" s="379">
        <f t="shared" si="891"/>
        <v>6.9427178946437502</v>
      </c>
      <c r="GR56" s="379">
        <f t="shared" si="892"/>
        <v>177.71861232499998</v>
      </c>
      <c r="GS56" s="355">
        <f t="shared" si="1031"/>
        <v>0.14841774025887502</v>
      </c>
      <c r="GT56" s="355">
        <f t="shared" si="1032"/>
        <v>74.208870129437514</v>
      </c>
      <c r="GU56" s="355">
        <f t="shared" si="1033"/>
        <v>0</v>
      </c>
      <c r="GV56" s="356">
        <f t="shared" si="1034"/>
        <v>0</v>
      </c>
      <c r="GW56" s="355"/>
      <c r="GX56" s="355"/>
      <c r="GY56" s="355"/>
      <c r="GZ56" s="355"/>
      <c r="HA56" s="355"/>
      <c r="HB56" s="356"/>
      <c r="HC56" s="379">
        <f t="shared" si="212"/>
        <v>7.0911356349026251</v>
      </c>
      <c r="HD56" s="38">
        <f t="shared" si="213"/>
        <v>251.9274824544375</v>
      </c>
      <c r="HE56" s="527"/>
      <c r="HF56" s="529">
        <f t="shared" si="775"/>
        <v>0.42946000000000001</v>
      </c>
      <c r="HG56" s="529">
        <f t="shared" si="776"/>
        <v>0.42946000000000001</v>
      </c>
      <c r="HH56" s="529">
        <f t="shared" si="777"/>
        <v>0</v>
      </c>
      <c r="HI56" s="529">
        <f t="shared" si="778"/>
        <v>0</v>
      </c>
      <c r="HJ56" s="529">
        <f t="shared" si="779"/>
        <v>0</v>
      </c>
      <c r="HK56" s="524">
        <f t="shared" si="780"/>
        <v>0</v>
      </c>
      <c r="HL56" s="529">
        <f t="shared" si="781"/>
        <v>0</v>
      </c>
      <c r="HM56" s="529">
        <f t="shared" si="782"/>
        <v>0</v>
      </c>
      <c r="HN56" s="529">
        <f t="shared" si="783"/>
        <v>15.715892400000001</v>
      </c>
      <c r="HO56" s="529">
        <f t="shared" si="784"/>
        <v>151.94098500000001</v>
      </c>
      <c r="HP56" s="529">
        <f t="shared" si="785"/>
        <v>0</v>
      </c>
      <c r="HQ56" s="524">
        <f t="shared" si="786"/>
        <v>0</v>
      </c>
      <c r="HR56" s="615">
        <f t="shared" si="214"/>
        <v>9.343282934902625</v>
      </c>
      <c r="HS56" s="615">
        <f t="shared" si="787"/>
        <v>254.17962975443749</v>
      </c>
      <c r="HT56" s="615">
        <f t="shared" si="788"/>
        <v>6.441899999999999E-2</v>
      </c>
      <c r="HU56" s="615">
        <f t="shared" si="789"/>
        <v>6.441899999999999E-2</v>
      </c>
      <c r="HV56" s="615">
        <f t="shared" si="790"/>
        <v>20.25</v>
      </c>
      <c r="HW56" s="615">
        <f t="shared" si="791"/>
        <v>20.25</v>
      </c>
      <c r="IG56" s="560"/>
      <c r="IH56" s="529">
        <f t="shared" si="215"/>
        <v>4.7240600000000004E-3</v>
      </c>
      <c r="II56" s="529">
        <f t="shared" si="216"/>
        <v>3.8651400000000004E-3</v>
      </c>
      <c r="IJ56" s="529">
        <f t="shared" si="217"/>
        <v>7.7302800000000008E-3</v>
      </c>
      <c r="IK56" s="529">
        <f t="shared" si="893"/>
        <v>3.8651400000000004E-3</v>
      </c>
      <c r="IL56" s="529">
        <f t="shared" si="894"/>
        <v>0.36289369999999999</v>
      </c>
      <c r="IM56" s="529">
        <f t="shared" si="895"/>
        <v>4.2946E-4</v>
      </c>
      <c r="IN56" s="529">
        <f t="shared" si="896"/>
        <v>4.2946E-4</v>
      </c>
      <c r="IO56" s="529">
        <f t="shared" si="222"/>
        <v>1.4172180000000001E-2</v>
      </c>
      <c r="IP56" s="529">
        <f t="shared" si="223"/>
        <v>1.7607859999999999E-2</v>
      </c>
      <c r="IQ56" s="529">
        <f t="shared" si="897"/>
        <v>2.2331920000000002E-2</v>
      </c>
      <c r="IR56" s="529">
        <f t="shared" si="898"/>
        <v>1.7607859999999999E-2</v>
      </c>
      <c r="IS56" s="529">
        <f t="shared" si="899"/>
        <v>0.36375261999999997</v>
      </c>
      <c r="IT56" s="529">
        <f t="shared" si="900"/>
        <v>4.2946E-3</v>
      </c>
      <c r="IU56" s="526">
        <f t="shared" si="901"/>
        <v>4.2946E-3</v>
      </c>
      <c r="IV56" s="884">
        <f t="shared" si="229"/>
        <v>0</v>
      </c>
      <c r="IW56" s="884">
        <f t="shared" si="230"/>
        <v>0</v>
      </c>
      <c r="IX56" s="529">
        <f t="shared" si="792"/>
        <v>0</v>
      </c>
      <c r="IY56" s="529">
        <f t="shared" si="793"/>
        <v>0</v>
      </c>
      <c r="IZ56" s="529">
        <f t="shared" si="794"/>
        <v>0</v>
      </c>
      <c r="JA56" s="529">
        <f t="shared" si="795"/>
        <v>0</v>
      </c>
      <c r="JB56" s="529">
        <f t="shared" si="796"/>
        <v>0</v>
      </c>
      <c r="JC56" s="529">
        <f t="shared" si="231"/>
        <v>0</v>
      </c>
      <c r="JD56" s="529">
        <f t="shared" si="232"/>
        <v>0</v>
      </c>
      <c r="JE56" s="529">
        <f t="shared" si="797"/>
        <v>0</v>
      </c>
      <c r="JF56" s="529">
        <f t="shared" si="798"/>
        <v>0</v>
      </c>
      <c r="JG56" s="529">
        <f t="shared" si="799"/>
        <v>0</v>
      </c>
      <c r="JH56" s="529">
        <f t="shared" si="800"/>
        <v>0</v>
      </c>
      <c r="JI56" s="480">
        <f t="shared" si="801"/>
        <v>0</v>
      </c>
      <c r="JJ56" s="884">
        <f t="shared" si="233"/>
        <v>0</v>
      </c>
      <c r="JK56" s="884">
        <f t="shared" si="234"/>
        <v>0</v>
      </c>
      <c r="JL56" s="529">
        <f t="shared" si="802"/>
        <v>0</v>
      </c>
      <c r="JM56" s="529">
        <f t="shared" si="803"/>
        <v>0</v>
      </c>
      <c r="JN56" s="529">
        <f t="shared" si="804"/>
        <v>0</v>
      </c>
      <c r="JO56" s="529">
        <f t="shared" si="805"/>
        <v>0</v>
      </c>
      <c r="JP56" s="529">
        <f t="shared" si="806"/>
        <v>0</v>
      </c>
      <c r="JQ56" s="529">
        <f t="shared" si="235"/>
        <v>0</v>
      </c>
      <c r="JR56" s="529">
        <f t="shared" si="236"/>
        <v>0</v>
      </c>
      <c r="JS56" s="474">
        <f t="shared" si="807"/>
        <v>0</v>
      </c>
      <c r="JT56" s="474">
        <f t="shared" si="808"/>
        <v>0</v>
      </c>
      <c r="JU56" s="474">
        <f t="shared" si="809"/>
        <v>0</v>
      </c>
      <c r="JV56" s="474">
        <f t="shared" si="810"/>
        <v>0</v>
      </c>
      <c r="JW56" s="134">
        <f t="shared" si="811"/>
        <v>0</v>
      </c>
      <c r="JX56" s="884">
        <f t="shared" si="237"/>
        <v>0</v>
      </c>
      <c r="JY56" s="884">
        <f t="shared" si="238"/>
        <v>0</v>
      </c>
      <c r="JZ56" s="529">
        <f t="shared" si="812"/>
        <v>0</v>
      </c>
      <c r="KA56" s="529">
        <f t="shared" si="813"/>
        <v>0</v>
      </c>
      <c r="KB56" s="529">
        <f t="shared" si="814"/>
        <v>0</v>
      </c>
      <c r="KC56" s="529">
        <f t="shared" si="815"/>
        <v>0</v>
      </c>
      <c r="KD56" s="529">
        <f t="shared" si="816"/>
        <v>0</v>
      </c>
      <c r="KE56" s="529">
        <f t="shared" si="239"/>
        <v>0</v>
      </c>
      <c r="KF56" s="529">
        <f t="shared" si="240"/>
        <v>0</v>
      </c>
      <c r="KG56" s="529">
        <f t="shared" si="817"/>
        <v>0</v>
      </c>
      <c r="KH56" s="529">
        <f t="shared" si="818"/>
        <v>0</v>
      </c>
      <c r="KI56" s="529">
        <f t="shared" si="819"/>
        <v>0</v>
      </c>
      <c r="KJ56" s="529">
        <f t="shared" si="820"/>
        <v>0</v>
      </c>
      <c r="KK56" s="526">
        <f t="shared" si="821"/>
        <v>0</v>
      </c>
      <c r="KL56" s="884">
        <f t="shared" si="241"/>
        <v>0.17287481640000002</v>
      </c>
      <c r="KM56" s="884">
        <f t="shared" si="242"/>
        <v>0.14144303160000002</v>
      </c>
      <c r="KN56" s="529">
        <f t="shared" si="822"/>
        <v>0.28288606320000004</v>
      </c>
      <c r="KO56" s="529">
        <f t="shared" si="823"/>
        <v>0.14144303160000002</v>
      </c>
      <c r="KP56" s="529">
        <f t="shared" si="824"/>
        <v>13.279929078</v>
      </c>
      <c r="KQ56" s="529">
        <f t="shared" si="825"/>
        <v>1.5715892400000001E-2</v>
      </c>
      <c r="KR56" s="529">
        <f t="shared" si="826"/>
        <v>1.5715892400000001E-2</v>
      </c>
      <c r="KS56" s="529">
        <f t="shared" si="243"/>
        <v>5.0140525050000004</v>
      </c>
      <c r="KT56" s="529">
        <f t="shared" si="244"/>
        <v>6.2295803849999993</v>
      </c>
      <c r="KU56" s="529">
        <f t="shared" si="827"/>
        <v>7.9009312200000013</v>
      </c>
      <c r="KV56" s="529">
        <f t="shared" si="828"/>
        <v>6.2295803849999993</v>
      </c>
      <c r="KW56" s="529">
        <f t="shared" si="829"/>
        <v>128.69401429500002</v>
      </c>
      <c r="KX56" s="529">
        <f t="shared" si="830"/>
        <v>1.5194098500000002</v>
      </c>
      <c r="KY56" s="480">
        <f t="shared" si="831"/>
        <v>1.5194098500000002</v>
      </c>
      <c r="KZ56" s="884">
        <f t="shared" si="245"/>
        <v>0</v>
      </c>
      <c r="LA56" s="884">
        <f t="shared" si="246"/>
        <v>0</v>
      </c>
      <c r="LB56" s="529">
        <f t="shared" si="832"/>
        <v>0</v>
      </c>
      <c r="LC56" s="529">
        <f t="shared" si="833"/>
        <v>0</v>
      </c>
      <c r="LD56" s="529">
        <f t="shared" si="834"/>
        <v>0</v>
      </c>
      <c r="LE56" s="529">
        <f t="shared" si="835"/>
        <v>0</v>
      </c>
      <c r="LF56" s="529">
        <f t="shared" si="836"/>
        <v>0</v>
      </c>
      <c r="LG56" s="529">
        <f t="shared" si="247"/>
        <v>0</v>
      </c>
      <c r="LH56" s="529">
        <f t="shared" si="248"/>
        <v>0</v>
      </c>
      <c r="LI56" s="355">
        <f t="shared" si="837"/>
        <v>0</v>
      </c>
      <c r="LJ56" s="355">
        <f t="shared" si="838"/>
        <v>0</v>
      </c>
      <c r="LK56" s="355">
        <f t="shared" si="839"/>
        <v>0</v>
      </c>
      <c r="LL56" s="355">
        <f t="shared" si="840"/>
        <v>0</v>
      </c>
      <c r="LM56" s="134">
        <f t="shared" si="841"/>
        <v>0</v>
      </c>
      <c r="LN56" s="884">
        <f t="shared" si="249"/>
        <v>1.0277611228392889E-2</v>
      </c>
      <c r="LO56" s="884">
        <f t="shared" si="250"/>
        <v>2.8029848804707871E-3</v>
      </c>
      <c r="LP56" s="529">
        <f t="shared" si="842"/>
        <v>4.7650742968003389E-2</v>
      </c>
      <c r="LQ56" s="529">
        <f t="shared" si="843"/>
        <v>7.661492006620152E-2</v>
      </c>
      <c r="LR56" s="529">
        <f t="shared" si="844"/>
        <v>7.4746263479221007</v>
      </c>
      <c r="LS56" s="529">
        <f t="shared" si="845"/>
        <v>8.1286561533652837E-2</v>
      </c>
      <c r="LT56" s="529">
        <f t="shared" si="846"/>
        <v>9.3432829349026254E-3</v>
      </c>
      <c r="LU56" s="529">
        <f t="shared" si="251"/>
        <v>15.250777785266248</v>
      </c>
      <c r="LV56" s="529">
        <f t="shared" si="252"/>
        <v>7.6253888926331239</v>
      </c>
      <c r="LW56" s="529">
        <f t="shared" si="847"/>
        <v>17.792574082810624</v>
      </c>
      <c r="LX56" s="529">
        <f t="shared" si="848"/>
        <v>15.250777785266248</v>
      </c>
      <c r="LY56" s="529">
        <f t="shared" si="849"/>
        <v>251.38365382713869</v>
      </c>
      <c r="LZ56" s="529">
        <f t="shared" si="850"/>
        <v>2.5417962975443751</v>
      </c>
      <c r="MA56" s="485">
        <f t="shared" si="851"/>
        <v>2.5417962975443751</v>
      </c>
      <c r="MB56" s="884">
        <f t="shared" si="253"/>
        <v>7.0860899999999991E-5</v>
      </c>
      <c r="MC56" s="884">
        <f t="shared" si="254"/>
        <v>1.9325699999999997E-5</v>
      </c>
      <c r="MD56" s="529">
        <f t="shared" si="852"/>
        <v>3.2853689999999997E-4</v>
      </c>
      <c r="ME56" s="529">
        <f t="shared" si="853"/>
        <v>5.2823579999999989E-4</v>
      </c>
      <c r="MF56" s="529">
        <f t="shared" si="854"/>
        <v>5.1535199999999996E-2</v>
      </c>
      <c r="MG56" s="529">
        <f t="shared" si="855"/>
        <v>5.604452999999999E-4</v>
      </c>
      <c r="MH56" s="529">
        <f t="shared" si="856"/>
        <v>6.4418999999999994E-5</v>
      </c>
      <c r="MI56" s="529">
        <f t="shared" si="255"/>
        <v>3.8651399999999991E-3</v>
      </c>
      <c r="MJ56" s="529">
        <f t="shared" si="256"/>
        <v>1.9325699999999996E-3</v>
      </c>
      <c r="MK56" s="529">
        <f t="shared" si="857"/>
        <v>4.5093299999999998E-3</v>
      </c>
      <c r="ML56" s="529">
        <f t="shared" si="858"/>
        <v>3.8651399999999991E-3</v>
      </c>
      <c r="MM56" s="529">
        <f t="shared" si="859"/>
        <v>6.3710390999999991E-2</v>
      </c>
      <c r="MN56" s="529">
        <f t="shared" si="860"/>
        <v>6.4418999999999989E-4</v>
      </c>
      <c r="MO56" s="485">
        <f t="shared" si="861"/>
        <v>6.4418999999999989E-4</v>
      </c>
      <c r="MP56" s="884">
        <f t="shared" si="257"/>
        <v>2.2275E-2</v>
      </c>
      <c r="MQ56" s="884">
        <f t="shared" si="258"/>
        <v>6.0749999999999997E-3</v>
      </c>
      <c r="MR56" s="529">
        <f t="shared" si="862"/>
        <v>0.10327500000000001</v>
      </c>
      <c r="MS56" s="529">
        <f t="shared" si="863"/>
        <v>0.16604999999999998</v>
      </c>
      <c r="MT56" s="529">
        <f t="shared" si="864"/>
        <v>16.2</v>
      </c>
      <c r="MU56" s="529">
        <f t="shared" si="865"/>
        <v>0.176175</v>
      </c>
      <c r="MV56" s="529">
        <f t="shared" si="866"/>
        <v>2.0250000000000001E-2</v>
      </c>
      <c r="MW56" s="529">
        <f t="shared" si="259"/>
        <v>1.2149999999999999</v>
      </c>
      <c r="MX56" s="529">
        <f t="shared" si="260"/>
        <v>0.60749999999999993</v>
      </c>
      <c r="MY56" s="474">
        <f t="shared" si="867"/>
        <v>1.4175000000000002</v>
      </c>
      <c r="MZ56" s="474">
        <f t="shared" si="868"/>
        <v>1.2149999999999999</v>
      </c>
      <c r="NA56" s="474">
        <f t="shared" si="869"/>
        <v>20.027250000000002</v>
      </c>
      <c r="NB56" s="474">
        <f t="shared" si="870"/>
        <v>0.20250000000000001</v>
      </c>
      <c r="NC56" s="134">
        <f t="shared" si="871"/>
        <v>0.20250000000000001</v>
      </c>
    </row>
    <row r="57" spans="1:367" x14ac:dyDescent="0.25">
      <c r="A57" s="18">
        <v>2002</v>
      </c>
      <c r="B57" s="1271">
        <v>151</v>
      </c>
      <c r="C57" s="1224"/>
      <c r="D57" s="643">
        <v>30</v>
      </c>
      <c r="E57" s="656">
        <v>30</v>
      </c>
      <c r="F57" s="1226">
        <f>B57*(1-$H$11)</f>
        <v>148.73499999999999</v>
      </c>
      <c r="G57" s="1226"/>
      <c r="H57" s="381">
        <f>D57*(1-$H$11)</f>
        <v>29.55</v>
      </c>
      <c r="I57" s="381">
        <f>E57*(1-$H$11)</f>
        <v>29.55</v>
      </c>
      <c r="J57" s="1082">
        <f>J58-2.5</f>
        <v>25</v>
      </c>
      <c r="K57" s="1082">
        <f t="shared" si="734"/>
        <v>25</v>
      </c>
      <c r="L57" s="1226">
        <f t="shared" si="751"/>
        <v>178.285</v>
      </c>
      <c r="M57" s="1227"/>
      <c r="N57" s="193">
        <v>2E-3</v>
      </c>
      <c r="O57" s="47">
        <v>0</v>
      </c>
      <c r="P57" s="47">
        <v>0</v>
      </c>
      <c r="Q57" s="192">
        <v>6.0000000000000001E-3</v>
      </c>
      <c r="R57" s="47">
        <v>0</v>
      </c>
      <c r="S57" s="47">
        <v>2.7000000000000001E-3</v>
      </c>
      <c r="T57" s="47">
        <v>0</v>
      </c>
      <c r="U57" s="47">
        <v>1.18E-2</v>
      </c>
      <c r="V57" s="117">
        <v>1.0000000000000001E-5</v>
      </c>
      <c r="W57" s="47">
        <v>2.9999999999999997E-4</v>
      </c>
      <c r="X57" s="52">
        <v>0</v>
      </c>
      <c r="Y57" s="52">
        <v>3.1E-2</v>
      </c>
      <c r="Z57" s="111">
        <v>5.2999999999999999E-2</v>
      </c>
      <c r="AA57" s="52">
        <f t="shared" si="147"/>
        <v>0.1</v>
      </c>
      <c r="AB57" s="52">
        <f t="shared" si="148"/>
        <v>0</v>
      </c>
      <c r="AC57" s="52">
        <f t="shared" si="149"/>
        <v>0.9</v>
      </c>
      <c r="AD57" s="363">
        <f t="shared" si="150"/>
        <v>0.29746999999999996</v>
      </c>
      <c r="AE57" s="355">
        <f t="shared" si="151"/>
        <v>0.29746999999999996</v>
      </c>
      <c r="AF57" s="355">
        <f t="shared" si="152"/>
        <v>0</v>
      </c>
      <c r="AG57" s="355">
        <f t="shared" si="151"/>
        <v>0</v>
      </c>
      <c r="AH57" s="355">
        <f t="shared" si="153"/>
        <v>0</v>
      </c>
      <c r="AI57" s="355">
        <f t="shared" ref="AI57" si="1067">AH57</f>
        <v>0</v>
      </c>
      <c r="AJ57" s="494">
        <f>H57*N141</f>
        <v>0.23935499999999998</v>
      </c>
      <c r="AK57" s="494">
        <f>I57*N141</f>
        <v>0.23935499999999998</v>
      </c>
      <c r="AL57" s="494">
        <f>H57*O141</f>
        <v>0</v>
      </c>
      <c r="AM57" s="494">
        <f>I57*O141</f>
        <v>0</v>
      </c>
      <c r="AN57" s="494">
        <f>H57*P141</f>
        <v>0.17730000000000001</v>
      </c>
      <c r="AO57" s="495">
        <f>I57*P141</f>
        <v>0.17730000000000001</v>
      </c>
      <c r="AP57" s="366">
        <f t="shared" si="155"/>
        <v>0.53682499999999989</v>
      </c>
      <c r="AQ57" s="355">
        <f t="shared" ref="AQ57" si="1068">AP57</f>
        <v>0.53682499999999989</v>
      </c>
      <c r="AR57" s="355">
        <f t="shared" si="157"/>
        <v>0</v>
      </c>
      <c r="AS57" s="355">
        <f t="shared" ref="AS57" si="1069">AR57</f>
        <v>0</v>
      </c>
      <c r="AT57" s="355">
        <f t="shared" si="159"/>
        <v>0.17730000000000001</v>
      </c>
      <c r="AU57" s="355">
        <f t="shared" ref="AU57" si="1070">AT57</f>
        <v>0.17730000000000001</v>
      </c>
      <c r="AV57" s="363">
        <f t="shared" si="2"/>
        <v>0</v>
      </c>
      <c r="AW57" s="355">
        <f t="shared" ref="AW57" si="1071">AV57</f>
        <v>0</v>
      </c>
      <c r="AX57" s="355">
        <f t="shared" si="3"/>
        <v>0.40158449999999996</v>
      </c>
      <c r="AY57" s="355">
        <f t="shared" ref="AY57" si="1072">AX57</f>
        <v>0.40158449999999996</v>
      </c>
      <c r="AZ57" s="355">
        <f t="shared" si="4"/>
        <v>0</v>
      </c>
      <c r="BA57" s="355">
        <f t="shared" ref="BA57" si="1073">AZ57</f>
        <v>0</v>
      </c>
      <c r="BB57" s="366">
        <f>H57*R141</f>
        <v>0</v>
      </c>
      <c r="BC57" s="355">
        <f>I57*R141</f>
        <v>0</v>
      </c>
      <c r="BD57" s="355">
        <f>H57*S141</f>
        <v>0.15957000000000002</v>
      </c>
      <c r="BE57" s="355">
        <f>I57*S141</f>
        <v>0.15957000000000002</v>
      </c>
      <c r="BF57" s="355">
        <f>H57*T141</f>
        <v>0.29550000000000004</v>
      </c>
      <c r="BG57" s="355">
        <f>I57*T141</f>
        <v>0.29550000000000004</v>
      </c>
      <c r="BH57" s="366">
        <f t="shared" si="5"/>
        <v>0</v>
      </c>
      <c r="BI57" s="355">
        <f t="shared" ref="BI57" si="1074">BH57</f>
        <v>0</v>
      </c>
      <c r="BJ57" s="355">
        <f t="shared" si="6"/>
        <v>0.5611545</v>
      </c>
      <c r="BK57" s="355">
        <f t="shared" ref="BK57" si="1075">BJ57</f>
        <v>0.5611545</v>
      </c>
      <c r="BL57" s="355">
        <f t="shared" si="7"/>
        <v>0.29550000000000004</v>
      </c>
      <c r="BM57" s="355">
        <f t="shared" ref="BM57" si="1076">BL57</f>
        <v>0.29550000000000004</v>
      </c>
      <c r="BN57" s="363">
        <f t="shared" si="8"/>
        <v>1.4873499999999999E-3</v>
      </c>
      <c r="BO57" s="355">
        <f t="shared" ref="BO57" si="1077">BN57</f>
        <v>1.4873499999999999E-3</v>
      </c>
      <c r="BP57" s="355">
        <f t="shared" si="9"/>
        <v>4.4620499999999994E-2</v>
      </c>
      <c r="BQ57" s="355">
        <f t="shared" ref="BQ57" si="1078">BP57</f>
        <v>4.4620499999999994E-2</v>
      </c>
      <c r="BR57" s="355">
        <f t="shared" si="10"/>
        <v>0</v>
      </c>
      <c r="BS57" s="355">
        <f t="shared" ref="BS57" si="1079">BR57</f>
        <v>0</v>
      </c>
      <c r="BT57" s="366">
        <f>H57*V141</f>
        <v>1.1820000000000001E-3</v>
      </c>
      <c r="BU57" s="355">
        <f>I57*V141</f>
        <v>1.1820000000000001E-3</v>
      </c>
      <c r="BV57" s="355">
        <f>H57*W141</f>
        <v>1.7729999999999999E-2</v>
      </c>
      <c r="BW57" s="355">
        <f>I57*W141</f>
        <v>1.7729999999999999E-2</v>
      </c>
      <c r="BX57" s="355">
        <f>H57*X141</f>
        <v>0.32505000000000001</v>
      </c>
      <c r="BY57" s="355">
        <f>I57*X141</f>
        <v>0.32505000000000001</v>
      </c>
      <c r="BZ57" s="366">
        <f t="shared" si="11"/>
        <v>2.66935E-3</v>
      </c>
      <c r="CA57" s="355">
        <f t="shared" ref="CA57" si="1080">BZ57</f>
        <v>2.66935E-3</v>
      </c>
      <c r="CB57" s="355">
        <f t="shared" si="12"/>
        <v>6.2350499999999989E-2</v>
      </c>
      <c r="CC57" s="355">
        <f t="shared" ref="CC57" si="1081">CB57</f>
        <v>6.2350499999999989E-2</v>
      </c>
      <c r="CD57" s="355">
        <f t="shared" si="13"/>
        <v>0.32505000000000001</v>
      </c>
      <c r="CE57" s="526">
        <f t="shared" ref="CE57" si="1082">CD57</f>
        <v>0.32505000000000001</v>
      </c>
      <c r="CF57" s="355">
        <f t="shared" si="173"/>
        <v>2.5</v>
      </c>
      <c r="CG57" s="615">
        <f t="shared" si="174"/>
        <v>2.5</v>
      </c>
      <c r="CH57" s="355">
        <f t="shared" si="175"/>
        <v>0</v>
      </c>
      <c r="CI57" s="615">
        <f t="shared" si="491"/>
        <v>0</v>
      </c>
      <c r="CJ57" s="615">
        <f t="shared" si="176"/>
        <v>22.5</v>
      </c>
      <c r="CK57" s="615">
        <f t="shared" si="492"/>
        <v>22.5</v>
      </c>
      <c r="CL57" s="122"/>
      <c r="CM57" s="1235">
        <f t="shared" ref="CM57:CM76" si="1083">F57-F57*Z57</f>
        <v>140.85204499999998</v>
      </c>
      <c r="CN57" s="1231"/>
      <c r="CO57" s="371">
        <f>IF(H57-H57*Z57-J57&lt;0,0,H57-H57*Z57-J57)</f>
        <v>2.9838500000000003</v>
      </c>
      <c r="CP57" s="373">
        <f>IF(I57-I57*Z57-J57&lt;0,0,I57-I57*Z57-J57)</f>
        <v>2.9838500000000003</v>
      </c>
      <c r="CQ57" s="371">
        <f t="shared" si="177"/>
        <v>143.83589499999997</v>
      </c>
      <c r="CR57" s="372">
        <f>CM57+CP57</f>
        <v>143.83589499999997</v>
      </c>
      <c r="CS57" s="30">
        <v>0.8</v>
      </c>
      <c r="CT57" s="31">
        <f t="shared" si="178"/>
        <v>0.19999999999999996</v>
      </c>
      <c r="CU57" s="31">
        <v>0.5</v>
      </c>
      <c r="CV57" s="32">
        <v>0.5</v>
      </c>
      <c r="CW57" s="1233">
        <f t="shared" si="179"/>
        <v>107.04755419999998</v>
      </c>
      <c r="CX57" s="1234"/>
      <c r="CY57" s="1234">
        <f t="shared" si="180"/>
        <v>26.761888549999988</v>
      </c>
      <c r="CZ57" s="1231"/>
      <c r="DA57" s="369">
        <f>CO57*(1-$DK57)*CU57</f>
        <v>1.3054343750000001</v>
      </c>
      <c r="DB57" s="369">
        <f>CP57*(1-$DK57)*CU57</f>
        <v>1.3054343750000001</v>
      </c>
      <c r="DC57" s="369">
        <f>CO57*(1-$DK57)*CV57</f>
        <v>1.3054343750000001</v>
      </c>
      <c r="DD57" s="373">
        <f>CP57*(1-$DK57)*CV57</f>
        <v>1.3054343750000001</v>
      </c>
      <c r="DE57" s="1234">
        <f t="shared" si="768"/>
        <v>108.35298857499998</v>
      </c>
      <c r="DF57" s="1234"/>
      <c r="DG57" s="369">
        <f t="shared" si="341"/>
        <v>28.067322924999988</v>
      </c>
      <c r="DH57" s="372">
        <f t="shared" si="182"/>
        <v>28.067322924999988</v>
      </c>
      <c r="DJ57" s="493">
        <v>0.05</v>
      </c>
      <c r="DK57" s="507">
        <v>0.125</v>
      </c>
      <c r="DL57" s="1084">
        <v>100</v>
      </c>
      <c r="DM57" s="1084">
        <f t="shared" si="605"/>
        <v>100</v>
      </c>
      <c r="DN57" s="369">
        <f t="shared" ref="DN57:DN85" si="1084">CO57*DK57</f>
        <v>0.37298125000000004</v>
      </c>
      <c r="DO57" s="372">
        <f t="shared" ref="DO57:DO85" si="1085">CP57*DK57</f>
        <v>0.37298125000000004</v>
      </c>
      <c r="DP57" s="30">
        <v>1</v>
      </c>
      <c r="DQ57" s="31">
        <f t="shared" si="183"/>
        <v>0.1</v>
      </c>
      <c r="DR57" s="31">
        <f t="shared" si="184"/>
        <v>1</v>
      </c>
      <c r="DS57" s="680">
        <f t="shared" si="185"/>
        <v>0.1</v>
      </c>
      <c r="DT57" s="77">
        <f t="shared" si="186"/>
        <v>1</v>
      </c>
      <c r="DU57" s="31">
        <v>0</v>
      </c>
      <c r="DV57" s="31">
        <v>1</v>
      </c>
      <c r="DW57" s="31">
        <v>0</v>
      </c>
      <c r="DX57" s="31">
        <v>0</v>
      </c>
      <c r="DY57" s="31">
        <v>1</v>
      </c>
      <c r="DZ57" s="31">
        <v>0</v>
      </c>
      <c r="EA57" s="383">
        <f t="shared" si="888"/>
        <v>0</v>
      </c>
      <c r="EB57" s="355">
        <f t="shared" si="188"/>
        <v>0</v>
      </c>
      <c r="EC57" s="355">
        <f t="shared" si="889"/>
        <v>10</v>
      </c>
      <c r="ED57" s="355">
        <f t="shared" si="190"/>
        <v>100</v>
      </c>
      <c r="EE57" s="355">
        <f t="shared" si="890"/>
        <v>0</v>
      </c>
      <c r="EF57" s="355">
        <f t="shared" si="192"/>
        <v>0</v>
      </c>
      <c r="EG57" s="355">
        <f>1/2*(DN57*DS57*DX57)</f>
        <v>0</v>
      </c>
      <c r="EH57" s="355">
        <f>1/2*(DO57*DT57*DX57)</f>
        <v>0</v>
      </c>
      <c r="EI57" s="355">
        <f>1/2*(DN57*DS57*DY57)</f>
        <v>1.8649062500000004E-2</v>
      </c>
      <c r="EJ57" s="355">
        <f>1/2*(DO57*DT57*DY57)</f>
        <v>0.18649062500000002</v>
      </c>
      <c r="EK57" s="355">
        <f>1/2*(DN57*DS57*DZ57)</f>
        <v>0</v>
      </c>
      <c r="EL57" s="356">
        <f>1/2*(DO57*DT57*DZ57)</f>
        <v>0</v>
      </c>
      <c r="EM57" s="355">
        <f t="shared" si="193"/>
        <v>10.0186490625</v>
      </c>
      <c r="EN57" s="134">
        <f t="shared" si="194"/>
        <v>100.186490625</v>
      </c>
      <c r="EP57" s="1171">
        <f t="shared" si="769"/>
        <v>1.4873499999999999E-3</v>
      </c>
      <c r="EQ57" s="1172"/>
      <c r="ER57" s="1172">
        <f t="shared" si="770"/>
        <v>4.4620499999999994E-2</v>
      </c>
      <c r="ES57" s="1172"/>
      <c r="ET57" s="1172">
        <f t="shared" si="771"/>
        <v>0</v>
      </c>
      <c r="EU57" s="1172"/>
      <c r="EV57" s="366">
        <f t="shared" ref="EV57:EV85" si="1086">BT57</f>
        <v>1.1820000000000001E-3</v>
      </c>
      <c r="EW57" s="355">
        <f t="shared" ref="EW57:EW85" si="1087">BU57</f>
        <v>1.1820000000000001E-3</v>
      </c>
      <c r="EX57" s="355">
        <f t="shared" ref="EX57:EX85" si="1088">BV57</f>
        <v>1.7729999999999999E-2</v>
      </c>
      <c r="EY57" s="355">
        <f t="shared" ref="EY57:EY85" si="1089">BW57</f>
        <v>1.7729999999999999E-2</v>
      </c>
      <c r="EZ57" s="355">
        <f t="shared" ref="EZ57:EZ85" si="1090">BX57</f>
        <v>0.32505000000000001</v>
      </c>
      <c r="FA57" s="382">
        <f t="shared" ref="FA57:FA85" si="1091">BY57</f>
        <v>0.32505000000000001</v>
      </c>
      <c r="FB57" s="368">
        <f t="shared" si="195"/>
        <v>107.04755419999998</v>
      </c>
      <c r="FC57" s="369">
        <f t="shared" si="196"/>
        <v>107.04755419999998</v>
      </c>
      <c r="FD57" s="369">
        <f>DA57</f>
        <v>1.3054343750000001</v>
      </c>
      <c r="FE57" s="61">
        <f>DB57</f>
        <v>1.3054343750000001</v>
      </c>
      <c r="FF57" s="368">
        <f t="shared" si="772"/>
        <v>26.761888549999988</v>
      </c>
      <c r="FG57" s="369">
        <f t="shared" si="426"/>
        <v>26.761888549999988</v>
      </c>
      <c r="FH57" s="369">
        <f>DC57</f>
        <v>1.3054343750000001</v>
      </c>
      <c r="FI57" s="369">
        <f>DD57</f>
        <v>1.3054343750000001</v>
      </c>
      <c r="FJ57" s="30">
        <v>1</v>
      </c>
      <c r="FK57" s="31">
        <v>0.2</v>
      </c>
      <c r="FL57" s="501">
        <v>0.8</v>
      </c>
      <c r="FM57" s="31">
        <f t="shared" si="198"/>
        <v>0.1</v>
      </c>
      <c r="FN57" s="501">
        <f t="shared" si="199"/>
        <v>1</v>
      </c>
      <c r="FO57" s="31">
        <f t="shared" si="200"/>
        <v>0.1</v>
      </c>
      <c r="FP57" s="31">
        <f t="shared" si="201"/>
        <v>1</v>
      </c>
      <c r="FQ57" s="31">
        <v>1</v>
      </c>
      <c r="FR57" s="31">
        <v>0</v>
      </c>
      <c r="FS57" s="89">
        <f t="shared" si="202"/>
        <v>1E-3</v>
      </c>
      <c r="FT57" s="31">
        <f t="shared" si="203"/>
        <v>0.05</v>
      </c>
      <c r="FU57" s="30">
        <v>0.05</v>
      </c>
      <c r="FV57" s="32">
        <f t="shared" si="25"/>
        <v>2.4224999999999997E-2</v>
      </c>
      <c r="FW57" s="31">
        <v>0.1</v>
      </c>
      <c r="FX57" s="77">
        <f t="shared" si="26"/>
        <v>9.0000000000000011E-2</v>
      </c>
      <c r="FY57" s="30">
        <v>0.05</v>
      </c>
      <c r="FZ57" s="32">
        <f t="shared" ref="FZ57:FZ77" si="1092">(1-FY57)*FZ$12</f>
        <v>2.4224999999999997E-2</v>
      </c>
      <c r="GA57" s="31">
        <v>0.1</v>
      </c>
      <c r="GB57" s="77">
        <f t="shared" ref="GB57:GB77" si="1093">(1-GA57)*GB$12</f>
        <v>9.0000000000000011E-2</v>
      </c>
      <c r="GC57" s="378">
        <f t="shared" si="773"/>
        <v>1.4873499999999999E-3</v>
      </c>
      <c r="GD57" s="379">
        <f t="shared" si="204"/>
        <v>1.4873499999999999E-3</v>
      </c>
      <c r="GE57" s="379">
        <f t="shared" si="774"/>
        <v>4.4620499999999994E-2</v>
      </c>
      <c r="GF57" s="379">
        <f t="shared" si="205"/>
        <v>4.4620499999999994E-2</v>
      </c>
      <c r="GG57" s="379">
        <f t="shared" si="206"/>
        <v>0</v>
      </c>
      <c r="GH57" s="218">
        <f t="shared" si="207"/>
        <v>0</v>
      </c>
      <c r="GI57" s="379">
        <f t="shared" ref="GI57:GI85" si="1094">EV57*$FJ57</f>
        <v>1.1820000000000001E-3</v>
      </c>
      <c r="GJ57" s="379">
        <f t="shared" ref="GJ57:GJ85" si="1095">EW57*$FJ57</f>
        <v>1.1820000000000001E-3</v>
      </c>
      <c r="GK57" s="379">
        <f t="shared" ref="GK57:GK85" si="1096">EX57*$FJ57</f>
        <v>1.7729999999999999E-2</v>
      </c>
      <c r="GL57" s="379">
        <f t="shared" ref="GL57:GL85" si="1097">EY57*$FJ57</f>
        <v>1.7729999999999999E-2</v>
      </c>
      <c r="GM57" s="379">
        <f t="shared" ref="GM57:GM85" si="1098">EZ57*FK57</f>
        <v>6.5009999999999998E-2</v>
      </c>
      <c r="GN57" s="218">
        <f t="shared" ref="GN57:GN85" si="1099">FA57*FL57</f>
        <v>0.26003999999999999</v>
      </c>
      <c r="GO57" s="379">
        <f t="shared" si="208"/>
        <v>0.13002985</v>
      </c>
      <c r="GP57" s="515">
        <f t="shared" si="209"/>
        <v>0.32505984999999998</v>
      </c>
      <c r="GQ57" s="379">
        <f t="shared" si="891"/>
        <v>0.90737475684524982</v>
      </c>
      <c r="GR57" s="379">
        <f t="shared" si="892"/>
        <v>23.226837830999997</v>
      </c>
      <c r="GS57" s="355">
        <f t="shared" si="1031"/>
        <v>0.13555882002912503</v>
      </c>
      <c r="GT57" s="355">
        <f t="shared" si="1032"/>
        <v>67.779410014562515</v>
      </c>
      <c r="GU57" s="355">
        <f t="shared" si="1033"/>
        <v>0</v>
      </c>
      <c r="GV57" s="356">
        <f t="shared" si="1034"/>
        <v>0</v>
      </c>
      <c r="GW57" s="355">
        <f>1/2*($FD57*$FO57)*($FY57+$FZ57)</f>
        <v>4.8447933242187508E-3</v>
      </c>
      <c r="GX57" s="355">
        <f>1/2*($FE57*$FP57)*($GA57+$GB57)</f>
        <v>0.12401626562500001</v>
      </c>
      <c r="GY57" s="355">
        <f>1/10*($FH57*$FQ57*$FO57*$FS57)</f>
        <v>1.3054343750000004E-5</v>
      </c>
      <c r="GZ57" s="355">
        <f>1/10*($FI57*$FQ57*$FP57*$FT57)</f>
        <v>6.5271718750000013E-3</v>
      </c>
      <c r="HA57" s="355">
        <f>1/10*($FH57*$FR57*$FO57*$FS57)</f>
        <v>0</v>
      </c>
      <c r="HB57" s="356">
        <f>1/10*($FI57*$FR57*$FP57*$FT57)</f>
        <v>0</v>
      </c>
      <c r="HC57" s="379">
        <f t="shared" si="212"/>
        <v>1.0477914245423436</v>
      </c>
      <c r="HD57" s="38">
        <f t="shared" si="213"/>
        <v>91.136791283062522</v>
      </c>
      <c r="HE57" s="527"/>
      <c r="HF57" s="529">
        <f t="shared" si="775"/>
        <v>0.53682499999999989</v>
      </c>
      <c r="HG57" s="529">
        <f t="shared" si="776"/>
        <v>0.53682499999999989</v>
      </c>
      <c r="HH57" s="529">
        <f t="shared" si="777"/>
        <v>0</v>
      </c>
      <c r="HI57" s="529">
        <f t="shared" si="778"/>
        <v>0</v>
      </c>
      <c r="HJ57" s="529">
        <f t="shared" si="779"/>
        <v>0.17730000000000001</v>
      </c>
      <c r="HK57" s="524">
        <f t="shared" si="780"/>
        <v>0.17730000000000001</v>
      </c>
      <c r="HL57" s="529">
        <f t="shared" si="781"/>
        <v>0</v>
      </c>
      <c r="HM57" s="529">
        <f t="shared" si="782"/>
        <v>0</v>
      </c>
      <c r="HN57" s="529">
        <f t="shared" si="783"/>
        <v>10.5798035625</v>
      </c>
      <c r="HO57" s="529">
        <f t="shared" si="784"/>
        <v>100.74764512500001</v>
      </c>
      <c r="HP57" s="529">
        <f t="shared" si="785"/>
        <v>0.29550000000000004</v>
      </c>
      <c r="HQ57" s="524">
        <f t="shared" si="786"/>
        <v>0.29550000000000004</v>
      </c>
      <c r="HR57" s="615">
        <f t="shared" si="214"/>
        <v>3.5504477201985938</v>
      </c>
      <c r="HS57" s="615">
        <f t="shared" si="787"/>
        <v>93.639460633062527</v>
      </c>
      <c r="HT57" s="615">
        <f t="shared" si="788"/>
        <v>6.2350499999999989E-2</v>
      </c>
      <c r="HU57" s="615">
        <f t="shared" si="789"/>
        <v>6.2350499999999989E-2</v>
      </c>
      <c r="HV57" s="615">
        <f t="shared" si="790"/>
        <v>22.565010000000001</v>
      </c>
      <c r="HW57" s="615">
        <f t="shared" si="791"/>
        <v>22.76004</v>
      </c>
      <c r="IG57" s="560"/>
      <c r="IH57" s="529">
        <f t="shared" si="215"/>
        <v>5.9050749999999992E-3</v>
      </c>
      <c r="II57" s="529">
        <f t="shared" si="216"/>
        <v>4.8314249999999994E-3</v>
      </c>
      <c r="IJ57" s="529">
        <f t="shared" si="217"/>
        <v>9.6628499999999989E-3</v>
      </c>
      <c r="IK57" s="529">
        <f t="shared" si="893"/>
        <v>4.8314249999999994E-3</v>
      </c>
      <c r="IL57" s="529">
        <f t="shared" si="894"/>
        <v>0.4536171249999999</v>
      </c>
      <c r="IM57" s="529">
        <f t="shared" si="895"/>
        <v>5.3682499999999989E-4</v>
      </c>
      <c r="IN57" s="529">
        <f t="shared" si="896"/>
        <v>5.3682499999999989E-4</v>
      </c>
      <c r="IO57" s="529">
        <f t="shared" si="222"/>
        <v>1.7715224999999998E-2</v>
      </c>
      <c r="IP57" s="529">
        <f t="shared" si="223"/>
        <v>2.2009824999999993E-2</v>
      </c>
      <c r="IQ57" s="529">
        <f t="shared" si="897"/>
        <v>2.7914899999999996E-2</v>
      </c>
      <c r="IR57" s="529">
        <f t="shared" si="898"/>
        <v>2.2009824999999993E-2</v>
      </c>
      <c r="IS57" s="529">
        <f t="shared" si="899"/>
        <v>0.45469077499999988</v>
      </c>
      <c r="IT57" s="529">
        <f t="shared" si="900"/>
        <v>5.3682499999999989E-3</v>
      </c>
      <c r="IU57" s="526">
        <f t="shared" si="901"/>
        <v>5.3682499999999989E-3</v>
      </c>
      <c r="IV57" s="884">
        <f t="shared" si="229"/>
        <v>0</v>
      </c>
      <c r="IW57" s="884">
        <f t="shared" si="230"/>
        <v>0</v>
      </c>
      <c r="IX57" s="529">
        <f t="shared" si="792"/>
        <v>0</v>
      </c>
      <c r="IY57" s="529">
        <f t="shared" si="793"/>
        <v>0</v>
      </c>
      <c r="IZ57" s="529">
        <f t="shared" si="794"/>
        <v>0</v>
      </c>
      <c r="JA57" s="529">
        <f t="shared" si="795"/>
        <v>0</v>
      </c>
      <c r="JB57" s="529">
        <f t="shared" si="796"/>
        <v>0</v>
      </c>
      <c r="JC57" s="529">
        <f t="shared" si="231"/>
        <v>0</v>
      </c>
      <c r="JD57" s="529">
        <f t="shared" si="232"/>
        <v>0</v>
      </c>
      <c r="JE57" s="529">
        <f t="shared" si="797"/>
        <v>0</v>
      </c>
      <c r="JF57" s="529">
        <f t="shared" si="798"/>
        <v>0</v>
      </c>
      <c r="JG57" s="529">
        <f t="shared" si="799"/>
        <v>0</v>
      </c>
      <c r="JH57" s="529">
        <f t="shared" si="800"/>
        <v>0</v>
      </c>
      <c r="JI57" s="480">
        <f t="shared" si="801"/>
        <v>0</v>
      </c>
      <c r="JJ57" s="884">
        <f t="shared" si="233"/>
        <v>1.9503000000000003E-3</v>
      </c>
      <c r="JK57" s="884">
        <f t="shared" si="234"/>
        <v>1.5957000000000002E-3</v>
      </c>
      <c r="JL57" s="529">
        <f t="shared" si="802"/>
        <v>3.1914000000000005E-3</v>
      </c>
      <c r="JM57" s="529">
        <f t="shared" si="803"/>
        <v>1.5957000000000002E-3</v>
      </c>
      <c r="JN57" s="529">
        <f t="shared" si="804"/>
        <v>0.14981849999999999</v>
      </c>
      <c r="JO57" s="529">
        <f t="shared" si="805"/>
        <v>1.7730000000000003E-4</v>
      </c>
      <c r="JP57" s="529">
        <f t="shared" si="806"/>
        <v>1.7730000000000003E-4</v>
      </c>
      <c r="JQ57" s="529">
        <f t="shared" si="235"/>
        <v>5.8509000000000009E-3</v>
      </c>
      <c r="JR57" s="529">
        <f t="shared" si="236"/>
        <v>7.2692999999999994E-3</v>
      </c>
      <c r="JS57" s="474">
        <f t="shared" si="807"/>
        <v>9.2196000000000014E-3</v>
      </c>
      <c r="JT57" s="474">
        <f t="shared" si="808"/>
        <v>7.2692999999999994E-3</v>
      </c>
      <c r="JU57" s="474">
        <f t="shared" si="809"/>
        <v>0.1501731</v>
      </c>
      <c r="JV57" s="474">
        <f t="shared" si="810"/>
        <v>1.7730000000000003E-3</v>
      </c>
      <c r="JW57" s="134">
        <f t="shared" si="811"/>
        <v>1.7730000000000003E-3</v>
      </c>
      <c r="JX57" s="884">
        <f t="shared" si="237"/>
        <v>0</v>
      </c>
      <c r="JY57" s="884">
        <f t="shared" si="238"/>
        <v>0</v>
      </c>
      <c r="JZ57" s="529">
        <f t="shared" si="812"/>
        <v>0</v>
      </c>
      <c r="KA57" s="529">
        <f t="shared" si="813"/>
        <v>0</v>
      </c>
      <c r="KB57" s="529">
        <f t="shared" si="814"/>
        <v>0</v>
      </c>
      <c r="KC57" s="529">
        <f t="shared" si="815"/>
        <v>0</v>
      </c>
      <c r="KD57" s="529">
        <f t="shared" si="816"/>
        <v>0</v>
      </c>
      <c r="KE57" s="529">
        <f t="shared" si="239"/>
        <v>0</v>
      </c>
      <c r="KF57" s="529">
        <f t="shared" si="240"/>
        <v>0</v>
      </c>
      <c r="KG57" s="529">
        <f t="shared" si="817"/>
        <v>0</v>
      </c>
      <c r="KH57" s="529">
        <f t="shared" si="818"/>
        <v>0</v>
      </c>
      <c r="KI57" s="529">
        <f t="shared" si="819"/>
        <v>0</v>
      </c>
      <c r="KJ57" s="529">
        <f t="shared" si="820"/>
        <v>0</v>
      </c>
      <c r="KK57" s="526">
        <f t="shared" si="821"/>
        <v>0</v>
      </c>
      <c r="KL57" s="884">
        <f t="shared" si="241"/>
        <v>0.11637783918750001</v>
      </c>
      <c r="KM57" s="884">
        <f t="shared" si="242"/>
        <v>9.5218232062500019E-2</v>
      </c>
      <c r="KN57" s="529">
        <f t="shared" si="822"/>
        <v>0.19043646412500004</v>
      </c>
      <c r="KO57" s="529">
        <f t="shared" si="823"/>
        <v>9.5218232062500019E-2</v>
      </c>
      <c r="KP57" s="529">
        <f t="shared" si="824"/>
        <v>8.9399340103125002</v>
      </c>
      <c r="KQ57" s="529">
        <f t="shared" si="825"/>
        <v>1.05798035625E-2</v>
      </c>
      <c r="KR57" s="529">
        <f t="shared" si="826"/>
        <v>1.05798035625E-2</v>
      </c>
      <c r="KS57" s="529">
        <f t="shared" si="243"/>
        <v>3.3246722891250005</v>
      </c>
      <c r="KT57" s="529">
        <f t="shared" si="244"/>
        <v>4.1306534501250001</v>
      </c>
      <c r="KU57" s="529">
        <f t="shared" si="827"/>
        <v>5.2388775465000004</v>
      </c>
      <c r="KV57" s="529">
        <f t="shared" si="828"/>
        <v>4.1306534501250001</v>
      </c>
      <c r="KW57" s="529">
        <f t="shared" si="829"/>
        <v>85.333255420875005</v>
      </c>
      <c r="KX57" s="529">
        <f t="shared" si="830"/>
        <v>1.0074764512500001</v>
      </c>
      <c r="KY57" s="480">
        <f t="shared" si="831"/>
        <v>1.0074764512500001</v>
      </c>
      <c r="KZ57" s="884">
        <f t="shared" si="245"/>
        <v>3.2505000000000008E-3</v>
      </c>
      <c r="LA57" s="884">
        <f t="shared" si="246"/>
        <v>2.6595000000000008E-3</v>
      </c>
      <c r="LB57" s="529">
        <f t="shared" si="832"/>
        <v>5.3190000000000017E-3</v>
      </c>
      <c r="LC57" s="529">
        <f t="shared" si="833"/>
        <v>2.6595000000000008E-3</v>
      </c>
      <c r="LD57" s="529">
        <f t="shared" si="834"/>
        <v>0.24969750000000002</v>
      </c>
      <c r="LE57" s="529">
        <f t="shared" si="835"/>
        <v>2.9550000000000003E-4</v>
      </c>
      <c r="LF57" s="529">
        <f t="shared" si="836"/>
        <v>2.9550000000000003E-4</v>
      </c>
      <c r="LG57" s="529">
        <f t="shared" si="247"/>
        <v>9.7515000000000015E-3</v>
      </c>
      <c r="LH57" s="529">
        <f t="shared" si="248"/>
        <v>1.21155E-2</v>
      </c>
      <c r="LI57" s="355">
        <f t="shared" si="837"/>
        <v>1.5366000000000003E-2</v>
      </c>
      <c r="LJ57" s="355">
        <f t="shared" si="838"/>
        <v>1.21155E-2</v>
      </c>
      <c r="LK57" s="355">
        <f t="shared" si="839"/>
        <v>0.25028850000000002</v>
      </c>
      <c r="LL57" s="355">
        <f t="shared" si="840"/>
        <v>2.9550000000000006E-3</v>
      </c>
      <c r="LM57" s="134">
        <f t="shared" si="841"/>
        <v>2.9550000000000006E-3</v>
      </c>
      <c r="LN57" s="884">
        <f t="shared" si="249"/>
        <v>3.9054924922184535E-3</v>
      </c>
      <c r="LO57" s="884">
        <f t="shared" si="250"/>
        <v>1.0651343160595779E-3</v>
      </c>
      <c r="LP57" s="529">
        <f t="shared" si="842"/>
        <v>1.8107283373012831E-2</v>
      </c>
      <c r="LQ57" s="529">
        <f t="shared" si="843"/>
        <v>2.9113671305628464E-2</v>
      </c>
      <c r="LR57" s="529">
        <f t="shared" si="844"/>
        <v>2.8403581761588752</v>
      </c>
      <c r="LS57" s="529">
        <f t="shared" si="845"/>
        <v>3.0888895165727764E-2</v>
      </c>
      <c r="LT57" s="529">
        <f t="shared" si="846"/>
        <v>3.5504477201985939E-3</v>
      </c>
      <c r="LU57" s="529">
        <f t="shared" si="251"/>
        <v>5.6183676379837513</v>
      </c>
      <c r="LV57" s="529">
        <f t="shared" si="252"/>
        <v>2.8091838189918756</v>
      </c>
      <c r="LW57" s="529">
        <f t="shared" si="847"/>
        <v>6.5547622443143778</v>
      </c>
      <c r="LX57" s="529">
        <f t="shared" si="848"/>
        <v>5.6183676379837513</v>
      </c>
      <c r="LY57" s="529">
        <f t="shared" si="849"/>
        <v>92.609426566098847</v>
      </c>
      <c r="LZ57" s="529">
        <f t="shared" si="850"/>
        <v>0.93639460633062532</v>
      </c>
      <c r="MA57" s="485">
        <f t="shared" si="851"/>
        <v>0.93639460633062532</v>
      </c>
      <c r="MB57" s="884">
        <f t="shared" si="253"/>
        <v>6.8585549999999993E-5</v>
      </c>
      <c r="MC57" s="884">
        <f t="shared" si="254"/>
        <v>1.8705149999999995E-5</v>
      </c>
      <c r="MD57" s="529">
        <f t="shared" si="852"/>
        <v>3.1798754999999996E-4</v>
      </c>
      <c r="ME57" s="529">
        <f t="shared" si="853"/>
        <v>5.1127409999999986E-4</v>
      </c>
      <c r="MF57" s="529">
        <f t="shared" si="854"/>
        <v>4.9880399999999991E-2</v>
      </c>
      <c r="MG57" s="529">
        <f t="shared" si="855"/>
        <v>5.4244934999999987E-4</v>
      </c>
      <c r="MH57" s="529">
        <f t="shared" si="856"/>
        <v>6.2350499999999992E-5</v>
      </c>
      <c r="MI57" s="529">
        <f t="shared" si="255"/>
        <v>3.7410299999999994E-3</v>
      </c>
      <c r="MJ57" s="529">
        <f t="shared" si="256"/>
        <v>1.8705149999999997E-3</v>
      </c>
      <c r="MK57" s="529">
        <f t="shared" si="857"/>
        <v>4.3645349999999992E-3</v>
      </c>
      <c r="ML57" s="529">
        <f t="shared" si="858"/>
        <v>3.7410299999999994E-3</v>
      </c>
      <c r="MM57" s="529">
        <f t="shared" si="859"/>
        <v>6.1664644499999997E-2</v>
      </c>
      <c r="MN57" s="529">
        <f t="shared" si="860"/>
        <v>6.2350499999999989E-4</v>
      </c>
      <c r="MO57" s="485">
        <f t="shared" si="861"/>
        <v>6.2350499999999989E-4</v>
      </c>
      <c r="MP57" s="884">
        <f t="shared" si="257"/>
        <v>2.4821511000000001E-2</v>
      </c>
      <c r="MQ57" s="884">
        <f t="shared" si="258"/>
        <v>6.7695029999999996E-3</v>
      </c>
      <c r="MR57" s="529">
        <f t="shared" si="862"/>
        <v>0.11508155100000002</v>
      </c>
      <c r="MS57" s="529">
        <f t="shared" si="863"/>
        <v>0.18503308199999999</v>
      </c>
      <c r="MT57" s="529">
        <f t="shared" si="864"/>
        <v>18.052008000000001</v>
      </c>
      <c r="MU57" s="529">
        <f t="shared" si="865"/>
        <v>0.19631558699999999</v>
      </c>
      <c r="MV57" s="529">
        <f t="shared" si="866"/>
        <v>2.256501E-2</v>
      </c>
      <c r="MW57" s="529">
        <f t="shared" si="259"/>
        <v>1.3656024</v>
      </c>
      <c r="MX57" s="529">
        <f t="shared" si="260"/>
        <v>0.6828012</v>
      </c>
      <c r="MY57" s="474">
        <f t="shared" si="867"/>
        <v>1.5932028000000003</v>
      </c>
      <c r="MZ57" s="474">
        <f t="shared" si="868"/>
        <v>1.3656024</v>
      </c>
      <c r="NA57" s="474">
        <f t="shared" si="869"/>
        <v>22.509679560000002</v>
      </c>
      <c r="NB57" s="474">
        <f t="shared" si="870"/>
        <v>0.22760040000000001</v>
      </c>
      <c r="NC57" s="134">
        <f t="shared" si="871"/>
        <v>0.22760040000000001</v>
      </c>
    </row>
    <row r="58" spans="1:367" x14ac:dyDescent="0.25">
      <c r="A58" s="9">
        <v>2003</v>
      </c>
      <c r="B58" s="10">
        <v>50</v>
      </c>
      <c r="C58" s="645">
        <v>160</v>
      </c>
      <c r="D58" s="645">
        <v>50</v>
      </c>
      <c r="E58" s="657">
        <v>50</v>
      </c>
      <c r="F58" s="666">
        <f>B58*(1-$H$11)</f>
        <v>49.25</v>
      </c>
      <c r="G58" s="666">
        <f>C58*(1-$H$11)</f>
        <v>157.6</v>
      </c>
      <c r="H58" s="467">
        <f t="shared" ref="H58:H85" si="1100">D58*(1-$H$11)</f>
        <v>49.25</v>
      </c>
      <c r="I58" s="467">
        <f t="shared" ref="I58:I85" si="1101">E58*(1-$H$11)</f>
        <v>49.25</v>
      </c>
      <c r="J58" s="1086">
        <f>J59-2.5</f>
        <v>27.5</v>
      </c>
      <c r="K58" s="1086">
        <f t="shared" si="734"/>
        <v>27.5</v>
      </c>
      <c r="L58" s="666">
        <f t="shared" si="751"/>
        <v>98.5</v>
      </c>
      <c r="M58" s="667">
        <f t="shared" ref="M58:M85" si="1102">G58+I58</f>
        <v>206.85</v>
      </c>
      <c r="N58" s="195">
        <v>2E-3</v>
      </c>
      <c r="O58" s="196">
        <v>0</v>
      </c>
      <c r="P58" s="196">
        <v>0</v>
      </c>
      <c r="Q58" s="197">
        <v>6.0000000000000001E-3</v>
      </c>
      <c r="R58" s="48">
        <v>0</v>
      </c>
      <c r="S58" s="48">
        <v>2.7000000000000001E-3</v>
      </c>
      <c r="T58" s="48">
        <v>0</v>
      </c>
      <c r="U58" s="48">
        <v>1.18E-2</v>
      </c>
      <c r="V58" s="118">
        <v>1.0000000000000001E-5</v>
      </c>
      <c r="W58" s="48">
        <v>2.9999999999999997E-4</v>
      </c>
      <c r="X58" s="53">
        <v>0</v>
      </c>
      <c r="Y58" s="53">
        <v>3.1E-2</v>
      </c>
      <c r="Z58" s="487">
        <v>5.2999999999999999E-2</v>
      </c>
      <c r="AA58" s="53">
        <f t="shared" si="147"/>
        <v>0.1</v>
      </c>
      <c r="AB58" s="53">
        <f t="shared" si="148"/>
        <v>0</v>
      </c>
      <c r="AC58" s="53">
        <f t="shared" si="149"/>
        <v>0.9</v>
      </c>
      <c r="AD58" s="56">
        <f>F58*N58</f>
        <v>9.8500000000000004E-2</v>
      </c>
      <c r="AE58" s="57">
        <f>G58*N58</f>
        <v>0.31519999999999998</v>
      </c>
      <c r="AF58" s="57">
        <f>F58*O58</f>
        <v>0</v>
      </c>
      <c r="AG58" s="57">
        <f>G58*O58</f>
        <v>0</v>
      </c>
      <c r="AH58" s="57">
        <f>F58*P58</f>
        <v>0</v>
      </c>
      <c r="AI58" s="57">
        <f>G58*P58</f>
        <v>0</v>
      </c>
      <c r="AJ58" s="126">
        <f t="shared" ref="AJ58:AJ85" si="1103">H58*N142</f>
        <v>0.39892499999999997</v>
      </c>
      <c r="AK58" s="57">
        <f t="shared" ref="AK58:AK85" si="1104">I58*N142</f>
        <v>0.39892499999999997</v>
      </c>
      <c r="AL58" s="57">
        <f t="shared" ref="AL58:AL85" si="1105">H58*O142</f>
        <v>0</v>
      </c>
      <c r="AM58" s="57">
        <f t="shared" ref="AM58:AM85" si="1106">I58*O142</f>
        <v>0</v>
      </c>
      <c r="AN58" s="57">
        <f t="shared" ref="AN58:AN85" si="1107">H58*P142</f>
        <v>0.29549999999999998</v>
      </c>
      <c r="AO58" s="127">
        <f t="shared" ref="AO58:AO85" si="1108">I58*P142</f>
        <v>0.29549999999999998</v>
      </c>
      <c r="AP58" s="57">
        <f>AD58+AJ58</f>
        <v>0.49742500000000001</v>
      </c>
      <c r="AQ58" s="57">
        <f>AE58+AK58</f>
        <v>0.7141249999999999</v>
      </c>
      <c r="AR58" s="57">
        <f>AF58+AL58</f>
        <v>0</v>
      </c>
      <c r="AS58" s="57">
        <f t="shared" ref="AS58:AU73" si="1109">AG58+AM58</f>
        <v>0</v>
      </c>
      <c r="AT58" s="57">
        <f t="shared" si="159"/>
        <v>0.29549999999999998</v>
      </c>
      <c r="AU58" s="57">
        <f t="shared" si="159"/>
        <v>0.29549999999999998</v>
      </c>
      <c r="AV58" s="56">
        <f t="shared" ref="AV58:AV85" si="1110">F58*R58</f>
        <v>0</v>
      </c>
      <c r="AW58" s="57">
        <f t="shared" ref="AW58:AW85" si="1111">G58*R58</f>
        <v>0</v>
      </c>
      <c r="AX58" s="57">
        <f t="shared" ref="AX58:AX85" si="1112">F58*S58</f>
        <v>0.13297500000000001</v>
      </c>
      <c r="AY58" s="57">
        <f t="shared" ref="AY58:AY85" si="1113">G58*S58</f>
        <v>0.42552000000000001</v>
      </c>
      <c r="AZ58" s="57">
        <f t="shared" ref="AZ58:AZ85" si="1114">F58*T58</f>
        <v>0</v>
      </c>
      <c r="BA58" s="57">
        <f t="shared" ref="BA58:BA85" si="1115">G58*T58</f>
        <v>0</v>
      </c>
      <c r="BB58" s="126">
        <f t="shared" ref="BB58:BB85" si="1116">H58*R142</f>
        <v>0</v>
      </c>
      <c r="BC58" s="57">
        <f t="shared" ref="BC58:BC85" si="1117">I58*R142</f>
        <v>0</v>
      </c>
      <c r="BD58" s="57">
        <f t="shared" ref="BD58:BD85" si="1118">H58*S142</f>
        <v>0.26595000000000002</v>
      </c>
      <c r="BE58" s="57">
        <f t="shared" ref="BE58:BE85" si="1119">I58*S142</f>
        <v>0.26595000000000002</v>
      </c>
      <c r="BF58" s="57">
        <f t="shared" ref="BF58:BF85" si="1120">H58*T142</f>
        <v>0.49249999999999999</v>
      </c>
      <c r="BG58" s="57">
        <f t="shared" ref="BG58:BG85" si="1121">I58*T142</f>
        <v>0.49249999999999999</v>
      </c>
      <c r="BH58" s="57">
        <f t="shared" ref="BH58:BM85" si="1122">AV58+BB58</f>
        <v>0</v>
      </c>
      <c r="BI58" s="57">
        <f t="shared" si="1122"/>
        <v>0</v>
      </c>
      <c r="BJ58" s="57">
        <f t="shared" si="1122"/>
        <v>0.39892500000000003</v>
      </c>
      <c r="BK58" s="57">
        <f t="shared" si="1122"/>
        <v>0.69147000000000003</v>
      </c>
      <c r="BL58" s="57">
        <f t="shared" si="1122"/>
        <v>0.49249999999999999</v>
      </c>
      <c r="BM58" s="57">
        <f t="shared" si="1122"/>
        <v>0.49249999999999999</v>
      </c>
      <c r="BN58" s="56">
        <f t="shared" ref="BN58:BN85" si="1123">F58*V58</f>
        <v>4.9249999999999999E-4</v>
      </c>
      <c r="BO58" s="57">
        <f t="shared" ref="BO58:BO85" si="1124">G58*V58</f>
        <v>1.5760000000000001E-3</v>
      </c>
      <c r="BP58" s="57">
        <f t="shared" ref="BP58:BP85" si="1125">F58*W58</f>
        <v>1.4774999999999998E-2</v>
      </c>
      <c r="BQ58" s="57">
        <f t="shared" ref="BQ58:BQ85" si="1126">G58*W58</f>
        <v>4.7279999999999996E-2</v>
      </c>
      <c r="BR58" s="57">
        <f t="shared" ref="BR58:BR85" si="1127">F58*X58</f>
        <v>0</v>
      </c>
      <c r="BS58" s="57">
        <f t="shared" ref="BS58:BS85" si="1128">G58*X58</f>
        <v>0</v>
      </c>
      <c r="BT58" s="126">
        <f t="shared" ref="BT58:BT85" si="1129">H58*V142</f>
        <v>1.97E-3</v>
      </c>
      <c r="BU58" s="57">
        <f t="shared" ref="BU58:BU85" si="1130">I58*V142</f>
        <v>1.97E-3</v>
      </c>
      <c r="BV58" s="57">
        <f t="shared" ref="BV58:BV85" si="1131">H58*W142</f>
        <v>2.9549999999999996E-2</v>
      </c>
      <c r="BW58" s="57">
        <f t="shared" ref="BW58:BW85" si="1132">I58*W142</f>
        <v>2.9549999999999996E-2</v>
      </c>
      <c r="BX58" s="57">
        <f t="shared" ref="BX58:BX85" si="1133">H58*X142</f>
        <v>0.54174999999999995</v>
      </c>
      <c r="BY58" s="57">
        <f t="shared" ref="BY58:BY85" si="1134">I58*X142</f>
        <v>0.54174999999999995</v>
      </c>
      <c r="BZ58" s="126">
        <f t="shared" ref="BZ58:CE85" si="1135">BN58+BT58</f>
        <v>2.4624999999999998E-3</v>
      </c>
      <c r="CA58" s="57">
        <f t="shared" si="1135"/>
        <v>3.5460000000000001E-3</v>
      </c>
      <c r="CB58" s="57">
        <f t="shared" si="1135"/>
        <v>4.4324999999999996E-2</v>
      </c>
      <c r="CC58" s="57">
        <f t="shared" si="1135"/>
        <v>7.6829999999999996E-2</v>
      </c>
      <c r="CD58" s="57">
        <f t="shared" si="1135"/>
        <v>0.54174999999999995</v>
      </c>
      <c r="CE58" s="518">
        <f t="shared" si="1135"/>
        <v>0.54174999999999995</v>
      </c>
      <c r="CF58" s="57">
        <f t="shared" si="173"/>
        <v>2.75</v>
      </c>
      <c r="CG58" s="57">
        <f>CF58</f>
        <v>2.75</v>
      </c>
      <c r="CH58" s="57">
        <f t="shared" si="175"/>
        <v>0</v>
      </c>
      <c r="CI58" s="57">
        <f>CH58</f>
        <v>0</v>
      </c>
      <c r="CJ58" s="57">
        <f t="shared" si="176"/>
        <v>24.75</v>
      </c>
      <c r="CK58" s="57">
        <f>CJ58</f>
        <v>24.75</v>
      </c>
      <c r="CL58" s="3"/>
      <c r="CM58" s="59">
        <f t="shared" si="1083"/>
        <v>46.639749999999999</v>
      </c>
      <c r="CN58" s="62">
        <f t="shared" ref="CN58:CN85" si="1136">G58-G58*Z58</f>
        <v>149.24719999999999</v>
      </c>
      <c r="CO58" s="128">
        <f t="shared" ref="CO58:CO85" si="1137">IF(H58-H58*Z58-J58&lt;0,0,H58-H58*Z58-J58)</f>
        <v>19.139749999999999</v>
      </c>
      <c r="CP58" s="129">
        <f t="shared" ref="CP58:CP70" si="1138">IF(I58-I58*Z58-J58&lt;0,0,I58-I58*Z58-J58)</f>
        <v>19.139749999999999</v>
      </c>
      <c r="CQ58" s="62">
        <f>CM58+CO58</f>
        <v>65.779499999999999</v>
      </c>
      <c r="CR58" s="60">
        <f>CN58+CP58</f>
        <v>168.38694999999998</v>
      </c>
      <c r="CS58" s="33">
        <v>1</v>
      </c>
      <c r="CT58" s="34">
        <f t="shared" si="178"/>
        <v>0</v>
      </c>
      <c r="CU58" s="34">
        <v>0.5</v>
      </c>
      <c r="CV58" s="35">
        <f>1-CU58</f>
        <v>0.5</v>
      </c>
      <c r="CW58" s="36">
        <f>CM58*(1-$DJ58)*CS58</f>
        <v>0</v>
      </c>
      <c r="CX58" s="37">
        <f>CN58*(1-$DJ58)*CS58</f>
        <v>0</v>
      </c>
      <c r="CY58" s="57">
        <f>CT58*(1-$DJ58)*CM58</f>
        <v>0</v>
      </c>
      <c r="CZ58" s="127">
        <f>CT58*(1-$DJ58)*CN58</f>
        <v>0</v>
      </c>
      <c r="DA58" s="37">
        <f t="shared" ref="DA58:DA85" si="1139">CO58*(1-$DK58)*CU58</f>
        <v>8.3736406250000002</v>
      </c>
      <c r="DB58" s="37">
        <f t="shared" ref="DB58:DB85" si="1140">CP58*(1-$DK58)*CU58</f>
        <v>8.3736406250000002</v>
      </c>
      <c r="DC58" s="37">
        <f t="shared" ref="DC58:DC85" si="1141">CO58*(1-$DK58)*CV58</f>
        <v>8.3736406250000002</v>
      </c>
      <c r="DD58" s="142">
        <f t="shared" ref="DD58:DD85" si="1142">CP58*(1-$DK58)*CV58</f>
        <v>8.3736406250000002</v>
      </c>
      <c r="DE58" s="37">
        <f t="shared" si="768"/>
        <v>8.3736406250000002</v>
      </c>
      <c r="DF58" s="37">
        <f>CX58+DB58</f>
        <v>8.3736406250000002</v>
      </c>
      <c r="DG58" s="37">
        <f>CY58+DC58</f>
        <v>8.3736406250000002</v>
      </c>
      <c r="DH58" s="39">
        <f>CZ58+DD58</f>
        <v>8.3736406250000002</v>
      </c>
      <c r="DJ58" s="496">
        <v>1</v>
      </c>
      <c r="DK58" s="497">
        <v>0.125</v>
      </c>
      <c r="DL58" s="37">
        <f t="shared" ref="DL58:DL85" si="1143">CM58*DJ58</f>
        <v>46.639749999999999</v>
      </c>
      <c r="DM58" s="37">
        <f t="shared" ref="DM58:DM85" si="1144">CN58*DJ58</f>
        <v>149.24719999999999</v>
      </c>
      <c r="DN58" s="37">
        <f t="shared" si="1084"/>
        <v>2.3924687499999999</v>
      </c>
      <c r="DO58" s="37">
        <f t="shared" si="1085"/>
        <v>2.3924687499999999</v>
      </c>
      <c r="DP58" s="33">
        <v>1</v>
      </c>
      <c r="DQ58" s="34">
        <f>IF($DQ$57=0.1,0.1,0.4)</f>
        <v>0.1</v>
      </c>
      <c r="DR58" s="34">
        <v>0.875</v>
      </c>
      <c r="DS58" s="681">
        <f t="shared" si="185"/>
        <v>0.1</v>
      </c>
      <c r="DT58" s="78">
        <f t="shared" si="186"/>
        <v>1</v>
      </c>
      <c r="DU58" s="34">
        <v>0</v>
      </c>
      <c r="DV58" s="34">
        <v>1</v>
      </c>
      <c r="DW58" s="34">
        <v>0</v>
      </c>
      <c r="DX58" s="34">
        <v>0</v>
      </c>
      <c r="DY58" s="34">
        <v>1</v>
      </c>
      <c r="DZ58" s="34">
        <v>0</v>
      </c>
      <c r="EA58" s="85">
        <f t="shared" si="888"/>
        <v>0</v>
      </c>
      <c r="EB58" s="57">
        <f>1/2*(DM58*DR58*DU58+DL57*DR57*DU57)</f>
        <v>0</v>
      </c>
      <c r="EC58" s="57">
        <f t="shared" si="889"/>
        <v>7.3319875000000003</v>
      </c>
      <c r="ED58" s="57">
        <f>1/2*(DM58*DR58*DV58+DL57*DR57*DV57)</f>
        <v>115.29564999999999</v>
      </c>
      <c r="EE58" s="57">
        <f t="shared" si="890"/>
        <v>0</v>
      </c>
      <c r="EF58" s="57">
        <f>1/2*(DM58*DR58*DW58+DL57*DR57*DW57)</f>
        <v>0</v>
      </c>
      <c r="EG58" s="126">
        <f t="shared" ref="EG58:EG85" si="1145">1/2*(DN58*DS58*DX58+DN57*DS57*DX57)</f>
        <v>0</v>
      </c>
      <c r="EH58" s="57">
        <f t="shared" ref="EH58:EH85" si="1146">1/2*(DO58*DT58*DX58+DO57*DT57*DX57)</f>
        <v>0</v>
      </c>
      <c r="EI58" s="57">
        <f t="shared" ref="EI58:EI85" si="1147">1/2*(DN58*DS58*DY58+DN57*DS57*DY57)</f>
        <v>0.13827249999999999</v>
      </c>
      <c r="EJ58" s="57">
        <f t="shared" ref="EJ58:EJ85" si="1148">1/2*(DO58*DT58*DY58+DO57*DT57*DY57)</f>
        <v>1.382725</v>
      </c>
      <c r="EK58" s="57">
        <f t="shared" ref="EK58:EK85" si="1149">1/2*(DN58*DS58*DZ58+DN57*DS57*DZ57)</f>
        <v>0</v>
      </c>
      <c r="EL58" s="127">
        <f t="shared" ref="EL58:EL85" si="1150">1/2*(DO58*DT58*DZ58+DO57*DT57*DZ57)</f>
        <v>0</v>
      </c>
      <c r="EM58" s="57">
        <f t="shared" si="193"/>
        <v>7.4702600000000006</v>
      </c>
      <c r="EN58" s="81">
        <f t="shared" si="194"/>
        <v>116.67837499999999</v>
      </c>
      <c r="EP58" s="85">
        <f t="shared" si="769"/>
        <v>4.9249999999999999E-4</v>
      </c>
      <c r="EQ58" s="57">
        <f t="shared" ref="EQ58:EQ85" si="1151">BO58</f>
        <v>1.5760000000000001E-3</v>
      </c>
      <c r="ER58" s="57">
        <f t="shared" si="770"/>
        <v>1.4774999999999998E-2</v>
      </c>
      <c r="ES58" s="57">
        <f t="shared" ref="ES58:ES85" si="1152">BQ58</f>
        <v>4.7279999999999996E-2</v>
      </c>
      <c r="ET58" s="57">
        <f t="shared" si="771"/>
        <v>0</v>
      </c>
      <c r="EU58" s="127">
        <f t="shared" ref="EU58:EU85" si="1153">BS58</f>
        <v>0</v>
      </c>
      <c r="EV58" s="126">
        <f t="shared" si="1086"/>
        <v>1.97E-3</v>
      </c>
      <c r="EW58" s="57">
        <f t="shared" si="1087"/>
        <v>1.97E-3</v>
      </c>
      <c r="EX58" s="57">
        <f t="shared" si="1088"/>
        <v>2.9549999999999996E-2</v>
      </c>
      <c r="EY58" s="57">
        <f t="shared" si="1089"/>
        <v>2.9549999999999996E-2</v>
      </c>
      <c r="EZ58" s="57">
        <f t="shared" si="1090"/>
        <v>0.54174999999999995</v>
      </c>
      <c r="FA58" s="87">
        <f t="shared" si="1091"/>
        <v>0.54174999999999995</v>
      </c>
      <c r="FB58" s="36">
        <f>CW58</f>
        <v>0</v>
      </c>
      <c r="FC58" s="37">
        <f>CX58</f>
        <v>0</v>
      </c>
      <c r="FD58" s="37">
        <f t="shared" ref="FD58:FD85" si="1154">DA58</f>
        <v>8.3736406250000002</v>
      </c>
      <c r="FE58" s="37">
        <f t="shared" ref="FE58:FE85" si="1155">DB58</f>
        <v>8.3736406250000002</v>
      </c>
      <c r="FF58" s="36">
        <f t="shared" si="772"/>
        <v>0</v>
      </c>
      <c r="FG58" s="37">
        <f t="shared" ref="FG58:FG85" si="1156">CZ58</f>
        <v>0</v>
      </c>
      <c r="FH58" s="37">
        <f t="shared" ref="FH58:FH85" si="1157">DC58</f>
        <v>8.3736406250000002</v>
      </c>
      <c r="FI58" s="37">
        <f t="shared" ref="FI58:FI85" si="1158">DD58</f>
        <v>8.3736406250000002</v>
      </c>
      <c r="FJ58" s="33">
        <v>1</v>
      </c>
      <c r="FK58" s="34">
        <v>0.2</v>
      </c>
      <c r="FL58" s="502">
        <v>0.8</v>
      </c>
      <c r="FM58" s="34">
        <f>IF($FM$57=0.1,0.1,0.4)</f>
        <v>0.1</v>
      </c>
      <c r="FN58" s="502">
        <v>0.875</v>
      </c>
      <c r="FO58" s="34">
        <f t="shared" si="200"/>
        <v>0.1</v>
      </c>
      <c r="FP58" s="34">
        <f t="shared" si="201"/>
        <v>1</v>
      </c>
      <c r="FQ58" s="34">
        <v>1</v>
      </c>
      <c r="FR58" s="34">
        <v>0</v>
      </c>
      <c r="FS58" s="90">
        <f t="shared" si="202"/>
        <v>1E-3</v>
      </c>
      <c r="FT58" s="34">
        <f t="shared" si="203"/>
        <v>0.05</v>
      </c>
      <c r="FU58" s="33">
        <v>0.05</v>
      </c>
      <c r="FV58" s="35">
        <f t="shared" si="25"/>
        <v>2.4224999999999997E-2</v>
      </c>
      <c r="FW58" s="34">
        <v>0.1</v>
      </c>
      <c r="FX58" s="78">
        <f t="shared" si="26"/>
        <v>9.0000000000000011E-2</v>
      </c>
      <c r="FY58" s="33">
        <v>0.05</v>
      </c>
      <c r="FZ58" s="35">
        <f t="shared" si="1092"/>
        <v>2.4224999999999997E-2</v>
      </c>
      <c r="GA58" s="34">
        <v>0.1</v>
      </c>
      <c r="GB58" s="78">
        <f t="shared" si="1093"/>
        <v>9.0000000000000011E-2</v>
      </c>
      <c r="GC58" s="85">
        <f t="shared" si="773"/>
        <v>4.9249999999999999E-4</v>
      </c>
      <c r="GD58" s="57">
        <f t="shared" ref="GD58:GD85" si="1159">EQ58*$FJ58</f>
        <v>1.5760000000000001E-3</v>
      </c>
      <c r="GE58" s="57">
        <f t="shared" si="774"/>
        <v>1.4774999999999998E-2</v>
      </c>
      <c r="GF58" s="57">
        <f t="shared" ref="GF58:GF85" si="1160">ES58*$FJ58</f>
        <v>4.7279999999999996E-2</v>
      </c>
      <c r="GG58" s="57">
        <f t="shared" ref="GG58" si="1161">$ET58*FK58</f>
        <v>0</v>
      </c>
      <c r="GH58" s="127">
        <f>$EU58*FL58</f>
        <v>0</v>
      </c>
      <c r="GI58" s="57">
        <f t="shared" si="1094"/>
        <v>1.97E-3</v>
      </c>
      <c r="GJ58" s="57">
        <f t="shared" si="1095"/>
        <v>1.97E-3</v>
      </c>
      <c r="GK58" s="57">
        <f t="shared" si="1096"/>
        <v>2.9549999999999996E-2</v>
      </c>
      <c r="GL58" s="57">
        <f t="shared" si="1097"/>
        <v>2.9549999999999996E-2</v>
      </c>
      <c r="GM58" s="57">
        <f t="shared" si="1098"/>
        <v>0.10835</v>
      </c>
      <c r="GN58" s="127">
        <f t="shared" si="1099"/>
        <v>0.43340000000000001</v>
      </c>
      <c r="GO58" s="57">
        <f t="shared" si="208"/>
        <v>0.15513749999999998</v>
      </c>
      <c r="GP58" s="87">
        <f t="shared" si="209"/>
        <v>0.51377600000000001</v>
      </c>
      <c r="GQ58" s="37">
        <f t="shared" si="891"/>
        <v>0.39728023552474989</v>
      </c>
      <c r="GR58" s="37">
        <f t="shared" si="892"/>
        <v>10.169517648999998</v>
      </c>
      <c r="GS58" s="57">
        <f t="shared" si="1031"/>
        <v>0.12244534341387503</v>
      </c>
      <c r="GT58" s="57">
        <f t="shared" si="1032"/>
        <v>61.222671706937518</v>
      </c>
      <c r="GU58" s="57">
        <f t="shared" si="1033"/>
        <v>0</v>
      </c>
      <c r="GV58" s="127">
        <f t="shared" si="1034"/>
        <v>0</v>
      </c>
      <c r="GW58" s="37">
        <f t="shared" ref="GW58:GW85" si="1162">1/2*($FD58*$FO58)*($FY58+$FZ58)</f>
        <v>3.107667376953125E-2</v>
      </c>
      <c r="GX58" s="37">
        <f t="shared" ref="GX58:GX85" si="1163">1/2*($FE58*$FP58)*($GA58+$GB58)</f>
        <v>0.795495859375</v>
      </c>
      <c r="GY58" s="37">
        <f>1/10*($FH58*$FQ58*$FO58*$FS58+$FH57*$FQ57*$FO57*$FS57)</f>
        <v>9.6790750000000025E-5</v>
      </c>
      <c r="GZ58" s="37">
        <f>1/10*($FI58*$FQ58*$FP58*$FT58+$FI57*$FQ57*$FP57*$FT57)</f>
        <v>4.8395375000000011E-2</v>
      </c>
      <c r="HA58" s="37">
        <f>1/10*($FH58*$FR58*$FO58*$FS58+$FH57*$FR57*$FO57*$FS57)</f>
        <v>0</v>
      </c>
      <c r="HB58" s="142">
        <f>1/10*($FI58*$FR58*$FP58*$FT58+$FI57*$FR57*$FP57*$FT57)</f>
        <v>0</v>
      </c>
      <c r="HC58" s="57">
        <f t="shared" si="212"/>
        <v>0.55089904345815621</v>
      </c>
      <c r="HD58" s="39">
        <f t="shared" si="213"/>
        <v>72.236080590312511</v>
      </c>
      <c r="HE58" s="527"/>
      <c r="HF58" s="530">
        <f t="shared" si="775"/>
        <v>0.49742500000000001</v>
      </c>
      <c r="HG58" s="530">
        <f t="shared" si="776"/>
        <v>0.7141249999999999</v>
      </c>
      <c r="HH58" s="530">
        <f t="shared" si="777"/>
        <v>0</v>
      </c>
      <c r="HI58" s="530">
        <f t="shared" si="778"/>
        <v>0</v>
      </c>
      <c r="HJ58" s="530">
        <f t="shared" si="779"/>
        <v>0.29549999999999998</v>
      </c>
      <c r="HK58" s="531">
        <f t="shared" si="780"/>
        <v>0.29549999999999998</v>
      </c>
      <c r="HL58" s="530">
        <f t="shared" si="781"/>
        <v>0</v>
      </c>
      <c r="HM58" s="530">
        <f t="shared" si="782"/>
        <v>0</v>
      </c>
      <c r="HN58" s="530">
        <f t="shared" si="783"/>
        <v>7.8691850000000008</v>
      </c>
      <c r="HO58" s="530">
        <f t="shared" si="784"/>
        <v>117.369845</v>
      </c>
      <c r="HP58" s="530">
        <f t="shared" si="785"/>
        <v>0.49249999999999999</v>
      </c>
      <c r="HQ58" s="531">
        <f t="shared" si="786"/>
        <v>0.49249999999999999</v>
      </c>
      <c r="HR58" s="530">
        <f t="shared" si="214"/>
        <v>3.3032647527081562</v>
      </c>
      <c r="HS58" s="530">
        <f t="shared" si="787"/>
        <v>74.989626590312511</v>
      </c>
      <c r="HT58" s="530">
        <f t="shared" si="788"/>
        <v>4.4324999999999996E-2</v>
      </c>
      <c r="HU58" s="530">
        <f t="shared" si="789"/>
        <v>7.6829999999999996E-2</v>
      </c>
      <c r="HV58" s="530">
        <f t="shared" si="790"/>
        <v>24.858350000000002</v>
      </c>
      <c r="HW58" s="531">
        <f t="shared" si="791"/>
        <v>25.183399999999999</v>
      </c>
      <c r="IG58" s="560"/>
      <c r="IH58" s="530">
        <f t="shared" si="215"/>
        <v>5.4716750000000005E-3</v>
      </c>
      <c r="II58" s="530">
        <f t="shared" si="216"/>
        <v>4.4768250000000002E-3</v>
      </c>
      <c r="IJ58" s="530">
        <f t="shared" si="217"/>
        <v>8.9536500000000005E-3</v>
      </c>
      <c r="IK58" s="530">
        <f t="shared" si="893"/>
        <v>4.4768250000000002E-3</v>
      </c>
      <c r="IL58" s="530">
        <f t="shared" si="894"/>
        <v>0.42032412499999999</v>
      </c>
      <c r="IM58" s="530">
        <f t="shared" si="895"/>
        <v>4.9742500000000002E-4</v>
      </c>
      <c r="IN58" s="530">
        <f t="shared" si="896"/>
        <v>4.9742500000000002E-4</v>
      </c>
      <c r="IO58" s="530">
        <f t="shared" si="222"/>
        <v>2.3566124999999997E-2</v>
      </c>
      <c r="IP58" s="530">
        <f t="shared" si="223"/>
        <v>2.9279124999999993E-2</v>
      </c>
      <c r="IQ58" s="530">
        <f t="shared" si="897"/>
        <v>3.7134500000000001E-2</v>
      </c>
      <c r="IR58" s="530">
        <f t="shared" si="898"/>
        <v>2.9279124999999993E-2</v>
      </c>
      <c r="IS58" s="530">
        <f t="shared" si="899"/>
        <v>0.60486387499999994</v>
      </c>
      <c r="IT58" s="530">
        <f t="shared" si="900"/>
        <v>7.1412499999999992E-3</v>
      </c>
      <c r="IU58" s="518">
        <f t="shared" si="901"/>
        <v>7.1412499999999992E-3</v>
      </c>
      <c r="IV58" s="57">
        <f t="shared" si="229"/>
        <v>0</v>
      </c>
      <c r="IW58" s="57">
        <f t="shared" si="230"/>
        <v>0</v>
      </c>
      <c r="IX58" s="530">
        <f t="shared" si="792"/>
        <v>0</v>
      </c>
      <c r="IY58" s="530">
        <f t="shared" si="793"/>
        <v>0</v>
      </c>
      <c r="IZ58" s="530">
        <f t="shared" si="794"/>
        <v>0</v>
      </c>
      <c r="JA58" s="530">
        <f t="shared" si="795"/>
        <v>0</v>
      </c>
      <c r="JB58" s="530">
        <f t="shared" si="796"/>
        <v>0</v>
      </c>
      <c r="JC58" s="530">
        <f t="shared" si="231"/>
        <v>0</v>
      </c>
      <c r="JD58" s="530">
        <f t="shared" si="232"/>
        <v>0</v>
      </c>
      <c r="JE58" s="530">
        <f t="shared" si="797"/>
        <v>0</v>
      </c>
      <c r="JF58" s="530">
        <f t="shared" si="798"/>
        <v>0</v>
      </c>
      <c r="JG58" s="530">
        <f t="shared" si="799"/>
        <v>0</v>
      </c>
      <c r="JH58" s="530">
        <f t="shared" si="800"/>
        <v>0</v>
      </c>
      <c r="JI58" s="87">
        <f t="shared" si="801"/>
        <v>0</v>
      </c>
      <c r="JJ58" s="57">
        <f t="shared" si="233"/>
        <v>3.2505000000000004E-3</v>
      </c>
      <c r="JK58" s="57">
        <f t="shared" si="234"/>
        <v>2.6595E-3</v>
      </c>
      <c r="JL58" s="530">
        <f t="shared" si="802"/>
        <v>5.3189999999999999E-3</v>
      </c>
      <c r="JM58" s="530">
        <f t="shared" si="803"/>
        <v>2.6595E-3</v>
      </c>
      <c r="JN58" s="530">
        <f t="shared" si="804"/>
        <v>0.24969749999999999</v>
      </c>
      <c r="JO58" s="530">
        <f t="shared" si="805"/>
        <v>2.9549999999999997E-4</v>
      </c>
      <c r="JP58" s="530">
        <f t="shared" si="806"/>
        <v>2.9549999999999997E-4</v>
      </c>
      <c r="JQ58" s="530">
        <f t="shared" si="235"/>
        <v>9.7514999999999998E-3</v>
      </c>
      <c r="JR58" s="530">
        <f t="shared" si="236"/>
        <v>1.2115499999999998E-2</v>
      </c>
      <c r="JS58" s="57">
        <f t="shared" si="807"/>
        <v>1.5366000000000001E-2</v>
      </c>
      <c r="JT58" s="57">
        <f t="shared" si="808"/>
        <v>1.2115499999999998E-2</v>
      </c>
      <c r="JU58" s="57">
        <f t="shared" si="809"/>
        <v>0.25028849999999997</v>
      </c>
      <c r="JV58" s="57">
        <f t="shared" si="810"/>
        <v>2.9549999999999997E-3</v>
      </c>
      <c r="JW58" s="81">
        <f t="shared" si="811"/>
        <v>2.9549999999999997E-3</v>
      </c>
      <c r="JX58" s="57">
        <f t="shared" si="237"/>
        <v>0</v>
      </c>
      <c r="JY58" s="57">
        <f t="shared" si="238"/>
        <v>0</v>
      </c>
      <c r="JZ58" s="530">
        <f t="shared" si="812"/>
        <v>0</v>
      </c>
      <c r="KA58" s="530">
        <f t="shared" si="813"/>
        <v>0</v>
      </c>
      <c r="KB58" s="530">
        <f t="shared" si="814"/>
        <v>0</v>
      </c>
      <c r="KC58" s="530">
        <f t="shared" si="815"/>
        <v>0</v>
      </c>
      <c r="KD58" s="530">
        <f t="shared" si="816"/>
        <v>0</v>
      </c>
      <c r="KE58" s="530">
        <f t="shared" si="239"/>
        <v>0</v>
      </c>
      <c r="KF58" s="530">
        <f t="shared" si="240"/>
        <v>0</v>
      </c>
      <c r="KG58" s="530">
        <f t="shared" si="817"/>
        <v>0</v>
      </c>
      <c r="KH58" s="530">
        <f t="shared" si="818"/>
        <v>0</v>
      </c>
      <c r="KI58" s="530">
        <f t="shared" si="819"/>
        <v>0</v>
      </c>
      <c r="KJ58" s="530">
        <f t="shared" si="820"/>
        <v>0</v>
      </c>
      <c r="KK58" s="518">
        <f t="shared" si="821"/>
        <v>0</v>
      </c>
      <c r="KL58" s="57">
        <f t="shared" si="241"/>
        <v>8.6561035000000022E-2</v>
      </c>
      <c r="KM58" s="57">
        <f t="shared" si="242"/>
        <v>7.0822665000000021E-2</v>
      </c>
      <c r="KN58" s="530">
        <f t="shared" si="822"/>
        <v>0.14164533000000004</v>
      </c>
      <c r="KO58" s="530">
        <f t="shared" si="823"/>
        <v>7.0822665000000021E-2</v>
      </c>
      <c r="KP58" s="530">
        <f t="shared" si="824"/>
        <v>6.6494613250000008</v>
      </c>
      <c r="KQ58" s="530">
        <f t="shared" si="825"/>
        <v>7.8691850000000008E-3</v>
      </c>
      <c r="KR58" s="530">
        <f t="shared" si="826"/>
        <v>7.8691850000000008E-3</v>
      </c>
      <c r="KS58" s="530">
        <f t="shared" si="243"/>
        <v>3.8732048850000003</v>
      </c>
      <c r="KT58" s="530">
        <f t="shared" si="244"/>
        <v>4.8121636449999992</v>
      </c>
      <c r="KU58" s="530">
        <f t="shared" si="827"/>
        <v>6.1032319400000006</v>
      </c>
      <c r="KV58" s="530">
        <f t="shared" si="828"/>
        <v>4.8121636449999992</v>
      </c>
      <c r="KW58" s="530">
        <f t="shared" si="829"/>
        <v>99.412258714999993</v>
      </c>
      <c r="KX58" s="530">
        <f t="shared" si="830"/>
        <v>1.1736984500000001</v>
      </c>
      <c r="KY58" s="87">
        <f t="shared" si="831"/>
        <v>1.1736984500000001</v>
      </c>
      <c r="KZ58" s="57">
        <f t="shared" si="245"/>
        <v>5.4175000000000004E-3</v>
      </c>
      <c r="LA58" s="57">
        <f t="shared" si="246"/>
        <v>4.4325000000000007E-3</v>
      </c>
      <c r="LB58" s="530">
        <f t="shared" si="832"/>
        <v>8.8650000000000014E-3</v>
      </c>
      <c r="LC58" s="530">
        <f t="shared" si="833"/>
        <v>4.4325000000000007E-3</v>
      </c>
      <c r="LD58" s="530">
        <f t="shared" si="834"/>
        <v>0.41616249999999999</v>
      </c>
      <c r="LE58" s="530">
        <f t="shared" si="835"/>
        <v>4.9249999999999999E-4</v>
      </c>
      <c r="LF58" s="530">
        <f t="shared" si="836"/>
        <v>4.9249999999999999E-4</v>
      </c>
      <c r="LG58" s="530">
        <f t="shared" si="247"/>
        <v>1.62525E-2</v>
      </c>
      <c r="LH58" s="530">
        <f t="shared" si="248"/>
        <v>2.0192499999999999E-2</v>
      </c>
      <c r="LI58" s="57">
        <f t="shared" si="837"/>
        <v>2.5610000000000001E-2</v>
      </c>
      <c r="LJ58" s="57">
        <f t="shared" si="838"/>
        <v>2.0192499999999999E-2</v>
      </c>
      <c r="LK58" s="57">
        <f t="shared" si="839"/>
        <v>0.4171475</v>
      </c>
      <c r="LL58" s="57">
        <f t="shared" si="840"/>
        <v>4.9249999999999997E-3</v>
      </c>
      <c r="LM58" s="81">
        <f t="shared" si="841"/>
        <v>4.9249999999999997E-3</v>
      </c>
      <c r="LN58" s="57">
        <f t="shared" si="249"/>
        <v>3.6335912279789719E-3</v>
      </c>
      <c r="LO58" s="57">
        <f t="shared" si="250"/>
        <v>9.9097942581244684E-4</v>
      </c>
      <c r="LP58" s="530">
        <f t="shared" si="842"/>
        <v>1.6846650238811597E-2</v>
      </c>
      <c r="LQ58" s="530">
        <f t="shared" si="843"/>
        <v>2.7086770972206877E-2</v>
      </c>
      <c r="LR58" s="530">
        <f t="shared" si="844"/>
        <v>2.6426118021665252</v>
      </c>
      <c r="LS58" s="530">
        <f t="shared" si="845"/>
        <v>2.8738403348560957E-2</v>
      </c>
      <c r="LT58" s="530">
        <f t="shared" si="846"/>
        <v>3.3032647527081564E-3</v>
      </c>
      <c r="LU58" s="530">
        <f t="shared" si="251"/>
        <v>4.4993775954187507</v>
      </c>
      <c r="LV58" s="530">
        <f t="shared" si="252"/>
        <v>2.2496887977093754</v>
      </c>
      <c r="LW58" s="530">
        <f t="shared" si="847"/>
        <v>5.2492738613218766</v>
      </c>
      <c r="LX58" s="530">
        <f t="shared" si="848"/>
        <v>4.4993775954187507</v>
      </c>
      <c r="LY58" s="530">
        <f t="shared" si="849"/>
        <v>74.164740697819084</v>
      </c>
      <c r="LZ58" s="530">
        <f t="shared" si="850"/>
        <v>0.74989626590312508</v>
      </c>
      <c r="MA58" s="127">
        <f t="shared" si="851"/>
        <v>0.74989626590312508</v>
      </c>
      <c r="MB58" s="57">
        <f t="shared" si="253"/>
        <v>4.8757500000000002E-5</v>
      </c>
      <c r="MC58" s="57">
        <f t="shared" si="254"/>
        <v>1.3297499999999998E-5</v>
      </c>
      <c r="MD58" s="530">
        <f t="shared" si="852"/>
        <v>2.260575E-4</v>
      </c>
      <c r="ME58" s="530">
        <f t="shared" si="853"/>
        <v>3.6346499999999994E-4</v>
      </c>
      <c r="MF58" s="530">
        <f t="shared" si="854"/>
        <v>3.5459999999999998E-2</v>
      </c>
      <c r="MG58" s="530">
        <f t="shared" si="855"/>
        <v>3.8562749999999994E-4</v>
      </c>
      <c r="MH58" s="530">
        <f t="shared" si="856"/>
        <v>4.4325E-5</v>
      </c>
      <c r="MI58" s="530">
        <f t="shared" si="255"/>
        <v>4.6097999999999998E-3</v>
      </c>
      <c r="MJ58" s="530">
        <f t="shared" si="256"/>
        <v>2.3048999999999999E-3</v>
      </c>
      <c r="MK58" s="530">
        <f t="shared" si="857"/>
        <v>5.3781000000000002E-3</v>
      </c>
      <c r="ML58" s="530">
        <f t="shared" si="858"/>
        <v>4.6097999999999998E-3</v>
      </c>
      <c r="MM58" s="530">
        <f t="shared" si="859"/>
        <v>7.598487000000001E-2</v>
      </c>
      <c r="MN58" s="530">
        <f t="shared" si="860"/>
        <v>7.6829999999999997E-4</v>
      </c>
      <c r="MO58" s="127">
        <f t="shared" si="861"/>
        <v>7.6829999999999997E-4</v>
      </c>
      <c r="MP58" s="57">
        <f t="shared" si="257"/>
        <v>2.7344185000000003E-2</v>
      </c>
      <c r="MQ58" s="57">
        <f t="shared" si="258"/>
        <v>7.4575049999999997E-3</v>
      </c>
      <c r="MR58" s="530">
        <f t="shared" si="862"/>
        <v>0.12677758500000003</v>
      </c>
      <c r="MS58" s="530">
        <f t="shared" si="863"/>
        <v>0.20383846999999999</v>
      </c>
      <c r="MT58" s="530">
        <f t="shared" si="864"/>
        <v>19.886680000000002</v>
      </c>
      <c r="MU58" s="530">
        <f t="shared" si="865"/>
        <v>0.21626764500000001</v>
      </c>
      <c r="MV58" s="530">
        <f t="shared" si="866"/>
        <v>2.4858350000000001E-2</v>
      </c>
      <c r="MW58" s="530">
        <f t="shared" si="259"/>
        <v>1.5110039999999998</v>
      </c>
      <c r="MX58" s="530">
        <f t="shared" si="260"/>
        <v>0.7555019999999999</v>
      </c>
      <c r="MY58" s="57">
        <f t="shared" si="867"/>
        <v>1.7628380000000001</v>
      </c>
      <c r="MZ58" s="57">
        <f t="shared" si="868"/>
        <v>1.5110039999999998</v>
      </c>
      <c r="NA58" s="57">
        <f t="shared" si="869"/>
        <v>24.906382600000001</v>
      </c>
      <c r="NB58" s="57">
        <f t="shared" si="870"/>
        <v>0.251834</v>
      </c>
      <c r="NC58" s="81">
        <f t="shared" si="871"/>
        <v>0.251834</v>
      </c>
    </row>
    <row r="59" spans="1:367" x14ac:dyDescent="0.25">
      <c r="A59" s="9">
        <v>2004</v>
      </c>
      <c r="B59" s="10">
        <v>50</v>
      </c>
      <c r="C59" s="645">
        <v>160</v>
      </c>
      <c r="D59" s="645">
        <v>100</v>
      </c>
      <c r="E59" s="657">
        <v>100</v>
      </c>
      <c r="F59" s="666">
        <f t="shared" ref="F59:F85" si="1164">B59*(1-$H$11)</f>
        <v>49.25</v>
      </c>
      <c r="G59" s="666">
        <f t="shared" ref="G59:G85" si="1165">C59*(1-$H$11)</f>
        <v>157.6</v>
      </c>
      <c r="H59" s="467">
        <f t="shared" si="1100"/>
        <v>98.5</v>
      </c>
      <c r="I59" s="467">
        <f t="shared" si="1101"/>
        <v>98.5</v>
      </c>
      <c r="J59" s="1086">
        <v>30</v>
      </c>
      <c r="K59" s="1086">
        <f t="shared" si="734"/>
        <v>30</v>
      </c>
      <c r="L59" s="666">
        <f t="shared" si="751"/>
        <v>147.75</v>
      </c>
      <c r="M59" s="667">
        <f t="shared" si="1102"/>
        <v>256.10000000000002</v>
      </c>
      <c r="N59" s="195">
        <v>2E-3</v>
      </c>
      <c r="O59" s="196">
        <v>0</v>
      </c>
      <c r="P59" s="196">
        <v>0</v>
      </c>
      <c r="Q59" s="197">
        <v>6.0000000000000001E-3</v>
      </c>
      <c r="R59" s="48">
        <v>0</v>
      </c>
      <c r="S59" s="48">
        <v>2.7000000000000001E-3</v>
      </c>
      <c r="T59" s="48">
        <v>0</v>
      </c>
      <c r="U59" s="48">
        <v>1.18E-2</v>
      </c>
      <c r="V59" s="118">
        <v>1.0000000000000001E-5</v>
      </c>
      <c r="W59" s="48">
        <v>2.9999999999999997E-4</v>
      </c>
      <c r="X59" s="53">
        <v>0</v>
      </c>
      <c r="Y59" s="53">
        <v>3.1E-2</v>
      </c>
      <c r="Z59" s="487">
        <v>5.2999999999999999E-2</v>
      </c>
      <c r="AA59" s="53">
        <f t="shared" si="147"/>
        <v>0.1</v>
      </c>
      <c r="AB59" s="53">
        <f t="shared" si="148"/>
        <v>0</v>
      </c>
      <c r="AC59" s="53">
        <f t="shared" si="149"/>
        <v>0.9</v>
      </c>
      <c r="AD59" s="56">
        <f t="shared" ref="AD59:AD85" si="1166">F59*N59</f>
        <v>9.8500000000000004E-2</v>
      </c>
      <c r="AE59" s="57">
        <f t="shared" ref="AE59:AE85" si="1167">G59*N59</f>
        <v>0.31519999999999998</v>
      </c>
      <c r="AF59" s="57">
        <f t="shared" ref="AF59:AF85" si="1168">F59*O59</f>
        <v>0</v>
      </c>
      <c r="AG59" s="57">
        <f t="shared" ref="AG59:AG85" si="1169">G59*O59</f>
        <v>0</v>
      </c>
      <c r="AH59" s="57">
        <f t="shared" ref="AH59:AH85" si="1170">F59*P59</f>
        <v>0</v>
      </c>
      <c r="AI59" s="57">
        <f t="shared" ref="AI59:AI85" si="1171">G59*P59</f>
        <v>0</v>
      </c>
      <c r="AJ59" s="126">
        <f t="shared" si="1103"/>
        <v>0.79784999999999995</v>
      </c>
      <c r="AK59" s="57">
        <f t="shared" si="1104"/>
        <v>0.79784999999999995</v>
      </c>
      <c r="AL59" s="57">
        <f t="shared" si="1105"/>
        <v>0</v>
      </c>
      <c r="AM59" s="57">
        <f t="shared" si="1106"/>
        <v>0</v>
      </c>
      <c r="AN59" s="57">
        <f t="shared" si="1107"/>
        <v>0.59099999999999997</v>
      </c>
      <c r="AO59" s="127">
        <f t="shared" si="1108"/>
        <v>0.59099999999999997</v>
      </c>
      <c r="AP59" s="57">
        <f t="shared" ref="AP59:AU85" si="1172">AD59+AJ59</f>
        <v>0.89634999999999998</v>
      </c>
      <c r="AQ59" s="57">
        <f t="shared" si="1172"/>
        <v>1.1130499999999999</v>
      </c>
      <c r="AR59" s="57">
        <f t="shared" si="1172"/>
        <v>0</v>
      </c>
      <c r="AS59" s="57">
        <f t="shared" si="1109"/>
        <v>0</v>
      </c>
      <c r="AT59" s="57">
        <f t="shared" si="1109"/>
        <v>0.59099999999999997</v>
      </c>
      <c r="AU59" s="87">
        <f t="shared" si="1109"/>
        <v>0.59099999999999997</v>
      </c>
      <c r="AV59" s="56">
        <f t="shared" si="1110"/>
        <v>0</v>
      </c>
      <c r="AW59" s="57">
        <f t="shared" si="1111"/>
        <v>0</v>
      </c>
      <c r="AX59" s="57">
        <f t="shared" si="1112"/>
        <v>0.13297500000000001</v>
      </c>
      <c r="AY59" s="57">
        <f t="shared" si="1113"/>
        <v>0.42552000000000001</v>
      </c>
      <c r="AZ59" s="57">
        <f t="shared" si="1114"/>
        <v>0</v>
      </c>
      <c r="BA59" s="57">
        <f t="shared" si="1115"/>
        <v>0</v>
      </c>
      <c r="BB59" s="126">
        <f t="shared" si="1116"/>
        <v>0</v>
      </c>
      <c r="BC59" s="57">
        <f t="shared" si="1117"/>
        <v>0</v>
      </c>
      <c r="BD59" s="57">
        <f t="shared" si="1118"/>
        <v>0.53190000000000004</v>
      </c>
      <c r="BE59" s="57">
        <f t="shared" si="1119"/>
        <v>0.53190000000000004</v>
      </c>
      <c r="BF59" s="57">
        <f t="shared" si="1120"/>
        <v>0.98499999999999999</v>
      </c>
      <c r="BG59" s="57">
        <f t="shared" si="1121"/>
        <v>0.98499999999999999</v>
      </c>
      <c r="BH59" s="57">
        <f t="shared" si="1122"/>
        <v>0</v>
      </c>
      <c r="BI59" s="57">
        <f t="shared" si="1122"/>
        <v>0</v>
      </c>
      <c r="BJ59" s="57">
        <f t="shared" si="1122"/>
        <v>0.6648750000000001</v>
      </c>
      <c r="BK59" s="57">
        <f t="shared" si="1122"/>
        <v>0.95742000000000005</v>
      </c>
      <c r="BL59" s="57">
        <f t="shared" si="1122"/>
        <v>0.98499999999999999</v>
      </c>
      <c r="BM59" s="57">
        <f t="shared" si="1122"/>
        <v>0.98499999999999999</v>
      </c>
      <c r="BN59" s="56">
        <f t="shared" si="1123"/>
        <v>4.9249999999999999E-4</v>
      </c>
      <c r="BO59" s="57">
        <f t="shared" si="1124"/>
        <v>1.5760000000000001E-3</v>
      </c>
      <c r="BP59" s="57">
        <f t="shared" si="1125"/>
        <v>1.4774999999999998E-2</v>
      </c>
      <c r="BQ59" s="57">
        <f t="shared" si="1126"/>
        <v>4.7279999999999996E-2</v>
      </c>
      <c r="BR59" s="57">
        <f t="shared" si="1127"/>
        <v>0</v>
      </c>
      <c r="BS59" s="57">
        <f t="shared" si="1128"/>
        <v>0</v>
      </c>
      <c r="BT59" s="126">
        <f t="shared" si="1129"/>
        <v>3.9399999999999999E-3</v>
      </c>
      <c r="BU59" s="57">
        <f t="shared" si="1130"/>
        <v>3.9399999999999999E-3</v>
      </c>
      <c r="BV59" s="57">
        <f t="shared" si="1131"/>
        <v>5.9099999999999993E-2</v>
      </c>
      <c r="BW59" s="57">
        <f t="shared" si="1132"/>
        <v>5.9099999999999993E-2</v>
      </c>
      <c r="BX59" s="57">
        <f t="shared" si="1133"/>
        <v>1.0834999999999999</v>
      </c>
      <c r="BY59" s="57">
        <f t="shared" si="1134"/>
        <v>1.0834999999999999</v>
      </c>
      <c r="BZ59" s="126">
        <f t="shared" si="1135"/>
        <v>4.4324999999999998E-3</v>
      </c>
      <c r="CA59" s="57">
        <f t="shared" si="1135"/>
        <v>5.5160000000000001E-3</v>
      </c>
      <c r="CB59" s="57">
        <f t="shared" si="1135"/>
        <v>7.3874999999999996E-2</v>
      </c>
      <c r="CC59" s="57">
        <f t="shared" si="1135"/>
        <v>0.10637999999999999</v>
      </c>
      <c r="CD59" s="57">
        <f t="shared" si="1135"/>
        <v>1.0834999999999999</v>
      </c>
      <c r="CE59" s="518">
        <f t="shared" si="1135"/>
        <v>1.0834999999999999</v>
      </c>
      <c r="CF59" s="57">
        <f t="shared" si="173"/>
        <v>3</v>
      </c>
      <c r="CG59" s="57">
        <f t="shared" ref="CG59:CG70" si="1173">CF59</f>
        <v>3</v>
      </c>
      <c r="CH59" s="57">
        <f t="shared" si="175"/>
        <v>0</v>
      </c>
      <c r="CI59" s="57">
        <f t="shared" ref="CI59:CI70" si="1174">CH59</f>
        <v>0</v>
      </c>
      <c r="CJ59" s="57">
        <f t="shared" si="176"/>
        <v>27</v>
      </c>
      <c r="CK59" s="57">
        <f t="shared" ref="CK59:CK70" si="1175">CJ59</f>
        <v>27</v>
      </c>
      <c r="CL59" s="3"/>
      <c r="CM59" s="59">
        <f t="shared" si="1083"/>
        <v>46.639749999999999</v>
      </c>
      <c r="CN59" s="62">
        <f t="shared" si="1136"/>
        <v>149.24719999999999</v>
      </c>
      <c r="CO59" s="128">
        <f t="shared" si="1137"/>
        <v>63.279499999999999</v>
      </c>
      <c r="CP59" s="129">
        <f t="shared" si="1138"/>
        <v>63.279499999999999</v>
      </c>
      <c r="CQ59" s="62">
        <f t="shared" ref="CQ59:CR70" si="1176">CM59+CO59</f>
        <v>109.91925000000001</v>
      </c>
      <c r="CR59" s="60">
        <f t="shared" si="1176"/>
        <v>212.52670000000001</v>
      </c>
      <c r="CS59" s="33">
        <v>1</v>
      </c>
      <c r="CT59" s="34">
        <f t="shared" si="178"/>
        <v>0</v>
      </c>
      <c r="CU59" s="34">
        <v>0.5</v>
      </c>
      <c r="CV59" s="35">
        <f t="shared" ref="CV59:CV70" si="1177">1-CU59</f>
        <v>0.5</v>
      </c>
      <c r="CW59" s="36">
        <f t="shared" ref="CW59:CW85" si="1178">CM59*(1-$DJ59)*CS59</f>
        <v>0</v>
      </c>
      <c r="CX59" s="37">
        <f t="shared" ref="CX59:CX85" si="1179">CN59*(1-$DJ59)*CS59</f>
        <v>0</v>
      </c>
      <c r="CY59" s="57">
        <f t="shared" ref="CY59:CY85" si="1180">CT59*(1-$DJ59)*CM59</f>
        <v>0</v>
      </c>
      <c r="CZ59" s="127">
        <f t="shared" ref="CZ59:CZ85" si="1181">CT59*(1-$DJ59)*CN59</f>
        <v>0</v>
      </c>
      <c r="DA59" s="37">
        <f t="shared" si="1139"/>
        <v>27.68478125</v>
      </c>
      <c r="DB59" s="37">
        <f t="shared" si="1140"/>
        <v>27.68478125</v>
      </c>
      <c r="DC59" s="37">
        <f t="shared" si="1141"/>
        <v>27.68478125</v>
      </c>
      <c r="DD59" s="142">
        <f t="shared" si="1142"/>
        <v>27.68478125</v>
      </c>
      <c r="DE59" s="37">
        <f t="shared" si="768"/>
        <v>27.68478125</v>
      </c>
      <c r="DF59" s="37">
        <f t="shared" ref="DF59:DF85" si="1182">CX59+DB59</f>
        <v>27.68478125</v>
      </c>
      <c r="DG59" s="37">
        <f t="shared" ref="DG59:DG85" si="1183">CY59+DC59</f>
        <v>27.68478125</v>
      </c>
      <c r="DH59" s="39">
        <f t="shared" ref="DH59:DH85" si="1184">CZ59+DD59</f>
        <v>27.68478125</v>
      </c>
      <c r="DJ59" s="496">
        <v>1</v>
      </c>
      <c r="DK59" s="497">
        <v>0.125</v>
      </c>
      <c r="DL59" s="37">
        <f t="shared" si="1143"/>
        <v>46.639749999999999</v>
      </c>
      <c r="DM59" s="37">
        <f t="shared" si="1144"/>
        <v>149.24719999999999</v>
      </c>
      <c r="DN59" s="37">
        <f t="shared" si="1084"/>
        <v>7.9099374999999998</v>
      </c>
      <c r="DO59" s="37">
        <f t="shared" si="1085"/>
        <v>7.9099374999999998</v>
      </c>
      <c r="DP59" s="33">
        <v>1</v>
      </c>
      <c r="DQ59" s="34">
        <f>IF($DQ$57=0.1,0.1,0.3)</f>
        <v>0.1</v>
      </c>
      <c r="DR59" s="34">
        <v>0.75</v>
      </c>
      <c r="DS59" s="681">
        <f t="shared" si="185"/>
        <v>0.1</v>
      </c>
      <c r="DT59" s="78">
        <f t="shared" si="186"/>
        <v>1</v>
      </c>
      <c r="DU59" s="34">
        <v>0</v>
      </c>
      <c r="DV59" s="34">
        <v>1</v>
      </c>
      <c r="DW59" s="34">
        <v>0</v>
      </c>
      <c r="DX59" s="34">
        <v>0</v>
      </c>
      <c r="DY59" s="34">
        <v>1</v>
      </c>
      <c r="DZ59" s="34">
        <v>0</v>
      </c>
      <c r="EA59" s="85">
        <f t="shared" si="888"/>
        <v>0</v>
      </c>
      <c r="EB59" s="57">
        <f t="shared" ref="EB59:EB85" si="1185">1/2*(DM59*DR59*DU59+DM58*DR58*DU58)</f>
        <v>0</v>
      </c>
      <c r="EC59" s="57">
        <f t="shared" si="889"/>
        <v>4.6639749999999998</v>
      </c>
      <c r="ED59" s="57">
        <f t="shared" ref="ED59:ED85" si="1186">1/2*(DM59*DR59*DV59+DM58*DR58*DV58)</f>
        <v>121.26334999999999</v>
      </c>
      <c r="EE59" s="57">
        <f t="shared" si="890"/>
        <v>0</v>
      </c>
      <c r="EF59" s="57">
        <f t="shared" ref="EF59:EF85" si="1187">1/2*(DM59*DR59*DW59+DM58*DR58*DW58)</f>
        <v>0</v>
      </c>
      <c r="EG59" s="126">
        <f t="shared" si="1145"/>
        <v>0</v>
      </c>
      <c r="EH59" s="57">
        <f t="shared" si="1146"/>
        <v>0</v>
      </c>
      <c r="EI59" s="57">
        <f t="shared" si="1147"/>
        <v>0.51512031250000001</v>
      </c>
      <c r="EJ59" s="57">
        <f t="shared" si="1148"/>
        <v>5.1512031250000003</v>
      </c>
      <c r="EK59" s="57">
        <f t="shared" si="1149"/>
        <v>0</v>
      </c>
      <c r="EL59" s="127">
        <f t="shared" si="1150"/>
        <v>0</v>
      </c>
      <c r="EM59" s="57">
        <f t="shared" si="193"/>
        <v>5.1790953124999994</v>
      </c>
      <c r="EN59" s="81">
        <f t="shared" si="194"/>
        <v>126.41455312499998</v>
      </c>
      <c r="EP59" s="85">
        <f t="shared" si="769"/>
        <v>4.9249999999999999E-4</v>
      </c>
      <c r="EQ59" s="57">
        <f t="shared" si="1151"/>
        <v>1.5760000000000001E-3</v>
      </c>
      <c r="ER59" s="57">
        <f t="shared" si="770"/>
        <v>1.4774999999999998E-2</v>
      </c>
      <c r="ES59" s="57">
        <f t="shared" si="1152"/>
        <v>4.7279999999999996E-2</v>
      </c>
      <c r="ET59" s="57">
        <f t="shared" si="771"/>
        <v>0</v>
      </c>
      <c r="EU59" s="127">
        <f t="shared" si="1153"/>
        <v>0</v>
      </c>
      <c r="EV59" s="126">
        <f t="shared" si="1086"/>
        <v>3.9399999999999999E-3</v>
      </c>
      <c r="EW59" s="57">
        <f t="shared" si="1087"/>
        <v>3.9399999999999999E-3</v>
      </c>
      <c r="EX59" s="57">
        <f t="shared" si="1088"/>
        <v>5.9099999999999993E-2</v>
      </c>
      <c r="EY59" s="57">
        <f t="shared" si="1089"/>
        <v>5.9099999999999993E-2</v>
      </c>
      <c r="EZ59" s="57">
        <f t="shared" si="1090"/>
        <v>1.0834999999999999</v>
      </c>
      <c r="FA59" s="87">
        <f t="shared" si="1091"/>
        <v>1.0834999999999999</v>
      </c>
      <c r="FB59" s="36">
        <f t="shared" ref="FB59:FB85" si="1188">CW59</f>
        <v>0</v>
      </c>
      <c r="FC59" s="37">
        <f t="shared" ref="FC59:FC85" si="1189">CX59</f>
        <v>0</v>
      </c>
      <c r="FD59" s="37">
        <f t="shared" si="1154"/>
        <v>27.68478125</v>
      </c>
      <c r="FE59" s="37">
        <f t="shared" si="1155"/>
        <v>27.68478125</v>
      </c>
      <c r="FF59" s="36">
        <f t="shared" si="772"/>
        <v>0</v>
      </c>
      <c r="FG59" s="37">
        <f t="shared" si="1156"/>
        <v>0</v>
      </c>
      <c r="FH59" s="37">
        <f t="shared" si="1157"/>
        <v>27.68478125</v>
      </c>
      <c r="FI59" s="37">
        <f t="shared" si="1158"/>
        <v>27.68478125</v>
      </c>
      <c r="FJ59" s="33">
        <v>1</v>
      </c>
      <c r="FK59" s="34">
        <v>0.2</v>
      </c>
      <c r="FL59" s="502">
        <v>0.8</v>
      </c>
      <c r="FM59" s="34">
        <f>IF($FM$57=0.1,0.1,0.3)</f>
        <v>0.1</v>
      </c>
      <c r="FN59" s="502">
        <v>0.75</v>
      </c>
      <c r="FO59" s="34">
        <f t="shared" si="200"/>
        <v>0.1</v>
      </c>
      <c r="FP59" s="34">
        <f t="shared" si="201"/>
        <v>1</v>
      </c>
      <c r="FQ59" s="34">
        <v>1</v>
      </c>
      <c r="FR59" s="34">
        <v>0</v>
      </c>
      <c r="FS59" s="90">
        <f t="shared" si="202"/>
        <v>1E-3</v>
      </c>
      <c r="FT59" s="34">
        <f t="shared" si="203"/>
        <v>0.05</v>
      </c>
      <c r="FU59" s="33">
        <v>0.05</v>
      </c>
      <c r="FV59" s="35">
        <f t="shared" si="25"/>
        <v>2.4224999999999997E-2</v>
      </c>
      <c r="FW59" s="34">
        <v>0.1</v>
      </c>
      <c r="FX59" s="78">
        <f t="shared" si="26"/>
        <v>9.0000000000000011E-2</v>
      </c>
      <c r="FY59" s="33">
        <v>0.05</v>
      </c>
      <c r="FZ59" s="35">
        <f t="shared" si="1092"/>
        <v>2.4224999999999997E-2</v>
      </c>
      <c r="GA59" s="34">
        <v>0.1</v>
      </c>
      <c r="GB59" s="78">
        <f t="shared" si="1093"/>
        <v>9.0000000000000011E-2</v>
      </c>
      <c r="GC59" s="85">
        <f t="shared" si="773"/>
        <v>4.9249999999999999E-4</v>
      </c>
      <c r="GD59" s="57">
        <f t="shared" si="1159"/>
        <v>1.5760000000000001E-3</v>
      </c>
      <c r="GE59" s="57">
        <f t="shared" si="774"/>
        <v>1.4774999999999998E-2</v>
      </c>
      <c r="GF59" s="57">
        <f t="shared" si="1160"/>
        <v>4.7279999999999996E-2</v>
      </c>
      <c r="GG59" s="57">
        <f t="shared" ref="GG59:GG70" si="1190">$ET59*FK59</f>
        <v>0</v>
      </c>
      <c r="GH59" s="127">
        <f t="shared" ref="GH59:GH70" si="1191">$EU59*FL59</f>
        <v>0</v>
      </c>
      <c r="GI59" s="57">
        <f t="shared" si="1094"/>
        <v>3.9399999999999999E-3</v>
      </c>
      <c r="GJ59" s="57">
        <f t="shared" si="1095"/>
        <v>3.9399999999999999E-3</v>
      </c>
      <c r="GK59" s="57">
        <f t="shared" si="1096"/>
        <v>5.9099999999999993E-2</v>
      </c>
      <c r="GL59" s="57">
        <f t="shared" si="1097"/>
        <v>5.9099999999999993E-2</v>
      </c>
      <c r="GM59" s="57">
        <f t="shared" si="1098"/>
        <v>0.2167</v>
      </c>
      <c r="GN59" s="127">
        <f t="shared" si="1099"/>
        <v>0.86680000000000001</v>
      </c>
      <c r="GO59" s="57">
        <f t="shared" si="208"/>
        <v>0.29500749999999998</v>
      </c>
      <c r="GP59" s="87">
        <f t="shared" si="209"/>
        <v>0.97869600000000001</v>
      </c>
      <c r="GQ59" s="37">
        <f t="shared" si="891"/>
        <v>0</v>
      </c>
      <c r="GR59" s="37">
        <f t="shared" si="892"/>
        <v>0</v>
      </c>
      <c r="GS59" s="57">
        <f t="shared" si="1031"/>
        <v>0.10934492929862503</v>
      </c>
      <c r="GT59" s="57">
        <f t="shared" si="1032"/>
        <v>54.672464649312509</v>
      </c>
      <c r="GU59" s="57">
        <f t="shared" si="1033"/>
        <v>0</v>
      </c>
      <c r="GV59" s="127">
        <f t="shared" si="1034"/>
        <v>0</v>
      </c>
      <c r="GW59" s="37">
        <f t="shared" si="1162"/>
        <v>0.1027451444140625</v>
      </c>
      <c r="GX59" s="37">
        <f t="shared" si="1163"/>
        <v>2.6300542187500002</v>
      </c>
      <c r="GY59" s="37">
        <f>1/10*($FH59*$FQ59*$FO59*$FS59+$FH58*$FQ58*$FO58*$FS58+$FH57*$FQ57*$FO57*$FS57)</f>
        <v>3.7363856250000006E-4</v>
      </c>
      <c r="GZ59" s="37">
        <f>1/10*($FI59*$FQ59*$FP59*$FT59+$FI58*$FQ58*$FP58*$FT58+$FI57*$FQ57*$FP57*$FT57)</f>
        <v>0.18681928125000002</v>
      </c>
      <c r="HA59" s="37">
        <f>1/10*($FH59*$FR59*$FO59*$FS59+$FH58*$FR58*$FO58*$FS58+$FH57*$FR57*$FO57*$FS57)</f>
        <v>0</v>
      </c>
      <c r="HB59" s="142">
        <f>1/10*($FI59*$FR59*$FP59*$FT59+$FI58*$FR58*$FP58*$FT58+$FI57*$FR57*$FP57*$FT57)</f>
        <v>0</v>
      </c>
      <c r="HC59" s="57">
        <f t="shared" si="212"/>
        <v>0.21246371227518754</v>
      </c>
      <c r="HD59" s="39">
        <f t="shared" si="213"/>
        <v>57.489338149312509</v>
      </c>
      <c r="HE59" s="527"/>
      <c r="HF59" s="530">
        <f t="shared" si="775"/>
        <v>0.89634999999999998</v>
      </c>
      <c r="HG59" s="530">
        <f t="shared" si="776"/>
        <v>1.1130499999999999</v>
      </c>
      <c r="HH59" s="530">
        <f t="shared" si="777"/>
        <v>0</v>
      </c>
      <c r="HI59" s="530">
        <f t="shared" si="778"/>
        <v>0</v>
      </c>
      <c r="HJ59" s="530">
        <f t="shared" si="779"/>
        <v>0.59099999999999997</v>
      </c>
      <c r="HK59" s="531">
        <f t="shared" si="780"/>
        <v>0.59099999999999997</v>
      </c>
      <c r="HL59" s="530">
        <f t="shared" si="781"/>
        <v>0</v>
      </c>
      <c r="HM59" s="530">
        <f t="shared" si="782"/>
        <v>0</v>
      </c>
      <c r="HN59" s="530">
        <f t="shared" si="783"/>
        <v>5.8439703124999998</v>
      </c>
      <c r="HO59" s="530">
        <f t="shared" si="784"/>
        <v>127.37197312499998</v>
      </c>
      <c r="HP59" s="530">
        <f t="shared" si="785"/>
        <v>0.98499999999999999</v>
      </c>
      <c r="HQ59" s="531">
        <f t="shared" si="786"/>
        <v>0.98499999999999999</v>
      </c>
      <c r="HR59" s="530">
        <f t="shared" si="214"/>
        <v>3.2165225737126875</v>
      </c>
      <c r="HS59" s="530">
        <f t="shared" si="787"/>
        <v>60.494854149312509</v>
      </c>
      <c r="HT59" s="530">
        <f t="shared" si="788"/>
        <v>7.3874999999999996E-2</v>
      </c>
      <c r="HU59" s="530">
        <f t="shared" si="789"/>
        <v>0.10637999999999999</v>
      </c>
      <c r="HV59" s="530">
        <f t="shared" si="790"/>
        <v>27.216699999999999</v>
      </c>
      <c r="HW59" s="531">
        <f t="shared" si="791"/>
        <v>27.866800000000001</v>
      </c>
      <c r="IG59" s="560"/>
      <c r="IH59" s="530">
        <f t="shared" si="215"/>
        <v>9.8598500000000016E-3</v>
      </c>
      <c r="II59" s="530">
        <f t="shared" si="216"/>
        <v>8.0671500000000004E-3</v>
      </c>
      <c r="IJ59" s="530">
        <f t="shared" si="217"/>
        <v>1.6134300000000001E-2</v>
      </c>
      <c r="IK59" s="530">
        <f t="shared" si="893"/>
        <v>8.0671500000000004E-3</v>
      </c>
      <c r="IL59" s="530">
        <f t="shared" si="894"/>
        <v>0.75741574999999994</v>
      </c>
      <c r="IM59" s="530">
        <f t="shared" si="895"/>
        <v>8.9634999999999997E-4</v>
      </c>
      <c r="IN59" s="530">
        <f t="shared" si="896"/>
        <v>8.9634999999999997E-4</v>
      </c>
      <c r="IO59" s="530">
        <f t="shared" si="222"/>
        <v>3.6730649999999997E-2</v>
      </c>
      <c r="IP59" s="530">
        <f t="shared" si="223"/>
        <v>4.563504999999999E-2</v>
      </c>
      <c r="IQ59" s="530">
        <f t="shared" si="897"/>
        <v>5.7878599999999995E-2</v>
      </c>
      <c r="IR59" s="530">
        <f t="shared" si="898"/>
        <v>4.563504999999999E-2</v>
      </c>
      <c r="IS59" s="530">
        <f t="shared" si="899"/>
        <v>0.94275334999999982</v>
      </c>
      <c r="IT59" s="530">
        <f t="shared" si="900"/>
        <v>1.11305E-2</v>
      </c>
      <c r="IU59" s="518">
        <f t="shared" si="901"/>
        <v>1.11305E-2</v>
      </c>
      <c r="IV59" s="57">
        <f t="shared" si="229"/>
        <v>0</v>
      </c>
      <c r="IW59" s="57">
        <f t="shared" si="230"/>
        <v>0</v>
      </c>
      <c r="IX59" s="530">
        <f t="shared" si="792"/>
        <v>0</v>
      </c>
      <c r="IY59" s="530">
        <f t="shared" si="793"/>
        <v>0</v>
      </c>
      <c r="IZ59" s="530">
        <f t="shared" si="794"/>
        <v>0</v>
      </c>
      <c r="JA59" s="530">
        <f t="shared" si="795"/>
        <v>0</v>
      </c>
      <c r="JB59" s="530">
        <f t="shared" si="796"/>
        <v>0</v>
      </c>
      <c r="JC59" s="530">
        <f t="shared" si="231"/>
        <v>0</v>
      </c>
      <c r="JD59" s="530">
        <f t="shared" si="232"/>
        <v>0</v>
      </c>
      <c r="JE59" s="530">
        <f t="shared" si="797"/>
        <v>0</v>
      </c>
      <c r="JF59" s="530">
        <f t="shared" si="798"/>
        <v>0</v>
      </c>
      <c r="JG59" s="530">
        <f t="shared" si="799"/>
        <v>0</v>
      </c>
      <c r="JH59" s="530">
        <f t="shared" si="800"/>
        <v>0</v>
      </c>
      <c r="JI59" s="87">
        <f t="shared" si="801"/>
        <v>0</v>
      </c>
      <c r="JJ59" s="57">
        <f t="shared" si="233"/>
        <v>6.5010000000000007E-3</v>
      </c>
      <c r="JK59" s="57">
        <f t="shared" si="234"/>
        <v>5.3189999999999999E-3</v>
      </c>
      <c r="JL59" s="530">
        <f t="shared" si="802"/>
        <v>1.0638E-2</v>
      </c>
      <c r="JM59" s="530">
        <f t="shared" si="803"/>
        <v>5.3189999999999999E-3</v>
      </c>
      <c r="JN59" s="530">
        <f t="shared" si="804"/>
        <v>0.49939499999999998</v>
      </c>
      <c r="JO59" s="530">
        <f t="shared" si="805"/>
        <v>5.9099999999999995E-4</v>
      </c>
      <c r="JP59" s="530">
        <f t="shared" si="806"/>
        <v>5.9099999999999995E-4</v>
      </c>
      <c r="JQ59" s="530">
        <f t="shared" si="235"/>
        <v>1.9503E-2</v>
      </c>
      <c r="JR59" s="530">
        <f t="shared" si="236"/>
        <v>2.4230999999999996E-2</v>
      </c>
      <c r="JS59" s="57">
        <f t="shared" si="807"/>
        <v>3.0732000000000002E-2</v>
      </c>
      <c r="JT59" s="57">
        <f t="shared" si="808"/>
        <v>2.4230999999999996E-2</v>
      </c>
      <c r="JU59" s="57">
        <f t="shared" si="809"/>
        <v>0.50057699999999994</v>
      </c>
      <c r="JV59" s="57">
        <f t="shared" si="810"/>
        <v>5.9099999999999995E-3</v>
      </c>
      <c r="JW59" s="81">
        <f t="shared" si="811"/>
        <v>5.9099999999999995E-3</v>
      </c>
      <c r="JX59" s="57">
        <f t="shared" si="237"/>
        <v>0</v>
      </c>
      <c r="JY59" s="57">
        <f t="shared" si="238"/>
        <v>0</v>
      </c>
      <c r="JZ59" s="530">
        <f t="shared" si="812"/>
        <v>0</v>
      </c>
      <c r="KA59" s="530">
        <f t="shared" si="813"/>
        <v>0</v>
      </c>
      <c r="KB59" s="530">
        <f t="shared" si="814"/>
        <v>0</v>
      </c>
      <c r="KC59" s="530">
        <f t="shared" si="815"/>
        <v>0</v>
      </c>
      <c r="KD59" s="530">
        <f t="shared" si="816"/>
        <v>0</v>
      </c>
      <c r="KE59" s="530">
        <f t="shared" si="239"/>
        <v>0</v>
      </c>
      <c r="KF59" s="530">
        <f t="shared" si="240"/>
        <v>0</v>
      </c>
      <c r="KG59" s="530">
        <f t="shared" si="817"/>
        <v>0</v>
      </c>
      <c r="KH59" s="530">
        <f t="shared" si="818"/>
        <v>0</v>
      </c>
      <c r="KI59" s="530">
        <f t="shared" si="819"/>
        <v>0</v>
      </c>
      <c r="KJ59" s="530">
        <f t="shared" si="820"/>
        <v>0</v>
      </c>
      <c r="KK59" s="518">
        <f t="shared" si="821"/>
        <v>0</v>
      </c>
      <c r="KL59" s="57">
        <f t="shared" si="241"/>
        <v>6.4283673437500008E-2</v>
      </c>
      <c r="KM59" s="57">
        <f t="shared" si="242"/>
        <v>5.2595732812500004E-2</v>
      </c>
      <c r="KN59" s="530">
        <f t="shared" si="822"/>
        <v>0.10519146562500001</v>
      </c>
      <c r="KO59" s="530">
        <f t="shared" si="823"/>
        <v>5.2595732812500004E-2</v>
      </c>
      <c r="KP59" s="530">
        <f t="shared" si="824"/>
        <v>4.9381549140624994</v>
      </c>
      <c r="KQ59" s="530">
        <f t="shared" si="825"/>
        <v>5.8439703125000002E-3</v>
      </c>
      <c r="KR59" s="530">
        <f t="shared" si="826"/>
        <v>5.8439703125000002E-3</v>
      </c>
      <c r="KS59" s="530">
        <f t="shared" si="243"/>
        <v>4.2032751131249997</v>
      </c>
      <c r="KT59" s="530">
        <f t="shared" si="244"/>
        <v>5.2222508981249982</v>
      </c>
      <c r="KU59" s="530">
        <f t="shared" si="827"/>
        <v>6.6233426024999993</v>
      </c>
      <c r="KV59" s="530">
        <f t="shared" si="828"/>
        <v>5.2222508981249982</v>
      </c>
      <c r="KW59" s="530">
        <f t="shared" si="829"/>
        <v>107.88406123687498</v>
      </c>
      <c r="KX59" s="530">
        <f t="shared" si="830"/>
        <v>1.2737197312499999</v>
      </c>
      <c r="KY59" s="87">
        <f t="shared" si="831"/>
        <v>1.2737197312499999</v>
      </c>
      <c r="KZ59" s="57">
        <f t="shared" si="245"/>
        <v>1.0835000000000001E-2</v>
      </c>
      <c r="LA59" s="57">
        <f t="shared" si="246"/>
        <v>8.8650000000000014E-3</v>
      </c>
      <c r="LB59" s="530">
        <f t="shared" si="832"/>
        <v>1.7730000000000003E-2</v>
      </c>
      <c r="LC59" s="530">
        <f t="shared" si="833"/>
        <v>8.8650000000000014E-3</v>
      </c>
      <c r="LD59" s="530">
        <f t="shared" si="834"/>
        <v>0.83232499999999998</v>
      </c>
      <c r="LE59" s="530">
        <f t="shared" si="835"/>
        <v>9.8499999999999998E-4</v>
      </c>
      <c r="LF59" s="530">
        <f t="shared" si="836"/>
        <v>9.8499999999999998E-4</v>
      </c>
      <c r="LG59" s="530">
        <f t="shared" si="247"/>
        <v>3.2504999999999999E-2</v>
      </c>
      <c r="LH59" s="530">
        <f t="shared" si="248"/>
        <v>4.0384999999999997E-2</v>
      </c>
      <c r="LI59" s="57">
        <f t="shared" si="837"/>
        <v>5.1220000000000002E-2</v>
      </c>
      <c r="LJ59" s="57">
        <f t="shared" si="838"/>
        <v>4.0384999999999997E-2</v>
      </c>
      <c r="LK59" s="57">
        <f t="shared" si="839"/>
        <v>0.83429500000000001</v>
      </c>
      <c r="LL59" s="57">
        <f t="shared" si="840"/>
        <v>9.8499999999999994E-3</v>
      </c>
      <c r="LM59" s="81">
        <f t="shared" si="841"/>
        <v>9.8499999999999994E-3</v>
      </c>
      <c r="LN59" s="57">
        <f t="shared" si="249"/>
        <v>3.5381748310839563E-3</v>
      </c>
      <c r="LO59" s="57">
        <f t="shared" si="250"/>
        <v>9.6495677211380615E-4</v>
      </c>
      <c r="LP59" s="530">
        <f t="shared" si="842"/>
        <v>1.6404265125934708E-2</v>
      </c>
      <c r="LQ59" s="530">
        <f t="shared" si="843"/>
        <v>2.6375485104444034E-2</v>
      </c>
      <c r="LR59" s="530">
        <f t="shared" si="844"/>
        <v>2.5732180589701503</v>
      </c>
      <c r="LS59" s="530">
        <f t="shared" si="845"/>
        <v>2.7983746391300378E-2</v>
      </c>
      <c r="LT59" s="530">
        <f t="shared" si="846"/>
        <v>3.2165225737126875E-3</v>
      </c>
      <c r="LU59" s="530">
        <f t="shared" si="251"/>
        <v>3.6296912489587503</v>
      </c>
      <c r="LV59" s="530">
        <f t="shared" si="252"/>
        <v>1.8148456244793751</v>
      </c>
      <c r="LW59" s="530">
        <f t="shared" si="847"/>
        <v>4.234639790451876</v>
      </c>
      <c r="LX59" s="530">
        <f t="shared" si="848"/>
        <v>3.6296912489587503</v>
      </c>
      <c r="LY59" s="530">
        <f t="shared" si="849"/>
        <v>59.829410753670075</v>
      </c>
      <c r="LZ59" s="530">
        <f t="shared" si="850"/>
        <v>0.60494854149312516</v>
      </c>
      <c r="MA59" s="127">
        <f t="shared" si="851"/>
        <v>0.60494854149312516</v>
      </c>
      <c r="MB59" s="57">
        <f t="shared" si="253"/>
        <v>8.1262500000000003E-5</v>
      </c>
      <c r="MC59" s="57">
        <f t="shared" si="254"/>
        <v>2.2162499999999997E-5</v>
      </c>
      <c r="MD59" s="530">
        <f t="shared" si="852"/>
        <v>3.767625E-4</v>
      </c>
      <c r="ME59" s="530">
        <f t="shared" si="853"/>
        <v>6.0577499999999991E-4</v>
      </c>
      <c r="MF59" s="530">
        <f t="shared" si="854"/>
        <v>5.91E-2</v>
      </c>
      <c r="MG59" s="530">
        <f t="shared" si="855"/>
        <v>6.4271249999999988E-4</v>
      </c>
      <c r="MH59" s="530">
        <f t="shared" si="856"/>
        <v>7.3874999999999993E-5</v>
      </c>
      <c r="MI59" s="530">
        <f t="shared" si="255"/>
        <v>6.3827999999999992E-3</v>
      </c>
      <c r="MJ59" s="530">
        <f t="shared" si="256"/>
        <v>3.1913999999999996E-3</v>
      </c>
      <c r="MK59" s="530">
        <f t="shared" si="857"/>
        <v>7.4466000000000003E-3</v>
      </c>
      <c r="ML59" s="530">
        <f t="shared" si="858"/>
        <v>6.3827999999999992E-3</v>
      </c>
      <c r="MM59" s="530">
        <f t="shared" si="859"/>
        <v>0.10520982</v>
      </c>
      <c r="MN59" s="530">
        <f t="shared" si="860"/>
        <v>1.0637999999999999E-3</v>
      </c>
      <c r="MO59" s="127">
        <f t="shared" si="861"/>
        <v>1.0637999999999999E-3</v>
      </c>
      <c r="MP59" s="57">
        <f t="shared" si="257"/>
        <v>2.9938370000000002E-2</v>
      </c>
      <c r="MQ59" s="57">
        <f t="shared" si="258"/>
        <v>8.1650099999999986E-3</v>
      </c>
      <c r="MR59" s="530">
        <f t="shared" si="862"/>
        <v>0.13880517000000001</v>
      </c>
      <c r="MS59" s="530">
        <f t="shared" si="863"/>
        <v>0.22317693999999996</v>
      </c>
      <c r="MT59" s="530">
        <f t="shared" si="864"/>
        <v>21.77336</v>
      </c>
      <c r="MU59" s="530">
        <f t="shared" si="865"/>
        <v>0.23678528999999998</v>
      </c>
      <c r="MV59" s="530">
        <f t="shared" si="866"/>
        <v>2.72167E-2</v>
      </c>
      <c r="MW59" s="530">
        <f t="shared" si="259"/>
        <v>1.6720079999999999</v>
      </c>
      <c r="MX59" s="530">
        <f t="shared" si="260"/>
        <v>0.83600399999999997</v>
      </c>
      <c r="MY59" s="57">
        <f t="shared" si="867"/>
        <v>1.9506760000000003</v>
      </c>
      <c r="MZ59" s="57">
        <f t="shared" si="868"/>
        <v>1.6720079999999999</v>
      </c>
      <c r="NA59" s="57">
        <f t="shared" si="869"/>
        <v>27.560265200000003</v>
      </c>
      <c r="NB59" s="57">
        <f t="shared" si="870"/>
        <v>0.27866800000000003</v>
      </c>
      <c r="NC59" s="81">
        <f t="shared" si="871"/>
        <v>0.27866800000000003</v>
      </c>
    </row>
    <row r="60" spans="1:367" x14ac:dyDescent="0.25">
      <c r="A60" s="9">
        <v>2005</v>
      </c>
      <c r="B60" s="10">
        <v>73</v>
      </c>
      <c r="C60" s="645">
        <v>162</v>
      </c>
      <c r="D60" s="645">
        <v>170</v>
      </c>
      <c r="E60" s="657">
        <v>170</v>
      </c>
      <c r="F60" s="666">
        <f t="shared" si="1164"/>
        <v>71.905000000000001</v>
      </c>
      <c r="G60" s="666">
        <f t="shared" si="1165"/>
        <v>159.57</v>
      </c>
      <c r="H60" s="467">
        <f t="shared" si="1100"/>
        <v>167.45</v>
      </c>
      <c r="I60" s="467">
        <f t="shared" si="1101"/>
        <v>167.45</v>
      </c>
      <c r="J60" s="1085">
        <f>'POSF Zone Def'!BQ130</f>
        <v>30.0334</v>
      </c>
      <c r="K60" s="1085">
        <f t="shared" si="734"/>
        <v>30.0334</v>
      </c>
      <c r="L60" s="666">
        <f t="shared" si="751"/>
        <v>239.35499999999999</v>
      </c>
      <c r="M60" s="667">
        <f t="shared" si="1102"/>
        <v>327.02</v>
      </c>
      <c r="N60" s="195">
        <v>2E-3</v>
      </c>
      <c r="O60" s="196">
        <v>0</v>
      </c>
      <c r="P60" s="196">
        <v>0</v>
      </c>
      <c r="Q60" s="197">
        <v>6.0000000000000001E-3</v>
      </c>
      <c r="R60" s="48">
        <v>0</v>
      </c>
      <c r="S60" s="48">
        <v>2.7000000000000001E-3</v>
      </c>
      <c r="T60" s="48">
        <v>0</v>
      </c>
      <c r="U60" s="48">
        <v>1.18E-2</v>
      </c>
      <c r="V60" s="118">
        <v>1.0000000000000001E-5</v>
      </c>
      <c r="W60" s="48">
        <v>2.9999999999999997E-4</v>
      </c>
      <c r="X60" s="53">
        <v>0</v>
      </c>
      <c r="Y60" s="53">
        <v>3.1E-2</v>
      </c>
      <c r="Z60" s="487">
        <v>5.2999999999999999E-2</v>
      </c>
      <c r="AA60" s="53">
        <f t="shared" si="147"/>
        <v>0.1</v>
      </c>
      <c r="AB60" s="53">
        <f t="shared" si="148"/>
        <v>0</v>
      </c>
      <c r="AC60" s="53">
        <f t="shared" si="149"/>
        <v>0.9</v>
      </c>
      <c r="AD60" s="56">
        <f t="shared" si="1166"/>
        <v>0.14380999999999999</v>
      </c>
      <c r="AE60" s="57">
        <f t="shared" si="1167"/>
        <v>0.31913999999999998</v>
      </c>
      <c r="AF60" s="57">
        <f t="shared" si="1168"/>
        <v>0</v>
      </c>
      <c r="AG60" s="57">
        <f t="shared" si="1169"/>
        <v>0</v>
      </c>
      <c r="AH60" s="57">
        <f t="shared" si="1170"/>
        <v>0</v>
      </c>
      <c r="AI60" s="57">
        <f t="shared" si="1171"/>
        <v>0</v>
      </c>
      <c r="AJ60" s="126">
        <f t="shared" si="1103"/>
        <v>1.3563449999999999</v>
      </c>
      <c r="AK60" s="57">
        <f t="shared" si="1104"/>
        <v>1.3563449999999999</v>
      </c>
      <c r="AL60" s="57">
        <f t="shared" si="1105"/>
        <v>0</v>
      </c>
      <c r="AM60" s="57">
        <f t="shared" si="1106"/>
        <v>0</v>
      </c>
      <c r="AN60" s="57">
        <f t="shared" si="1107"/>
        <v>1.0046999999999999</v>
      </c>
      <c r="AO60" s="127">
        <f t="shared" si="1108"/>
        <v>1.0046999999999999</v>
      </c>
      <c r="AP60" s="57">
        <f t="shared" si="1172"/>
        <v>1.5001549999999999</v>
      </c>
      <c r="AQ60" s="57">
        <f t="shared" si="1172"/>
        <v>1.6754849999999999</v>
      </c>
      <c r="AR60" s="57">
        <f t="shared" si="1172"/>
        <v>0</v>
      </c>
      <c r="AS60" s="57">
        <f t="shared" si="1109"/>
        <v>0</v>
      </c>
      <c r="AT60" s="57">
        <f t="shared" si="1109"/>
        <v>1.0046999999999999</v>
      </c>
      <c r="AU60" s="87">
        <f t="shared" si="1109"/>
        <v>1.0046999999999999</v>
      </c>
      <c r="AV60" s="56">
        <f t="shared" si="1110"/>
        <v>0</v>
      </c>
      <c r="AW60" s="57">
        <f t="shared" si="1111"/>
        <v>0</v>
      </c>
      <c r="AX60" s="57">
        <f t="shared" si="1112"/>
        <v>0.19414350000000002</v>
      </c>
      <c r="AY60" s="57">
        <f t="shared" si="1113"/>
        <v>0.43083900000000003</v>
      </c>
      <c r="AZ60" s="57">
        <f t="shared" si="1114"/>
        <v>0</v>
      </c>
      <c r="BA60" s="57">
        <f t="shared" si="1115"/>
        <v>0</v>
      </c>
      <c r="BB60" s="126">
        <f t="shared" si="1116"/>
        <v>0</v>
      </c>
      <c r="BC60" s="57">
        <f t="shared" si="1117"/>
        <v>0</v>
      </c>
      <c r="BD60" s="57">
        <f t="shared" si="1118"/>
        <v>0.90422999999999998</v>
      </c>
      <c r="BE60" s="57">
        <f t="shared" si="1119"/>
        <v>0.90422999999999998</v>
      </c>
      <c r="BF60" s="57">
        <f t="shared" si="1120"/>
        <v>1.6744999999999999</v>
      </c>
      <c r="BG60" s="57">
        <f t="shared" si="1121"/>
        <v>1.6744999999999999</v>
      </c>
      <c r="BH60" s="57">
        <f t="shared" si="1122"/>
        <v>0</v>
      </c>
      <c r="BI60" s="57">
        <f t="shared" si="1122"/>
        <v>0</v>
      </c>
      <c r="BJ60" s="57">
        <f t="shared" si="1122"/>
        <v>1.0983735000000001</v>
      </c>
      <c r="BK60" s="57">
        <f t="shared" si="1122"/>
        <v>1.3350690000000001</v>
      </c>
      <c r="BL60" s="57">
        <f t="shared" si="1122"/>
        <v>1.6744999999999999</v>
      </c>
      <c r="BM60" s="57">
        <f t="shared" si="1122"/>
        <v>1.6744999999999999</v>
      </c>
      <c r="BN60" s="56">
        <f t="shared" si="1123"/>
        <v>7.1905000000000005E-4</v>
      </c>
      <c r="BO60" s="57">
        <f t="shared" si="1124"/>
        <v>1.5957E-3</v>
      </c>
      <c r="BP60" s="57">
        <f t="shared" si="1125"/>
        <v>2.1571499999999997E-2</v>
      </c>
      <c r="BQ60" s="57">
        <f t="shared" si="1126"/>
        <v>4.7870999999999997E-2</v>
      </c>
      <c r="BR60" s="57">
        <f t="shared" si="1127"/>
        <v>0</v>
      </c>
      <c r="BS60" s="57">
        <f t="shared" si="1128"/>
        <v>0</v>
      </c>
      <c r="BT60" s="126">
        <f t="shared" si="1129"/>
        <v>6.698E-3</v>
      </c>
      <c r="BU60" s="57">
        <f t="shared" si="1130"/>
        <v>6.698E-3</v>
      </c>
      <c r="BV60" s="57">
        <f t="shared" si="1131"/>
        <v>0.10046999999999999</v>
      </c>
      <c r="BW60" s="57">
        <f t="shared" si="1132"/>
        <v>0.10046999999999999</v>
      </c>
      <c r="BX60" s="57">
        <f t="shared" si="1133"/>
        <v>1.8419499999999998</v>
      </c>
      <c r="BY60" s="57">
        <f t="shared" si="1134"/>
        <v>1.8419499999999998</v>
      </c>
      <c r="BZ60" s="126">
        <f t="shared" si="1135"/>
        <v>7.4170499999999997E-3</v>
      </c>
      <c r="CA60" s="57">
        <f t="shared" si="1135"/>
        <v>8.2936999999999993E-3</v>
      </c>
      <c r="CB60" s="57">
        <f t="shared" si="1135"/>
        <v>0.12204149999999998</v>
      </c>
      <c r="CC60" s="57">
        <f t="shared" si="1135"/>
        <v>0.148341</v>
      </c>
      <c r="CD60" s="57">
        <f t="shared" si="1135"/>
        <v>1.8419499999999998</v>
      </c>
      <c r="CE60" s="518">
        <f t="shared" si="1135"/>
        <v>1.8419499999999998</v>
      </c>
      <c r="CF60" s="57">
        <f t="shared" si="173"/>
        <v>3.0033400000000001</v>
      </c>
      <c r="CG60" s="57">
        <f t="shared" si="1173"/>
        <v>3.0033400000000001</v>
      </c>
      <c r="CH60" s="57">
        <f t="shared" si="175"/>
        <v>0</v>
      </c>
      <c r="CI60" s="57">
        <f t="shared" si="1174"/>
        <v>0</v>
      </c>
      <c r="CJ60" s="57">
        <f t="shared" si="176"/>
        <v>27.030060000000002</v>
      </c>
      <c r="CK60" s="57">
        <f t="shared" si="1175"/>
        <v>27.030060000000002</v>
      </c>
      <c r="CL60" s="3"/>
      <c r="CM60" s="59">
        <f t="shared" si="1083"/>
        <v>68.094035000000005</v>
      </c>
      <c r="CN60" s="62">
        <f t="shared" si="1136"/>
        <v>151.11278999999999</v>
      </c>
      <c r="CO60" s="128">
        <f t="shared" si="1137"/>
        <v>128.54174999999998</v>
      </c>
      <c r="CP60" s="129">
        <f t="shared" si="1138"/>
        <v>128.54174999999998</v>
      </c>
      <c r="CQ60" s="62">
        <f t="shared" si="1176"/>
        <v>196.635785</v>
      </c>
      <c r="CR60" s="60">
        <f t="shared" si="1176"/>
        <v>279.65454</v>
      </c>
      <c r="CS60" s="33">
        <v>1</v>
      </c>
      <c r="CT60" s="34">
        <f t="shared" si="178"/>
        <v>0</v>
      </c>
      <c r="CU60" s="34">
        <v>0.5</v>
      </c>
      <c r="CV60" s="35">
        <f t="shared" si="1177"/>
        <v>0.5</v>
      </c>
      <c r="CW60" s="36">
        <f t="shared" si="1178"/>
        <v>0</v>
      </c>
      <c r="CX60" s="37">
        <f t="shared" si="1179"/>
        <v>0</v>
      </c>
      <c r="CY60" s="57">
        <f t="shared" si="1180"/>
        <v>0</v>
      </c>
      <c r="CZ60" s="127">
        <f t="shared" si="1181"/>
        <v>0</v>
      </c>
      <c r="DA60" s="37">
        <f t="shared" si="1139"/>
        <v>56.237015624999991</v>
      </c>
      <c r="DB60" s="37">
        <f t="shared" si="1140"/>
        <v>56.237015624999991</v>
      </c>
      <c r="DC60" s="37">
        <f t="shared" si="1141"/>
        <v>56.237015624999991</v>
      </c>
      <c r="DD60" s="142">
        <f t="shared" si="1142"/>
        <v>56.237015624999991</v>
      </c>
      <c r="DE60" s="37">
        <f t="shared" si="768"/>
        <v>56.237015624999991</v>
      </c>
      <c r="DF60" s="37">
        <f t="shared" si="1182"/>
        <v>56.237015624999991</v>
      </c>
      <c r="DG60" s="37">
        <f t="shared" si="1183"/>
        <v>56.237015624999991</v>
      </c>
      <c r="DH60" s="39">
        <f t="shared" si="1184"/>
        <v>56.237015624999991</v>
      </c>
      <c r="DJ60" s="496">
        <v>1</v>
      </c>
      <c r="DK60" s="497">
        <v>0.125</v>
      </c>
      <c r="DL60" s="37">
        <f t="shared" si="1143"/>
        <v>68.094035000000005</v>
      </c>
      <c r="DM60" s="37">
        <f t="shared" si="1144"/>
        <v>151.11278999999999</v>
      </c>
      <c r="DN60" s="37">
        <f t="shared" si="1084"/>
        <v>16.067718749999997</v>
      </c>
      <c r="DO60" s="37">
        <f t="shared" si="1085"/>
        <v>16.067718749999997</v>
      </c>
      <c r="DP60" s="33">
        <v>1</v>
      </c>
      <c r="DQ60" s="34">
        <f>IF($DQ$57=0.1,0.1,0.2)</f>
        <v>0.1</v>
      </c>
      <c r="DR60" s="34">
        <v>0.625</v>
      </c>
      <c r="DS60" s="681">
        <f t="shared" si="185"/>
        <v>0.1</v>
      </c>
      <c r="DT60" s="78">
        <f t="shared" si="186"/>
        <v>1</v>
      </c>
      <c r="DU60" s="34">
        <v>0</v>
      </c>
      <c r="DV60" s="34">
        <v>1</v>
      </c>
      <c r="DW60" s="34">
        <v>0</v>
      </c>
      <c r="DX60" s="34">
        <v>0</v>
      </c>
      <c r="DY60" s="34">
        <v>1</v>
      </c>
      <c r="DZ60" s="34">
        <v>0</v>
      </c>
      <c r="EA60" s="85">
        <f t="shared" si="888"/>
        <v>0</v>
      </c>
      <c r="EB60" s="57">
        <f t="shared" si="1185"/>
        <v>0</v>
      </c>
      <c r="EC60" s="57">
        <f t="shared" si="889"/>
        <v>5.7366892500000004</v>
      </c>
      <c r="ED60" s="57">
        <f t="shared" si="1186"/>
        <v>103.19044687499999</v>
      </c>
      <c r="EE60" s="57">
        <f t="shared" si="890"/>
        <v>0</v>
      </c>
      <c r="EF60" s="57">
        <f t="shared" si="1187"/>
        <v>0</v>
      </c>
      <c r="EG60" s="126">
        <f t="shared" si="1145"/>
        <v>0</v>
      </c>
      <c r="EH60" s="57">
        <f t="shared" si="1146"/>
        <v>0</v>
      </c>
      <c r="EI60" s="57">
        <f t="shared" si="1147"/>
        <v>1.1988828125</v>
      </c>
      <c r="EJ60" s="57">
        <f t="shared" si="1148"/>
        <v>11.988828124999998</v>
      </c>
      <c r="EK60" s="57">
        <f t="shared" si="1149"/>
        <v>0</v>
      </c>
      <c r="EL60" s="127">
        <f t="shared" si="1150"/>
        <v>0</v>
      </c>
      <c r="EM60" s="57">
        <f t="shared" si="193"/>
        <v>6.9355720625000004</v>
      </c>
      <c r="EN60" s="81">
        <f t="shared" si="194"/>
        <v>115.17927499999999</v>
      </c>
      <c r="EP60" s="85">
        <f t="shared" si="769"/>
        <v>7.1905000000000005E-4</v>
      </c>
      <c r="EQ60" s="57">
        <f t="shared" si="1151"/>
        <v>1.5957E-3</v>
      </c>
      <c r="ER60" s="57">
        <f t="shared" si="770"/>
        <v>2.1571499999999997E-2</v>
      </c>
      <c r="ES60" s="57">
        <f t="shared" si="1152"/>
        <v>4.7870999999999997E-2</v>
      </c>
      <c r="ET60" s="57">
        <f t="shared" si="771"/>
        <v>0</v>
      </c>
      <c r="EU60" s="127">
        <f t="shared" si="1153"/>
        <v>0</v>
      </c>
      <c r="EV60" s="126">
        <f t="shared" si="1086"/>
        <v>6.698E-3</v>
      </c>
      <c r="EW60" s="57">
        <f t="shared" si="1087"/>
        <v>6.698E-3</v>
      </c>
      <c r="EX60" s="57">
        <f t="shared" si="1088"/>
        <v>0.10046999999999999</v>
      </c>
      <c r="EY60" s="57">
        <f t="shared" si="1089"/>
        <v>0.10046999999999999</v>
      </c>
      <c r="EZ60" s="57">
        <f t="shared" si="1090"/>
        <v>1.8419499999999998</v>
      </c>
      <c r="FA60" s="87">
        <f t="shared" si="1091"/>
        <v>1.8419499999999998</v>
      </c>
      <c r="FB60" s="36">
        <f t="shared" si="1188"/>
        <v>0</v>
      </c>
      <c r="FC60" s="37">
        <f t="shared" si="1189"/>
        <v>0</v>
      </c>
      <c r="FD60" s="37">
        <f t="shared" si="1154"/>
        <v>56.237015624999991</v>
      </c>
      <c r="FE60" s="37">
        <f t="shared" si="1155"/>
        <v>56.237015624999991</v>
      </c>
      <c r="FF60" s="36">
        <f t="shared" si="772"/>
        <v>0</v>
      </c>
      <c r="FG60" s="37">
        <f t="shared" si="1156"/>
        <v>0</v>
      </c>
      <c r="FH60" s="37">
        <f t="shared" si="1157"/>
        <v>56.237015624999991</v>
      </c>
      <c r="FI60" s="37">
        <f t="shared" si="1158"/>
        <v>56.237015624999991</v>
      </c>
      <c r="FJ60" s="33">
        <v>1</v>
      </c>
      <c r="FK60" s="34">
        <v>0.2</v>
      </c>
      <c r="FL60" s="502">
        <v>0.8</v>
      </c>
      <c r="FM60" s="34">
        <f>IF($FM$57=0.1,0.1,0.2)</f>
        <v>0.1</v>
      </c>
      <c r="FN60" s="502">
        <v>0.625</v>
      </c>
      <c r="FO60" s="34">
        <f t="shared" si="200"/>
        <v>0.1</v>
      </c>
      <c r="FP60" s="34">
        <f t="shared" si="201"/>
        <v>1</v>
      </c>
      <c r="FQ60" s="34">
        <v>1</v>
      </c>
      <c r="FR60" s="34">
        <v>0</v>
      </c>
      <c r="FS60" s="90">
        <f t="shared" si="202"/>
        <v>1E-3</v>
      </c>
      <c r="FT60" s="34">
        <f t="shared" si="203"/>
        <v>0.05</v>
      </c>
      <c r="FU60" s="33">
        <v>0.05</v>
      </c>
      <c r="FV60" s="35">
        <f t="shared" si="25"/>
        <v>2.4224999999999997E-2</v>
      </c>
      <c r="FW60" s="34">
        <v>0.1</v>
      </c>
      <c r="FX60" s="78">
        <f t="shared" si="26"/>
        <v>9.0000000000000011E-2</v>
      </c>
      <c r="FY60" s="33">
        <v>0.05</v>
      </c>
      <c r="FZ60" s="35">
        <f t="shared" si="1092"/>
        <v>2.4224999999999997E-2</v>
      </c>
      <c r="GA60" s="34">
        <v>0.1</v>
      </c>
      <c r="GB60" s="78">
        <f t="shared" si="1093"/>
        <v>9.0000000000000011E-2</v>
      </c>
      <c r="GC60" s="85">
        <f t="shared" si="773"/>
        <v>7.1905000000000005E-4</v>
      </c>
      <c r="GD60" s="57">
        <f t="shared" si="1159"/>
        <v>1.5957E-3</v>
      </c>
      <c r="GE60" s="57">
        <f t="shared" si="774"/>
        <v>2.1571499999999997E-2</v>
      </c>
      <c r="GF60" s="57">
        <f t="shared" si="1160"/>
        <v>4.7870999999999997E-2</v>
      </c>
      <c r="GG60" s="57">
        <f t="shared" si="1190"/>
        <v>0</v>
      </c>
      <c r="GH60" s="127">
        <f t="shared" si="1191"/>
        <v>0</v>
      </c>
      <c r="GI60" s="57">
        <f t="shared" si="1094"/>
        <v>6.698E-3</v>
      </c>
      <c r="GJ60" s="57">
        <f t="shared" si="1095"/>
        <v>6.698E-3</v>
      </c>
      <c r="GK60" s="57">
        <f t="shared" si="1096"/>
        <v>0.10046999999999999</v>
      </c>
      <c r="GL60" s="57">
        <f t="shared" si="1097"/>
        <v>0.10046999999999999</v>
      </c>
      <c r="GM60" s="57">
        <f t="shared" si="1098"/>
        <v>0.36839</v>
      </c>
      <c r="GN60" s="127">
        <f t="shared" si="1099"/>
        <v>1.47356</v>
      </c>
      <c r="GO60" s="57">
        <f t="shared" si="208"/>
        <v>0.49784854999999995</v>
      </c>
      <c r="GP60" s="87">
        <f t="shared" si="209"/>
        <v>1.6301946999999999</v>
      </c>
      <c r="GQ60" s="37">
        <f t="shared" si="891"/>
        <v>0</v>
      </c>
      <c r="GR60" s="37">
        <f t="shared" si="892"/>
        <v>0</v>
      </c>
      <c r="GS60" s="57">
        <f t="shared" si="1031"/>
        <v>9.1883672107500022E-2</v>
      </c>
      <c r="GT60" s="57">
        <f t="shared" si="1032"/>
        <v>45.941836053750009</v>
      </c>
      <c r="GU60" s="57">
        <f t="shared" si="1033"/>
        <v>0</v>
      </c>
      <c r="GV60" s="127">
        <f t="shared" si="1034"/>
        <v>0</v>
      </c>
      <c r="GW60" s="37">
        <f t="shared" si="1162"/>
        <v>0.20870962423828121</v>
      </c>
      <c r="GX60" s="37">
        <f t="shared" si="1163"/>
        <v>5.3425164843749995</v>
      </c>
      <c r="GY60" s="37">
        <f>1/10*($FH60*$FQ60*$FO60*$FS60+$FH59*$FQ59*$FO59*$FS59+$FH58*$FQ58*$FO58*$FS58+$FH57*$FQ57*$FO57*$FS57)</f>
        <v>9.3600871874999995E-4</v>
      </c>
      <c r="GZ60" s="37">
        <f>1/10*($FI60*$FQ60*$FP60*$FT60+$FI59*$FQ59*$FP59*$FT59+$FI58*$FQ58*$FP58*$FT58+$FI57*$FQ57*$FP57*$FT57)</f>
        <v>0.46800435937500001</v>
      </c>
      <c r="HA60" s="37">
        <f>1/10*($FH60*$FR60*$FO60*$FS60+$FH59*$FR59*$FO59*$FS59+$FH58*$FR58*$FO58*$FS58+$FH57*$FR57*$FO57*$FS57)</f>
        <v>0</v>
      </c>
      <c r="HB60" s="142">
        <f>1/10*($FI60*$FR60*$FP60*$FT60+$FI59*$FR59*$FP59*$FT59+$FI58*$FR58*$FP58*$FT58+$FI57*$FR57*$FP57*$FT57)</f>
        <v>0</v>
      </c>
      <c r="HC60" s="57">
        <f t="shared" si="212"/>
        <v>0.30152930506453124</v>
      </c>
      <c r="HD60" s="39">
        <f t="shared" si="213"/>
        <v>51.752356897500007</v>
      </c>
      <c r="HE60" s="527"/>
      <c r="HF60" s="530">
        <f t="shared" si="775"/>
        <v>1.5001549999999999</v>
      </c>
      <c r="HG60" s="530">
        <f t="shared" si="776"/>
        <v>1.6754849999999999</v>
      </c>
      <c r="HH60" s="530">
        <f t="shared" si="777"/>
        <v>0</v>
      </c>
      <c r="HI60" s="530">
        <f t="shared" si="778"/>
        <v>0</v>
      </c>
      <c r="HJ60" s="530">
        <f t="shared" si="779"/>
        <v>1.0046999999999999</v>
      </c>
      <c r="HK60" s="531">
        <f t="shared" si="780"/>
        <v>1.0046999999999999</v>
      </c>
      <c r="HL60" s="530">
        <f t="shared" si="781"/>
        <v>0</v>
      </c>
      <c r="HM60" s="530">
        <f t="shared" si="782"/>
        <v>0</v>
      </c>
      <c r="HN60" s="530">
        <f t="shared" si="783"/>
        <v>8.0339455625000014</v>
      </c>
      <c r="HO60" s="530">
        <f t="shared" si="784"/>
        <v>116.51434399999999</v>
      </c>
      <c r="HP60" s="530">
        <f t="shared" si="785"/>
        <v>1.6744999999999999</v>
      </c>
      <c r="HQ60" s="531">
        <f t="shared" si="786"/>
        <v>1.6744999999999999</v>
      </c>
      <c r="HR60" s="530">
        <f t="shared" si="214"/>
        <v>3.3113503463457814</v>
      </c>
      <c r="HS60" s="530">
        <f t="shared" si="787"/>
        <v>54.763990597500012</v>
      </c>
      <c r="HT60" s="530">
        <f t="shared" si="788"/>
        <v>0.12204149999999998</v>
      </c>
      <c r="HU60" s="530">
        <f t="shared" si="789"/>
        <v>0.148341</v>
      </c>
      <c r="HV60" s="530">
        <f t="shared" si="790"/>
        <v>27.398450000000004</v>
      </c>
      <c r="HW60" s="531">
        <f t="shared" si="791"/>
        <v>28.503620000000002</v>
      </c>
      <c r="IG60" s="560"/>
      <c r="IH60" s="530">
        <f t="shared" si="215"/>
        <v>1.6501705000000002E-2</v>
      </c>
      <c r="II60" s="530">
        <f t="shared" si="216"/>
        <v>1.3501395000000001E-2</v>
      </c>
      <c r="IJ60" s="530">
        <f t="shared" si="217"/>
        <v>2.7002790000000002E-2</v>
      </c>
      <c r="IK60" s="530">
        <f t="shared" si="893"/>
        <v>1.3501395000000001E-2</v>
      </c>
      <c r="IL60" s="530">
        <f t="shared" si="894"/>
        <v>1.2676309749999999</v>
      </c>
      <c r="IM60" s="530">
        <f t="shared" si="895"/>
        <v>1.500155E-3</v>
      </c>
      <c r="IN60" s="530">
        <f t="shared" si="896"/>
        <v>1.500155E-3</v>
      </c>
      <c r="IO60" s="530">
        <f t="shared" si="222"/>
        <v>5.5291004999999997E-2</v>
      </c>
      <c r="IP60" s="530">
        <f t="shared" si="223"/>
        <v>6.8694884999999983E-2</v>
      </c>
      <c r="IQ60" s="530">
        <f t="shared" si="897"/>
        <v>8.7125220000000003E-2</v>
      </c>
      <c r="IR60" s="530">
        <f t="shared" si="898"/>
        <v>6.8694884999999983E-2</v>
      </c>
      <c r="IS60" s="530">
        <f t="shared" si="899"/>
        <v>1.4191357949999999</v>
      </c>
      <c r="IT60" s="530">
        <f t="shared" si="900"/>
        <v>1.6754849999999998E-2</v>
      </c>
      <c r="IU60" s="518">
        <f t="shared" si="901"/>
        <v>1.6754849999999998E-2</v>
      </c>
      <c r="IV60" s="57">
        <f t="shared" si="229"/>
        <v>0</v>
      </c>
      <c r="IW60" s="57">
        <f t="shared" si="230"/>
        <v>0</v>
      </c>
      <c r="IX60" s="530">
        <f t="shared" si="792"/>
        <v>0</v>
      </c>
      <c r="IY60" s="530">
        <f t="shared" si="793"/>
        <v>0</v>
      </c>
      <c r="IZ60" s="530">
        <f t="shared" si="794"/>
        <v>0</v>
      </c>
      <c r="JA60" s="530">
        <f t="shared" si="795"/>
        <v>0</v>
      </c>
      <c r="JB60" s="530">
        <f t="shared" si="796"/>
        <v>0</v>
      </c>
      <c r="JC60" s="530">
        <f t="shared" si="231"/>
        <v>0</v>
      </c>
      <c r="JD60" s="530">
        <f t="shared" si="232"/>
        <v>0</v>
      </c>
      <c r="JE60" s="530">
        <f t="shared" si="797"/>
        <v>0</v>
      </c>
      <c r="JF60" s="530">
        <f t="shared" si="798"/>
        <v>0</v>
      </c>
      <c r="JG60" s="530">
        <f t="shared" si="799"/>
        <v>0</v>
      </c>
      <c r="JH60" s="530">
        <f t="shared" si="800"/>
        <v>0</v>
      </c>
      <c r="JI60" s="87">
        <f t="shared" si="801"/>
        <v>0</v>
      </c>
      <c r="JJ60" s="57">
        <f t="shared" si="233"/>
        <v>1.1051700000000001E-2</v>
      </c>
      <c r="JK60" s="57">
        <f t="shared" si="234"/>
        <v>9.0422999999999996E-3</v>
      </c>
      <c r="JL60" s="530">
        <f t="shared" si="802"/>
        <v>1.8084599999999999E-2</v>
      </c>
      <c r="JM60" s="530">
        <f t="shared" si="803"/>
        <v>9.0422999999999996E-3</v>
      </c>
      <c r="JN60" s="530">
        <f t="shared" si="804"/>
        <v>0.84897149999999988</v>
      </c>
      <c r="JO60" s="530">
        <f t="shared" si="805"/>
        <v>1.0046999999999999E-3</v>
      </c>
      <c r="JP60" s="530">
        <f t="shared" si="806"/>
        <v>1.0046999999999999E-3</v>
      </c>
      <c r="JQ60" s="530">
        <f t="shared" si="235"/>
        <v>3.31551E-2</v>
      </c>
      <c r="JR60" s="530">
        <f t="shared" si="236"/>
        <v>4.1192699999999992E-2</v>
      </c>
      <c r="JS60" s="57">
        <f t="shared" si="807"/>
        <v>5.2244400000000003E-2</v>
      </c>
      <c r="JT60" s="57">
        <f t="shared" si="808"/>
        <v>4.1192699999999992E-2</v>
      </c>
      <c r="JU60" s="57">
        <f t="shared" si="809"/>
        <v>0.85098089999999993</v>
      </c>
      <c r="JV60" s="57">
        <f t="shared" si="810"/>
        <v>1.0046999999999999E-2</v>
      </c>
      <c r="JW60" s="81">
        <f t="shared" si="811"/>
        <v>1.0046999999999999E-2</v>
      </c>
      <c r="JX60" s="57">
        <f t="shared" si="237"/>
        <v>0</v>
      </c>
      <c r="JY60" s="57">
        <f t="shared" si="238"/>
        <v>0</v>
      </c>
      <c r="JZ60" s="530">
        <f t="shared" si="812"/>
        <v>0</v>
      </c>
      <c r="KA60" s="530">
        <f t="shared" si="813"/>
        <v>0</v>
      </c>
      <c r="KB60" s="530">
        <f t="shared" si="814"/>
        <v>0</v>
      </c>
      <c r="KC60" s="530">
        <f t="shared" si="815"/>
        <v>0</v>
      </c>
      <c r="KD60" s="530">
        <f t="shared" si="816"/>
        <v>0</v>
      </c>
      <c r="KE60" s="530">
        <f t="shared" si="239"/>
        <v>0</v>
      </c>
      <c r="KF60" s="530">
        <f t="shared" si="240"/>
        <v>0</v>
      </c>
      <c r="KG60" s="530">
        <f t="shared" si="817"/>
        <v>0</v>
      </c>
      <c r="KH60" s="530">
        <f t="shared" si="818"/>
        <v>0</v>
      </c>
      <c r="KI60" s="530">
        <f t="shared" si="819"/>
        <v>0</v>
      </c>
      <c r="KJ60" s="530">
        <f t="shared" si="820"/>
        <v>0</v>
      </c>
      <c r="KK60" s="518">
        <f t="shared" si="821"/>
        <v>0</v>
      </c>
      <c r="KL60" s="57">
        <f t="shared" si="241"/>
        <v>8.837340118750002E-2</v>
      </c>
      <c r="KM60" s="57">
        <f t="shared" si="242"/>
        <v>7.2305510062500022E-2</v>
      </c>
      <c r="KN60" s="530">
        <f t="shared" si="822"/>
        <v>0.14461102012500004</v>
      </c>
      <c r="KO60" s="530">
        <f t="shared" si="823"/>
        <v>7.2305510062500022E-2</v>
      </c>
      <c r="KP60" s="530">
        <f t="shared" si="824"/>
        <v>6.7886840003125011</v>
      </c>
      <c r="KQ60" s="530">
        <f t="shared" si="825"/>
        <v>8.0339455625000021E-3</v>
      </c>
      <c r="KR60" s="530">
        <f t="shared" si="826"/>
        <v>8.0339455625000021E-3</v>
      </c>
      <c r="KS60" s="530">
        <f t="shared" si="243"/>
        <v>3.8449733519999998</v>
      </c>
      <c r="KT60" s="530">
        <f t="shared" si="244"/>
        <v>4.7770881039999988</v>
      </c>
      <c r="KU60" s="530">
        <f t="shared" si="827"/>
        <v>6.0587458879999998</v>
      </c>
      <c r="KV60" s="530">
        <f t="shared" si="828"/>
        <v>4.7770881039999988</v>
      </c>
      <c r="KW60" s="530">
        <f t="shared" si="829"/>
        <v>98.687649367999995</v>
      </c>
      <c r="KX60" s="530">
        <f t="shared" si="830"/>
        <v>1.16514344</v>
      </c>
      <c r="KY60" s="87">
        <f t="shared" si="831"/>
        <v>1.16514344</v>
      </c>
      <c r="KZ60" s="57">
        <f t="shared" si="245"/>
        <v>1.8419500000000002E-2</v>
      </c>
      <c r="LA60" s="57">
        <f t="shared" si="246"/>
        <v>1.5070500000000001E-2</v>
      </c>
      <c r="LB60" s="530">
        <f t="shared" si="832"/>
        <v>3.0141000000000001E-2</v>
      </c>
      <c r="LC60" s="530">
        <f t="shared" si="833"/>
        <v>1.5070500000000001E-2</v>
      </c>
      <c r="LD60" s="530">
        <f t="shared" si="834"/>
        <v>1.4149524999999998</v>
      </c>
      <c r="LE60" s="530">
        <f t="shared" si="835"/>
        <v>1.6745E-3</v>
      </c>
      <c r="LF60" s="530">
        <f t="shared" si="836"/>
        <v>1.6745E-3</v>
      </c>
      <c r="LG60" s="530">
        <f t="shared" si="247"/>
        <v>5.5258499999999995E-2</v>
      </c>
      <c r="LH60" s="530">
        <f t="shared" si="248"/>
        <v>6.8654499999999979E-2</v>
      </c>
      <c r="LI60" s="57">
        <f t="shared" si="837"/>
        <v>8.7073999999999999E-2</v>
      </c>
      <c r="LJ60" s="57">
        <f t="shared" si="838"/>
        <v>6.8654499999999979E-2</v>
      </c>
      <c r="LK60" s="57">
        <f t="shared" si="839"/>
        <v>1.4183014999999999</v>
      </c>
      <c r="LL60" s="57">
        <f t="shared" si="840"/>
        <v>1.6744999999999999E-2</v>
      </c>
      <c r="LM60" s="81">
        <f t="shared" si="841"/>
        <v>1.6744999999999999E-2</v>
      </c>
      <c r="LN60" s="57">
        <f t="shared" si="249"/>
        <v>3.6424853809803597E-3</v>
      </c>
      <c r="LO60" s="57">
        <f t="shared" si="250"/>
        <v>9.934051039037343E-4</v>
      </c>
      <c r="LP60" s="530">
        <f t="shared" si="842"/>
        <v>1.6887886766363488E-2</v>
      </c>
      <c r="LQ60" s="530">
        <f t="shared" si="843"/>
        <v>2.7153072840035403E-2</v>
      </c>
      <c r="LR60" s="530">
        <f t="shared" si="844"/>
        <v>2.6490802770766253</v>
      </c>
      <c r="LS60" s="530">
        <f t="shared" si="845"/>
        <v>2.8808748013208298E-2</v>
      </c>
      <c r="LT60" s="530">
        <f t="shared" si="846"/>
        <v>3.3113503463457813E-3</v>
      </c>
      <c r="LU60" s="530">
        <f t="shared" si="251"/>
        <v>3.2858394358500007</v>
      </c>
      <c r="LV60" s="530">
        <f t="shared" si="252"/>
        <v>1.6429197179250004</v>
      </c>
      <c r="LW60" s="530">
        <f t="shared" si="847"/>
        <v>3.8334793418250013</v>
      </c>
      <c r="LX60" s="530">
        <f t="shared" si="848"/>
        <v>3.2858394358500007</v>
      </c>
      <c r="LY60" s="530">
        <f t="shared" si="849"/>
        <v>54.161586700927515</v>
      </c>
      <c r="LZ60" s="530">
        <f t="shared" si="850"/>
        <v>0.54763990597500012</v>
      </c>
      <c r="MA60" s="127">
        <f t="shared" si="851"/>
        <v>0.54763990597500012</v>
      </c>
      <c r="MB60" s="57">
        <f t="shared" si="253"/>
        <v>1.3424564999999999E-4</v>
      </c>
      <c r="MC60" s="57">
        <f t="shared" si="254"/>
        <v>3.6612449999999992E-5</v>
      </c>
      <c r="MD60" s="530">
        <f t="shared" si="852"/>
        <v>6.2241164999999991E-4</v>
      </c>
      <c r="ME60" s="530">
        <f t="shared" si="853"/>
        <v>1.0007402999999996E-3</v>
      </c>
      <c r="MF60" s="530">
        <f t="shared" si="854"/>
        <v>9.7633199999999989E-2</v>
      </c>
      <c r="MG60" s="530">
        <f t="shared" si="855"/>
        <v>1.0617610499999998E-3</v>
      </c>
      <c r="MH60" s="530">
        <f t="shared" si="856"/>
        <v>1.2204149999999999E-4</v>
      </c>
      <c r="MI60" s="530">
        <f t="shared" si="255"/>
        <v>8.9004599999999989E-3</v>
      </c>
      <c r="MJ60" s="530">
        <f t="shared" si="256"/>
        <v>4.4502299999999995E-3</v>
      </c>
      <c r="MK60" s="530">
        <f t="shared" si="857"/>
        <v>1.0383870000000002E-2</v>
      </c>
      <c r="ML60" s="530">
        <f t="shared" si="858"/>
        <v>8.9004599999999989E-3</v>
      </c>
      <c r="MM60" s="530">
        <f t="shared" si="859"/>
        <v>0.14670924900000001</v>
      </c>
      <c r="MN60" s="530">
        <f t="shared" si="860"/>
        <v>1.4834100000000001E-3</v>
      </c>
      <c r="MO60" s="127">
        <f t="shared" si="861"/>
        <v>1.4834100000000001E-3</v>
      </c>
      <c r="MP60" s="57">
        <f t="shared" si="257"/>
        <v>3.0138295000000006E-2</v>
      </c>
      <c r="MQ60" s="57">
        <f t="shared" si="258"/>
        <v>8.219535E-3</v>
      </c>
      <c r="MR60" s="530">
        <f t="shared" si="862"/>
        <v>0.13973209500000003</v>
      </c>
      <c r="MS60" s="530">
        <f t="shared" si="863"/>
        <v>0.22466728999999999</v>
      </c>
      <c r="MT60" s="530">
        <f t="shared" si="864"/>
        <v>21.918760000000006</v>
      </c>
      <c r="MU60" s="530">
        <f t="shared" si="865"/>
        <v>0.23836651500000003</v>
      </c>
      <c r="MV60" s="530">
        <f t="shared" si="866"/>
        <v>2.7398450000000005E-2</v>
      </c>
      <c r="MW60" s="530">
        <f t="shared" si="259"/>
        <v>1.7102172</v>
      </c>
      <c r="MX60" s="530">
        <f t="shared" si="260"/>
        <v>0.8551086</v>
      </c>
      <c r="MY60" s="57">
        <f t="shared" si="867"/>
        <v>1.9952534000000004</v>
      </c>
      <c r="MZ60" s="57">
        <f t="shared" si="868"/>
        <v>1.7102172</v>
      </c>
      <c r="NA60" s="57">
        <f t="shared" si="869"/>
        <v>28.190080180000006</v>
      </c>
      <c r="NB60" s="57">
        <f t="shared" si="870"/>
        <v>0.28503620000000002</v>
      </c>
      <c r="NC60" s="81">
        <f t="shared" si="871"/>
        <v>0.28503620000000002</v>
      </c>
    </row>
    <row r="61" spans="1:367" x14ac:dyDescent="0.25">
      <c r="A61" s="9">
        <v>2006</v>
      </c>
      <c r="B61" s="10">
        <v>50</v>
      </c>
      <c r="C61" s="645">
        <v>100</v>
      </c>
      <c r="D61" s="645">
        <v>250</v>
      </c>
      <c r="E61" s="657">
        <v>250</v>
      </c>
      <c r="F61" s="666">
        <f t="shared" si="1164"/>
        <v>49.25</v>
      </c>
      <c r="G61" s="666">
        <f t="shared" si="1165"/>
        <v>98.5</v>
      </c>
      <c r="H61" s="467">
        <f t="shared" si="1100"/>
        <v>246.25</v>
      </c>
      <c r="I61" s="467">
        <f t="shared" si="1101"/>
        <v>246.25</v>
      </c>
      <c r="J61" s="1085">
        <f>'POSF Zone Def'!BQ131</f>
        <v>30.954999999999998</v>
      </c>
      <c r="K61" s="1085">
        <f t="shared" si="734"/>
        <v>30.954999999999998</v>
      </c>
      <c r="L61" s="666">
        <f t="shared" si="751"/>
        <v>295.5</v>
      </c>
      <c r="M61" s="667">
        <f t="shared" si="1102"/>
        <v>344.75</v>
      </c>
      <c r="N61" s="195">
        <v>2E-3</v>
      </c>
      <c r="O61" s="196">
        <v>0</v>
      </c>
      <c r="P61" s="196">
        <v>0</v>
      </c>
      <c r="Q61" s="197">
        <v>6.0000000000000001E-3</v>
      </c>
      <c r="R61" s="48">
        <v>0</v>
      </c>
      <c r="S61" s="48">
        <v>2.7000000000000001E-3</v>
      </c>
      <c r="T61" s="48">
        <v>0</v>
      </c>
      <c r="U61" s="48">
        <v>1.18E-2</v>
      </c>
      <c r="V61" s="118">
        <v>1.0000000000000001E-5</v>
      </c>
      <c r="W61" s="48">
        <v>2.9999999999999997E-4</v>
      </c>
      <c r="X61" s="53">
        <v>0</v>
      </c>
      <c r="Y61" s="53">
        <v>3.1E-2</v>
      </c>
      <c r="Z61" s="487">
        <v>5.2999999999999999E-2</v>
      </c>
      <c r="AA61" s="53">
        <f t="shared" si="147"/>
        <v>0.1</v>
      </c>
      <c r="AB61" s="53">
        <f t="shared" si="148"/>
        <v>0</v>
      </c>
      <c r="AC61" s="53">
        <f t="shared" si="149"/>
        <v>0.9</v>
      </c>
      <c r="AD61" s="56">
        <f t="shared" si="1166"/>
        <v>9.8500000000000004E-2</v>
      </c>
      <c r="AE61" s="57">
        <f t="shared" si="1167"/>
        <v>0.19700000000000001</v>
      </c>
      <c r="AF61" s="57">
        <f t="shared" si="1168"/>
        <v>0</v>
      </c>
      <c r="AG61" s="57">
        <f t="shared" si="1169"/>
        <v>0</v>
      </c>
      <c r="AH61" s="57">
        <f t="shared" si="1170"/>
        <v>0</v>
      </c>
      <c r="AI61" s="57">
        <f t="shared" si="1171"/>
        <v>0</v>
      </c>
      <c r="AJ61" s="126">
        <f t="shared" si="1103"/>
        <v>1.9946249999999999</v>
      </c>
      <c r="AK61" s="57">
        <f t="shared" si="1104"/>
        <v>1.9946249999999999</v>
      </c>
      <c r="AL61" s="57">
        <f t="shared" si="1105"/>
        <v>0</v>
      </c>
      <c r="AM61" s="57">
        <f t="shared" si="1106"/>
        <v>0</v>
      </c>
      <c r="AN61" s="57">
        <f t="shared" si="1107"/>
        <v>1.4775</v>
      </c>
      <c r="AO61" s="127">
        <f t="shared" si="1108"/>
        <v>1.4775</v>
      </c>
      <c r="AP61" s="57">
        <f t="shared" si="1172"/>
        <v>2.0931249999999997</v>
      </c>
      <c r="AQ61" s="57">
        <f t="shared" si="1172"/>
        <v>2.1916249999999997</v>
      </c>
      <c r="AR61" s="57">
        <f t="shared" si="1172"/>
        <v>0</v>
      </c>
      <c r="AS61" s="57">
        <f t="shared" si="1109"/>
        <v>0</v>
      </c>
      <c r="AT61" s="57">
        <f t="shared" si="1109"/>
        <v>1.4775</v>
      </c>
      <c r="AU61" s="87">
        <f t="shared" si="1109"/>
        <v>1.4775</v>
      </c>
      <c r="AV61" s="56">
        <f t="shared" si="1110"/>
        <v>0</v>
      </c>
      <c r="AW61" s="57">
        <f t="shared" si="1111"/>
        <v>0</v>
      </c>
      <c r="AX61" s="57">
        <f t="shared" si="1112"/>
        <v>0.13297500000000001</v>
      </c>
      <c r="AY61" s="57">
        <f t="shared" si="1113"/>
        <v>0.26595000000000002</v>
      </c>
      <c r="AZ61" s="57">
        <f t="shared" si="1114"/>
        <v>0</v>
      </c>
      <c r="BA61" s="57">
        <f t="shared" si="1115"/>
        <v>0</v>
      </c>
      <c r="BB61" s="126">
        <f t="shared" si="1116"/>
        <v>0</v>
      </c>
      <c r="BC61" s="57">
        <f t="shared" si="1117"/>
        <v>0</v>
      </c>
      <c r="BD61" s="57">
        <f t="shared" si="1118"/>
        <v>1.32975</v>
      </c>
      <c r="BE61" s="57">
        <f t="shared" si="1119"/>
        <v>1.32975</v>
      </c>
      <c r="BF61" s="57">
        <f t="shared" si="1120"/>
        <v>2.4624999999999999</v>
      </c>
      <c r="BG61" s="57">
        <f t="shared" si="1121"/>
        <v>2.4624999999999999</v>
      </c>
      <c r="BH61" s="57">
        <f t="shared" si="1122"/>
        <v>0</v>
      </c>
      <c r="BI61" s="57">
        <f t="shared" si="1122"/>
        <v>0</v>
      </c>
      <c r="BJ61" s="57">
        <f t="shared" si="1122"/>
        <v>1.4627250000000001</v>
      </c>
      <c r="BK61" s="57">
        <f t="shared" si="1122"/>
        <v>1.5956999999999999</v>
      </c>
      <c r="BL61" s="57">
        <f t="shared" si="1122"/>
        <v>2.4624999999999999</v>
      </c>
      <c r="BM61" s="57">
        <f t="shared" si="1122"/>
        <v>2.4624999999999999</v>
      </c>
      <c r="BN61" s="56">
        <f t="shared" si="1123"/>
        <v>4.9249999999999999E-4</v>
      </c>
      <c r="BO61" s="57">
        <f t="shared" si="1124"/>
        <v>9.8499999999999998E-4</v>
      </c>
      <c r="BP61" s="57">
        <f t="shared" si="1125"/>
        <v>1.4774999999999998E-2</v>
      </c>
      <c r="BQ61" s="57">
        <f t="shared" si="1126"/>
        <v>2.9549999999999996E-2</v>
      </c>
      <c r="BR61" s="57">
        <f t="shared" si="1127"/>
        <v>0</v>
      </c>
      <c r="BS61" s="57">
        <f t="shared" si="1128"/>
        <v>0</v>
      </c>
      <c r="BT61" s="126">
        <f t="shared" si="1129"/>
        <v>9.8500000000000011E-3</v>
      </c>
      <c r="BU61" s="57">
        <f t="shared" si="1130"/>
        <v>9.8500000000000011E-3</v>
      </c>
      <c r="BV61" s="57">
        <f t="shared" si="1131"/>
        <v>0.14774999999999999</v>
      </c>
      <c r="BW61" s="57">
        <f t="shared" si="1132"/>
        <v>0.14774999999999999</v>
      </c>
      <c r="BX61" s="57">
        <f t="shared" si="1133"/>
        <v>2.7087499999999998</v>
      </c>
      <c r="BY61" s="57">
        <f t="shared" si="1134"/>
        <v>2.7087499999999998</v>
      </c>
      <c r="BZ61" s="126">
        <f t="shared" si="1135"/>
        <v>1.0342500000000001E-2</v>
      </c>
      <c r="CA61" s="57">
        <f t="shared" si="1135"/>
        <v>1.0835000000000001E-2</v>
      </c>
      <c r="CB61" s="57">
        <f t="shared" si="1135"/>
        <v>0.162525</v>
      </c>
      <c r="CC61" s="57">
        <f t="shared" si="1135"/>
        <v>0.17729999999999999</v>
      </c>
      <c r="CD61" s="57">
        <f t="shared" si="1135"/>
        <v>2.7087499999999998</v>
      </c>
      <c r="CE61" s="518">
        <f t="shared" si="1135"/>
        <v>2.7087499999999998</v>
      </c>
      <c r="CF61" s="57">
        <f t="shared" si="173"/>
        <v>3.0954999999999999</v>
      </c>
      <c r="CG61" s="57">
        <f t="shared" si="1173"/>
        <v>3.0954999999999999</v>
      </c>
      <c r="CH61" s="57">
        <f t="shared" si="175"/>
        <v>0</v>
      </c>
      <c r="CI61" s="57">
        <f t="shared" si="1174"/>
        <v>0</v>
      </c>
      <c r="CJ61" s="57">
        <f t="shared" si="176"/>
        <v>27.859500000000001</v>
      </c>
      <c r="CK61" s="57">
        <f t="shared" si="1175"/>
        <v>27.859500000000001</v>
      </c>
      <c r="CL61" s="3"/>
      <c r="CM61" s="59">
        <f t="shared" si="1083"/>
        <v>46.639749999999999</v>
      </c>
      <c r="CN61" s="62">
        <f t="shared" si="1136"/>
        <v>93.279499999999999</v>
      </c>
      <c r="CO61" s="128">
        <f t="shared" si="1137"/>
        <v>202.24374999999998</v>
      </c>
      <c r="CP61" s="129">
        <f t="shared" si="1138"/>
        <v>202.24374999999998</v>
      </c>
      <c r="CQ61" s="62">
        <f t="shared" si="1176"/>
        <v>248.88349999999997</v>
      </c>
      <c r="CR61" s="60">
        <f t="shared" si="1176"/>
        <v>295.52324999999996</v>
      </c>
      <c r="CS61" s="33">
        <v>1</v>
      </c>
      <c r="CT61" s="34">
        <f t="shared" si="178"/>
        <v>0</v>
      </c>
      <c r="CU61" s="34">
        <v>0.5</v>
      </c>
      <c r="CV61" s="35">
        <f t="shared" si="1177"/>
        <v>0.5</v>
      </c>
      <c r="CW61" s="36">
        <f t="shared" si="1178"/>
        <v>0</v>
      </c>
      <c r="CX61" s="37">
        <f t="shared" si="1179"/>
        <v>0</v>
      </c>
      <c r="CY61" s="57">
        <f t="shared" si="1180"/>
        <v>0</v>
      </c>
      <c r="CZ61" s="127">
        <f t="shared" si="1181"/>
        <v>0</v>
      </c>
      <c r="DA61" s="37">
        <f t="shared" si="1139"/>
        <v>88.481640624999983</v>
      </c>
      <c r="DB61" s="37">
        <f t="shared" si="1140"/>
        <v>88.481640624999983</v>
      </c>
      <c r="DC61" s="37">
        <f t="shared" si="1141"/>
        <v>88.481640624999983</v>
      </c>
      <c r="DD61" s="142">
        <f t="shared" si="1142"/>
        <v>88.481640624999983</v>
      </c>
      <c r="DE61" s="37">
        <f t="shared" si="768"/>
        <v>88.481640624999983</v>
      </c>
      <c r="DF61" s="37">
        <f t="shared" si="1182"/>
        <v>88.481640624999983</v>
      </c>
      <c r="DG61" s="37">
        <f t="shared" si="1183"/>
        <v>88.481640624999983</v>
      </c>
      <c r="DH61" s="39">
        <f t="shared" si="1184"/>
        <v>88.481640624999983</v>
      </c>
      <c r="DJ61" s="496">
        <v>1</v>
      </c>
      <c r="DK61" s="497">
        <v>0.125</v>
      </c>
      <c r="DL61" s="37">
        <f t="shared" si="1143"/>
        <v>46.639749999999999</v>
      </c>
      <c r="DM61" s="37">
        <f t="shared" si="1144"/>
        <v>93.279499999999999</v>
      </c>
      <c r="DN61" s="37">
        <f t="shared" si="1084"/>
        <v>25.280468749999997</v>
      </c>
      <c r="DO61" s="37">
        <f t="shared" si="1085"/>
        <v>25.280468749999997</v>
      </c>
      <c r="DP61" s="33">
        <v>1</v>
      </c>
      <c r="DQ61" s="34">
        <v>0.1</v>
      </c>
      <c r="DR61" s="34">
        <v>0.5</v>
      </c>
      <c r="DS61" s="681">
        <f t="shared" si="185"/>
        <v>0.1</v>
      </c>
      <c r="DT61" s="78">
        <f t="shared" si="186"/>
        <v>1</v>
      </c>
      <c r="DU61" s="34">
        <v>0</v>
      </c>
      <c r="DV61" s="34">
        <v>1</v>
      </c>
      <c r="DW61" s="34">
        <v>0</v>
      </c>
      <c r="DX61" s="34">
        <v>0</v>
      </c>
      <c r="DY61" s="34">
        <v>1</v>
      </c>
      <c r="DZ61" s="34">
        <v>0</v>
      </c>
      <c r="EA61" s="85">
        <f t="shared" si="888"/>
        <v>0</v>
      </c>
      <c r="EB61" s="57">
        <f t="shared" si="1185"/>
        <v>0</v>
      </c>
      <c r="EC61" s="57">
        <f t="shared" si="889"/>
        <v>5.7366892500000004</v>
      </c>
      <c r="ED61" s="57">
        <f t="shared" si="1186"/>
        <v>70.542621874999995</v>
      </c>
      <c r="EE61" s="57">
        <f t="shared" si="890"/>
        <v>0</v>
      </c>
      <c r="EF61" s="57">
        <f t="shared" si="1187"/>
        <v>0</v>
      </c>
      <c r="EG61" s="126">
        <f t="shared" si="1145"/>
        <v>0</v>
      </c>
      <c r="EH61" s="57">
        <f t="shared" si="1146"/>
        <v>0</v>
      </c>
      <c r="EI61" s="57">
        <f t="shared" si="1147"/>
        <v>2.0674093749999995</v>
      </c>
      <c r="EJ61" s="57">
        <f t="shared" si="1148"/>
        <v>20.674093749999997</v>
      </c>
      <c r="EK61" s="57">
        <f t="shared" si="1149"/>
        <v>0</v>
      </c>
      <c r="EL61" s="127">
        <f t="shared" si="1150"/>
        <v>0</v>
      </c>
      <c r="EM61" s="57">
        <f t="shared" si="193"/>
        <v>7.804098625</v>
      </c>
      <c r="EN61" s="81">
        <f t="shared" si="194"/>
        <v>91.216715624999992</v>
      </c>
      <c r="EP61" s="85">
        <f t="shared" si="769"/>
        <v>4.9249999999999999E-4</v>
      </c>
      <c r="EQ61" s="57">
        <f t="shared" si="1151"/>
        <v>9.8499999999999998E-4</v>
      </c>
      <c r="ER61" s="57">
        <f t="shared" si="770"/>
        <v>1.4774999999999998E-2</v>
      </c>
      <c r="ES61" s="57">
        <f t="shared" si="1152"/>
        <v>2.9549999999999996E-2</v>
      </c>
      <c r="ET61" s="57">
        <f t="shared" si="771"/>
        <v>0</v>
      </c>
      <c r="EU61" s="127">
        <f t="shared" si="1153"/>
        <v>0</v>
      </c>
      <c r="EV61" s="126">
        <f t="shared" si="1086"/>
        <v>9.8500000000000011E-3</v>
      </c>
      <c r="EW61" s="57">
        <f t="shared" si="1087"/>
        <v>9.8500000000000011E-3</v>
      </c>
      <c r="EX61" s="57">
        <f t="shared" si="1088"/>
        <v>0.14774999999999999</v>
      </c>
      <c r="EY61" s="57">
        <f t="shared" si="1089"/>
        <v>0.14774999999999999</v>
      </c>
      <c r="EZ61" s="57">
        <f t="shared" si="1090"/>
        <v>2.7087499999999998</v>
      </c>
      <c r="FA61" s="87">
        <f t="shared" si="1091"/>
        <v>2.7087499999999998</v>
      </c>
      <c r="FB61" s="36">
        <f t="shared" si="1188"/>
        <v>0</v>
      </c>
      <c r="FC61" s="37">
        <f t="shared" si="1189"/>
        <v>0</v>
      </c>
      <c r="FD61" s="37">
        <f t="shared" si="1154"/>
        <v>88.481640624999983</v>
      </c>
      <c r="FE61" s="37">
        <f t="shared" si="1155"/>
        <v>88.481640624999983</v>
      </c>
      <c r="FF61" s="36">
        <f t="shared" si="772"/>
        <v>0</v>
      </c>
      <c r="FG61" s="37">
        <f t="shared" si="1156"/>
        <v>0</v>
      </c>
      <c r="FH61" s="37">
        <f t="shared" si="1157"/>
        <v>88.481640624999983</v>
      </c>
      <c r="FI61" s="37">
        <f t="shared" si="1158"/>
        <v>88.481640624999983</v>
      </c>
      <c r="FJ61" s="33">
        <v>1</v>
      </c>
      <c r="FK61" s="34">
        <v>0.2</v>
      </c>
      <c r="FL61" s="502">
        <v>0.8</v>
      </c>
      <c r="FM61" s="34">
        <v>0.1</v>
      </c>
      <c r="FN61" s="502">
        <v>0.5</v>
      </c>
      <c r="FO61" s="34">
        <f t="shared" si="200"/>
        <v>0.1</v>
      </c>
      <c r="FP61" s="34">
        <f t="shared" si="201"/>
        <v>1</v>
      </c>
      <c r="FQ61" s="34">
        <v>1</v>
      </c>
      <c r="FR61" s="34">
        <v>0</v>
      </c>
      <c r="FS61" s="90">
        <f t="shared" si="202"/>
        <v>1E-3</v>
      </c>
      <c r="FT61" s="34">
        <f t="shared" si="203"/>
        <v>0.05</v>
      </c>
      <c r="FU61" s="33">
        <v>0.05</v>
      </c>
      <c r="FV61" s="35">
        <f t="shared" si="25"/>
        <v>2.4224999999999997E-2</v>
      </c>
      <c r="FW61" s="34">
        <v>0.1</v>
      </c>
      <c r="FX61" s="78">
        <f t="shared" si="26"/>
        <v>9.0000000000000011E-2</v>
      </c>
      <c r="FY61" s="33">
        <v>0.05</v>
      </c>
      <c r="FZ61" s="35">
        <f t="shared" si="1092"/>
        <v>2.4224999999999997E-2</v>
      </c>
      <c r="GA61" s="34">
        <v>0.1</v>
      </c>
      <c r="GB61" s="78">
        <f t="shared" si="1093"/>
        <v>9.0000000000000011E-2</v>
      </c>
      <c r="GC61" s="85">
        <f t="shared" si="773"/>
        <v>4.9249999999999999E-4</v>
      </c>
      <c r="GD61" s="57">
        <f t="shared" si="1159"/>
        <v>9.8499999999999998E-4</v>
      </c>
      <c r="GE61" s="57">
        <f t="shared" si="774"/>
        <v>1.4774999999999998E-2</v>
      </c>
      <c r="GF61" s="57">
        <f t="shared" si="1160"/>
        <v>2.9549999999999996E-2</v>
      </c>
      <c r="GG61" s="57">
        <f t="shared" si="1190"/>
        <v>0</v>
      </c>
      <c r="GH61" s="127">
        <f t="shared" si="1191"/>
        <v>0</v>
      </c>
      <c r="GI61" s="57">
        <f t="shared" si="1094"/>
        <v>9.8500000000000011E-3</v>
      </c>
      <c r="GJ61" s="57">
        <f t="shared" si="1095"/>
        <v>9.8500000000000011E-3</v>
      </c>
      <c r="GK61" s="57">
        <f t="shared" si="1096"/>
        <v>0.14774999999999999</v>
      </c>
      <c r="GL61" s="57">
        <f t="shared" si="1097"/>
        <v>0.14774999999999999</v>
      </c>
      <c r="GM61" s="57">
        <f t="shared" si="1098"/>
        <v>0.54174999999999995</v>
      </c>
      <c r="GN61" s="127">
        <f t="shared" si="1099"/>
        <v>2.1669999999999998</v>
      </c>
      <c r="GO61" s="57">
        <f t="shared" si="208"/>
        <v>0.71461749999999991</v>
      </c>
      <c r="GP61" s="87">
        <f t="shared" si="209"/>
        <v>2.3551349999999998</v>
      </c>
      <c r="GQ61" s="37">
        <f t="shared" si="891"/>
        <v>0</v>
      </c>
      <c r="GR61" s="37">
        <f t="shared" si="892"/>
        <v>0</v>
      </c>
      <c r="GS61" s="57">
        <f t="shared" si="1031"/>
        <v>7.4435477416375018E-2</v>
      </c>
      <c r="GT61" s="57">
        <f t="shared" si="1032"/>
        <v>37.217738708187504</v>
      </c>
      <c r="GU61" s="57">
        <f t="shared" si="1033"/>
        <v>0</v>
      </c>
      <c r="GV61" s="127">
        <f t="shared" si="1034"/>
        <v>0</v>
      </c>
      <c r="GW61" s="37">
        <f t="shared" si="1162"/>
        <v>0.32837748876953121</v>
      </c>
      <c r="GX61" s="37">
        <f t="shared" si="1163"/>
        <v>8.4057558593749988</v>
      </c>
      <c r="GY61" s="37">
        <f>1/10*($FH61*$FQ61*$FO61*$FS61+$FH60*$FQ60*$FO60*$FS60+$FH59*$FQ59*$FO59*$FS59+$FH58*$FQ58*$FO58*$FS58+$FH57*$FQ57*$FO57*$FS57)</f>
        <v>1.8208251249999996E-3</v>
      </c>
      <c r="GZ61" s="37">
        <f>1/10*($FI61*$FQ61*$FP61*$FT61+$FI60*$FQ60*$FP60*$FT60+$FI59*$FQ59*$FP59*$FT59+$FI58*$FQ58*$FP58*$FT58+$FI57*$FQ57*$FP57*$FT57)</f>
        <v>0.91041256249999991</v>
      </c>
      <c r="HA61" s="37">
        <f>1/10*($FH61*$FR61*$FO61*$FS61+$FH60*$FR60*$FO60*$FS60+$FH59*$FR59*$FO59*$FS59+$FH58*$FR58*$FO58*$FS58+$FH57*$FR57*$FO57*$FS57)</f>
        <v>0</v>
      </c>
      <c r="HB61" s="142">
        <f>1/10*($FI61*$FR61*$FP61*$FT61+$FI60*$FR60*$FP60*$FT60+$FI59*$FR59*$FP59*$FT59+$FI58*$FR58*$FP58*$FT58+$FI57*$FR57*$FP57*$FT57)</f>
        <v>0</v>
      </c>
      <c r="HC61" s="57">
        <f t="shared" si="212"/>
        <v>0.40463379131090621</v>
      </c>
      <c r="HD61" s="39">
        <f t="shared" si="213"/>
        <v>46.533907130062502</v>
      </c>
      <c r="HE61" s="527"/>
      <c r="HF61" s="530">
        <f t="shared" si="775"/>
        <v>2.0931249999999997</v>
      </c>
      <c r="HG61" s="530">
        <f t="shared" si="776"/>
        <v>2.1916249999999997</v>
      </c>
      <c r="HH61" s="530">
        <f t="shared" si="777"/>
        <v>0</v>
      </c>
      <c r="HI61" s="530">
        <f t="shared" si="778"/>
        <v>0</v>
      </c>
      <c r="HJ61" s="530">
        <f t="shared" si="779"/>
        <v>1.4775</v>
      </c>
      <c r="HK61" s="531">
        <f t="shared" si="780"/>
        <v>1.4775</v>
      </c>
      <c r="HL61" s="530">
        <f t="shared" si="781"/>
        <v>0</v>
      </c>
      <c r="HM61" s="530">
        <f t="shared" si="782"/>
        <v>0</v>
      </c>
      <c r="HN61" s="530">
        <f t="shared" si="783"/>
        <v>9.2668236250000007</v>
      </c>
      <c r="HO61" s="530">
        <f t="shared" si="784"/>
        <v>92.812415625</v>
      </c>
      <c r="HP61" s="530">
        <f t="shared" si="785"/>
        <v>2.4624999999999999</v>
      </c>
      <c r="HQ61" s="531">
        <f t="shared" si="786"/>
        <v>2.4624999999999999</v>
      </c>
      <c r="HR61" s="530">
        <f t="shared" si="214"/>
        <v>3.508655466185906</v>
      </c>
      <c r="HS61" s="530">
        <f t="shared" si="787"/>
        <v>49.640242130062504</v>
      </c>
      <c r="HT61" s="530">
        <f t="shared" si="788"/>
        <v>0.162525</v>
      </c>
      <c r="HU61" s="530">
        <f t="shared" si="789"/>
        <v>0.17729999999999999</v>
      </c>
      <c r="HV61" s="530">
        <f t="shared" si="790"/>
        <v>28.401250000000001</v>
      </c>
      <c r="HW61" s="531">
        <f t="shared" si="791"/>
        <v>30.026499999999999</v>
      </c>
      <c r="IG61" s="560"/>
      <c r="IH61" s="530">
        <f t="shared" si="215"/>
        <v>2.3024375E-2</v>
      </c>
      <c r="II61" s="530">
        <f t="shared" si="216"/>
        <v>1.8838125000000001E-2</v>
      </c>
      <c r="IJ61" s="530">
        <f t="shared" si="217"/>
        <v>3.7676250000000001E-2</v>
      </c>
      <c r="IK61" s="530">
        <f t="shared" si="893"/>
        <v>1.8838125000000001E-2</v>
      </c>
      <c r="IL61" s="530">
        <f t="shared" si="894"/>
        <v>1.7686906249999996</v>
      </c>
      <c r="IM61" s="530">
        <f t="shared" si="895"/>
        <v>2.0931249999999999E-3</v>
      </c>
      <c r="IN61" s="530">
        <f t="shared" si="896"/>
        <v>2.0931249999999999E-3</v>
      </c>
      <c r="IO61" s="530">
        <f t="shared" si="222"/>
        <v>7.2323624999999989E-2</v>
      </c>
      <c r="IP61" s="530">
        <f t="shared" si="223"/>
        <v>8.9856624999999982E-2</v>
      </c>
      <c r="IQ61" s="530">
        <f t="shared" si="897"/>
        <v>0.1139645</v>
      </c>
      <c r="IR61" s="530">
        <f t="shared" si="898"/>
        <v>8.9856624999999982E-2</v>
      </c>
      <c r="IS61" s="530">
        <f t="shared" si="899"/>
        <v>1.8563063749999997</v>
      </c>
      <c r="IT61" s="530">
        <f t="shared" si="900"/>
        <v>2.1916249999999998E-2</v>
      </c>
      <c r="IU61" s="518">
        <f t="shared" si="901"/>
        <v>2.1916249999999998E-2</v>
      </c>
      <c r="IV61" s="57">
        <f t="shared" si="229"/>
        <v>0</v>
      </c>
      <c r="IW61" s="57">
        <f t="shared" si="230"/>
        <v>0</v>
      </c>
      <c r="IX61" s="530">
        <f t="shared" si="792"/>
        <v>0</v>
      </c>
      <c r="IY61" s="530">
        <f t="shared" si="793"/>
        <v>0</v>
      </c>
      <c r="IZ61" s="530">
        <f t="shared" si="794"/>
        <v>0</v>
      </c>
      <c r="JA61" s="530">
        <f t="shared" si="795"/>
        <v>0</v>
      </c>
      <c r="JB61" s="530">
        <f t="shared" si="796"/>
        <v>0</v>
      </c>
      <c r="JC61" s="530">
        <f t="shared" si="231"/>
        <v>0</v>
      </c>
      <c r="JD61" s="530">
        <f t="shared" si="232"/>
        <v>0</v>
      </c>
      <c r="JE61" s="530">
        <f t="shared" si="797"/>
        <v>0</v>
      </c>
      <c r="JF61" s="530">
        <f t="shared" si="798"/>
        <v>0</v>
      </c>
      <c r="JG61" s="530">
        <f t="shared" si="799"/>
        <v>0</v>
      </c>
      <c r="JH61" s="530">
        <f t="shared" si="800"/>
        <v>0</v>
      </c>
      <c r="JI61" s="87">
        <f t="shared" si="801"/>
        <v>0</v>
      </c>
      <c r="JJ61" s="57">
        <f t="shared" si="233"/>
        <v>1.6252500000000003E-2</v>
      </c>
      <c r="JK61" s="57">
        <f t="shared" si="234"/>
        <v>1.3297500000000002E-2</v>
      </c>
      <c r="JL61" s="530">
        <f t="shared" si="802"/>
        <v>2.6595000000000004E-2</v>
      </c>
      <c r="JM61" s="530">
        <f t="shared" si="803"/>
        <v>1.3297500000000002E-2</v>
      </c>
      <c r="JN61" s="530">
        <f t="shared" si="804"/>
        <v>1.2484875</v>
      </c>
      <c r="JO61" s="530">
        <f t="shared" si="805"/>
        <v>1.4775000000000001E-3</v>
      </c>
      <c r="JP61" s="530">
        <f t="shared" si="806"/>
        <v>1.4775000000000001E-3</v>
      </c>
      <c r="JQ61" s="530">
        <f t="shared" si="235"/>
        <v>4.8757500000000002E-2</v>
      </c>
      <c r="JR61" s="530">
        <f t="shared" si="236"/>
        <v>6.0577499999999992E-2</v>
      </c>
      <c r="JS61" s="57">
        <f t="shared" si="807"/>
        <v>7.6830000000000009E-2</v>
      </c>
      <c r="JT61" s="57">
        <f t="shared" si="808"/>
        <v>6.0577499999999992E-2</v>
      </c>
      <c r="JU61" s="57">
        <f t="shared" si="809"/>
        <v>1.2514425</v>
      </c>
      <c r="JV61" s="57">
        <f t="shared" si="810"/>
        <v>1.4775E-2</v>
      </c>
      <c r="JW61" s="81">
        <f t="shared" si="811"/>
        <v>1.4775E-2</v>
      </c>
      <c r="JX61" s="57">
        <f t="shared" si="237"/>
        <v>0</v>
      </c>
      <c r="JY61" s="57">
        <f t="shared" si="238"/>
        <v>0</v>
      </c>
      <c r="JZ61" s="530">
        <f t="shared" si="812"/>
        <v>0</v>
      </c>
      <c r="KA61" s="530">
        <f t="shared" si="813"/>
        <v>0</v>
      </c>
      <c r="KB61" s="530">
        <f t="shared" si="814"/>
        <v>0</v>
      </c>
      <c r="KC61" s="530">
        <f t="shared" si="815"/>
        <v>0</v>
      </c>
      <c r="KD61" s="530">
        <f t="shared" si="816"/>
        <v>0</v>
      </c>
      <c r="KE61" s="530">
        <f t="shared" si="239"/>
        <v>0</v>
      </c>
      <c r="KF61" s="530">
        <f t="shared" si="240"/>
        <v>0</v>
      </c>
      <c r="KG61" s="530">
        <f t="shared" si="817"/>
        <v>0</v>
      </c>
      <c r="KH61" s="530">
        <f t="shared" si="818"/>
        <v>0</v>
      </c>
      <c r="KI61" s="530">
        <f t="shared" si="819"/>
        <v>0</v>
      </c>
      <c r="KJ61" s="530">
        <f t="shared" si="820"/>
        <v>0</v>
      </c>
      <c r="KK61" s="518">
        <f t="shared" si="821"/>
        <v>0</v>
      </c>
      <c r="KL61" s="57">
        <f t="shared" si="241"/>
        <v>0.10193505987500001</v>
      </c>
      <c r="KM61" s="57">
        <f t="shared" si="242"/>
        <v>8.3401412625000018E-2</v>
      </c>
      <c r="KN61" s="530">
        <f t="shared" si="822"/>
        <v>0.16680282525000004</v>
      </c>
      <c r="KO61" s="530">
        <f t="shared" si="823"/>
        <v>8.3401412625000018E-2</v>
      </c>
      <c r="KP61" s="530">
        <f t="shared" si="824"/>
        <v>7.8304659631250004</v>
      </c>
      <c r="KQ61" s="530">
        <f t="shared" si="825"/>
        <v>9.2668236250000001E-3</v>
      </c>
      <c r="KR61" s="530">
        <f t="shared" si="826"/>
        <v>9.2668236250000001E-3</v>
      </c>
      <c r="KS61" s="530">
        <f t="shared" si="243"/>
        <v>3.0628097156250003</v>
      </c>
      <c r="KT61" s="530">
        <f t="shared" si="244"/>
        <v>3.8053090406249996</v>
      </c>
      <c r="KU61" s="530">
        <f t="shared" si="827"/>
        <v>4.8262456125000002</v>
      </c>
      <c r="KV61" s="530">
        <f t="shared" si="828"/>
        <v>3.8053090406249996</v>
      </c>
      <c r="KW61" s="530">
        <f t="shared" si="829"/>
        <v>78.612116034374992</v>
      </c>
      <c r="KX61" s="530">
        <f t="shared" si="830"/>
        <v>0.92812415625</v>
      </c>
      <c r="KY61" s="87">
        <f t="shared" si="831"/>
        <v>0.92812415625</v>
      </c>
      <c r="KZ61" s="57">
        <f t="shared" si="245"/>
        <v>2.70875E-2</v>
      </c>
      <c r="LA61" s="57">
        <f t="shared" si="246"/>
        <v>2.2162500000000002E-2</v>
      </c>
      <c r="LB61" s="530">
        <f t="shared" si="832"/>
        <v>4.4325000000000003E-2</v>
      </c>
      <c r="LC61" s="530">
        <f t="shared" si="833"/>
        <v>2.2162500000000002E-2</v>
      </c>
      <c r="LD61" s="530">
        <f t="shared" si="834"/>
        <v>2.0808125</v>
      </c>
      <c r="LE61" s="530">
        <f t="shared" si="835"/>
        <v>2.4624999999999998E-3</v>
      </c>
      <c r="LF61" s="530">
        <f t="shared" si="836"/>
        <v>2.4624999999999998E-3</v>
      </c>
      <c r="LG61" s="530">
        <f t="shared" si="247"/>
        <v>8.1262500000000001E-2</v>
      </c>
      <c r="LH61" s="530">
        <f t="shared" si="248"/>
        <v>0.10096249999999998</v>
      </c>
      <c r="LI61" s="57">
        <f t="shared" si="837"/>
        <v>0.12805</v>
      </c>
      <c r="LJ61" s="57">
        <f t="shared" si="838"/>
        <v>0.10096249999999998</v>
      </c>
      <c r="LK61" s="57">
        <f t="shared" si="839"/>
        <v>2.0857375</v>
      </c>
      <c r="LL61" s="57">
        <f t="shared" si="840"/>
        <v>2.4625000000000001E-2</v>
      </c>
      <c r="LM61" s="81">
        <f t="shared" si="841"/>
        <v>2.4625000000000001E-2</v>
      </c>
      <c r="LN61" s="57">
        <f t="shared" si="249"/>
        <v>3.8595210128044969E-3</v>
      </c>
      <c r="LO61" s="57">
        <f t="shared" si="250"/>
        <v>1.0525966398557717E-3</v>
      </c>
      <c r="LP61" s="530">
        <f t="shared" si="842"/>
        <v>1.7894142877548123E-2</v>
      </c>
      <c r="LQ61" s="530">
        <f t="shared" si="843"/>
        <v>2.8770974822724425E-2</v>
      </c>
      <c r="LR61" s="530">
        <f t="shared" si="844"/>
        <v>2.8069243729487248</v>
      </c>
      <c r="LS61" s="530">
        <f t="shared" si="845"/>
        <v>3.0525302555817379E-2</v>
      </c>
      <c r="LT61" s="530">
        <f t="shared" si="846"/>
        <v>3.5086554661859061E-3</v>
      </c>
      <c r="LU61" s="530">
        <f t="shared" si="251"/>
        <v>2.9784145278037499</v>
      </c>
      <c r="LV61" s="530">
        <f t="shared" si="252"/>
        <v>1.489207263901875</v>
      </c>
      <c r="LW61" s="530">
        <f t="shared" si="847"/>
        <v>3.4748169491043757</v>
      </c>
      <c r="LX61" s="530">
        <f t="shared" si="848"/>
        <v>2.9784145278037499</v>
      </c>
      <c r="LY61" s="530">
        <f t="shared" si="849"/>
        <v>49.094199466631821</v>
      </c>
      <c r="LZ61" s="530">
        <f t="shared" si="850"/>
        <v>0.49640242130062506</v>
      </c>
      <c r="MA61" s="127">
        <f t="shared" si="851"/>
        <v>0.49640242130062506</v>
      </c>
      <c r="MB61" s="57">
        <f t="shared" si="253"/>
        <v>1.7877750000000001E-4</v>
      </c>
      <c r="MC61" s="57">
        <f t="shared" si="254"/>
        <v>4.8757499999999995E-5</v>
      </c>
      <c r="MD61" s="530">
        <f t="shared" si="852"/>
        <v>8.2887750000000006E-4</v>
      </c>
      <c r="ME61" s="530">
        <f t="shared" si="853"/>
        <v>1.3327049999999998E-3</v>
      </c>
      <c r="MF61" s="530">
        <f t="shared" si="854"/>
        <v>0.13002</v>
      </c>
      <c r="MG61" s="530">
        <f t="shared" si="855"/>
        <v>1.4139674999999999E-3</v>
      </c>
      <c r="MH61" s="530">
        <f t="shared" si="856"/>
        <v>1.6252500000000001E-4</v>
      </c>
      <c r="MI61" s="530">
        <f t="shared" si="255"/>
        <v>1.0637999999999998E-2</v>
      </c>
      <c r="MJ61" s="530">
        <f t="shared" si="256"/>
        <v>5.3189999999999991E-3</v>
      </c>
      <c r="MK61" s="530">
        <f t="shared" si="857"/>
        <v>1.2411E-2</v>
      </c>
      <c r="ML61" s="530">
        <f t="shared" si="858"/>
        <v>1.0637999999999998E-2</v>
      </c>
      <c r="MM61" s="530">
        <f t="shared" si="859"/>
        <v>0.1753497</v>
      </c>
      <c r="MN61" s="530">
        <f t="shared" si="860"/>
        <v>1.7729999999999998E-3</v>
      </c>
      <c r="MO61" s="127">
        <f t="shared" si="861"/>
        <v>1.7729999999999998E-3</v>
      </c>
      <c r="MP61" s="57">
        <f t="shared" si="257"/>
        <v>3.1241375000000002E-2</v>
      </c>
      <c r="MQ61" s="57">
        <f t="shared" si="258"/>
        <v>8.5203750000000002E-3</v>
      </c>
      <c r="MR61" s="530">
        <f t="shared" si="862"/>
        <v>0.14484637500000003</v>
      </c>
      <c r="MS61" s="530">
        <f t="shared" si="863"/>
        <v>0.23289024999999997</v>
      </c>
      <c r="MT61" s="530">
        <f t="shared" si="864"/>
        <v>22.721000000000004</v>
      </c>
      <c r="MU61" s="530">
        <f t="shared" si="865"/>
        <v>0.24709087499999999</v>
      </c>
      <c r="MV61" s="530">
        <f t="shared" si="866"/>
        <v>2.8401250000000003E-2</v>
      </c>
      <c r="MW61" s="530">
        <f t="shared" si="259"/>
        <v>1.8015899999999998</v>
      </c>
      <c r="MX61" s="530">
        <f t="shared" si="260"/>
        <v>0.9007949999999999</v>
      </c>
      <c r="MY61" s="57">
        <f t="shared" si="867"/>
        <v>2.101855</v>
      </c>
      <c r="MZ61" s="57">
        <f t="shared" si="868"/>
        <v>1.8015899999999998</v>
      </c>
      <c r="NA61" s="57">
        <f t="shared" si="869"/>
        <v>29.696208500000001</v>
      </c>
      <c r="NB61" s="57">
        <f t="shared" si="870"/>
        <v>0.300265</v>
      </c>
      <c r="NC61" s="81">
        <f t="shared" si="871"/>
        <v>0.300265</v>
      </c>
    </row>
    <row r="62" spans="1:367" x14ac:dyDescent="0.25">
      <c r="A62" s="9">
        <v>2007</v>
      </c>
      <c r="B62" s="10">
        <v>25</v>
      </c>
      <c r="C62" s="645">
        <v>50</v>
      </c>
      <c r="D62" s="645">
        <v>250</v>
      </c>
      <c r="E62" s="657">
        <v>250</v>
      </c>
      <c r="F62" s="666">
        <f t="shared" si="1164"/>
        <v>24.625</v>
      </c>
      <c r="G62" s="666">
        <f t="shared" si="1165"/>
        <v>49.25</v>
      </c>
      <c r="H62" s="467">
        <f t="shared" si="1100"/>
        <v>246.25</v>
      </c>
      <c r="I62" s="467">
        <f t="shared" si="1101"/>
        <v>246.25</v>
      </c>
      <c r="J62" s="1085">
        <f>'POSF Zone Def'!BQ132</f>
        <v>30.985600000000002</v>
      </c>
      <c r="K62" s="1085">
        <f t="shared" si="734"/>
        <v>30.985600000000002</v>
      </c>
      <c r="L62" s="666">
        <f t="shared" si="751"/>
        <v>270.875</v>
      </c>
      <c r="M62" s="667">
        <f t="shared" si="1102"/>
        <v>295.5</v>
      </c>
      <c r="N62" s="195">
        <v>2E-3</v>
      </c>
      <c r="O62" s="196">
        <v>0</v>
      </c>
      <c r="P62" s="196">
        <v>0</v>
      </c>
      <c r="Q62" s="197">
        <v>6.0000000000000001E-3</v>
      </c>
      <c r="R62" s="48">
        <v>0</v>
      </c>
      <c r="S62" s="48">
        <v>2.7000000000000001E-3</v>
      </c>
      <c r="T62" s="48">
        <v>0</v>
      </c>
      <c r="U62" s="48">
        <v>1.18E-2</v>
      </c>
      <c r="V62" s="118">
        <v>1.0000000000000001E-5</v>
      </c>
      <c r="W62" s="48">
        <v>2.9999999999999997E-4</v>
      </c>
      <c r="X62" s="53">
        <v>0</v>
      </c>
      <c r="Y62" s="53">
        <v>3.1E-2</v>
      </c>
      <c r="Z62" s="487">
        <v>5.2999999999999999E-2</v>
      </c>
      <c r="AA62" s="53">
        <f t="shared" si="147"/>
        <v>0.1</v>
      </c>
      <c r="AB62" s="53">
        <f t="shared" si="148"/>
        <v>0</v>
      </c>
      <c r="AC62" s="53">
        <f t="shared" si="149"/>
        <v>0.9</v>
      </c>
      <c r="AD62" s="56">
        <f t="shared" si="1166"/>
        <v>4.9250000000000002E-2</v>
      </c>
      <c r="AE62" s="57">
        <f t="shared" si="1167"/>
        <v>9.8500000000000004E-2</v>
      </c>
      <c r="AF62" s="57">
        <f t="shared" si="1168"/>
        <v>0</v>
      </c>
      <c r="AG62" s="57">
        <f t="shared" si="1169"/>
        <v>0</v>
      </c>
      <c r="AH62" s="57">
        <f t="shared" si="1170"/>
        <v>0</v>
      </c>
      <c r="AI62" s="57">
        <f t="shared" si="1171"/>
        <v>0</v>
      </c>
      <c r="AJ62" s="126">
        <f t="shared" si="1103"/>
        <v>1.9946249999999999</v>
      </c>
      <c r="AK62" s="57">
        <f t="shared" si="1104"/>
        <v>1.9946249999999999</v>
      </c>
      <c r="AL62" s="57">
        <f t="shared" si="1105"/>
        <v>0</v>
      </c>
      <c r="AM62" s="57">
        <f t="shared" si="1106"/>
        <v>0</v>
      </c>
      <c r="AN62" s="57">
        <f t="shared" si="1107"/>
        <v>1.4775</v>
      </c>
      <c r="AO62" s="127">
        <f t="shared" si="1108"/>
        <v>1.4775</v>
      </c>
      <c r="AP62" s="57">
        <f t="shared" si="1172"/>
        <v>2.0438749999999999</v>
      </c>
      <c r="AQ62" s="57">
        <f>AE62+AK62</f>
        <v>2.0931249999999997</v>
      </c>
      <c r="AR62" s="57">
        <f t="shared" si="1172"/>
        <v>0</v>
      </c>
      <c r="AS62" s="57">
        <f t="shared" si="1109"/>
        <v>0</v>
      </c>
      <c r="AT62" s="57">
        <f t="shared" si="1109"/>
        <v>1.4775</v>
      </c>
      <c r="AU62" s="87">
        <f t="shared" si="1109"/>
        <v>1.4775</v>
      </c>
      <c r="AV62" s="56">
        <f t="shared" si="1110"/>
        <v>0</v>
      </c>
      <c r="AW62" s="57">
        <f t="shared" si="1111"/>
        <v>0</v>
      </c>
      <c r="AX62" s="57">
        <f t="shared" si="1112"/>
        <v>6.6487500000000005E-2</v>
      </c>
      <c r="AY62" s="57">
        <f t="shared" si="1113"/>
        <v>0.13297500000000001</v>
      </c>
      <c r="AZ62" s="57">
        <f t="shared" si="1114"/>
        <v>0</v>
      </c>
      <c r="BA62" s="57">
        <f t="shared" si="1115"/>
        <v>0</v>
      </c>
      <c r="BB62" s="126">
        <f t="shared" si="1116"/>
        <v>0</v>
      </c>
      <c r="BC62" s="57">
        <f t="shared" si="1117"/>
        <v>0</v>
      </c>
      <c r="BD62" s="57">
        <f t="shared" si="1118"/>
        <v>1.32975</v>
      </c>
      <c r="BE62" s="57">
        <f t="shared" si="1119"/>
        <v>1.32975</v>
      </c>
      <c r="BF62" s="57">
        <f t="shared" si="1120"/>
        <v>2.4624999999999999</v>
      </c>
      <c r="BG62" s="57">
        <f t="shared" si="1121"/>
        <v>2.4624999999999999</v>
      </c>
      <c r="BH62" s="57">
        <f t="shared" si="1122"/>
        <v>0</v>
      </c>
      <c r="BI62" s="57">
        <f t="shared" si="1122"/>
        <v>0</v>
      </c>
      <c r="BJ62" s="57">
        <f t="shared" si="1122"/>
        <v>1.3962375</v>
      </c>
      <c r="BK62" s="57">
        <f t="shared" si="1122"/>
        <v>1.4627250000000001</v>
      </c>
      <c r="BL62" s="57">
        <f t="shared" si="1122"/>
        <v>2.4624999999999999</v>
      </c>
      <c r="BM62" s="57">
        <f t="shared" si="1122"/>
        <v>2.4624999999999999</v>
      </c>
      <c r="BN62" s="56">
        <f t="shared" si="1123"/>
        <v>2.4625E-4</v>
      </c>
      <c r="BO62" s="57">
        <f t="shared" si="1124"/>
        <v>4.9249999999999999E-4</v>
      </c>
      <c r="BP62" s="57">
        <f t="shared" si="1125"/>
        <v>7.3874999999999991E-3</v>
      </c>
      <c r="BQ62" s="57">
        <f t="shared" si="1126"/>
        <v>1.4774999999999998E-2</v>
      </c>
      <c r="BR62" s="57">
        <f t="shared" si="1127"/>
        <v>0</v>
      </c>
      <c r="BS62" s="57">
        <f t="shared" si="1128"/>
        <v>0</v>
      </c>
      <c r="BT62" s="126">
        <f t="shared" si="1129"/>
        <v>9.8500000000000011E-3</v>
      </c>
      <c r="BU62" s="57">
        <f t="shared" si="1130"/>
        <v>9.8500000000000011E-3</v>
      </c>
      <c r="BV62" s="57">
        <f t="shared" si="1131"/>
        <v>0.14774999999999999</v>
      </c>
      <c r="BW62" s="57">
        <f t="shared" si="1132"/>
        <v>0.14774999999999999</v>
      </c>
      <c r="BX62" s="57">
        <f t="shared" si="1133"/>
        <v>2.7087499999999998</v>
      </c>
      <c r="BY62" s="57">
        <f t="shared" si="1134"/>
        <v>2.7087499999999998</v>
      </c>
      <c r="BZ62" s="126">
        <f t="shared" si="1135"/>
        <v>1.0096250000000001E-2</v>
      </c>
      <c r="CA62" s="57">
        <f t="shared" si="1135"/>
        <v>1.0342500000000001E-2</v>
      </c>
      <c r="CB62" s="57">
        <f t="shared" si="1135"/>
        <v>0.15513749999999998</v>
      </c>
      <c r="CC62" s="57">
        <f t="shared" si="1135"/>
        <v>0.162525</v>
      </c>
      <c r="CD62" s="57">
        <f t="shared" si="1135"/>
        <v>2.7087499999999998</v>
      </c>
      <c r="CE62" s="518">
        <f t="shared" si="1135"/>
        <v>2.7087499999999998</v>
      </c>
      <c r="CF62" s="57">
        <f t="shared" si="173"/>
        <v>3.0985600000000004</v>
      </c>
      <c r="CG62" s="57">
        <f t="shared" si="1173"/>
        <v>3.0985600000000004</v>
      </c>
      <c r="CH62" s="57">
        <f t="shared" si="175"/>
        <v>0</v>
      </c>
      <c r="CI62" s="57">
        <f t="shared" si="1174"/>
        <v>0</v>
      </c>
      <c r="CJ62" s="57">
        <f t="shared" si="176"/>
        <v>27.887040000000002</v>
      </c>
      <c r="CK62" s="57">
        <f t="shared" si="1175"/>
        <v>27.887040000000002</v>
      </c>
      <c r="CL62" s="3"/>
      <c r="CM62" s="59">
        <f t="shared" si="1083"/>
        <v>23.319875</v>
      </c>
      <c r="CN62" s="62">
        <f t="shared" si="1136"/>
        <v>46.639749999999999</v>
      </c>
      <c r="CO62" s="128">
        <f t="shared" si="1137"/>
        <v>202.21314999999998</v>
      </c>
      <c r="CP62" s="129">
        <f t="shared" si="1138"/>
        <v>202.21314999999998</v>
      </c>
      <c r="CQ62" s="62">
        <f t="shared" si="1176"/>
        <v>225.53302499999998</v>
      </c>
      <c r="CR62" s="60">
        <f t="shared" si="1176"/>
        <v>248.85289999999998</v>
      </c>
      <c r="CS62" s="33">
        <v>1</v>
      </c>
      <c r="CT62" s="34">
        <f t="shared" si="178"/>
        <v>0</v>
      </c>
      <c r="CU62" s="34">
        <v>0.5</v>
      </c>
      <c r="CV62" s="35">
        <f t="shared" si="1177"/>
        <v>0.5</v>
      </c>
      <c r="CW62" s="36">
        <f t="shared" si="1178"/>
        <v>0</v>
      </c>
      <c r="CX62" s="37">
        <f t="shared" si="1179"/>
        <v>0</v>
      </c>
      <c r="CY62" s="57">
        <f>CT62*(1-$DJ62)*CM62</f>
        <v>0</v>
      </c>
      <c r="CZ62" s="127">
        <f t="shared" si="1181"/>
        <v>0</v>
      </c>
      <c r="DA62" s="37">
        <f t="shared" si="1139"/>
        <v>88.46825312499999</v>
      </c>
      <c r="DB62" s="37">
        <f t="shared" si="1140"/>
        <v>88.46825312499999</v>
      </c>
      <c r="DC62" s="37">
        <f t="shared" si="1141"/>
        <v>88.46825312499999</v>
      </c>
      <c r="DD62" s="142">
        <f t="shared" si="1142"/>
        <v>88.46825312499999</v>
      </c>
      <c r="DE62" s="37">
        <f t="shared" si="768"/>
        <v>88.46825312499999</v>
      </c>
      <c r="DF62" s="37">
        <f t="shared" si="1182"/>
        <v>88.46825312499999</v>
      </c>
      <c r="DG62" s="37">
        <f t="shared" si="1183"/>
        <v>88.46825312499999</v>
      </c>
      <c r="DH62" s="39">
        <f t="shared" si="1184"/>
        <v>88.46825312499999</v>
      </c>
      <c r="DJ62" s="496">
        <v>1</v>
      </c>
      <c r="DK62" s="497">
        <v>0.125</v>
      </c>
      <c r="DL62" s="37">
        <f t="shared" si="1143"/>
        <v>23.319875</v>
      </c>
      <c r="DM62" s="37">
        <f t="shared" si="1144"/>
        <v>46.639749999999999</v>
      </c>
      <c r="DN62" s="37">
        <f t="shared" si="1084"/>
        <v>25.276643749999998</v>
      </c>
      <c r="DO62" s="37">
        <f t="shared" si="1085"/>
        <v>25.276643749999998</v>
      </c>
      <c r="DP62" s="33">
        <v>1</v>
      </c>
      <c r="DQ62" s="34">
        <v>0.1</v>
      </c>
      <c r="DR62" s="34">
        <v>0.5</v>
      </c>
      <c r="DS62" s="681">
        <f t="shared" si="185"/>
        <v>0.1</v>
      </c>
      <c r="DT62" s="78">
        <f t="shared" si="186"/>
        <v>1</v>
      </c>
      <c r="DU62" s="34">
        <v>0</v>
      </c>
      <c r="DV62" s="34">
        <v>1</v>
      </c>
      <c r="DW62" s="34">
        <v>0</v>
      </c>
      <c r="DX62" s="34">
        <v>0</v>
      </c>
      <c r="DY62" s="34">
        <v>1</v>
      </c>
      <c r="DZ62" s="34">
        <v>0</v>
      </c>
      <c r="EA62" s="85">
        <f t="shared" si="888"/>
        <v>0</v>
      </c>
      <c r="EB62" s="57">
        <f t="shared" si="1185"/>
        <v>0</v>
      </c>
      <c r="EC62" s="57">
        <f t="shared" si="889"/>
        <v>3.4979812499999996</v>
      </c>
      <c r="ED62" s="57">
        <f t="shared" si="1186"/>
        <v>34.979812500000001</v>
      </c>
      <c r="EE62" s="57">
        <f t="shared" si="890"/>
        <v>0</v>
      </c>
      <c r="EF62" s="57">
        <f t="shared" si="1187"/>
        <v>0</v>
      </c>
      <c r="EG62" s="126">
        <f t="shared" si="1145"/>
        <v>0</v>
      </c>
      <c r="EH62" s="57">
        <f t="shared" si="1146"/>
        <v>0</v>
      </c>
      <c r="EI62" s="57">
        <f t="shared" si="1147"/>
        <v>2.5278556249999999</v>
      </c>
      <c r="EJ62" s="57">
        <f t="shared" si="1148"/>
        <v>25.278556249999998</v>
      </c>
      <c r="EK62" s="57">
        <f t="shared" si="1149"/>
        <v>0</v>
      </c>
      <c r="EL62" s="127">
        <f t="shared" si="1150"/>
        <v>0</v>
      </c>
      <c r="EM62" s="57">
        <f t="shared" si="193"/>
        <v>6.0258368749999995</v>
      </c>
      <c r="EN62" s="81">
        <f t="shared" si="194"/>
        <v>60.258368750000002</v>
      </c>
      <c r="EP62" s="85">
        <f t="shared" si="769"/>
        <v>2.4625E-4</v>
      </c>
      <c r="EQ62" s="57">
        <f t="shared" si="1151"/>
        <v>4.9249999999999999E-4</v>
      </c>
      <c r="ER62" s="57">
        <f t="shared" si="770"/>
        <v>7.3874999999999991E-3</v>
      </c>
      <c r="ES62" s="57">
        <f t="shared" si="1152"/>
        <v>1.4774999999999998E-2</v>
      </c>
      <c r="ET62" s="57">
        <f t="shared" si="771"/>
        <v>0</v>
      </c>
      <c r="EU62" s="127">
        <f t="shared" si="1153"/>
        <v>0</v>
      </c>
      <c r="EV62" s="126">
        <f t="shared" si="1086"/>
        <v>9.8500000000000011E-3</v>
      </c>
      <c r="EW62" s="57">
        <f t="shared" si="1087"/>
        <v>9.8500000000000011E-3</v>
      </c>
      <c r="EX62" s="57">
        <f t="shared" si="1088"/>
        <v>0.14774999999999999</v>
      </c>
      <c r="EY62" s="57">
        <f t="shared" si="1089"/>
        <v>0.14774999999999999</v>
      </c>
      <c r="EZ62" s="57">
        <f t="shared" si="1090"/>
        <v>2.7087499999999998</v>
      </c>
      <c r="FA62" s="87">
        <f t="shared" si="1091"/>
        <v>2.7087499999999998</v>
      </c>
      <c r="FB62" s="36">
        <f t="shared" si="1188"/>
        <v>0</v>
      </c>
      <c r="FC62" s="37">
        <f t="shared" si="1189"/>
        <v>0</v>
      </c>
      <c r="FD62" s="37">
        <f t="shared" si="1154"/>
        <v>88.46825312499999</v>
      </c>
      <c r="FE62" s="37">
        <f t="shared" si="1155"/>
        <v>88.46825312499999</v>
      </c>
      <c r="FF62" s="36">
        <f t="shared" si="772"/>
        <v>0</v>
      </c>
      <c r="FG62" s="37">
        <f t="shared" si="1156"/>
        <v>0</v>
      </c>
      <c r="FH62" s="37">
        <f t="shared" si="1157"/>
        <v>88.46825312499999</v>
      </c>
      <c r="FI62" s="37">
        <f t="shared" si="1158"/>
        <v>88.46825312499999</v>
      </c>
      <c r="FJ62" s="33">
        <v>1</v>
      </c>
      <c r="FK62" s="34">
        <v>0.2</v>
      </c>
      <c r="FL62" s="502">
        <v>0.8</v>
      </c>
      <c r="FM62" s="34">
        <v>0.1</v>
      </c>
      <c r="FN62" s="502">
        <v>0.5</v>
      </c>
      <c r="FO62" s="34">
        <f t="shared" si="200"/>
        <v>0.1</v>
      </c>
      <c r="FP62" s="34">
        <f t="shared" si="201"/>
        <v>1</v>
      </c>
      <c r="FQ62" s="34">
        <v>1</v>
      </c>
      <c r="FR62" s="34">
        <v>0</v>
      </c>
      <c r="FS62" s="90">
        <f t="shared" si="202"/>
        <v>1E-3</v>
      </c>
      <c r="FT62" s="34">
        <f t="shared" si="203"/>
        <v>0.05</v>
      </c>
      <c r="FU62" s="33">
        <v>0.05</v>
      </c>
      <c r="FV62" s="35">
        <f t="shared" si="25"/>
        <v>2.4224999999999997E-2</v>
      </c>
      <c r="FW62" s="34">
        <v>0.1</v>
      </c>
      <c r="FX62" s="78">
        <f t="shared" si="26"/>
        <v>9.0000000000000011E-2</v>
      </c>
      <c r="FY62" s="33">
        <v>0.05</v>
      </c>
      <c r="FZ62" s="35">
        <f t="shared" si="1092"/>
        <v>2.4224999999999997E-2</v>
      </c>
      <c r="GA62" s="34">
        <v>0.1</v>
      </c>
      <c r="GB62" s="78">
        <f t="shared" si="1093"/>
        <v>9.0000000000000011E-2</v>
      </c>
      <c r="GC62" s="85">
        <f t="shared" si="773"/>
        <v>2.4625E-4</v>
      </c>
      <c r="GD62" s="57">
        <f t="shared" si="1159"/>
        <v>4.9249999999999999E-4</v>
      </c>
      <c r="GE62" s="57">
        <f t="shared" si="774"/>
        <v>7.3874999999999991E-3</v>
      </c>
      <c r="GF62" s="57">
        <f t="shared" si="1160"/>
        <v>1.4774999999999998E-2</v>
      </c>
      <c r="GG62" s="57">
        <f t="shared" si="1190"/>
        <v>0</v>
      </c>
      <c r="GH62" s="127">
        <f t="shared" si="1191"/>
        <v>0</v>
      </c>
      <c r="GI62" s="57">
        <f t="shared" si="1094"/>
        <v>9.8500000000000011E-3</v>
      </c>
      <c r="GJ62" s="57">
        <f t="shared" si="1095"/>
        <v>9.8500000000000011E-3</v>
      </c>
      <c r="GK62" s="57">
        <f t="shared" si="1096"/>
        <v>0.14774999999999999</v>
      </c>
      <c r="GL62" s="57">
        <f t="shared" si="1097"/>
        <v>0.14774999999999999</v>
      </c>
      <c r="GM62" s="57">
        <f t="shared" si="1098"/>
        <v>0.54174999999999995</v>
      </c>
      <c r="GN62" s="127">
        <f t="shared" si="1099"/>
        <v>2.1669999999999998</v>
      </c>
      <c r="GO62" s="57">
        <f t="shared" si="208"/>
        <v>0.70698374999999991</v>
      </c>
      <c r="GP62" s="87">
        <f t="shared" si="209"/>
        <v>2.3398675</v>
      </c>
      <c r="GQ62" s="37">
        <f t="shared" si="891"/>
        <v>0</v>
      </c>
      <c r="GR62" s="37">
        <f t="shared" si="892"/>
        <v>0</v>
      </c>
      <c r="GS62" s="57">
        <f t="shared" si="1031"/>
        <v>5.7000345225250021E-2</v>
      </c>
      <c r="GT62" s="57">
        <f t="shared" si="1032"/>
        <v>28.500172612625008</v>
      </c>
      <c r="GU62" s="57">
        <f t="shared" si="1033"/>
        <v>0</v>
      </c>
      <c r="GV62" s="127">
        <f t="shared" si="1034"/>
        <v>0</v>
      </c>
      <c r="GW62" s="37">
        <f t="shared" si="1162"/>
        <v>0.32832780441015624</v>
      </c>
      <c r="GX62" s="37">
        <f t="shared" si="1163"/>
        <v>8.4044840468749999</v>
      </c>
      <c r="GY62" s="37">
        <f>1/10*($FH62*$FQ62*$FO62*$FS62+$FH61*$FQ61*$FO61*$FS61+$FH60*$FQ60*$FO60*$FS60+$FH59*$FQ59*$FO59*$FS59+$FH58*$FQ58*$FO58*$FS58+$FH57*$FQ57*$FO57*$FS57)</f>
        <v>2.7055076562499999E-3</v>
      </c>
      <c r="GZ62" s="37">
        <f>1/10*($FI62*$FQ62*$FP62*$FT62+$FI61*$FQ61*$FP61*$FT61+$FI60*$FQ60*$FP60*$FT60+$FI59*$FQ59*$FP59*$FT59+$FI58*$FQ58*$FP58*$FT58+$FI57*$FQ57*$FP57*$FT57)</f>
        <v>1.352753828125</v>
      </c>
      <c r="HA62" s="37">
        <f>1/10*($FH62*$FR62*$FO62*$FS62+$FH61*$FR61*$FO61*$FS61+$FH60*$FR60*$FO60*$FS60+$FH59*$FR59*$FO59*$FS59+$FH58*$FR58*$FO58*$FS58+$FH57*$FR57*$FO57*$FS57)</f>
        <v>0</v>
      </c>
      <c r="HB62" s="142">
        <f>1/10*($FI62*$FR62*$FP62*$FT62+$FI61*$FR61*$FP61*$FT61+$FI60*$FR60*$FP60*$FT60+$FI59*$FR59*$FP59*$FT59+$FI58*$FR58*$FP58*$FT58+$FI57*$FR57*$FP57*$FT57)</f>
        <v>0</v>
      </c>
      <c r="HC62" s="57">
        <f t="shared" si="212"/>
        <v>0.38803365729165629</v>
      </c>
      <c r="HD62" s="39">
        <f t="shared" si="213"/>
        <v>38.257410487625009</v>
      </c>
      <c r="HE62" s="527"/>
      <c r="HF62" s="530">
        <f t="shared" si="775"/>
        <v>2.0438749999999999</v>
      </c>
      <c r="HG62" s="530">
        <f t="shared" si="776"/>
        <v>2.0931249999999997</v>
      </c>
      <c r="HH62" s="530">
        <f t="shared" si="777"/>
        <v>0</v>
      </c>
      <c r="HI62" s="530">
        <f t="shared" si="778"/>
        <v>0</v>
      </c>
      <c r="HJ62" s="530">
        <f t="shared" si="779"/>
        <v>1.4775</v>
      </c>
      <c r="HK62" s="531">
        <f t="shared" si="780"/>
        <v>1.4775</v>
      </c>
      <c r="HL62" s="530">
        <f t="shared" si="781"/>
        <v>0</v>
      </c>
      <c r="HM62" s="530">
        <f t="shared" si="782"/>
        <v>0</v>
      </c>
      <c r="HN62" s="530">
        <f t="shared" si="783"/>
        <v>7.4220743749999993</v>
      </c>
      <c r="HO62" s="530">
        <f t="shared" si="784"/>
        <v>61.721093749999994</v>
      </c>
      <c r="HP62" s="530">
        <f t="shared" si="785"/>
        <v>2.4624999999999999</v>
      </c>
      <c r="HQ62" s="531">
        <f t="shared" si="786"/>
        <v>2.4624999999999999</v>
      </c>
      <c r="HR62" s="530">
        <f t="shared" si="214"/>
        <v>3.4939843996354067</v>
      </c>
      <c r="HS62" s="530">
        <f t="shared" si="787"/>
        <v>41.366312987625008</v>
      </c>
      <c r="HT62" s="530">
        <f t="shared" si="788"/>
        <v>0.15513749999999998</v>
      </c>
      <c r="HU62" s="530">
        <f t="shared" si="789"/>
        <v>0.162525</v>
      </c>
      <c r="HV62" s="530">
        <f t="shared" si="790"/>
        <v>28.428790000000003</v>
      </c>
      <c r="HW62" s="531">
        <f t="shared" si="791"/>
        <v>30.054040000000001</v>
      </c>
      <c r="IG62" s="560"/>
      <c r="IH62" s="530">
        <f t="shared" si="215"/>
        <v>2.2482625000000003E-2</v>
      </c>
      <c r="II62" s="530">
        <f t="shared" si="216"/>
        <v>1.8394875000000002E-2</v>
      </c>
      <c r="IJ62" s="530">
        <f t="shared" si="217"/>
        <v>3.6789750000000003E-2</v>
      </c>
      <c r="IK62" s="530">
        <f t="shared" si="893"/>
        <v>1.8394875000000002E-2</v>
      </c>
      <c r="IL62" s="530">
        <f t="shared" si="894"/>
        <v>1.7270743749999999</v>
      </c>
      <c r="IM62" s="530">
        <f t="shared" si="895"/>
        <v>2.0438750000000001E-3</v>
      </c>
      <c r="IN62" s="530">
        <f t="shared" si="896"/>
        <v>2.0438750000000001E-3</v>
      </c>
      <c r="IO62" s="530">
        <f t="shared" si="222"/>
        <v>6.9073124999999999E-2</v>
      </c>
      <c r="IP62" s="530">
        <f t="shared" si="223"/>
        <v>8.5818124999999981E-2</v>
      </c>
      <c r="IQ62" s="530">
        <f t="shared" si="897"/>
        <v>0.10884249999999999</v>
      </c>
      <c r="IR62" s="530">
        <f t="shared" si="898"/>
        <v>8.5818124999999981E-2</v>
      </c>
      <c r="IS62" s="530">
        <f t="shared" si="899"/>
        <v>1.7728768749999997</v>
      </c>
      <c r="IT62" s="530">
        <f t="shared" si="900"/>
        <v>2.0931249999999998E-2</v>
      </c>
      <c r="IU62" s="518">
        <f t="shared" si="901"/>
        <v>2.0931249999999998E-2</v>
      </c>
      <c r="IV62" s="57">
        <f t="shared" si="229"/>
        <v>0</v>
      </c>
      <c r="IW62" s="57">
        <f t="shared" si="230"/>
        <v>0</v>
      </c>
      <c r="IX62" s="530">
        <f t="shared" si="792"/>
        <v>0</v>
      </c>
      <c r="IY62" s="530">
        <f t="shared" si="793"/>
        <v>0</v>
      </c>
      <c r="IZ62" s="530">
        <f t="shared" si="794"/>
        <v>0</v>
      </c>
      <c r="JA62" s="530">
        <f t="shared" si="795"/>
        <v>0</v>
      </c>
      <c r="JB62" s="530">
        <f t="shared" si="796"/>
        <v>0</v>
      </c>
      <c r="JC62" s="530">
        <f t="shared" si="231"/>
        <v>0</v>
      </c>
      <c r="JD62" s="530">
        <f t="shared" si="232"/>
        <v>0</v>
      </c>
      <c r="JE62" s="530">
        <f t="shared" si="797"/>
        <v>0</v>
      </c>
      <c r="JF62" s="530">
        <f t="shared" si="798"/>
        <v>0</v>
      </c>
      <c r="JG62" s="530">
        <f t="shared" si="799"/>
        <v>0</v>
      </c>
      <c r="JH62" s="530">
        <f t="shared" si="800"/>
        <v>0</v>
      </c>
      <c r="JI62" s="87">
        <f t="shared" si="801"/>
        <v>0</v>
      </c>
      <c r="JJ62" s="57">
        <f t="shared" si="233"/>
        <v>1.6252500000000003E-2</v>
      </c>
      <c r="JK62" s="57">
        <f t="shared" si="234"/>
        <v>1.3297500000000002E-2</v>
      </c>
      <c r="JL62" s="530">
        <f t="shared" si="802"/>
        <v>2.6595000000000004E-2</v>
      </c>
      <c r="JM62" s="530">
        <f t="shared" si="803"/>
        <v>1.3297500000000002E-2</v>
      </c>
      <c r="JN62" s="530">
        <f t="shared" si="804"/>
        <v>1.2484875</v>
      </c>
      <c r="JO62" s="530">
        <f t="shared" si="805"/>
        <v>1.4775000000000001E-3</v>
      </c>
      <c r="JP62" s="530">
        <f t="shared" si="806"/>
        <v>1.4775000000000001E-3</v>
      </c>
      <c r="JQ62" s="530">
        <f t="shared" si="235"/>
        <v>4.8757500000000002E-2</v>
      </c>
      <c r="JR62" s="530">
        <f t="shared" si="236"/>
        <v>6.0577499999999992E-2</v>
      </c>
      <c r="JS62" s="57">
        <f t="shared" si="807"/>
        <v>7.6830000000000009E-2</v>
      </c>
      <c r="JT62" s="57">
        <f t="shared" si="808"/>
        <v>6.0577499999999992E-2</v>
      </c>
      <c r="JU62" s="57">
        <f t="shared" si="809"/>
        <v>1.2514425</v>
      </c>
      <c r="JV62" s="57">
        <f t="shared" si="810"/>
        <v>1.4775E-2</v>
      </c>
      <c r="JW62" s="81">
        <f t="shared" si="811"/>
        <v>1.4775E-2</v>
      </c>
      <c r="JX62" s="57">
        <f t="shared" si="237"/>
        <v>0</v>
      </c>
      <c r="JY62" s="57">
        <f t="shared" si="238"/>
        <v>0</v>
      </c>
      <c r="JZ62" s="530">
        <f t="shared" si="812"/>
        <v>0</v>
      </c>
      <c r="KA62" s="530">
        <f t="shared" si="813"/>
        <v>0</v>
      </c>
      <c r="KB62" s="530">
        <f t="shared" si="814"/>
        <v>0</v>
      </c>
      <c r="KC62" s="530">
        <f t="shared" si="815"/>
        <v>0</v>
      </c>
      <c r="KD62" s="530">
        <f t="shared" si="816"/>
        <v>0</v>
      </c>
      <c r="KE62" s="530">
        <f t="shared" si="239"/>
        <v>0</v>
      </c>
      <c r="KF62" s="530">
        <f t="shared" si="240"/>
        <v>0</v>
      </c>
      <c r="KG62" s="530">
        <f t="shared" si="817"/>
        <v>0</v>
      </c>
      <c r="KH62" s="530">
        <f t="shared" si="818"/>
        <v>0</v>
      </c>
      <c r="KI62" s="530">
        <f t="shared" si="819"/>
        <v>0</v>
      </c>
      <c r="KJ62" s="530">
        <f t="shared" si="820"/>
        <v>0</v>
      </c>
      <c r="KK62" s="518">
        <f t="shared" si="821"/>
        <v>0</v>
      </c>
      <c r="KL62" s="57">
        <f t="shared" si="241"/>
        <v>8.1642818125000002E-2</v>
      </c>
      <c r="KM62" s="57">
        <f t="shared" si="242"/>
        <v>6.6798669375000008E-2</v>
      </c>
      <c r="KN62" s="530">
        <f t="shared" si="822"/>
        <v>0.13359733875000002</v>
      </c>
      <c r="KO62" s="530">
        <f t="shared" si="823"/>
        <v>6.6798669375000008E-2</v>
      </c>
      <c r="KP62" s="530">
        <f t="shared" si="824"/>
        <v>6.271652846874999</v>
      </c>
      <c r="KQ62" s="530">
        <f t="shared" si="825"/>
        <v>7.4220743749999997E-3</v>
      </c>
      <c r="KR62" s="530">
        <f t="shared" si="826"/>
        <v>7.4220743749999997E-3</v>
      </c>
      <c r="KS62" s="530">
        <f t="shared" si="243"/>
        <v>2.03679609375</v>
      </c>
      <c r="KT62" s="530">
        <f t="shared" si="244"/>
        <v>2.5305648437499992</v>
      </c>
      <c r="KU62" s="530">
        <f t="shared" si="827"/>
        <v>3.2094968750000001</v>
      </c>
      <c r="KV62" s="530">
        <f t="shared" si="828"/>
        <v>2.5305648437499992</v>
      </c>
      <c r="KW62" s="530">
        <f t="shared" si="829"/>
        <v>52.277766406249995</v>
      </c>
      <c r="KX62" s="530">
        <f t="shared" si="830"/>
        <v>0.6172109375</v>
      </c>
      <c r="KY62" s="87">
        <f t="shared" si="831"/>
        <v>0.6172109375</v>
      </c>
      <c r="KZ62" s="57">
        <f t="shared" si="245"/>
        <v>2.70875E-2</v>
      </c>
      <c r="LA62" s="57">
        <f t="shared" si="246"/>
        <v>2.2162500000000002E-2</v>
      </c>
      <c r="LB62" s="530">
        <f t="shared" si="832"/>
        <v>4.4325000000000003E-2</v>
      </c>
      <c r="LC62" s="530">
        <f t="shared" si="833"/>
        <v>2.2162500000000002E-2</v>
      </c>
      <c r="LD62" s="530">
        <f t="shared" si="834"/>
        <v>2.0808125</v>
      </c>
      <c r="LE62" s="530">
        <f t="shared" si="835"/>
        <v>2.4624999999999998E-3</v>
      </c>
      <c r="LF62" s="530">
        <f t="shared" si="836"/>
        <v>2.4624999999999998E-3</v>
      </c>
      <c r="LG62" s="530">
        <f t="shared" si="247"/>
        <v>8.1262500000000001E-2</v>
      </c>
      <c r="LH62" s="530">
        <f t="shared" si="248"/>
        <v>0.10096249999999998</v>
      </c>
      <c r="LI62" s="57">
        <f t="shared" si="837"/>
        <v>0.12805</v>
      </c>
      <c r="LJ62" s="57">
        <f t="shared" si="838"/>
        <v>0.10096249999999998</v>
      </c>
      <c r="LK62" s="57">
        <f t="shared" si="839"/>
        <v>2.0857375</v>
      </c>
      <c r="LL62" s="57">
        <f t="shared" si="840"/>
        <v>2.4625000000000001E-2</v>
      </c>
      <c r="LM62" s="81">
        <f t="shared" si="841"/>
        <v>2.4625000000000001E-2</v>
      </c>
      <c r="LN62" s="57">
        <f t="shared" si="249"/>
        <v>3.8433828395989474E-3</v>
      </c>
      <c r="LO62" s="57">
        <f t="shared" si="250"/>
        <v>1.0481953198906218E-3</v>
      </c>
      <c r="LP62" s="530">
        <f t="shared" si="842"/>
        <v>1.7819320438140576E-2</v>
      </c>
      <c r="LQ62" s="530">
        <f t="shared" si="843"/>
        <v>2.8650672077010331E-2</v>
      </c>
      <c r="LR62" s="530">
        <f t="shared" si="844"/>
        <v>2.7951875197083256</v>
      </c>
      <c r="LS62" s="530">
        <f t="shared" si="845"/>
        <v>3.0397664276828038E-2</v>
      </c>
      <c r="LT62" s="530">
        <f t="shared" si="846"/>
        <v>3.4939843996354067E-3</v>
      </c>
      <c r="LU62" s="530">
        <f t="shared" si="251"/>
        <v>2.4819787792575005</v>
      </c>
      <c r="LV62" s="530">
        <f t="shared" si="252"/>
        <v>1.2409893896287503</v>
      </c>
      <c r="LW62" s="530">
        <f t="shared" si="847"/>
        <v>2.8956419091337509</v>
      </c>
      <c r="LX62" s="530">
        <f t="shared" si="848"/>
        <v>2.4819787792575005</v>
      </c>
      <c r="LY62" s="530">
        <f t="shared" si="849"/>
        <v>40.91128354476114</v>
      </c>
      <c r="LZ62" s="530">
        <f t="shared" si="850"/>
        <v>0.41366312987625009</v>
      </c>
      <c r="MA62" s="127">
        <f t="shared" si="851"/>
        <v>0.41366312987625009</v>
      </c>
      <c r="MB62" s="57">
        <f t="shared" si="253"/>
        <v>1.7065124999999999E-4</v>
      </c>
      <c r="MC62" s="57">
        <f t="shared" si="254"/>
        <v>4.6541249999999991E-5</v>
      </c>
      <c r="MD62" s="530">
        <f t="shared" si="852"/>
        <v>7.9120124999999993E-4</v>
      </c>
      <c r="ME62" s="530">
        <f t="shared" si="853"/>
        <v>1.2721274999999998E-3</v>
      </c>
      <c r="MF62" s="530">
        <f t="shared" si="854"/>
        <v>0.12411</v>
      </c>
      <c r="MG62" s="530">
        <f t="shared" si="855"/>
        <v>1.3496962499999997E-3</v>
      </c>
      <c r="MH62" s="530">
        <f t="shared" si="856"/>
        <v>1.551375E-4</v>
      </c>
      <c r="MI62" s="530">
        <f t="shared" si="255"/>
        <v>9.7514999999999998E-3</v>
      </c>
      <c r="MJ62" s="530">
        <f t="shared" si="256"/>
        <v>4.8757499999999999E-3</v>
      </c>
      <c r="MK62" s="530">
        <f t="shared" si="857"/>
        <v>1.1376750000000001E-2</v>
      </c>
      <c r="ML62" s="530">
        <f t="shared" si="858"/>
        <v>9.7514999999999998E-3</v>
      </c>
      <c r="MM62" s="530">
        <f t="shared" si="859"/>
        <v>0.16073722500000001</v>
      </c>
      <c r="MN62" s="530">
        <f t="shared" si="860"/>
        <v>1.62525E-3</v>
      </c>
      <c r="MO62" s="127">
        <f t="shared" si="861"/>
        <v>1.62525E-3</v>
      </c>
      <c r="MP62" s="57">
        <f t="shared" si="257"/>
        <v>3.1271669000000002E-2</v>
      </c>
      <c r="MQ62" s="57">
        <f t="shared" si="258"/>
        <v>8.5286370000000004E-3</v>
      </c>
      <c r="MR62" s="530">
        <f t="shared" si="862"/>
        <v>0.14498682900000001</v>
      </c>
      <c r="MS62" s="530">
        <f t="shared" si="863"/>
        <v>0.233116078</v>
      </c>
      <c r="MT62" s="530">
        <f t="shared" si="864"/>
        <v>22.743032000000003</v>
      </c>
      <c r="MU62" s="530">
        <f t="shared" si="865"/>
        <v>0.247330473</v>
      </c>
      <c r="MV62" s="530">
        <f t="shared" si="866"/>
        <v>2.8428790000000002E-2</v>
      </c>
      <c r="MW62" s="530">
        <f t="shared" si="259"/>
        <v>1.8032424</v>
      </c>
      <c r="MX62" s="530">
        <f t="shared" si="260"/>
        <v>0.90162120000000001</v>
      </c>
      <c r="MY62" s="57">
        <f t="shared" si="867"/>
        <v>2.1037828000000003</v>
      </c>
      <c r="MZ62" s="57">
        <f t="shared" si="868"/>
        <v>1.8032424</v>
      </c>
      <c r="NA62" s="57">
        <f t="shared" si="869"/>
        <v>29.723445560000002</v>
      </c>
      <c r="NB62" s="57">
        <f t="shared" si="870"/>
        <v>0.30054039999999999</v>
      </c>
      <c r="NC62" s="81">
        <f t="shared" si="871"/>
        <v>0.30054039999999999</v>
      </c>
    </row>
    <row r="63" spans="1:367" x14ac:dyDescent="0.25">
      <c r="A63" s="9">
        <v>2008</v>
      </c>
      <c r="B63" s="10">
        <v>0</v>
      </c>
      <c r="C63" s="645">
        <v>0</v>
      </c>
      <c r="D63" s="645">
        <v>250</v>
      </c>
      <c r="E63" s="657">
        <v>250</v>
      </c>
      <c r="F63" s="645">
        <f t="shared" si="1164"/>
        <v>0</v>
      </c>
      <c r="G63" s="467">
        <f t="shared" si="1165"/>
        <v>0</v>
      </c>
      <c r="H63" s="467">
        <f t="shared" si="1100"/>
        <v>246.25</v>
      </c>
      <c r="I63" s="467">
        <f t="shared" si="1101"/>
        <v>246.25</v>
      </c>
      <c r="J63" s="1085">
        <f>'POSF Zone Def'!BQ133</f>
        <v>30</v>
      </c>
      <c r="K63" s="1085">
        <f t="shared" si="734"/>
        <v>30</v>
      </c>
      <c r="L63" s="666">
        <f t="shared" si="751"/>
        <v>246.25</v>
      </c>
      <c r="M63" s="667">
        <f t="shared" si="1102"/>
        <v>246.25</v>
      </c>
      <c r="N63" s="195">
        <v>2E-3</v>
      </c>
      <c r="O63" s="196">
        <v>0</v>
      </c>
      <c r="P63" s="196">
        <v>0</v>
      </c>
      <c r="Q63" s="197">
        <v>6.0000000000000001E-3</v>
      </c>
      <c r="R63" s="48">
        <v>0</v>
      </c>
      <c r="S63" s="48">
        <v>2.7000000000000001E-3</v>
      </c>
      <c r="T63" s="48">
        <v>0</v>
      </c>
      <c r="U63" s="48">
        <v>1.18E-2</v>
      </c>
      <c r="V63" s="118">
        <v>1.0000000000000001E-5</v>
      </c>
      <c r="W63" s="48">
        <v>2.9999999999999997E-4</v>
      </c>
      <c r="X63" s="53">
        <v>0</v>
      </c>
      <c r="Y63" s="53">
        <v>3.1E-2</v>
      </c>
      <c r="Z63" s="487">
        <v>5.2999999999999999E-2</v>
      </c>
      <c r="AA63" s="53">
        <f t="shared" si="147"/>
        <v>0.1</v>
      </c>
      <c r="AB63" s="53">
        <f t="shared" si="148"/>
        <v>0</v>
      </c>
      <c r="AC63" s="53">
        <f t="shared" si="149"/>
        <v>0.9</v>
      </c>
      <c r="AD63" s="56">
        <f t="shared" si="1166"/>
        <v>0</v>
      </c>
      <c r="AE63" s="57">
        <f t="shared" si="1167"/>
        <v>0</v>
      </c>
      <c r="AF63" s="57">
        <f t="shared" si="1168"/>
        <v>0</v>
      </c>
      <c r="AG63" s="57">
        <f t="shared" si="1169"/>
        <v>0</v>
      </c>
      <c r="AH63" s="57">
        <f t="shared" si="1170"/>
        <v>0</v>
      </c>
      <c r="AI63" s="57">
        <f t="shared" si="1171"/>
        <v>0</v>
      </c>
      <c r="AJ63" s="126">
        <f t="shared" si="1103"/>
        <v>1.9946249999999999</v>
      </c>
      <c r="AK63" s="57">
        <f t="shared" si="1104"/>
        <v>1.9946249999999999</v>
      </c>
      <c r="AL63" s="57">
        <f t="shared" si="1105"/>
        <v>0</v>
      </c>
      <c r="AM63" s="57">
        <f t="shared" si="1106"/>
        <v>0</v>
      </c>
      <c r="AN63" s="57">
        <f t="shared" si="1107"/>
        <v>1.4775</v>
      </c>
      <c r="AO63" s="127">
        <f t="shared" si="1108"/>
        <v>1.4775</v>
      </c>
      <c r="AP63" s="57">
        <f t="shared" si="1172"/>
        <v>1.9946249999999999</v>
      </c>
      <c r="AQ63" s="57">
        <f t="shared" si="1172"/>
        <v>1.9946249999999999</v>
      </c>
      <c r="AR63" s="57">
        <f t="shared" si="1172"/>
        <v>0</v>
      </c>
      <c r="AS63" s="57">
        <f t="shared" si="1109"/>
        <v>0</v>
      </c>
      <c r="AT63" s="57">
        <f t="shared" si="1109"/>
        <v>1.4775</v>
      </c>
      <c r="AU63" s="87">
        <f t="shared" si="1109"/>
        <v>1.4775</v>
      </c>
      <c r="AV63" s="56">
        <f t="shared" si="1110"/>
        <v>0</v>
      </c>
      <c r="AW63" s="57">
        <f t="shared" si="1111"/>
        <v>0</v>
      </c>
      <c r="AX63" s="57">
        <f t="shared" si="1112"/>
        <v>0</v>
      </c>
      <c r="AY63" s="57">
        <f t="shared" si="1113"/>
        <v>0</v>
      </c>
      <c r="AZ63" s="57">
        <f t="shared" si="1114"/>
        <v>0</v>
      </c>
      <c r="BA63" s="57">
        <f t="shared" si="1115"/>
        <v>0</v>
      </c>
      <c r="BB63" s="126">
        <f t="shared" si="1116"/>
        <v>0</v>
      </c>
      <c r="BC63" s="57">
        <f t="shared" si="1117"/>
        <v>0</v>
      </c>
      <c r="BD63" s="57">
        <f t="shared" si="1118"/>
        <v>1.32975</v>
      </c>
      <c r="BE63" s="57">
        <f t="shared" si="1119"/>
        <v>1.32975</v>
      </c>
      <c r="BF63" s="57">
        <f t="shared" si="1120"/>
        <v>2.4624999999999999</v>
      </c>
      <c r="BG63" s="57">
        <f t="shared" si="1121"/>
        <v>2.4624999999999999</v>
      </c>
      <c r="BH63" s="57">
        <f t="shared" si="1122"/>
        <v>0</v>
      </c>
      <c r="BI63" s="57">
        <f t="shared" si="1122"/>
        <v>0</v>
      </c>
      <c r="BJ63" s="57">
        <f t="shared" si="1122"/>
        <v>1.32975</v>
      </c>
      <c r="BK63" s="57">
        <f t="shared" si="1122"/>
        <v>1.32975</v>
      </c>
      <c r="BL63" s="57">
        <f t="shared" si="1122"/>
        <v>2.4624999999999999</v>
      </c>
      <c r="BM63" s="57">
        <f t="shared" si="1122"/>
        <v>2.4624999999999999</v>
      </c>
      <c r="BN63" s="56">
        <f t="shared" si="1123"/>
        <v>0</v>
      </c>
      <c r="BO63" s="57">
        <f t="shared" si="1124"/>
        <v>0</v>
      </c>
      <c r="BP63" s="57">
        <f t="shared" si="1125"/>
        <v>0</v>
      </c>
      <c r="BQ63" s="57">
        <f t="shared" si="1126"/>
        <v>0</v>
      </c>
      <c r="BR63" s="57">
        <f t="shared" si="1127"/>
        <v>0</v>
      </c>
      <c r="BS63" s="57">
        <f t="shared" si="1128"/>
        <v>0</v>
      </c>
      <c r="BT63" s="126">
        <f t="shared" si="1129"/>
        <v>9.8500000000000011E-3</v>
      </c>
      <c r="BU63" s="57">
        <f t="shared" si="1130"/>
        <v>9.8500000000000011E-3</v>
      </c>
      <c r="BV63" s="57">
        <f t="shared" si="1131"/>
        <v>0.14774999999999999</v>
      </c>
      <c r="BW63" s="57">
        <f t="shared" si="1132"/>
        <v>0.14774999999999999</v>
      </c>
      <c r="BX63" s="57">
        <f t="shared" si="1133"/>
        <v>2.7087499999999998</v>
      </c>
      <c r="BY63" s="57">
        <f t="shared" si="1134"/>
        <v>2.7087499999999998</v>
      </c>
      <c r="BZ63" s="126">
        <f t="shared" si="1135"/>
        <v>9.8500000000000011E-3</v>
      </c>
      <c r="CA63" s="57">
        <f t="shared" si="1135"/>
        <v>9.8500000000000011E-3</v>
      </c>
      <c r="CB63" s="57">
        <f t="shared" si="1135"/>
        <v>0.14774999999999999</v>
      </c>
      <c r="CC63" s="57">
        <f t="shared" si="1135"/>
        <v>0.14774999999999999</v>
      </c>
      <c r="CD63" s="57">
        <f t="shared" si="1135"/>
        <v>2.7087499999999998</v>
      </c>
      <c r="CE63" s="518">
        <f t="shared" si="1135"/>
        <v>2.7087499999999998</v>
      </c>
      <c r="CF63" s="57">
        <f t="shared" si="173"/>
        <v>3</v>
      </c>
      <c r="CG63" s="57">
        <f t="shared" si="1173"/>
        <v>3</v>
      </c>
      <c r="CH63" s="57">
        <f t="shared" si="175"/>
        <v>0</v>
      </c>
      <c r="CI63" s="57">
        <f t="shared" si="1174"/>
        <v>0</v>
      </c>
      <c r="CJ63" s="57">
        <f t="shared" si="176"/>
        <v>27</v>
      </c>
      <c r="CK63" s="57">
        <f t="shared" si="1175"/>
        <v>27</v>
      </c>
      <c r="CL63" s="3"/>
      <c r="CM63" s="59">
        <f t="shared" si="1083"/>
        <v>0</v>
      </c>
      <c r="CN63" s="62">
        <f t="shared" si="1136"/>
        <v>0</v>
      </c>
      <c r="CO63" s="128">
        <f t="shared" si="1137"/>
        <v>203.19874999999999</v>
      </c>
      <c r="CP63" s="129">
        <f t="shared" si="1138"/>
        <v>203.19874999999999</v>
      </c>
      <c r="CQ63" s="62">
        <f t="shared" si="1176"/>
        <v>203.19874999999999</v>
      </c>
      <c r="CR63" s="60">
        <f t="shared" si="1176"/>
        <v>203.19874999999999</v>
      </c>
      <c r="CS63" s="33">
        <v>1</v>
      </c>
      <c r="CT63" s="34">
        <f t="shared" si="178"/>
        <v>0</v>
      </c>
      <c r="CU63" s="34">
        <v>0.5</v>
      </c>
      <c r="CV63" s="35">
        <f t="shared" si="1177"/>
        <v>0.5</v>
      </c>
      <c r="CW63" s="36">
        <f t="shared" si="1178"/>
        <v>0</v>
      </c>
      <c r="CX63" s="37">
        <f t="shared" si="1179"/>
        <v>0</v>
      </c>
      <c r="CY63" s="57">
        <f t="shared" si="1180"/>
        <v>0</v>
      </c>
      <c r="CZ63" s="127">
        <f t="shared" si="1181"/>
        <v>0</v>
      </c>
      <c r="DA63" s="37">
        <f t="shared" si="1139"/>
        <v>88.899453124999994</v>
      </c>
      <c r="DB63" s="37">
        <f t="shared" si="1140"/>
        <v>88.899453124999994</v>
      </c>
      <c r="DC63" s="37">
        <f t="shared" si="1141"/>
        <v>88.899453124999994</v>
      </c>
      <c r="DD63" s="142">
        <f t="shared" si="1142"/>
        <v>88.899453124999994</v>
      </c>
      <c r="DE63" s="37">
        <f t="shared" si="768"/>
        <v>88.899453124999994</v>
      </c>
      <c r="DF63" s="37">
        <f t="shared" si="1182"/>
        <v>88.899453124999994</v>
      </c>
      <c r="DG63" s="37">
        <f t="shared" si="1183"/>
        <v>88.899453124999994</v>
      </c>
      <c r="DH63" s="39">
        <f t="shared" si="1184"/>
        <v>88.899453124999994</v>
      </c>
      <c r="DJ63" s="496">
        <v>1</v>
      </c>
      <c r="DK63" s="497">
        <v>0.125</v>
      </c>
      <c r="DL63" s="37">
        <f t="shared" si="1143"/>
        <v>0</v>
      </c>
      <c r="DM63" s="37">
        <f t="shared" si="1144"/>
        <v>0</v>
      </c>
      <c r="DN63" s="37">
        <f t="shared" si="1084"/>
        <v>25.399843749999999</v>
      </c>
      <c r="DO63" s="37">
        <f t="shared" si="1085"/>
        <v>25.399843749999999</v>
      </c>
      <c r="DP63" s="33">
        <v>1</v>
      </c>
      <c r="DQ63" s="34">
        <v>0.1</v>
      </c>
      <c r="DR63" s="34">
        <v>0.5</v>
      </c>
      <c r="DS63" s="681">
        <f t="shared" si="185"/>
        <v>0.1</v>
      </c>
      <c r="DT63" s="78">
        <f t="shared" si="186"/>
        <v>1</v>
      </c>
      <c r="DU63" s="34">
        <v>0</v>
      </c>
      <c r="DV63" s="34">
        <v>1</v>
      </c>
      <c r="DW63" s="34">
        <v>0</v>
      </c>
      <c r="DX63" s="34">
        <v>0</v>
      </c>
      <c r="DY63" s="34">
        <v>1</v>
      </c>
      <c r="DZ63" s="34">
        <v>0</v>
      </c>
      <c r="EA63" s="85">
        <f t="shared" si="888"/>
        <v>0</v>
      </c>
      <c r="EB63" s="57">
        <f t="shared" si="1185"/>
        <v>0</v>
      </c>
      <c r="EC63" s="57">
        <f t="shared" si="889"/>
        <v>1.1659937499999999</v>
      </c>
      <c r="ED63" s="57">
        <f t="shared" si="1186"/>
        <v>11.6599375</v>
      </c>
      <c r="EE63" s="57">
        <f t="shared" si="890"/>
        <v>0</v>
      </c>
      <c r="EF63" s="57">
        <f t="shared" si="1187"/>
        <v>0</v>
      </c>
      <c r="EG63" s="126">
        <f t="shared" si="1145"/>
        <v>0</v>
      </c>
      <c r="EH63" s="57">
        <f t="shared" si="1146"/>
        <v>0</v>
      </c>
      <c r="EI63" s="57">
        <f t="shared" si="1147"/>
        <v>2.533824375</v>
      </c>
      <c r="EJ63" s="57">
        <f t="shared" si="1148"/>
        <v>25.338243749999997</v>
      </c>
      <c r="EK63" s="57">
        <f t="shared" si="1149"/>
        <v>0</v>
      </c>
      <c r="EL63" s="127">
        <f t="shared" si="1150"/>
        <v>0</v>
      </c>
      <c r="EM63" s="57">
        <f t="shared" si="193"/>
        <v>3.6998181250000002</v>
      </c>
      <c r="EN63" s="81">
        <f t="shared" si="194"/>
        <v>36.998181249999995</v>
      </c>
      <c r="EP63" s="85">
        <f t="shared" si="769"/>
        <v>0</v>
      </c>
      <c r="EQ63" s="57">
        <f t="shared" si="1151"/>
        <v>0</v>
      </c>
      <c r="ER63" s="57">
        <f t="shared" si="770"/>
        <v>0</v>
      </c>
      <c r="ES63" s="57">
        <f t="shared" si="1152"/>
        <v>0</v>
      </c>
      <c r="ET63" s="57">
        <f t="shared" si="771"/>
        <v>0</v>
      </c>
      <c r="EU63" s="127">
        <f t="shared" si="1153"/>
        <v>0</v>
      </c>
      <c r="EV63" s="126">
        <f t="shared" si="1086"/>
        <v>9.8500000000000011E-3</v>
      </c>
      <c r="EW63" s="57">
        <f t="shared" si="1087"/>
        <v>9.8500000000000011E-3</v>
      </c>
      <c r="EX63" s="57">
        <f t="shared" si="1088"/>
        <v>0.14774999999999999</v>
      </c>
      <c r="EY63" s="57">
        <f t="shared" si="1089"/>
        <v>0.14774999999999999</v>
      </c>
      <c r="EZ63" s="57">
        <f t="shared" si="1090"/>
        <v>2.7087499999999998</v>
      </c>
      <c r="FA63" s="87">
        <f t="shared" si="1091"/>
        <v>2.7087499999999998</v>
      </c>
      <c r="FB63" s="36">
        <f t="shared" si="1188"/>
        <v>0</v>
      </c>
      <c r="FC63" s="37">
        <f t="shared" si="1189"/>
        <v>0</v>
      </c>
      <c r="FD63" s="37">
        <f t="shared" si="1154"/>
        <v>88.899453124999994</v>
      </c>
      <c r="FE63" s="37">
        <f t="shared" si="1155"/>
        <v>88.899453124999994</v>
      </c>
      <c r="FF63" s="36">
        <f t="shared" si="772"/>
        <v>0</v>
      </c>
      <c r="FG63" s="37">
        <f t="shared" si="1156"/>
        <v>0</v>
      </c>
      <c r="FH63" s="37">
        <f t="shared" si="1157"/>
        <v>88.899453124999994</v>
      </c>
      <c r="FI63" s="37">
        <f t="shared" si="1158"/>
        <v>88.899453124999994</v>
      </c>
      <c r="FJ63" s="33">
        <v>1</v>
      </c>
      <c r="FK63" s="34">
        <v>0.2</v>
      </c>
      <c r="FL63" s="502">
        <v>0.8</v>
      </c>
      <c r="FM63" s="34">
        <v>0.1</v>
      </c>
      <c r="FN63" s="502">
        <v>0.5</v>
      </c>
      <c r="FO63" s="34">
        <f t="shared" si="200"/>
        <v>0.1</v>
      </c>
      <c r="FP63" s="34">
        <f t="shared" si="201"/>
        <v>1</v>
      </c>
      <c r="FQ63" s="34">
        <v>1</v>
      </c>
      <c r="FR63" s="34">
        <v>0</v>
      </c>
      <c r="FS63" s="90">
        <f t="shared" si="202"/>
        <v>1E-3</v>
      </c>
      <c r="FT63" s="34">
        <f t="shared" si="203"/>
        <v>0.05</v>
      </c>
      <c r="FU63" s="33">
        <v>0.05</v>
      </c>
      <c r="FV63" s="35">
        <f t="shared" si="25"/>
        <v>2.4224999999999997E-2</v>
      </c>
      <c r="FW63" s="34">
        <v>0.1</v>
      </c>
      <c r="FX63" s="78">
        <f t="shared" si="26"/>
        <v>9.0000000000000011E-2</v>
      </c>
      <c r="FY63" s="33">
        <v>0.45</v>
      </c>
      <c r="FZ63" s="35">
        <f t="shared" si="1092"/>
        <v>1.4025000000000001E-2</v>
      </c>
      <c r="GA63" s="34">
        <v>0.45</v>
      </c>
      <c r="GB63" s="78">
        <f t="shared" si="1093"/>
        <v>5.5000000000000007E-2</v>
      </c>
      <c r="GC63" s="85">
        <f t="shared" si="773"/>
        <v>0</v>
      </c>
      <c r="GD63" s="57">
        <f t="shared" si="1159"/>
        <v>0</v>
      </c>
      <c r="GE63" s="57">
        <f t="shared" si="774"/>
        <v>0</v>
      </c>
      <c r="GF63" s="57">
        <f t="shared" si="1160"/>
        <v>0</v>
      </c>
      <c r="GG63" s="57">
        <f t="shared" si="1190"/>
        <v>0</v>
      </c>
      <c r="GH63" s="127">
        <f t="shared" si="1191"/>
        <v>0</v>
      </c>
      <c r="GI63" s="57">
        <f t="shared" si="1094"/>
        <v>9.8500000000000011E-3</v>
      </c>
      <c r="GJ63" s="57">
        <f t="shared" si="1095"/>
        <v>9.8500000000000011E-3</v>
      </c>
      <c r="GK63" s="57">
        <f t="shared" si="1096"/>
        <v>0.14774999999999999</v>
      </c>
      <c r="GL63" s="57">
        <f t="shared" si="1097"/>
        <v>0.14774999999999999</v>
      </c>
      <c r="GM63" s="57">
        <f t="shared" si="1098"/>
        <v>0.54174999999999995</v>
      </c>
      <c r="GN63" s="127">
        <f t="shared" si="1099"/>
        <v>2.1669999999999998</v>
      </c>
      <c r="GO63" s="57">
        <f t="shared" si="208"/>
        <v>0.69934999999999992</v>
      </c>
      <c r="GP63" s="87">
        <f t="shared" si="209"/>
        <v>2.3245999999999998</v>
      </c>
      <c r="GQ63" s="37">
        <f t="shared" si="891"/>
        <v>0</v>
      </c>
      <c r="GR63" s="37">
        <f t="shared" si="892"/>
        <v>0</v>
      </c>
      <c r="GS63" s="57">
        <f t="shared" si="1031"/>
        <v>3.9391504512875014E-2</v>
      </c>
      <c r="GT63" s="57">
        <f t="shared" si="1032"/>
        <v>19.695752256437505</v>
      </c>
      <c r="GU63" s="57">
        <f t="shared" si="1033"/>
        <v>0</v>
      </c>
      <c r="GV63" s="127">
        <f t="shared" si="1034"/>
        <v>0</v>
      </c>
      <c r="GW63" s="37">
        <f t="shared" si="1162"/>
        <v>2.0625784368164064</v>
      </c>
      <c r="GX63" s="37">
        <f t="shared" si="1163"/>
        <v>22.4471119140625</v>
      </c>
      <c r="GY63" s="37">
        <f>1/10*($FH63*$FQ63*$FO63*$FS63+$FH62*$FQ62*$FO62*$FS62+$FH61*$FQ61*$FO61*$FS61+$FH60*$FQ60*$FO60*$FS60+$FH59*$FQ59*$FO59*$FS59+$FH58*$FQ58*$FO58*$FS58+$FH57*$FQ57*$FO57*$FS57)</f>
        <v>3.5945021874999998E-3</v>
      </c>
      <c r="GZ63" s="37">
        <f>1/10*($FI63*$FQ63*$FP63*$FT63+$FI62*$FQ62*$FP62*$FT62+$FI61*$FQ61*$FP61*$FT61+$FI60*$FQ60*$FP60*$FT60+$FI59*$FQ59*$FP59*$FT59+$FI58*$FQ58*$FP58*$FT58+$FI57*$FQ57*$FP57*$FT57)</f>
        <v>1.7972510937500001</v>
      </c>
      <c r="HA63" s="37">
        <f>1/10*($FH63*$FR63*$FO63*$FS63+$FH62*$FR62*$FO62*$FS62+$FH61*$FR61*$FO61*$FS61+$FH60*$FR60*$FO60*$FS60+$FH59*$FR59*$FO59*$FS59+$FH58*$FR58*$FO58*$FS58+$FH57*$FR57*$FO57*$FS57)</f>
        <v>0</v>
      </c>
      <c r="HB63" s="142">
        <f>1/10*($FI63*$FR63*$FP63*$FT63+$FI62*$FR62*$FP62*$FT62+$FI61*$FR61*$FP61*$FT61+$FI60*$FR60*$FP60*$FT60+$FI59*$FR59*$FP59*$FT59+$FI58*$FR58*$FP58*$FT58+$FI57*$FR57*$FP57*$FT57)</f>
        <v>0</v>
      </c>
      <c r="HC63" s="57">
        <f t="shared" si="212"/>
        <v>2.1055644435167817</v>
      </c>
      <c r="HD63" s="39">
        <f t="shared" si="213"/>
        <v>43.940115264250004</v>
      </c>
      <c r="HE63" s="527"/>
      <c r="HF63" s="530">
        <f t="shared" si="775"/>
        <v>1.9946249999999999</v>
      </c>
      <c r="HG63" s="530">
        <f t="shared" si="776"/>
        <v>1.9946249999999999</v>
      </c>
      <c r="HH63" s="530">
        <f t="shared" si="777"/>
        <v>0</v>
      </c>
      <c r="HI63" s="530">
        <f t="shared" si="778"/>
        <v>0</v>
      </c>
      <c r="HJ63" s="530">
        <f t="shared" si="779"/>
        <v>1.4775</v>
      </c>
      <c r="HK63" s="531">
        <f t="shared" si="780"/>
        <v>1.4775</v>
      </c>
      <c r="HL63" s="530">
        <f t="shared" si="781"/>
        <v>0</v>
      </c>
      <c r="HM63" s="530">
        <f t="shared" si="782"/>
        <v>0</v>
      </c>
      <c r="HN63" s="530">
        <f t="shared" si="783"/>
        <v>5.0295681249999999</v>
      </c>
      <c r="HO63" s="530">
        <f t="shared" si="784"/>
        <v>38.327931249999999</v>
      </c>
      <c r="HP63" s="530">
        <f t="shared" si="785"/>
        <v>2.4624999999999999</v>
      </c>
      <c r="HQ63" s="531">
        <f t="shared" si="786"/>
        <v>2.4624999999999999</v>
      </c>
      <c r="HR63" s="530">
        <f t="shared" si="214"/>
        <v>5.1118199413292817</v>
      </c>
      <c r="HS63" s="530">
        <f t="shared" si="787"/>
        <v>46.949965264250004</v>
      </c>
      <c r="HT63" s="530">
        <f t="shared" si="788"/>
        <v>0.14774999999999999</v>
      </c>
      <c r="HU63" s="530">
        <f t="shared" si="789"/>
        <v>0.14774999999999999</v>
      </c>
      <c r="HV63" s="530">
        <f t="shared" si="790"/>
        <v>27.54175</v>
      </c>
      <c r="HW63" s="531">
        <f t="shared" si="791"/>
        <v>29.167000000000002</v>
      </c>
      <c r="IG63" s="560"/>
      <c r="IH63" s="530">
        <f t="shared" si="215"/>
        <v>2.1940875000000002E-2</v>
      </c>
      <c r="II63" s="530">
        <f t="shared" si="216"/>
        <v>1.7951625000000002E-2</v>
      </c>
      <c r="IJ63" s="530">
        <f t="shared" si="217"/>
        <v>3.5903250000000005E-2</v>
      </c>
      <c r="IK63" s="530">
        <f t="shared" si="893"/>
        <v>1.7951625000000002E-2</v>
      </c>
      <c r="IL63" s="530">
        <f t="shared" si="894"/>
        <v>1.6854581249999998</v>
      </c>
      <c r="IM63" s="530">
        <f t="shared" si="895"/>
        <v>1.9946249999999999E-3</v>
      </c>
      <c r="IN63" s="530">
        <f t="shared" si="896"/>
        <v>1.9946249999999999E-3</v>
      </c>
      <c r="IO63" s="530">
        <f t="shared" si="222"/>
        <v>6.5822624999999996E-2</v>
      </c>
      <c r="IP63" s="530">
        <f t="shared" si="223"/>
        <v>8.1779624999999981E-2</v>
      </c>
      <c r="IQ63" s="530">
        <f t="shared" si="897"/>
        <v>0.10372050000000001</v>
      </c>
      <c r="IR63" s="530">
        <f t="shared" si="898"/>
        <v>8.1779624999999981E-2</v>
      </c>
      <c r="IS63" s="530">
        <f t="shared" si="899"/>
        <v>1.6894473749999999</v>
      </c>
      <c r="IT63" s="530">
        <f t="shared" si="900"/>
        <v>1.9946249999999999E-2</v>
      </c>
      <c r="IU63" s="518">
        <f t="shared" si="901"/>
        <v>1.9946249999999999E-2</v>
      </c>
      <c r="IV63" s="57">
        <f t="shared" si="229"/>
        <v>0</v>
      </c>
      <c r="IW63" s="57">
        <f t="shared" si="230"/>
        <v>0</v>
      </c>
      <c r="IX63" s="530">
        <f t="shared" si="792"/>
        <v>0</v>
      </c>
      <c r="IY63" s="530">
        <f t="shared" si="793"/>
        <v>0</v>
      </c>
      <c r="IZ63" s="530">
        <f t="shared" si="794"/>
        <v>0</v>
      </c>
      <c r="JA63" s="530">
        <f t="shared" si="795"/>
        <v>0</v>
      </c>
      <c r="JB63" s="530">
        <f t="shared" si="796"/>
        <v>0</v>
      </c>
      <c r="JC63" s="530">
        <f t="shared" si="231"/>
        <v>0</v>
      </c>
      <c r="JD63" s="530">
        <f t="shared" si="232"/>
        <v>0</v>
      </c>
      <c r="JE63" s="530">
        <f t="shared" si="797"/>
        <v>0</v>
      </c>
      <c r="JF63" s="530">
        <f t="shared" si="798"/>
        <v>0</v>
      </c>
      <c r="JG63" s="530">
        <f t="shared" si="799"/>
        <v>0</v>
      </c>
      <c r="JH63" s="530">
        <f t="shared" si="800"/>
        <v>0</v>
      </c>
      <c r="JI63" s="87">
        <f t="shared" si="801"/>
        <v>0</v>
      </c>
      <c r="JJ63" s="57">
        <f t="shared" si="233"/>
        <v>1.6252500000000003E-2</v>
      </c>
      <c r="JK63" s="57">
        <f t="shared" si="234"/>
        <v>1.3297500000000002E-2</v>
      </c>
      <c r="JL63" s="530">
        <f t="shared" si="802"/>
        <v>2.6595000000000004E-2</v>
      </c>
      <c r="JM63" s="530">
        <f t="shared" si="803"/>
        <v>1.3297500000000002E-2</v>
      </c>
      <c r="JN63" s="530">
        <f t="shared" si="804"/>
        <v>1.2484875</v>
      </c>
      <c r="JO63" s="530">
        <f t="shared" si="805"/>
        <v>1.4775000000000001E-3</v>
      </c>
      <c r="JP63" s="530">
        <f t="shared" si="806"/>
        <v>1.4775000000000001E-3</v>
      </c>
      <c r="JQ63" s="530">
        <f t="shared" si="235"/>
        <v>4.8757500000000002E-2</v>
      </c>
      <c r="JR63" s="530">
        <f t="shared" si="236"/>
        <v>6.0577499999999992E-2</v>
      </c>
      <c r="JS63" s="57">
        <f t="shared" si="807"/>
        <v>7.6830000000000009E-2</v>
      </c>
      <c r="JT63" s="57">
        <f t="shared" si="808"/>
        <v>6.0577499999999992E-2</v>
      </c>
      <c r="JU63" s="57">
        <f t="shared" si="809"/>
        <v>1.2514425</v>
      </c>
      <c r="JV63" s="57">
        <f t="shared" si="810"/>
        <v>1.4775E-2</v>
      </c>
      <c r="JW63" s="81">
        <f t="shared" si="811"/>
        <v>1.4775E-2</v>
      </c>
      <c r="JX63" s="57">
        <f t="shared" si="237"/>
        <v>0</v>
      </c>
      <c r="JY63" s="57">
        <f t="shared" si="238"/>
        <v>0</v>
      </c>
      <c r="JZ63" s="530">
        <f t="shared" si="812"/>
        <v>0</v>
      </c>
      <c r="KA63" s="530">
        <f t="shared" si="813"/>
        <v>0</v>
      </c>
      <c r="KB63" s="530">
        <f t="shared" si="814"/>
        <v>0</v>
      </c>
      <c r="KC63" s="530">
        <f t="shared" si="815"/>
        <v>0</v>
      </c>
      <c r="KD63" s="530">
        <f t="shared" si="816"/>
        <v>0</v>
      </c>
      <c r="KE63" s="530">
        <f t="shared" si="239"/>
        <v>0</v>
      </c>
      <c r="KF63" s="530">
        <f t="shared" si="240"/>
        <v>0</v>
      </c>
      <c r="KG63" s="530">
        <f t="shared" si="817"/>
        <v>0</v>
      </c>
      <c r="KH63" s="530">
        <f t="shared" si="818"/>
        <v>0</v>
      </c>
      <c r="KI63" s="530">
        <f t="shared" si="819"/>
        <v>0</v>
      </c>
      <c r="KJ63" s="530">
        <f t="shared" si="820"/>
        <v>0</v>
      </c>
      <c r="KK63" s="518">
        <f t="shared" si="821"/>
        <v>0</v>
      </c>
      <c r="KL63" s="57">
        <f t="shared" si="241"/>
        <v>5.5325249375000003E-2</v>
      </c>
      <c r="KM63" s="57">
        <f t="shared" si="242"/>
        <v>4.5266113125000007E-2</v>
      </c>
      <c r="KN63" s="530">
        <f t="shared" si="822"/>
        <v>9.0532226250000014E-2</v>
      </c>
      <c r="KO63" s="530">
        <f t="shared" si="823"/>
        <v>4.5266113125000007E-2</v>
      </c>
      <c r="KP63" s="530">
        <f t="shared" si="824"/>
        <v>4.2499850656250002</v>
      </c>
      <c r="KQ63" s="530">
        <f t="shared" si="825"/>
        <v>5.0295681249999998E-3</v>
      </c>
      <c r="KR63" s="530">
        <f t="shared" si="826"/>
        <v>5.0295681249999998E-3</v>
      </c>
      <c r="KS63" s="530">
        <f t="shared" si="243"/>
        <v>1.2648217312500001</v>
      </c>
      <c r="KT63" s="530">
        <f t="shared" si="244"/>
        <v>1.5714451812499997</v>
      </c>
      <c r="KU63" s="530">
        <f t="shared" si="827"/>
        <v>1.9930524250000001</v>
      </c>
      <c r="KV63" s="530">
        <f t="shared" si="828"/>
        <v>1.5714451812499997</v>
      </c>
      <c r="KW63" s="530">
        <f t="shared" si="829"/>
        <v>32.46375776875</v>
      </c>
      <c r="KX63" s="530">
        <f t="shared" si="830"/>
        <v>0.38327931250000002</v>
      </c>
      <c r="KY63" s="87">
        <f t="shared" si="831"/>
        <v>0.38327931250000002</v>
      </c>
      <c r="KZ63" s="57">
        <f t="shared" si="245"/>
        <v>2.70875E-2</v>
      </c>
      <c r="LA63" s="57">
        <f t="shared" si="246"/>
        <v>2.2162500000000002E-2</v>
      </c>
      <c r="LB63" s="530">
        <f t="shared" si="832"/>
        <v>4.4325000000000003E-2</v>
      </c>
      <c r="LC63" s="530">
        <f t="shared" si="833"/>
        <v>2.2162500000000002E-2</v>
      </c>
      <c r="LD63" s="530">
        <f t="shared" si="834"/>
        <v>2.0808125</v>
      </c>
      <c r="LE63" s="530">
        <f t="shared" si="835"/>
        <v>2.4624999999999998E-3</v>
      </c>
      <c r="LF63" s="530">
        <f t="shared" si="836"/>
        <v>2.4624999999999998E-3</v>
      </c>
      <c r="LG63" s="530">
        <f t="shared" si="247"/>
        <v>8.1262500000000001E-2</v>
      </c>
      <c r="LH63" s="530">
        <f t="shared" si="248"/>
        <v>0.10096249999999998</v>
      </c>
      <c r="LI63" s="57">
        <f t="shared" si="837"/>
        <v>0.12805</v>
      </c>
      <c r="LJ63" s="57">
        <f t="shared" si="838"/>
        <v>0.10096249999999998</v>
      </c>
      <c r="LK63" s="57">
        <f t="shared" si="839"/>
        <v>2.0857375</v>
      </c>
      <c r="LL63" s="57">
        <f t="shared" si="840"/>
        <v>2.4625000000000001E-2</v>
      </c>
      <c r="LM63" s="81">
        <f t="shared" si="841"/>
        <v>2.4625000000000001E-2</v>
      </c>
      <c r="LN63" s="57">
        <f t="shared" si="249"/>
        <v>5.6230019354622102E-3</v>
      </c>
      <c r="LO63" s="57">
        <f t="shared" si="250"/>
        <v>1.5335459823987844E-3</v>
      </c>
      <c r="LP63" s="530">
        <f t="shared" si="842"/>
        <v>2.6070281700779338E-2</v>
      </c>
      <c r="LQ63" s="530">
        <f t="shared" si="843"/>
        <v>4.1916923518900105E-2</v>
      </c>
      <c r="LR63" s="530">
        <f t="shared" si="844"/>
        <v>4.0894559530634256</v>
      </c>
      <c r="LS63" s="530">
        <f t="shared" si="845"/>
        <v>4.4472833489564746E-2</v>
      </c>
      <c r="LT63" s="530">
        <f t="shared" si="846"/>
        <v>5.111819941329282E-3</v>
      </c>
      <c r="LU63" s="530">
        <f t="shared" si="251"/>
        <v>2.816997915855</v>
      </c>
      <c r="LV63" s="530">
        <f t="shared" si="252"/>
        <v>1.4084989579275</v>
      </c>
      <c r="LW63" s="530">
        <f t="shared" si="847"/>
        <v>3.2864975684975004</v>
      </c>
      <c r="LX63" s="530">
        <f t="shared" si="848"/>
        <v>2.816997915855</v>
      </c>
      <c r="LY63" s="530">
        <f t="shared" si="849"/>
        <v>46.43351564634326</v>
      </c>
      <c r="LZ63" s="530">
        <f t="shared" si="850"/>
        <v>0.46949965264250004</v>
      </c>
      <c r="MA63" s="127">
        <f t="shared" si="851"/>
        <v>0.46949965264250004</v>
      </c>
      <c r="MB63" s="57">
        <f t="shared" si="253"/>
        <v>1.6252500000000001E-4</v>
      </c>
      <c r="MC63" s="57">
        <f t="shared" si="254"/>
        <v>4.4324999999999993E-5</v>
      </c>
      <c r="MD63" s="530">
        <f t="shared" si="852"/>
        <v>7.5352500000000001E-4</v>
      </c>
      <c r="ME63" s="530">
        <f t="shared" si="853"/>
        <v>1.2115499999999998E-3</v>
      </c>
      <c r="MF63" s="530">
        <f t="shared" si="854"/>
        <v>0.1182</v>
      </c>
      <c r="MG63" s="530">
        <f t="shared" si="855"/>
        <v>1.2854249999999998E-3</v>
      </c>
      <c r="MH63" s="530">
        <f t="shared" si="856"/>
        <v>1.4774999999999999E-4</v>
      </c>
      <c r="MI63" s="530">
        <f t="shared" si="255"/>
        <v>8.8649999999999996E-3</v>
      </c>
      <c r="MJ63" s="530">
        <f t="shared" si="256"/>
        <v>4.4324999999999998E-3</v>
      </c>
      <c r="MK63" s="530">
        <f t="shared" si="857"/>
        <v>1.0342500000000001E-2</v>
      </c>
      <c r="ML63" s="530">
        <f t="shared" si="858"/>
        <v>8.8649999999999996E-3</v>
      </c>
      <c r="MM63" s="530">
        <f t="shared" si="859"/>
        <v>0.14612475</v>
      </c>
      <c r="MN63" s="530">
        <f t="shared" si="860"/>
        <v>1.4774999999999999E-3</v>
      </c>
      <c r="MO63" s="127">
        <f t="shared" si="861"/>
        <v>1.4774999999999999E-3</v>
      </c>
      <c r="MP63" s="57">
        <f t="shared" si="257"/>
        <v>3.0295925000000001E-2</v>
      </c>
      <c r="MQ63" s="57">
        <f t="shared" si="258"/>
        <v>8.2625249999999997E-3</v>
      </c>
      <c r="MR63" s="530">
        <f t="shared" si="862"/>
        <v>0.14046292500000002</v>
      </c>
      <c r="MS63" s="530">
        <f t="shared" si="863"/>
        <v>0.22584234999999997</v>
      </c>
      <c r="MT63" s="530">
        <f t="shared" si="864"/>
        <v>22.0334</v>
      </c>
      <c r="MU63" s="530">
        <f t="shared" si="865"/>
        <v>0.23961322499999999</v>
      </c>
      <c r="MV63" s="530">
        <f t="shared" si="866"/>
        <v>2.754175E-2</v>
      </c>
      <c r="MW63" s="530">
        <f t="shared" si="259"/>
        <v>1.7500200000000001</v>
      </c>
      <c r="MX63" s="530">
        <f t="shared" si="260"/>
        <v>0.87501000000000007</v>
      </c>
      <c r="MY63" s="57">
        <f t="shared" si="867"/>
        <v>2.0416900000000004</v>
      </c>
      <c r="MZ63" s="57">
        <f t="shared" si="868"/>
        <v>1.7500200000000001</v>
      </c>
      <c r="NA63" s="57">
        <f t="shared" si="869"/>
        <v>28.846163000000004</v>
      </c>
      <c r="NB63" s="57">
        <f t="shared" si="870"/>
        <v>0.29167000000000004</v>
      </c>
      <c r="NC63" s="81">
        <f t="shared" si="871"/>
        <v>0.29167000000000004</v>
      </c>
    </row>
    <row r="64" spans="1:367" x14ac:dyDescent="0.25">
      <c r="A64" s="9">
        <v>2009</v>
      </c>
      <c r="B64" s="10">
        <v>0</v>
      </c>
      <c r="C64" s="645">
        <v>0</v>
      </c>
      <c r="D64" s="645">
        <v>130</v>
      </c>
      <c r="E64" s="657">
        <v>130</v>
      </c>
      <c r="F64" s="645">
        <f t="shared" si="1164"/>
        <v>0</v>
      </c>
      <c r="G64" s="467">
        <f t="shared" si="1165"/>
        <v>0</v>
      </c>
      <c r="H64" s="467">
        <f t="shared" si="1100"/>
        <v>128.05000000000001</v>
      </c>
      <c r="I64" s="467">
        <f t="shared" si="1101"/>
        <v>128.05000000000001</v>
      </c>
      <c r="J64" s="1085">
        <f>'POSF Zone Def'!BQ134</f>
        <v>23.295500000000001</v>
      </c>
      <c r="K64" s="1085">
        <f t="shared" si="734"/>
        <v>23.295500000000001</v>
      </c>
      <c r="L64" s="666">
        <f t="shared" si="751"/>
        <v>128.05000000000001</v>
      </c>
      <c r="M64" s="667">
        <f t="shared" si="1102"/>
        <v>128.05000000000001</v>
      </c>
      <c r="N64" s="195">
        <v>2E-3</v>
      </c>
      <c r="O64" s="196">
        <v>0</v>
      </c>
      <c r="P64" s="196">
        <v>0</v>
      </c>
      <c r="Q64" s="197">
        <v>6.0000000000000001E-3</v>
      </c>
      <c r="R64" s="48">
        <v>0</v>
      </c>
      <c r="S64" s="48">
        <v>2.7000000000000001E-3</v>
      </c>
      <c r="T64" s="48">
        <v>0</v>
      </c>
      <c r="U64" s="48">
        <v>1.18E-2</v>
      </c>
      <c r="V64" s="118">
        <v>1.0000000000000001E-5</v>
      </c>
      <c r="W64" s="48">
        <v>2.9999999999999997E-4</v>
      </c>
      <c r="X64" s="53">
        <v>0</v>
      </c>
      <c r="Y64" s="53">
        <v>3.1E-2</v>
      </c>
      <c r="Z64" s="487">
        <v>5.2999999999999999E-2</v>
      </c>
      <c r="AA64" s="53">
        <f t="shared" si="147"/>
        <v>0.1</v>
      </c>
      <c r="AB64" s="53">
        <f t="shared" si="148"/>
        <v>0</v>
      </c>
      <c r="AC64" s="53">
        <f t="shared" si="149"/>
        <v>0.9</v>
      </c>
      <c r="AD64" s="56">
        <f t="shared" si="1166"/>
        <v>0</v>
      </c>
      <c r="AE64" s="57">
        <f t="shared" si="1167"/>
        <v>0</v>
      </c>
      <c r="AF64" s="57">
        <f t="shared" si="1168"/>
        <v>0</v>
      </c>
      <c r="AG64" s="57">
        <f t="shared" si="1169"/>
        <v>0</v>
      </c>
      <c r="AH64" s="57">
        <f t="shared" si="1170"/>
        <v>0</v>
      </c>
      <c r="AI64" s="57">
        <f t="shared" si="1171"/>
        <v>0</v>
      </c>
      <c r="AJ64" s="126">
        <f t="shared" si="1103"/>
        <v>1.0372049999999999</v>
      </c>
      <c r="AK64" s="57">
        <f t="shared" si="1104"/>
        <v>1.0372049999999999</v>
      </c>
      <c r="AL64" s="57">
        <f t="shared" si="1105"/>
        <v>0</v>
      </c>
      <c r="AM64" s="57">
        <f t="shared" si="1106"/>
        <v>0</v>
      </c>
      <c r="AN64" s="57">
        <f t="shared" si="1107"/>
        <v>0.76830000000000009</v>
      </c>
      <c r="AO64" s="127">
        <f t="shared" si="1108"/>
        <v>0.76830000000000009</v>
      </c>
      <c r="AP64" s="57">
        <f t="shared" si="1172"/>
        <v>1.0372049999999999</v>
      </c>
      <c r="AQ64" s="57">
        <f t="shared" si="1172"/>
        <v>1.0372049999999999</v>
      </c>
      <c r="AR64" s="57">
        <f t="shared" si="1172"/>
        <v>0</v>
      </c>
      <c r="AS64" s="57">
        <f t="shared" si="1109"/>
        <v>0</v>
      </c>
      <c r="AT64" s="57">
        <f t="shared" si="1109"/>
        <v>0.76830000000000009</v>
      </c>
      <c r="AU64" s="87">
        <f t="shared" si="1109"/>
        <v>0.76830000000000009</v>
      </c>
      <c r="AV64" s="56">
        <f t="shared" si="1110"/>
        <v>0</v>
      </c>
      <c r="AW64" s="57">
        <f t="shared" si="1111"/>
        <v>0</v>
      </c>
      <c r="AX64" s="57">
        <f t="shared" si="1112"/>
        <v>0</v>
      </c>
      <c r="AY64" s="57">
        <f t="shared" si="1113"/>
        <v>0</v>
      </c>
      <c r="AZ64" s="57">
        <f t="shared" si="1114"/>
        <v>0</v>
      </c>
      <c r="BA64" s="57">
        <f t="shared" si="1115"/>
        <v>0</v>
      </c>
      <c r="BB64" s="126">
        <f t="shared" si="1116"/>
        <v>0</v>
      </c>
      <c r="BC64" s="57">
        <f t="shared" si="1117"/>
        <v>0</v>
      </c>
      <c r="BD64" s="57">
        <f t="shared" si="1118"/>
        <v>0.69147000000000014</v>
      </c>
      <c r="BE64" s="57">
        <f t="shared" si="1119"/>
        <v>0.69147000000000014</v>
      </c>
      <c r="BF64" s="57">
        <f t="shared" si="1120"/>
        <v>1.2805000000000002</v>
      </c>
      <c r="BG64" s="57">
        <f t="shared" si="1121"/>
        <v>1.2805000000000002</v>
      </c>
      <c r="BH64" s="57">
        <f t="shared" si="1122"/>
        <v>0</v>
      </c>
      <c r="BI64" s="57">
        <f t="shared" si="1122"/>
        <v>0</v>
      </c>
      <c r="BJ64" s="57">
        <f t="shared" si="1122"/>
        <v>0.69147000000000014</v>
      </c>
      <c r="BK64" s="57">
        <f t="shared" si="1122"/>
        <v>0.69147000000000014</v>
      </c>
      <c r="BL64" s="57">
        <f t="shared" si="1122"/>
        <v>1.2805000000000002</v>
      </c>
      <c r="BM64" s="57">
        <f t="shared" si="1122"/>
        <v>1.2805000000000002</v>
      </c>
      <c r="BN64" s="56">
        <f t="shared" si="1123"/>
        <v>0</v>
      </c>
      <c r="BO64" s="57">
        <f t="shared" si="1124"/>
        <v>0</v>
      </c>
      <c r="BP64" s="57">
        <f t="shared" si="1125"/>
        <v>0</v>
      </c>
      <c r="BQ64" s="57">
        <f t="shared" si="1126"/>
        <v>0</v>
      </c>
      <c r="BR64" s="57">
        <f t="shared" si="1127"/>
        <v>0</v>
      </c>
      <c r="BS64" s="57">
        <f t="shared" si="1128"/>
        <v>0</v>
      </c>
      <c r="BT64" s="126">
        <f t="shared" si="1129"/>
        <v>5.1220000000000007E-3</v>
      </c>
      <c r="BU64" s="57">
        <f t="shared" si="1130"/>
        <v>5.1220000000000007E-3</v>
      </c>
      <c r="BV64" s="57">
        <f t="shared" si="1131"/>
        <v>7.6829999999999996E-2</v>
      </c>
      <c r="BW64" s="57">
        <f t="shared" si="1132"/>
        <v>7.6829999999999996E-2</v>
      </c>
      <c r="BX64" s="57">
        <f t="shared" si="1133"/>
        <v>1.40855</v>
      </c>
      <c r="BY64" s="57">
        <f t="shared" si="1134"/>
        <v>1.40855</v>
      </c>
      <c r="BZ64" s="126">
        <f t="shared" si="1135"/>
        <v>5.1220000000000007E-3</v>
      </c>
      <c r="CA64" s="57">
        <f t="shared" si="1135"/>
        <v>5.1220000000000007E-3</v>
      </c>
      <c r="CB64" s="57">
        <f t="shared" si="1135"/>
        <v>7.6829999999999996E-2</v>
      </c>
      <c r="CC64" s="57">
        <f t="shared" si="1135"/>
        <v>7.6829999999999996E-2</v>
      </c>
      <c r="CD64" s="57">
        <f t="shared" si="1135"/>
        <v>1.40855</v>
      </c>
      <c r="CE64" s="518">
        <f t="shared" si="1135"/>
        <v>1.40855</v>
      </c>
      <c r="CF64" s="57">
        <f t="shared" si="173"/>
        <v>2.3295500000000002</v>
      </c>
      <c r="CG64" s="57">
        <f t="shared" si="1173"/>
        <v>2.3295500000000002</v>
      </c>
      <c r="CH64" s="57">
        <f t="shared" si="175"/>
        <v>0</v>
      </c>
      <c r="CI64" s="57">
        <f t="shared" si="1174"/>
        <v>0</v>
      </c>
      <c r="CJ64" s="57">
        <f t="shared" si="176"/>
        <v>20.965949999999999</v>
      </c>
      <c r="CK64" s="57">
        <f t="shared" si="1175"/>
        <v>20.965949999999999</v>
      </c>
      <c r="CL64" s="3"/>
      <c r="CM64" s="59">
        <f t="shared" si="1083"/>
        <v>0</v>
      </c>
      <c r="CN64" s="62">
        <f t="shared" si="1136"/>
        <v>0</v>
      </c>
      <c r="CO64" s="128">
        <f t="shared" si="1137"/>
        <v>97.967850000000013</v>
      </c>
      <c r="CP64" s="129">
        <f t="shared" si="1138"/>
        <v>97.967850000000013</v>
      </c>
      <c r="CQ64" s="62">
        <f t="shared" si="1176"/>
        <v>97.967850000000013</v>
      </c>
      <c r="CR64" s="60">
        <f t="shared" si="1176"/>
        <v>97.967850000000013</v>
      </c>
      <c r="CS64" s="33">
        <v>0</v>
      </c>
      <c r="CT64" s="34">
        <v>0</v>
      </c>
      <c r="CU64" s="34">
        <v>1</v>
      </c>
      <c r="CV64" s="35">
        <f t="shared" si="1177"/>
        <v>0</v>
      </c>
      <c r="CW64" s="36">
        <f t="shared" si="1178"/>
        <v>0</v>
      </c>
      <c r="CX64" s="37">
        <f t="shared" si="1179"/>
        <v>0</v>
      </c>
      <c r="CY64" s="57">
        <f t="shared" si="1180"/>
        <v>0</v>
      </c>
      <c r="CZ64" s="127">
        <f t="shared" si="1181"/>
        <v>0</v>
      </c>
      <c r="DA64" s="37">
        <f t="shared" si="1139"/>
        <v>68.577494999999999</v>
      </c>
      <c r="DB64" s="37">
        <f t="shared" si="1140"/>
        <v>68.577494999999999</v>
      </c>
      <c r="DC64" s="37">
        <f t="shared" si="1141"/>
        <v>0</v>
      </c>
      <c r="DD64" s="142">
        <f t="shared" si="1142"/>
        <v>0</v>
      </c>
      <c r="DE64" s="37">
        <f t="shared" si="768"/>
        <v>68.577494999999999</v>
      </c>
      <c r="DF64" s="37">
        <f t="shared" si="1182"/>
        <v>68.577494999999999</v>
      </c>
      <c r="DG64" s="37">
        <f t="shared" si="1183"/>
        <v>0</v>
      </c>
      <c r="DH64" s="39">
        <f t="shared" si="1184"/>
        <v>0</v>
      </c>
      <c r="DJ64" s="496">
        <v>1</v>
      </c>
      <c r="DK64" s="496">
        <v>0.3</v>
      </c>
      <c r="DL64" s="37">
        <f t="shared" si="1143"/>
        <v>0</v>
      </c>
      <c r="DM64" s="37">
        <f t="shared" si="1144"/>
        <v>0</v>
      </c>
      <c r="DN64" s="37">
        <f t="shared" si="1084"/>
        <v>29.390355000000003</v>
      </c>
      <c r="DO64" s="37">
        <f t="shared" si="1085"/>
        <v>29.390355000000003</v>
      </c>
      <c r="DP64" s="33">
        <v>1</v>
      </c>
      <c r="DQ64" s="34">
        <v>0.1</v>
      </c>
      <c r="DR64" s="34">
        <v>0.5</v>
      </c>
      <c r="DS64" s="681">
        <f t="shared" si="185"/>
        <v>0.1</v>
      </c>
      <c r="DT64" s="78">
        <f t="shared" si="186"/>
        <v>1</v>
      </c>
      <c r="DU64" s="34">
        <v>0</v>
      </c>
      <c r="DV64" s="34">
        <v>1</v>
      </c>
      <c r="DW64" s="34">
        <v>0</v>
      </c>
      <c r="DX64" s="34">
        <v>0</v>
      </c>
      <c r="DY64" s="34">
        <v>1</v>
      </c>
      <c r="DZ64" s="34">
        <v>0</v>
      </c>
      <c r="EA64" s="85">
        <f t="shared" si="888"/>
        <v>0</v>
      </c>
      <c r="EB64" s="57">
        <f t="shared" si="1185"/>
        <v>0</v>
      </c>
      <c r="EC64" s="57">
        <f t="shared" si="889"/>
        <v>0</v>
      </c>
      <c r="ED64" s="57">
        <f t="shared" si="1186"/>
        <v>0</v>
      </c>
      <c r="EE64" s="57">
        <f t="shared" si="890"/>
        <v>0</v>
      </c>
      <c r="EF64" s="57">
        <f t="shared" si="1187"/>
        <v>0</v>
      </c>
      <c r="EG64" s="126">
        <f t="shared" si="1145"/>
        <v>0</v>
      </c>
      <c r="EH64" s="57">
        <f t="shared" si="1146"/>
        <v>0</v>
      </c>
      <c r="EI64" s="57">
        <f t="shared" si="1147"/>
        <v>2.7395099375000003</v>
      </c>
      <c r="EJ64" s="57">
        <f t="shared" si="1148"/>
        <v>27.395099375000001</v>
      </c>
      <c r="EK64" s="57">
        <f t="shared" si="1149"/>
        <v>0</v>
      </c>
      <c r="EL64" s="127">
        <f t="shared" si="1150"/>
        <v>0</v>
      </c>
      <c r="EM64" s="57">
        <f t="shared" si="193"/>
        <v>2.7395099375000003</v>
      </c>
      <c r="EN64" s="81">
        <f t="shared" si="194"/>
        <v>27.395099375000001</v>
      </c>
      <c r="EP64" s="85">
        <f t="shared" si="769"/>
        <v>0</v>
      </c>
      <c r="EQ64" s="57">
        <f t="shared" si="1151"/>
        <v>0</v>
      </c>
      <c r="ER64" s="57">
        <f t="shared" si="770"/>
        <v>0</v>
      </c>
      <c r="ES64" s="57">
        <f t="shared" si="1152"/>
        <v>0</v>
      </c>
      <c r="ET64" s="57">
        <f t="shared" si="771"/>
        <v>0</v>
      </c>
      <c r="EU64" s="127">
        <f t="shared" si="1153"/>
        <v>0</v>
      </c>
      <c r="EV64" s="126">
        <f t="shared" si="1086"/>
        <v>5.1220000000000007E-3</v>
      </c>
      <c r="EW64" s="57">
        <f t="shared" si="1087"/>
        <v>5.1220000000000007E-3</v>
      </c>
      <c r="EX64" s="57">
        <f t="shared" si="1088"/>
        <v>7.6829999999999996E-2</v>
      </c>
      <c r="EY64" s="57">
        <f t="shared" si="1089"/>
        <v>7.6829999999999996E-2</v>
      </c>
      <c r="EZ64" s="57">
        <f t="shared" si="1090"/>
        <v>1.40855</v>
      </c>
      <c r="FA64" s="87">
        <f t="shared" si="1091"/>
        <v>1.40855</v>
      </c>
      <c r="FB64" s="36">
        <f t="shared" si="1188"/>
        <v>0</v>
      </c>
      <c r="FC64" s="37">
        <f t="shared" si="1189"/>
        <v>0</v>
      </c>
      <c r="FD64" s="57">
        <f t="shared" si="1154"/>
        <v>68.577494999999999</v>
      </c>
      <c r="FE64" s="37">
        <f t="shared" si="1155"/>
        <v>68.577494999999999</v>
      </c>
      <c r="FF64" s="36">
        <f t="shared" si="772"/>
        <v>0</v>
      </c>
      <c r="FG64" s="37">
        <f t="shared" si="1156"/>
        <v>0</v>
      </c>
      <c r="FH64" s="37">
        <f t="shared" si="1157"/>
        <v>0</v>
      </c>
      <c r="FI64" s="37">
        <f t="shared" si="1158"/>
        <v>0</v>
      </c>
      <c r="FJ64" s="33">
        <v>1</v>
      </c>
      <c r="FK64" s="34">
        <v>0.2</v>
      </c>
      <c r="FL64" s="502">
        <v>0.8</v>
      </c>
      <c r="FM64" s="34">
        <v>0.1</v>
      </c>
      <c r="FN64" s="502">
        <v>0.5</v>
      </c>
      <c r="FO64" s="34">
        <f t="shared" si="200"/>
        <v>0.1</v>
      </c>
      <c r="FP64" s="34">
        <f t="shared" si="201"/>
        <v>1</v>
      </c>
      <c r="FQ64" s="34">
        <v>1</v>
      </c>
      <c r="FR64" s="34">
        <v>0</v>
      </c>
      <c r="FS64" s="90">
        <f t="shared" si="202"/>
        <v>1E-3</v>
      </c>
      <c r="FT64" s="34">
        <f t="shared" si="203"/>
        <v>0.05</v>
      </c>
      <c r="FU64" s="33">
        <v>0.05</v>
      </c>
      <c r="FV64" s="35">
        <f t="shared" si="25"/>
        <v>2.4224999999999997E-2</v>
      </c>
      <c r="FW64" s="34">
        <v>0.1</v>
      </c>
      <c r="FX64" s="78">
        <f t="shared" si="26"/>
        <v>9.0000000000000011E-2</v>
      </c>
      <c r="FY64" s="33">
        <v>0.45</v>
      </c>
      <c r="FZ64" s="35">
        <f t="shared" si="1092"/>
        <v>1.4025000000000001E-2</v>
      </c>
      <c r="GA64" s="34">
        <v>0.45</v>
      </c>
      <c r="GB64" s="78">
        <f t="shared" si="1093"/>
        <v>5.5000000000000007E-2</v>
      </c>
      <c r="GC64" s="85">
        <f t="shared" si="773"/>
        <v>0</v>
      </c>
      <c r="GD64" s="57">
        <f t="shared" si="1159"/>
        <v>0</v>
      </c>
      <c r="GE64" s="57">
        <f t="shared" si="774"/>
        <v>0</v>
      </c>
      <c r="GF64" s="57">
        <f t="shared" si="1160"/>
        <v>0</v>
      </c>
      <c r="GG64" s="57">
        <f t="shared" si="1190"/>
        <v>0</v>
      </c>
      <c r="GH64" s="127">
        <f t="shared" si="1191"/>
        <v>0</v>
      </c>
      <c r="GI64" s="57">
        <f t="shared" si="1094"/>
        <v>5.1220000000000007E-3</v>
      </c>
      <c r="GJ64" s="57">
        <f t="shared" si="1095"/>
        <v>5.1220000000000007E-3</v>
      </c>
      <c r="GK64" s="57">
        <f t="shared" si="1096"/>
        <v>7.6829999999999996E-2</v>
      </c>
      <c r="GL64" s="57">
        <f t="shared" si="1097"/>
        <v>7.6829999999999996E-2</v>
      </c>
      <c r="GM64" s="57">
        <f t="shared" si="1098"/>
        <v>0.28171000000000002</v>
      </c>
      <c r="GN64" s="127">
        <f t="shared" si="1099"/>
        <v>1.1268400000000001</v>
      </c>
      <c r="GO64" s="57">
        <f t="shared" si="208"/>
        <v>0.36366200000000004</v>
      </c>
      <c r="GP64" s="87">
        <f t="shared" si="209"/>
        <v>1.2087920000000001</v>
      </c>
      <c r="GQ64" s="37">
        <f t="shared" si="891"/>
        <v>0</v>
      </c>
      <c r="GR64" s="37">
        <f t="shared" si="892"/>
        <v>0</v>
      </c>
      <c r="GS64" s="57">
        <f t="shared" si="1031"/>
        <v>2.1795726300500005E-2</v>
      </c>
      <c r="GT64" s="57">
        <f t="shared" si="1032"/>
        <v>10.897863150250002</v>
      </c>
      <c r="GU64" s="57">
        <f t="shared" si="1033"/>
        <v>0</v>
      </c>
      <c r="GV64" s="127">
        <f t="shared" si="1034"/>
        <v>0</v>
      </c>
      <c r="GW64" s="37">
        <f t="shared" si="1162"/>
        <v>1.5910836058687503</v>
      </c>
      <c r="GX64" s="37">
        <f t="shared" si="1163"/>
        <v>17.315817487499999</v>
      </c>
      <c r="GY64" s="37">
        <f>1/10*($FH64*$FQ64*$FO64*$FS64+$FH63*$FQ63*$FO63*$FS63+$FH62*$FQ62*$FO62*$FS62+$FH61*$FQ61*$FO61*$FS61+$FH60*$FQ60*$FO60*$FS60+$FH59*$FQ59*$FO59*$FS59+$FH58*$FQ58*$FO58*$FS58+$FH57*$FQ57*$FO57*$FS57)</f>
        <v>3.5945021874999998E-3</v>
      </c>
      <c r="GZ64" s="37">
        <f>1/10*($FI64*$FQ64*$FP64*$FT64+$FI63*$FQ63*$FP63*$FT63+$FI62*$FQ62*$FP62*$FT62+$FI61*$FQ61*$FP61*$FT61+$FI60*$FQ60*$FP60*$FT60+$FI59*$FQ59*$FP59*$FT59+$FI58*$FQ58*$FP58*$FT58+$FI57*$FQ57*$FP57*$FT57)</f>
        <v>1.7972510937500001</v>
      </c>
      <c r="HA64" s="37">
        <f>1/10*($FH64*$FR64*$FO64*$FS64+$FH63*$FR63*$FO63*$FS63+$FH62*$FR62*$FO62*$FS62+$FH61*$FR61*$FO61*$FS61+$FH60*$FR60*$FO60*$FS60+$FH59*$FR59*$FO59*$FS59+$FH58*$FR58*$FO58*$FS58+$FH57*$FR57*$FO57*$FS57)</f>
        <v>0</v>
      </c>
      <c r="HB64" s="142">
        <f>1/10*($FI64*$FR64*$FP64*$FT64+$FI63*$FR63*$FP63*$FT63+$FI62*$FR62*$FP62*$FT62+$FI61*$FR61*$FP61*$FT61+$FI60*$FR60*$FP60*$FT60+$FI59*$FR59*$FP59*$FT59+$FI58*$FR58*$FP58*$FT58+$FI57*$FR57*$FP57*$FT57)</f>
        <v>0</v>
      </c>
      <c r="HC64" s="57">
        <f t="shared" si="212"/>
        <v>1.6164738343567502</v>
      </c>
      <c r="HD64" s="39">
        <f t="shared" si="213"/>
        <v>30.010931731500001</v>
      </c>
      <c r="HE64" s="527"/>
      <c r="HF64" s="530">
        <f t="shared" si="775"/>
        <v>1.0372049999999999</v>
      </c>
      <c r="HG64" s="530">
        <f t="shared" si="776"/>
        <v>1.0372049999999999</v>
      </c>
      <c r="HH64" s="530">
        <f t="shared" si="777"/>
        <v>0</v>
      </c>
      <c r="HI64" s="530">
        <f t="shared" si="778"/>
        <v>0</v>
      </c>
      <c r="HJ64" s="530">
        <f t="shared" si="779"/>
        <v>0.76830000000000009</v>
      </c>
      <c r="HK64" s="531">
        <f t="shared" si="780"/>
        <v>0.76830000000000009</v>
      </c>
      <c r="HL64" s="530">
        <f t="shared" si="781"/>
        <v>0</v>
      </c>
      <c r="HM64" s="530">
        <f t="shared" si="782"/>
        <v>0</v>
      </c>
      <c r="HN64" s="530">
        <f t="shared" si="783"/>
        <v>3.4309799375000005</v>
      </c>
      <c r="HO64" s="530">
        <f t="shared" si="784"/>
        <v>28.086569375</v>
      </c>
      <c r="HP64" s="530">
        <f t="shared" si="785"/>
        <v>1.2805000000000002</v>
      </c>
      <c r="HQ64" s="531">
        <f t="shared" si="786"/>
        <v>1.2805000000000002</v>
      </c>
      <c r="HR64" s="530">
        <f t="shared" si="214"/>
        <v>3.9475513321692506</v>
      </c>
      <c r="HS64" s="530">
        <f t="shared" si="787"/>
        <v>32.345603731499999</v>
      </c>
      <c r="HT64" s="530">
        <f t="shared" si="788"/>
        <v>7.6829999999999996E-2</v>
      </c>
      <c r="HU64" s="530">
        <f t="shared" si="789"/>
        <v>7.6829999999999996E-2</v>
      </c>
      <c r="HV64" s="530">
        <f t="shared" si="790"/>
        <v>21.24766</v>
      </c>
      <c r="HW64" s="531">
        <f t="shared" si="791"/>
        <v>22.092790000000001</v>
      </c>
      <c r="IG64" s="560"/>
      <c r="IH64" s="530">
        <f t="shared" si="215"/>
        <v>1.1409255E-2</v>
      </c>
      <c r="II64" s="530">
        <f t="shared" si="216"/>
        <v>9.3348450000000013E-3</v>
      </c>
      <c r="IJ64" s="530">
        <f t="shared" si="217"/>
        <v>1.8669690000000003E-2</v>
      </c>
      <c r="IK64" s="530">
        <f t="shared" si="893"/>
        <v>9.3348450000000013E-3</v>
      </c>
      <c r="IL64" s="530">
        <f t="shared" si="894"/>
        <v>0.8764382249999999</v>
      </c>
      <c r="IM64" s="530">
        <f t="shared" si="895"/>
        <v>1.037205E-3</v>
      </c>
      <c r="IN64" s="530">
        <f t="shared" si="896"/>
        <v>1.037205E-3</v>
      </c>
      <c r="IO64" s="530">
        <f t="shared" si="222"/>
        <v>3.4227765E-2</v>
      </c>
      <c r="IP64" s="530">
        <f t="shared" si="223"/>
        <v>4.2525404999999995E-2</v>
      </c>
      <c r="IQ64" s="530">
        <f t="shared" si="897"/>
        <v>5.3934660000000002E-2</v>
      </c>
      <c r="IR64" s="530">
        <f t="shared" si="898"/>
        <v>4.2525404999999995E-2</v>
      </c>
      <c r="IS64" s="530">
        <f t="shared" si="899"/>
        <v>0.87851263499999988</v>
      </c>
      <c r="IT64" s="530">
        <f t="shared" si="900"/>
        <v>1.0372049999999999E-2</v>
      </c>
      <c r="IU64" s="518">
        <f t="shared" si="901"/>
        <v>1.0372049999999999E-2</v>
      </c>
      <c r="IV64" s="57">
        <f t="shared" si="229"/>
        <v>0</v>
      </c>
      <c r="IW64" s="57">
        <f t="shared" si="230"/>
        <v>0</v>
      </c>
      <c r="IX64" s="530">
        <f t="shared" si="792"/>
        <v>0</v>
      </c>
      <c r="IY64" s="530">
        <f t="shared" si="793"/>
        <v>0</v>
      </c>
      <c r="IZ64" s="530">
        <f t="shared" si="794"/>
        <v>0</v>
      </c>
      <c r="JA64" s="530">
        <f t="shared" si="795"/>
        <v>0</v>
      </c>
      <c r="JB64" s="530">
        <f t="shared" si="796"/>
        <v>0</v>
      </c>
      <c r="JC64" s="530">
        <f t="shared" si="231"/>
        <v>0</v>
      </c>
      <c r="JD64" s="530">
        <f t="shared" si="232"/>
        <v>0</v>
      </c>
      <c r="JE64" s="530">
        <f t="shared" si="797"/>
        <v>0</v>
      </c>
      <c r="JF64" s="530">
        <f t="shared" si="798"/>
        <v>0</v>
      </c>
      <c r="JG64" s="530">
        <f t="shared" si="799"/>
        <v>0</v>
      </c>
      <c r="JH64" s="530">
        <f t="shared" si="800"/>
        <v>0</v>
      </c>
      <c r="JI64" s="87">
        <f t="shared" si="801"/>
        <v>0</v>
      </c>
      <c r="JJ64" s="57">
        <f t="shared" si="233"/>
        <v>8.4513000000000019E-3</v>
      </c>
      <c r="JK64" s="57">
        <f t="shared" si="234"/>
        <v>6.9147000000000019E-3</v>
      </c>
      <c r="JL64" s="530">
        <f t="shared" si="802"/>
        <v>1.3829400000000004E-2</v>
      </c>
      <c r="JM64" s="530">
        <f t="shared" si="803"/>
        <v>6.9147000000000019E-3</v>
      </c>
      <c r="JN64" s="530">
        <f t="shared" si="804"/>
        <v>0.64921350000000011</v>
      </c>
      <c r="JO64" s="530">
        <f t="shared" si="805"/>
        <v>7.6830000000000008E-4</v>
      </c>
      <c r="JP64" s="530">
        <f t="shared" si="806"/>
        <v>7.6830000000000008E-4</v>
      </c>
      <c r="JQ64" s="530">
        <f t="shared" si="235"/>
        <v>2.5353900000000006E-2</v>
      </c>
      <c r="JR64" s="530">
        <f t="shared" si="236"/>
        <v>3.1500300000000002E-2</v>
      </c>
      <c r="JS64" s="57">
        <f t="shared" si="807"/>
        <v>3.9951600000000011E-2</v>
      </c>
      <c r="JT64" s="57">
        <f t="shared" si="808"/>
        <v>3.1500300000000002E-2</v>
      </c>
      <c r="JU64" s="57">
        <f t="shared" si="809"/>
        <v>0.65075010000000011</v>
      </c>
      <c r="JV64" s="57">
        <f t="shared" si="810"/>
        <v>7.6830000000000015E-3</v>
      </c>
      <c r="JW64" s="81">
        <f t="shared" si="811"/>
        <v>7.6830000000000015E-3</v>
      </c>
      <c r="JX64" s="57">
        <f t="shared" si="237"/>
        <v>0</v>
      </c>
      <c r="JY64" s="57">
        <f t="shared" si="238"/>
        <v>0</v>
      </c>
      <c r="JZ64" s="530">
        <f t="shared" si="812"/>
        <v>0</v>
      </c>
      <c r="KA64" s="530">
        <f t="shared" si="813"/>
        <v>0</v>
      </c>
      <c r="KB64" s="530">
        <f t="shared" si="814"/>
        <v>0</v>
      </c>
      <c r="KC64" s="530">
        <f t="shared" si="815"/>
        <v>0</v>
      </c>
      <c r="KD64" s="530">
        <f t="shared" si="816"/>
        <v>0</v>
      </c>
      <c r="KE64" s="530">
        <f t="shared" si="239"/>
        <v>0</v>
      </c>
      <c r="KF64" s="530">
        <f t="shared" si="240"/>
        <v>0</v>
      </c>
      <c r="KG64" s="530">
        <f t="shared" si="817"/>
        <v>0</v>
      </c>
      <c r="KH64" s="530">
        <f t="shared" si="818"/>
        <v>0</v>
      </c>
      <c r="KI64" s="530">
        <f t="shared" si="819"/>
        <v>0</v>
      </c>
      <c r="KJ64" s="530">
        <f t="shared" si="820"/>
        <v>0</v>
      </c>
      <c r="KK64" s="518">
        <f t="shared" si="821"/>
        <v>0</v>
      </c>
      <c r="KL64" s="57">
        <f t="shared" si="241"/>
        <v>3.7740779312500007E-2</v>
      </c>
      <c r="KM64" s="57">
        <f t="shared" si="242"/>
        <v>3.0878819437500007E-2</v>
      </c>
      <c r="KN64" s="530">
        <f t="shared" si="822"/>
        <v>6.1757638875000014E-2</v>
      </c>
      <c r="KO64" s="530">
        <f t="shared" si="823"/>
        <v>3.0878819437500007E-2</v>
      </c>
      <c r="KP64" s="530">
        <f t="shared" si="824"/>
        <v>2.8991780471875002</v>
      </c>
      <c r="KQ64" s="530">
        <f t="shared" si="825"/>
        <v>3.4309799375000006E-3</v>
      </c>
      <c r="KR64" s="530">
        <f t="shared" si="826"/>
        <v>3.4309799375000006E-3</v>
      </c>
      <c r="KS64" s="530">
        <f t="shared" si="243"/>
        <v>0.92685678937500005</v>
      </c>
      <c r="KT64" s="530">
        <f t="shared" si="244"/>
        <v>1.1515493443749998</v>
      </c>
      <c r="KU64" s="530">
        <f t="shared" si="827"/>
        <v>1.4605016075000001</v>
      </c>
      <c r="KV64" s="530">
        <f t="shared" si="828"/>
        <v>1.1515493443749998</v>
      </c>
      <c r="KW64" s="530">
        <f t="shared" si="829"/>
        <v>23.789324260624998</v>
      </c>
      <c r="KX64" s="530">
        <f t="shared" si="830"/>
        <v>0.28086569374999998</v>
      </c>
      <c r="KY64" s="87">
        <f t="shared" si="831"/>
        <v>0.28086569374999998</v>
      </c>
      <c r="KZ64" s="57">
        <f t="shared" si="245"/>
        <v>1.4085500000000004E-2</v>
      </c>
      <c r="LA64" s="57">
        <f t="shared" si="246"/>
        <v>1.1524500000000003E-2</v>
      </c>
      <c r="LB64" s="530">
        <f t="shared" si="832"/>
        <v>2.3049000000000007E-2</v>
      </c>
      <c r="LC64" s="530">
        <f t="shared" si="833"/>
        <v>1.1524500000000003E-2</v>
      </c>
      <c r="LD64" s="530">
        <f t="shared" si="834"/>
        <v>1.0820225000000001</v>
      </c>
      <c r="LE64" s="530">
        <f t="shared" si="835"/>
        <v>1.2805000000000002E-3</v>
      </c>
      <c r="LF64" s="530">
        <f t="shared" si="836"/>
        <v>1.2805000000000002E-3</v>
      </c>
      <c r="LG64" s="530">
        <f t="shared" si="247"/>
        <v>4.2256500000000009E-2</v>
      </c>
      <c r="LH64" s="530">
        <f t="shared" si="248"/>
        <v>5.2500499999999999E-2</v>
      </c>
      <c r="LI64" s="57">
        <f t="shared" si="837"/>
        <v>6.658600000000002E-2</v>
      </c>
      <c r="LJ64" s="57">
        <f t="shared" si="838"/>
        <v>5.2500499999999999E-2</v>
      </c>
      <c r="LK64" s="57">
        <f t="shared" si="839"/>
        <v>1.0845835000000001</v>
      </c>
      <c r="LL64" s="57">
        <f t="shared" si="840"/>
        <v>1.2805000000000002E-2</v>
      </c>
      <c r="LM64" s="81">
        <f t="shared" si="841"/>
        <v>1.2805000000000002E-2</v>
      </c>
      <c r="LN64" s="57">
        <f t="shared" si="249"/>
        <v>4.3423064653861755E-3</v>
      </c>
      <c r="LO64" s="57">
        <f t="shared" si="250"/>
        <v>1.184265399650775E-3</v>
      </c>
      <c r="LP64" s="530">
        <f t="shared" si="842"/>
        <v>2.0132511794063179E-2</v>
      </c>
      <c r="LQ64" s="530">
        <f t="shared" si="843"/>
        <v>3.2369920923787848E-2</v>
      </c>
      <c r="LR64" s="530">
        <f t="shared" si="844"/>
        <v>3.1580410657354006</v>
      </c>
      <c r="LS64" s="530">
        <f t="shared" si="845"/>
        <v>3.4343696589872477E-2</v>
      </c>
      <c r="LT64" s="530">
        <f t="shared" si="846"/>
        <v>3.947551332169251E-3</v>
      </c>
      <c r="LU64" s="530">
        <f t="shared" si="251"/>
        <v>1.9407362238899999</v>
      </c>
      <c r="LV64" s="530">
        <f t="shared" si="252"/>
        <v>0.97036811194499994</v>
      </c>
      <c r="LW64" s="530">
        <f t="shared" si="847"/>
        <v>2.2641922612050003</v>
      </c>
      <c r="LX64" s="530">
        <f t="shared" si="848"/>
        <v>1.9407362238899999</v>
      </c>
      <c r="LY64" s="530">
        <f t="shared" si="849"/>
        <v>31.989802090453502</v>
      </c>
      <c r="LZ64" s="530">
        <f t="shared" si="850"/>
        <v>0.323456037315</v>
      </c>
      <c r="MA64" s="127">
        <f t="shared" si="851"/>
        <v>0.323456037315</v>
      </c>
      <c r="MB64" s="57">
        <f t="shared" si="253"/>
        <v>8.4512999999999995E-5</v>
      </c>
      <c r="MC64" s="57">
        <f t="shared" si="254"/>
        <v>2.3048999999999996E-5</v>
      </c>
      <c r="MD64" s="530">
        <f t="shared" si="852"/>
        <v>3.9183300000000001E-4</v>
      </c>
      <c r="ME64" s="530">
        <f t="shared" si="853"/>
        <v>6.300059999999999E-4</v>
      </c>
      <c r="MF64" s="530">
        <f t="shared" si="854"/>
        <v>6.1463999999999998E-2</v>
      </c>
      <c r="MG64" s="530">
        <f t="shared" si="855"/>
        <v>6.6842099999999988E-4</v>
      </c>
      <c r="MH64" s="530">
        <f t="shared" si="856"/>
        <v>7.6829999999999995E-5</v>
      </c>
      <c r="MI64" s="530">
        <f t="shared" si="255"/>
        <v>4.6097999999999998E-3</v>
      </c>
      <c r="MJ64" s="530">
        <f t="shared" si="256"/>
        <v>2.3048999999999999E-3</v>
      </c>
      <c r="MK64" s="530">
        <f t="shared" si="857"/>
        <v>5.3781000000000002E-3</v>
      </c>
      <c r="ML64" s="530">
        <f t="shared" si="858"/>
        <v>4.6097999999999998E-3</v>
      </c>
      <c r="MM64" s="530">
        <f t="shared" si="859"/>
        <v>7.598487000000001E-2</v>
      </c>
      <c r="MN64" s="530">
        <f t="shared" si="860"/>
        <v>7.6829999999999997E-4</v>
      </c>
      <c r="MO64" s="127">
        <f t="shared" si="861"/>
        <v>7.6829999999999997E-4</v>
      </c>
      <c r="MP64" s="57">
        <f t="shared" si="257"/>
        <v>2.3372426000000002E-2</v>
      </c>
      <c r="MQ64" s="57">
        <f t="shared" si="258"/>
        <v>6.3742979999999996E-3</v>
      </c>
      <c r="MR64" s="530">
        <f t="shared" si="862"/>
        <v>0.10836306600000001</v>
      </c>
      <c r="MS64" s="530">
        <f t="shared" si="863"/>
        <v>0.17423081199999998</v>
      </c>
      <c r="MT64" s="530">
        <f t="shared" si="864"/>
        <v>16.998128000000001</v>
      </c>
      <c r="MU64" s="530">
        <f t="shared" si="865"/>
        <v>0.18485464199999999</v>
      </c>
      <c r="MV64" s="530">
        <f t="shared" si="866"/>
        <v>2.1247660000000002E-2</v>
      </c>
      <c r="MW64" s="530">
        <f t="shared" si="259"/>
        <v>1.3255674</v>
      </c>
      <c r="MX64" s="530">
        <f t="shared" si="260"/>
        <v>0.66278369999999998</v>
      </c>
      <c r="MY64" s="57">
        <f t="shared" si="867"/>
        <v>1.5464953000000001</v>
      </c>
      <c r="MZ64" s="57">
        <f t="shared" si="868"/>
        <v>1.3255674</v>
      </c>
      <c r="NA64" s="57">
        <f t="shared" si="869"/>
        <v>21.849769310000003</v>
      </c>
      <c r="NB64" s="57">
        <f t="shared" si="870"/>
        <v>0.22092790000000001</v>
      </c>
      <c r="NC64" s="81">
        <f t="shared" si="871"/>
        <v>0.22092790000000001</v>
      </c>
    </row>
    <row r="65" spans="1:376" x14ac:dyDescent="0.25">
      <c r="A65" s="9">
        <v>2010</v>
      </c>
      <c r="B65" s="10">
        <v>0</v>
      </c>
      <c r="C65" s="645">
        <v>0</v>
      </c>
      <c r="D65" s="906">
        <v>100</v>
      </c>
      <c r="E65" s="657">
        <v>100</v>
      </c>
      <c r="F65" s="645">
        <f t="shared" si="1164"/>
        <v>0</v>
      </c>
      <c r="G65" s="467">
        <f t="shared" si="1165"/>
        <v>0</v>
      </c>
      <c r="H65" s="467">
        <f t="shared" si="1100"/>
        <v>98.5</v>
      </c>
      <c r="I65" s="467">
        <f t="shared" si="1101"/>
        <v>98.5</v>
      </c>
      <c r="J65" s="1085">
        <f>'POSF Zone Def'!BQ135</f>
        <v>30.932600000000001</v>
      </c>
      <c r="K65" s="1085">
        <f t="shared" si="734"/>
        <v>30.932600000000001</v>
      </c>
      <c r="L65" s="666">
        <f t="shared" si="751"/>
        <v>98.5</v>
      </c>
      <c r="M65" s="667">
        <f t="shared" si="1102"/>
        <v>98.5</v>
      </c>
      <c r="N65" s="195">
        <v>2E-3</v>
      </c>
      <c r="O65" s="196">
        <v>0</v>
      </c>
      <c r="P65" s="196">
        <v>0</v>
      </c>
      <c r="Q65" s="197">
        <v>6.0000000000000001E-3</v>
      </c>
      <c r="R65" s="48">
        <v>0</v>
      </c>
      <c r="S65" s="48">
        <v>2.7000000000000001E-3</v>
      </c>
      <c r="T65" s="48">
        <v>0</v>
      </c>
      <c r="U65" s="48">
        <v>1.18E-2</v>
      </c>
      <c r="V65" s="118">
        <v>1.0000000000000001E-5</v>
      </c>
      <c r="W65" s="48">
        <v>2.9999999999999997E-4</v>
      </c>
      <c r="X65" s="53">
        <v>0</v>
      </c>
      <c r="Y65" s="53">
        <v>3.1E-2</v>
      </c>
      <c r="Z65" s="487">
        <v>5.2999999999999999E-2</v>
      </c>
      <c r="AA65" s="53">
        <f t="shared" si="147"/>
        <v>0.1</v>
      </c>
      <c r="AB65" s="53">
        <f t="shared" si="148"/>
        <v>0</v>
      </c>
      <c r="AC65" s="53">
        <f t="shared" si="149"/>
        <v>0.9</v>
      </c>
      <c r="AD65" s="56">
        <f t="shared" si="1166"/>
        <v>0</v>
      </c>
      <c r="AE65" s="57">
        <f t="shared" si="1167"/>
        <v>0</v>
      </c>
      <c r="AF65" s="57">
        <f t="shared" si="1168"/>
        <v>0</v>
      </c>
      <c r="AG65" s="57">
        <f t="shared" si="1169"/>
        <v>0</v>
      </c>
      <c r="AH65" s="57">
        <f t="shared" si="1170"/>
        <v>0</v>
      </c>
      <c r="AI65" s="57">
        <f t="shared" si="1171"/>
        <v>0</v>
      </c>
      <c r="AJ65" s="126">
        <f t="shared" si="1103"/>
        <v>0.79784999999999995</v>
      </c>
      <c r="AK65" s="57">
        <f t="shared" si="1104"/>
        <v>0.79784999999999995</v>
      </c>
      <c r="AL65" s="57">
        <f t="shared" si="1105"/>
        <v>0</v>
      </c>
      <c r="AM65" s="57">
        <f t="shared" si="1106"/>
        <v>0</v>
      </c>
      <c r="AN65" s="57">
        <f t="shared" si="1107"/>
        <v>0.59099999999999997</v>
      </c>
      <c r="AO65" s="127">
        <f t="shared" si="1108"/>
        <v>0.59099999999999997</v>
      </c>
      <c r="AP65" s="57">
        <f t="shared" si="1172"/>
        <v>0.79784999999999995</v>
      </c>
      <c r="AQ65" s="57">
        <f t="shared" si="1172"/>
        <v>0.79784999999999995</v>
      </c>
      <c r="AR65" s="57">
        <f t="shared" si="1172"/>
        <v>0</v>
      </c>
      <c r="AS65" s="57">
        <f t="shared" si="1109"/>
        <v>0</v>
      </c>
      <c r="AT65" s="57">
        <f t="shared" si="1109"/>
        <v>0.59099999999999997</v>
      </c>
      <c r="AU65" s="87">
        <f t="shared" si="1109"/>
        <v>0.59099999999999997</v>
      </c>
      <c r="AV65" s="56">
        <f t="shared" si="1110"/>
        <v>0</v>
      </c>
      <c r="AW65" s="57">
        <f t="shared" si="1111"/>
        <v>0</v>
      </c>
      <c r="AX65" s="57">
        <f t="shared" si="1112"/>
        <v>0</v>
      </c>
      <c r="AY65" s="57">
        <f t="shared" si="1113"/>
        <v>0</v>
      </c>
      <c r="AZ65" s="57">
        <f t="shared" si="1114"/>
        <v>0</v>
      </c>
      <c r="BA65" s="57">
        <f t="shared" si="1115"/>
        <v>0</v>
      </c>
      <c r="BB65" s="126">
        <f t="shared" si="1116"/>
        <v>0</v>
      </c>
      <c r="BC65" s="57">
        <f t="shared" si="1117"/>
        <v>0</v>
      </c>
      <c r="BD65" s="57">
        <f t="shared" si="1118"/>
        <v>0.53190000000000004</v>
      </c>
      <c r="BE65" s="57">
        <f t="shared" si="1119"/>
        <v>0.53190000000000004</v>
      </c>
      <c r="BF65" s="57">
        <f t="shared" si="1120"/>
        <v>0.98499999999999999</v>
      </c>
      <c r="BG65" s="57">
        <f t="shared" si="1121"/>
        <v>0.98499999999999999</v>
      </c>
      <c r="BH65" s="57">
        <f t="shared" si="1122"/>
        <v>0</v>
      </c>
      <c r="BI65" s="57">
        <f t="shared" si="1122"/>
        <v>0</v>
      </c>
      <c r="BJ65" s="57">
        <f t="shared" si="1122"/>
        <v>0.53190000000000004</v>
      </c>
      <c r="BK65" s="57">
        <f t="shared" si="1122"/>
        <v>0.53190000000000004</v>
      </c>
      <c r="BL65" s="57">
        <f t="shared" si="1122"/>
        <v>0.98499999999999999</v>
      </c>
      <c r="BM65" s="57">
        <f t="shared" si="1122"/>
        <v>0.98499999999999999</v>
      </c>
      <c r="BN65" s="56">
        <f t="shared" si="1123"/>
        <v>0</v>
      </c>
      <c r="BO65" s="57">
        <f t="shared" si="1124"/>
        <v>0</v>
      </c>
      <c r="BP65" s="57">
        <f t="shared" si="1125"/>
        <v>0</v>
      </c>
      <c r="BQ65" s="57">
        <f t="shared" si="1126"/>
        <v>0</v>
      </c>
      <c r="BR65" s="57">
        <f t="shared" si="1127"/>
        <v>0</v>
      </c>
      <c r="BS65" s="57">
        <f t="shared" si="1128"/>
        <v>0</v>
      </c>
      <c r="BT65" s="126">
        <f t="shared" si="1129"/>
        <v>3.9399999999999999E-3</v>
      </c>
      <c r="BU65" s="57">
        <f t="shared" si="1130"/>
        <v>3.9399999999999999E-3</v>
      </c>
      <c r="BV65" s="57">
        <f t="shared" si="1131"/>
        <v>5.9099999999999993E-2</v>
      </c>
      <c r="BW65" s="57">
        <f t="shared" si="1132"/>
        <v>5.9099999999999993E-2</v>
      </c>
      <c r="BX65" s="57">
        <f t="shared" si="1133"/>
        <v>1.0834999999999999</v>
      </c>
      <c r="BY65" s="57">
        <f t="shared" si="1134"/>
        <v>1.0834999999999999</v>
      </c>
      <c r="BZ65" s="126">
        <f t="shared" si="1135"/>
        <v>3.9399999999999999E-3</v>
      </c>
      <c r="CA65" s="57">
        <f t="shared" si="1135"/>
        <v>3.9399999999999999E-3</v>
      </c>
      <c r="CB65" s="57">
        <f t="shared" si="1135"/>
        <v>5.9099999999999993E-2</v>
      </c>
      <c r="CC65" s="57">
        <f t="shared" si="1135"/>
        <v>5.9099999999999993E-2</v>
      </c>
      <c r="CD65" s="57">
        <f t="shared" si="1135"/>
        <v>1.0834999999999999</v>
      </c>
      <c r="CE65" s="518">
        <f t="shared" si="1135"/>
        <v>1.0834999999999999</v>
      </c>
      <c r="CF65" s="57">
        <f t="shared" si="173"/>
        <v>3.0932600000000003</v>
      </c>
      <c r="CG65" s="57">
        <f t="shared" si="1173"/>
        <v>3.0932600000000003</v>
      </c>
      <c r="CH65" s="57">
        <f t="shared" si="175"/>
        <v>0</v>
      </c>
      <c r="CI65" s="57">
        <f t="shared" si="1174"/>
        <v>0</v>
      </c>
      <c r="CJ65" s="57">
        <f t="shared" si="176"/>
        <v>27.83934</v>
      </c>
      <c r="CK65" s="57">
        <f t="shared" si="1175"/>
        <v>27.83934</v>
      </c>
      <c r="CL65" s="3"/>
      <c r="CM65" s="59">
        <f t="shared" si="1083"/>
        <v>0</v>
      </c>
      <c r="CN65" s="62">
        <f t="shared" si="1136"/>
        <v>0</v>
      </c>
      <c r="CO65" s="128">
        <f t="shared" si="1137"/>
        <v>62.346899999999998</v>
      </c>
      <c r="CP65" s="129">
        <f t="shared" si="1138"/>
        <v>62.346899999999998</v>
      </c>
      <c r="CQ65" s="62">
        <f t="shared" si="1176"/>
        <v>62.346899999999998</v>
      </c>
      <c r="CR65" s="60">
        <f t="shared" si="1176"/>
        <v>62.346899999999998</v>
      </c>
      <c r="CS65" s="33">
        <v>0</v>
      </c>
      <c r="CT65" s="34">
        <v>0</v>
      </c>
      <c r="CU65" s="34">
        <v>1</v>
      </c>
      <c r="CV65" s="35">
        <f t="shared" si="1177"/>
        <v>0</v>
      </c>
      <c r="CW65" s="36">
        <f t="shared" si="1178"/>
        <v>0</v>
      </c>
      <c r="CX65" s="37">
        <f t="shared" si="1179"/>
        <v>0</v>
      </c>
      <c r="CY65" s="57">
        <f t="shared" si="1180"/>
        <v>0</v>
      </c>
      <c r="CZ65" s="127">
        <f t="shared" si="1181"/>
        <v>0</v>
      </c>
      <c r="DA65" s="37">
        <f t="shared" si="1139"/>
        <v>43.642829999999996</v>
      </c>
      <c r="DB65" s="37">
        <f t="shared" si="1140"/>
        <v>43.642829999999996</v>
      </c>
      <c r="DC65" s="37">
        <f t="shared" si="1141"/>
        <v>0</v>
      </c>
      <c r="DD65" s="142">
        <f t="shared" si="1142"/>
        <v>0</v>
      </c>
      <c r="DE65" s="37">
        <f t="shared" si="768"/>
        <v>43.642829999999996</v>
      </c>
      <c r="DF65" s="37">
        <f t="shared" si="1182"/>
        <v>43.642829999999996</v>
      </c>
      <c r="DG65" s="37">
        <f t="shared" si="1183"/>
        <v>0</v>
      </c>
      <c r="DH65" s="39">
        <f t="shared" si="1184"/>
        <v>0</v>
      </c>
      <c r="DJ65" s="496">
        <v>1</v>
      </c>
      <c r="DK65" s="496">
        <v>0.3</v>
      </c>
      <c r="DL65" s="37">
        <f>CM65*DJ65</f>
        <v>0</v>
      </c>
      <c r="DM65" s="37">
        <f t="shared" si="1144"/>
        <v>0</v>
      </c>
      <c r="DN65" s="37">
        <f t="shared" si="1084"/>
        <v>18.704069999999998</v>
      </c>
      <c r="DO65" s="37">
        <f t="shared" si="1085"/>
        <v>18.704069999999998</v>
      </c>
      <c r="DP65" s="33">
        <v>1</v>
      </c>
      <c r="DQ65" s="34">
        <v>0.1</v>
      </c>
      <c r="DR65" s="34">
        <v>0.5</v>
      </c>
      <c r="DS65" s="681">
        <f t="shared" si="185"/>
        <v>0.1</v>
      </c>
      <c r="DT65" s="78">
        <f t="shared" si="186"/>
        <v>1</v>
      </c>
      <c r="DU65" s="34">
        <v>0</v>
      </c>
      <c r="DV65" s="34">
        <v>1</v>
      </c>
      <c r="DW65" s="34">
        <v>0</v>
      </c>
      <c r="DX65" s="34">
        <v>0</v>
      </c>
      <c r="DY65" s="34">
        <v>1</v>
      </c>
      <c r="DZ65" s="34">
        <v>0</v>
      </c>
      <c r="EA65" s="85">
        <f t="shared" si="888"/>
        <v>0</v>
      </c>
      <c r="EB65" s="57">
        <f t="shared" si="1185"/>
        <v>0</v>
      </c>
      <c r="EC65" s="57">
        <f t="shared" si="889"/>
        <v>0</v>
      </c>
      <c r="ED65" s="57">
        <f t="shared" si="1186"/>
        <v>0</v>
      </c>
      <c r="EE65" s="57">
        <f t="shared" si="890"/>
        <v>0</v>
      </c>
      <c r="EF65" s="57">
        <f t="shared" si="1187"/>
        <v>0</v>
      </c>
      <c r="EG65" s="126">
        <f t="shared" si="1145"/>
        <v>0</v>
      </c>
      <c r="EH65" s="57">
        <f t="shared" si="1146"/>
        <v>0</v>
      </c>
      <c r="EI65" s="57">
        <f t="shared" si="1147"/>
        <v>2.4047212500000001</v>
      </c>
      <c r="EJ65" s="57">
        <f t="shared" si="1148"/>
        <v>24.047212500000001</v>
      </c>
      <c r="EK65" s="57">
        <f t="shared" si="1149"/>
        <v>0</v>
      </c>
      <c r="EL65" s="127">
        <f t="shared" si="1150"/>
        <v>0</v>
      </c>
      <c r="EM65" s="57">
        <f t="shared" si="193"/>
        <v>2.4047212500000001</v>
      </c>
      <c r="EN65" s="81">
        <f t="shared" si="194"/>
        <v>24.047212500000001</v>
      </c>
      <c r="EP65" s="85">
        <f t="shared" si="769"/>
        <v>0</v>
      </c>
      <c r="EQ65" s="57">
        <f t="shared" si="1151"/>
        <v>0</v>
      </c>
      <c r="ER65" s="57">
        <f t="shared" si="770"/>
        <v>0</v>
      </c>
      <c r="ES65" s="57">
        <f t="shared" si="1152"/>
        <v>0</v>
      </c>
      <c r="ET65" s="57">
        <f t="shared" si="771"/>
        <v>0</v>
      </c>
      <c r="EU65" s="127">
        <f t="shared" si="1153"/>
        <v>0</v>
      </c>
      <c r="EV65" s="126">
        <f t="shared" si="1086"/>
        <v>3.9399999999999999E-3</v>
      </c>
      <c r="EW65" s="57">
        <f t="shared" si="1087"/>
        <v>3.9399999999999999E-3</v>
      </c>
      <c r="EX65" s="57">
        <f t="shared" si="1088"/>
        <v>5.9099999999999993E-2</v>
      </c>
      <c r="EY65" s="57">
        <f t="shared" si="1089"/>
        <v>5.9099999999999993E-2</v>
      </c>
      <c r="EZ65" s="57">
        <f t="shared" si="1090"/>
        <v>1.0834999999999999</v>
      </c>
      <c r="FA65" s="87">
        <f t="shared" si="1091"/>
        <v>1.0834999999999999</v>
      </c>
      <c r="FB65" s="36">
        <f t="shared" si="1188"/>
        <v>0</v>
      </c>
      <c r="FC65" s="37">
        <f t="shared" si="1189"/>
        <v>0</v>
      </c>
      <c r="FD65" s="57">
        <f t="shared" si="1154"/>
        <v>43.642829999999996</v>
      </c>
      <c r="FE65" s="37">
        <f t="shared" si="1155"/>
        <v>43.642829999999996</v>
      </c>
      <c r="FF65" s="36">
        <f t="shared" si="772"/>
        <v>0</v>
      </c>
      <c r="FG65" s="37">
        <f t="shared" si="1156"/>
        <v>0</v>
      </c>
      <c r="FH65" s="37">
        <f t="shared" si="1157"/>
        <v>0</v>
      </c>
      <c r="FI65" s="37">
        <f t="shared" si="1158"/>
        <v>0</v>
      </c>
      <c r="FJ65" s="33">
        <v>1</v>
      </c>
      <c r="FK65" s="34">
        <v>0.2</v>
      </c>
      <c r="FL65" s="502">
        <v>0.8</v>
      </c>
      <c r="FM65" s="34">
        <v>0.1</v>
      </c>
      <c r="FN65" s="502">
        <v>0.5</v>
      </c>
      <c r="FO65" s="34">
        <f t="shared" si="200"/>
        <v>0.1</v>
      </c>
      <c r="FP65" s="34">
        <f t="shared" si="201"/>
        <v>1</v>
      </c>
      <c r="FQ65" s="34">
        <v>1</v>
      </c>
      <c r="FR65" s="34">
        <v>0</v>
      </c>
      <c r="FS65" s="90">
        <f t="shared" si="202"/>
        <v>1E-3</v>
      </c>
      <c r="FT65" s="34">
        <f t="shared" si="203"/>
        <v>0.05</v>
      </c>
      <c r="FU65" s="33">
        <v>0.05</v>
      </c>
      <c r="FV65" s="35">
        <f t="shared" si="25"/>
        <v>2.4224999999999997E-2</v>
      </c>
      <c r="FW65" s="34">
        <v>0.1</v>
      </c>
      <c r="FX65" s="78">
        <f t="shared" si="26"/>
        <v>9.0000000000000011E-2</v>
      </c>
      <c r="FY65" s="33">
        <v>0.45</v>
      </c>
      <c r="FZ65" s="35">
        <f t="shared" si="1092"/>
        <v>1.4025000000000001E-2</v>
      </c>
      <c r="GA65" s="34">
        <v>0.45</v>
      </c>
      <c r="GB65" s="78">
        <f t="shared" si="1093"/>
        <v>5.5000000000000007E-2</v>
      </c>
      <c r="GC65" s="85">
        <f t="shared" si="773"/>
        <v>0</v>
      </c>
      <c r="GD65" s="57">
        <f t="shared" si="1159"/>
        <v>0</v>
      </c>
      <c r="GE65" s="57">
        <f t="shared" si="774"/>
        <v>0</v>
      </c>
      <c r="GF65" s="57">
        <f t="shared" si="1160"/>
        <v>0</v>
      </c>
      <c r="GG65" s="57">
        <f t="shared" si="1190"/>
        <v>0</v>
      </c>
      <c r="GH65" s="127">
        <f t="shared" si="1191"/>
        <v>0</v>
      </c>
      <c r="GI65" s="57">
        <f t="shared" si="1094"/>
        <v>3.9399999999999999E-3</v>
      </c>
      <c r="GJ65" s="57">
        <f t="shared" si="1095"/>
        <v>3.9399999999999999E-3</v>
      </c>
      <c r="GK65" s="57">
        <f t="shared" si="1096"/>
        <v>5.9099999999999993E-2</v>
      </c>
      <c r="GL65" s="57">
        <f t="shared" si="1097"/>
        <v>5.9099999999999993E-2</v>
      </c>
      <c r="GM65" s="57">
        <f t="shared" si="1098"/>
        <v>0.2167</v>
      </c>
      <c r="GN65" s="127">
        <f t="shared" si="1099"/>
        <v>0.86680000000000001</v>
      </c>
      <c r="GO65" s="57">
        <f t="shared" si="208"/>
        <v>0.27973999999999999</v>
      </c>
      <c r="GP65" s="87">
        <f t="shared" si="209"/>
        <v>0.92984</v>
      </c>
      <c r="GQ65" s="37">
        <f t="shared" si="891"/>
        <v>0</v>
      </c>
      <c r="GR65" s="37">
        <f t="shared" si="892"/>
        <v>0</v>
      </c>
      <c r="GS65" s="57">
        <f t="shared" si="1031"/>
        <v>6.1123257449999984E-4</v>
      </c>
      <c r="GT65" s="57">
        <f t="shared" si="1032"/>
        <v>0.3056162872499999</v>
      </c>
      <c r="GU65" s="57">
        <f t="shared" si="1033"/>
        <v>0</v>
      </c>
      <c r="GV65" s="127">
        <f t="shared" si="1034"/>
        <v>0</v>
      </c>
      <c r="GW65" s="37">
        <f t="shared" si="1162"/>
        <v>1.0125682095374999</v>
      </c>
      <c r="GX65" s="37">
        <f t="shared" si="1163"/>
        <v>11.019814575</v>
      </c>
      <c r="GY65" s="37">
        <f>1/10*($FH65*$FQ65*$FO65*$FS65+$FH64*$FQ64*$FO64*$FS64+$FH63*$FQ63*$FO63*$FS63+$FH62*$FQ62*$FO62*$FS62+$FH61*$FQ61*$FO61*$FS61+$FH60*$FQ60*$FO60*$FS60+$FH59*$FQ59*$FO59*$FS59+$FH58*$FQ58*$FO58*$FS58+$FH57*$FQ57*$FO57*$FS57)</f>
        <v>3.5945021874999998E-3</v>
      </c>
      <c r="GZ65" s="37">
        <f>1/10*($FI65*$FQ65*$FP65*$FT65+$FI64*$FQ64*$FP64*$FT64+$FI63*$FQ63*$FP63*$FT63+$FI62*$FQ62*$FP62*$FT62+$FI61*$FQ61*$FP61*$FT61+$FI60*$FQ60*$FP60*$FT60+$FI59*$FQ59*$FP59*$FT59+$FI58*$FQ58*$FP58*$FT58+$FI57*$FQ57*$FP57*$FT57)</f>
        <v>1.7972510937500001</v>
      </c>
      <c r="HA65" s="37">
        <f>1/10*($FH65*$FR65*$FO65*$FS65+$FH64*$FR64*$FO64*$FS64+$FH63*$FR63*$FO63*$FS63+$FH62*$FR62*$FO62*$FS62+$FH61*$FR61*$FO61*$FS61+$FH60*$FR60*$FO60*$FS60+$FH59*$FR59*$FO59*$FS59+$FH58*$FR58*$FO58*$FS58+$FH57*$FR57*$FO57*$FS57)</f>
        <v>0</v>
      </c>
      <c r="HB65" s="142">
        <f>1/10*($FI65*$FR65*$FP65*$FT65+$FI64*$FR64*$FP64*$FT64+$FI63*$FR63*$FP63*$FT63+$FI62*$FR62*$FP62*$FT62+$FI61*$FR61*$FP61*$FT61+$FI60*$FR60*$FP60*$FT60+$FI59*$FR59*$FP59*$FT59+$FI58*$FR58*$FP58*$FT58+$FI57*$FR57*$FP57*$FT57)</f>
        <v>0</v>
      </c>
      <c r="HC65" s="57">
        <f t="shared" si="212"/>
        <v>1.0167739442994999</v>
      </c>
      <c r="HD65" s="39">
        <f t="shared" si="213"/>
        <v>13.122681956000001</v>
      </c>
      <c r="HE65" s="527"/>
      <c r="HF65" s="530">
        <f t="shared" si="775"/>
        <v>0.79784999999999995</v>
      </c>
      <c r="HG65" s="530">
        <f t="shared" si="776"/>
        <v>0.79784999999999995</v>
      </c>
      <c r="HH65" s="530">
        <f t="shared" si="777"/>
        <v>0</v>
      </c>
      <c r="HI65" s="530">
        <f t="shared" si="778"/>
        <v>0</v>
      </c>
      <c r="HJ65" s="530">
        <f t="shared" si="779"/>
        <v>0.59099999999999997</v>
      </c>
      <c r="HK65" s="531">
        <f t="shared" si="780"/>
        <v>0.59099999999999997</v>
      </c>
      <c r="HL65" s="530">
        <f t="shared" si="781"/>
        <v>0</v>
      </c>
      <c r="HM65" s="530">
        <f t="shared" si="782"/>
        <v>0</v>
      </c>
      <c r="HN65" s="530">
        <f t="shared" si="783"/>
        <v>2.93662125</v>
      </c>
      <c r="HO65" s="530">
        <f t="shared" si="784"/>
        <v>24.579112500000001</v>
      </c>
      <c r="HP65" s="530">
        <f t="shared" si="785"/>
        <v>0.98499999999999999</v>
      </c>
      <c r="HQ65" s="531">
        <f t="shared" si="786"/>
        <v>0.98499999999999999</v>
      </c>
      <c r="HR65" s="530">
        <f t="shared" si="214"/>
        <v>4.1103794421120003</v>
      </c>
      <c r="HS65" s="530">
        <f t="shared" si="787"/>
        <v>16.219881956000002</v>
      </c>
      <c r="HT65" s="530">
        <f t="shared" si="788"/>
        <v>5.9099999999999993E-2</v>
      </c>
      <c r="HU65" s="530">
        <f t="shared" si="789"/>
        <v>5.9099999999999993E-2</v>
      </c>
      <c r="HV65" s="530">
        <f t="shared" si="790"/>
        <v>28.056039999999999</v>
      </c>
      <c r="HW65" s="531">
        <f t="shared" si="791"/>
        <v>28.706140000000001</v>
      </c>
      <c r="IG65" s="560"/>
      <c r="IH65" s="530">
        <f t="shared" si="215"/>
        <v>8.7763500000000005E-3</v>
      </c>
      <c r="II65" s="530">
        <f t="shared" si="216"/>
        <v>7.1806500000000002E-3</v>
      </c>
      <c r="IJ65" s="530">
        <f t="shared" si="217"/>
        <v>1.43613E-2</v>
      </c>
      <c r="IK65" s="530">
        <f t="shared" si="893"/>
        <v>7.1806500000000002E-3</v>
      </c>
      <c r="IL65" s="530">
        <f t="shared" si="894"/>
        <v>0.6741832499999999</v>
      </c>
      <c r="IM65" s="530">
        <f t="shared" si="895"/>
        <v>7.9785000000000001E-4</v>
      </c>
      <c r="IN65" s="530">
        <f t="shared" si="896"/>
        <v>7.9785000000000001E-4</v>
      </c>
      <c r="IO65" s="530">
        <f t="shared" si="222"/>
        <v>2.632905E-2</v>
      </c>
      <c r="IP65" s="530">
        <f t="shared" si="223"/>
        <v>3.2711849999999994E-2</v>
      </c>
      <c r="IQ65" s="530">
        <f t="shared" si="897"/>
        <v>4.1488200000000003E-2</v>
      </c>
      <c r="IR65" s="530">
        <f t="shared" si="898"/>
        <v>3.2711849999999994E-2</v>
      </c>
      <c r="IS65" s="530">
        <f t="shared" si="899"/>
        <v>0.67577894999999999</v>
      </c>
      <c r="IT65" s="530">
        <f t="shared" si="900"/>
        <v>7.9784999999999995E-3</v>
      </c>
      <c r="IU65" s="518">
        <f t="shared" si="901"/>
        <v>7.9784999999999995E-3</v>
      </c>
      <c r="IV65" s="57">
        <f t="shared" si="229"/>
        <v>0</v>
      </c>
      <c r="IW65" s="57">
        <f t="shared" si="230"/>
        <v>0</v>
      </c>
      <c r="IX65" s="530">
        <f t="shared" si="792"/>
        <v>0</v>
      </c>
      <c r="IY65" s="530">
        <f t="shared" si="793"/>
        <v>0</v>
      </c>
      <c r="IZ65" s="530">
        <f t="shared" si="794"/>
        <v>0</v>
      </c>
      <c r="JA65" s="530">
        <f t="shared" si="795"/>
        <v>0</v>
      </c>
      <c r="JB65" s="530">
        <f t="shared" si="796"/>
        <v>0</v>
      </c>
      <c r="JC65" s="530">
        <f t="shared" si="231"/>
        <v>0</v>
      </c>
      <c r="JD65" s="530">
        <f t="shared" si="232"/>
        <v>0</v>
      </c>
      <c r="JE65" s="530">
        <f t="shared" si="797"/>
        <v>0</v>
      </c>
      <c r="JF65" s="530">
        <f t="shared" si="798"/>
        <v>0</v>
      </c>
      <c r="JG65" s="530">
        <f t="shared" si="799"/>
        <v>0</v>
      </c>
      <c r="JH65" s="530">
        <f t="shared" si="800"/>
        <v>0</v>
      </c>
      <c r="JI65" s="87">
        <f t="shared" si="801"/>
        <v>0</v>
      </c>
      <c r="JJ65" s="57">
        <f t="shared" si="233"/>
        <v>6.5010000000000007E-3</v>
      </c>
      <c r="JK65" s="57">
        <f t="shared" si="234"/>
        <v>5.3189999999999999E-3</v>
      </c>
      <c r="JL65" s="530">
        <f t="shared" si="802"/>
        <v>1.0638E-2</v>
      </c>
      <c r="JM65" s="530">
        <f t="shared" si="803"/>
        <v>5.3189999999999999E-3</v>
      </c>
      <c r="JN65" s="530">
        <f t="shared" si="804"/>
        <v>0.49939499999999998</v>
      </c>
      <c r="JO65" s="530">
        <f t="shared" si="805"/>
        <v>5.9099999999999995E-4</v>
      </c>
      <c r="JP65" s="530">
        <f t="shared" si="806"/>
        <v>5.9099999999999995E-4</v>
      </c>
      <c r="JQ65" s="530">
        <f t="shared" si="235"/>
        <v>1.9503E-2</v>
      </c>
      <c r="JR65" s="530">
        <f t="shared" si="236"/>
        <v>2.4230999999999996E-2</v>
      </c>
      <c r="JS65" s="57">
        <f t="shared" si="807"/>
        <v>3.0732000000000002E-2</v>
      </c>
      <c r="JT65" s="57">
        <f t="shared" si="808"/>
        <v>2.4230999999999996E-2</v>
      </c>
      <c r="JU65" s="57">
        <f t="shared" si="809"/>
        <v>0.50057699999999994</v>
      </c>
      <c r="JV65" s="57">
        <f t="shared" si="810"/>
        <v>5.9099999999999995E-3</v>
      </c>
      <c r="JW65" s="81">
        <f t="shared" si="811"/>
        <v>5.9099999999999995E-3</v>
      </c>
      <c r="JX65" s="57">
        <f t="shared" si="237"/>
        <v>0</v>
      </c>
      <c r="JY65" s="57">
        <f t="shared" si="238"/>
        <v>0</v>
      </c>
      <c r="JZ65" s="530">
        <f t="shared" si="812"/>
        <v>0</v>
      </c>
      <c r="KA65" s="530">
        <f t="shared" si="813"/>
        <v>0</v>
      </c>
      <c r="KB65" s="530">
        <f t="shared" si="814"/>
        <v>0</v>
      </c>
      <c r="KC65" s="530">
        <f t="shared" si="815"/>
        <v>0</v>
      </c>
      <c r="KD65" s="530">
        <f t="shared" si="816"/>
        <v>0</v>
      </c>
      <c r="KE65" s="530">
        <f t="shared" si="239"/>
        <v>0</v>
      </c>
      <c r="KF65" s="530">
        <f t="shared" si="240"/>
        <v>0</v>
      </c>
      <c r="KG65" s="530">
        <f t="shared" si="817"/>
        <v>0</v>
      </c>
      <c r="KH65" s="530">
        <f t="shared" si="818"/>
        <v>0</v>
      </c>
      <c r="KI65" s="530">
        <f t="shared" si="819"/>
        <v>0</v>
      </c>
      <c r="KJ65" s="530">
        <f t="shared" si="820"/>
        <v>0</v>
      </c>
      <c r="KK65" s="518">
        <f t="shared" si="821"/>
        <v>0</v>
      </c>
      <c r="KL65" s="57">
        <f t="shared" si="241"/>
        <v>3.2302833750000003E-2</v>
      </c>
      <c r="KM65" s="57">
        <f t="shared" si="242"/>
        <v>2.6429591250000002E-2</v>
      </c>
      <c r="KN65" s="530">
        <f t="shared" si="822"/>
        <v>5.2859182500000004E-2</v>
      </c>
      <c r="KO65" s="530">
        <f t="shared" si="823"/>
        <v>2.6429591250000002E-2</v>
      </c>
      <c r="KP65" s="530">
        <f t="shared" si="824"/>
        <v>2.4814449562499998</v>
      </c>
      <c r="KQ65" s="530">
        <f t="shared" si="825"/>
        <v>2.9366212500000002E-3</v>
      </c>
      <c r="KR65" s="530">
        <f t="shared" si="826"/>
        <v>2.9366212500000002E-3</v>
      </c>
      <c r="KS65" s="530">
        <f t="shared" si="243"/>
        <v>0.81111071250000011</v>
      </c>
      <c r="KT65" s="530">
        <f t="shared" si="244"/>
        <v>1.0077436124999999</v>
      </c>
      <c r="KU65" s="530">
        <f t="shared" si="827"/>
        <v>1.2781138500000002</v>
      </c>
      <c r="KV65" s="530">
        <f t="shared" si="828"/>
        <v>1.0077436124999999</v>
      </c>
      <c r="KW65" s="530">
        <f t="shared" si="829"/>
        <v>20.818508287499998</v>
      </c>
      <c r="KX65" s="530">
        <f t="shared" si="830"/>
        <v>0.24579112500000003</v>
      </c>
      <c r="KY65" s="87">
        <f t="shared" si="831"/>
        <v>0.24579112500000003</v>
      </c>
      <c r="KZ65" s="57">
        <f t="shared" si="245"/>
        <v>1.0835000000000001E-2</v>
      </c>
      <c r="LA65" s="57">
        <f t="shared" si="246"/>
        <v>8.8650000000000014E-3</v>
      </c>
      <c r="LB65" s="530">
        <f t="shared" si="832"/>
        <v>1.7730000000000003E-2</v>
      </c>
      <c r="LC65" s="530">
        <f t="shared" si="833"/>
        <v>8.8650000000000014E-3</v>
      </c>
      <c r="LD65" s="530">
        <f t="shared" si="834"/>
        <v>0.83232499999999998</v>
      </c>
      <c r="LE65" s="530">
        <f t="shared" si="835"/>
        <v>9.8499999999999998E-4</v>
      </c>
      <c r="LF65" s="530">
        <f t="shared" si="836"/>
        <v>9.8499999999999998E-4</v>
      </c>
      <c r="LG65" s="530">
        <f t="shared" si="247"/>
        <v>3.2504999999999999E-2</v>
      </c>
      <c r="LH65" s="530">
        <f t="shared" si="248"/>
        <v>4.0384999999999997E-2</v>
      </c>
      <c r="LI65" s="57">
        <f t="shared" si="837"/>
        <v>5.1220000000000002E-2</v>
      </c>
      <c r="LJ65" s="57">
        <f t="shared" si="838"/>
        <v>4.0384999999999997E-2</v>
      </c>
      <c r="LK65" s="57">
        <f t="shared" si="839"/>
        <v>0.83429500000000001</v>
      </c>
      <c r="LL65" s="57">
        <f t="shared" si="840"/>
        <v>9.8499999999999994E-3</v>
      </c>
      <c r="LM65" s="81">
        <f t="shared" si="841"/>
        <v>9.8499999999999994E-3</v>
      </c>
      <c r="LN65" s="57">
        <f t="shared" si="249"/>
        <v>4.5214173863232007E-3</v>
      </c>
      <c r="LO65" s="57">
        <f t="shared" si="250"/>
        <v>1.2331138326336E-3</v>
      </c>
      <c r="LP65" s="530">
        <f t="shared" si="842"/>
        <v>2.0962935154771205E-2</v>
      </c>
      <c r="LQ65" s="530">
        <f t="shared" si="843"/>
        <v>3.3705111425318401E-2</v>
      </c>
      <c r="LR65" s="530">
        <f t="shared" si="844"/>
        <v>3.2883035536896004</v>
      </c>
      <c r="LS65" s="530">
        <f t="shared" si="845"/>
        <v>3.57603011463744E-2</v>
      </c>
      <c r="LT65" s="530">
        <f t="shared" si="846"/>
        <v>4.1103794421120006E-3</v>
      </c>
      <c r="LU65" s="530">
        <f t="shared" si="251"/>
        <v>0.97319291736000002</v>
      </c>
      <c r="LV65" s="530">
        <f t="shared" si="252"/>
        <v>0.48659645868000001</v>
      </c>
      <c r="LW65" s="530">
        <f t="shared" si="847"/>
        <v>1.1353917369200002</v>
      </c>
      <c r="LX65" s="530">
        <f t="shared" si="848"/>
        <v>0.97319291736000002</v>
      </c>
      <c r="LY65" s="530">
        <f t="shared" si="849"/>
        <v>16.041463254484004</v>
      </c>
      <c r="LZ65" s="530">
        <f t="shared" si="850"/>
        <v>0.16219881956000001</v>
      </c>
      <c r="MA65" s="127">
        <f t="shared" si="851"/>
        <v>0.16219881956000001</v>
      </c>
      <c r="MB65" s="57">
        <f t="shared" si="253"/>
        <v>6.5010000000000003E-5</v>
      </c>
      <c r="MC65" s="57">
        <f t="shared" si="254"/>
        <v>1.7729999999999998E-5</v>
      </c>
      <c r="MD65" s="530">
        <f t="shared" si="852"/>
        <v>3.0141E-4</v>
      </c>
      <c r="ME65" s="530">
        <f t="shared" si="853"/>
        <v>4.846199999999999E-4</v>
      </c>
      <c r="MF65" s="530">
        <f t="shared" si="854"/>
        <v>4.7279999999999996E-2</v>
      </c>
      <c r="MG65" s="530">
        <f t="shared" si="855"/>
        <v>5.1416999999999988E-4</v>
      </c>
      <c r="MH65" s="530">
        <f t="shared" si="856"/>
        <v>5.9099999999999993E-5</v>
      </c>
      <c r="MI65" s="530">
        <f t="shared" si="255"/>
        <v>3.5459999999999992E-3</v>
      </c>
      <c r="MJ65" s="530">
        <f t="shared" si="256"/>
        <v>1.7729999999999996E-3</v>
      </c>
      <c r="MK65" s="530">
        <f t="shared" si="857"/>
        <v>4.1370000000000001E-3</v>
      </c>
      <c r="ML65" s="530">
        <f t="shared" si="858"/>
        <v>3.5459999999999992E-3</v>
      </c>
      <c r="MM65" s="530">
        <f t="shared" si="859"/>
        <v>5.8449899999999999E-2</v>
      </c>
      <c r="MN65" s="530">
        <f t="shared" si="860"/>
        <v>5.9099999999999995E-4</v>
      </c>
      <c r="MO65" s="127">
        <f t="shared" si="861"/>
        <v>5.9099999999999995E-4</v>
      </c>
      <c r="MP65" s="57">
        <f t="shared" si="257"/>
        <v>3.0861644000000001E-2</v>
      </c>
      <c r="MQ65" s="57">
        <f t="shared" si="258"/>
        <v>8.4168119999999992E-3</v>
      </c>
      <c r="MR65" s="530">
        <f t="shared" si="862"/>
        <v>0.14308580400000001</v>
      </c>
      <c r="MS65" s="530">
        <f t="shared" si="863"/>
        <v>0.23005952799999996</v>
      </c>
      <c r="MT65" s="530">
        <f t="shared" si="864"/>
        <v>22.444832000000002</v>
      </c>
      <c r="MU65" s="530">
        <f t="shared" si="865"/>
        <v>0.24408754799999999</v>
      </c>
      <c r="MV65" s="530">
        <f t="shared" si="866"/>
        <v>2.8056040000000001E-2</v>
      </c>
      <c r="MW65" s="530">
        <f t="shared" si="259"/>
        <v>1.7223683999999999</v>
      </c>
      <c r="MX65" s="530">
        <f t="shared" si="260"/>
        <v>0.86118419999999996</v>
      </c>
      <c r="MY65" s="57">
        <f t="shared" si="867"/>
        <v>2.0094298000000004</v>
      </c>
      <c r="MZ65" s="57">
        <f t="shared" si="868"/>
        <v>1.7223683999999999</v>
      </c>
      <c r="NA65" s="57">
        <f t="shared" si="869"/>
        <v>28.390372460000005</v>
      </c>
      <c r="NB65" s="57">
        <f t="shared" si="870"/>
        <v>0.28706140000000002</v>
      </c>
      <c r="NC65" s="81">
        <f t="shared" si="871"/>
        <v>0.28706140000000002</v>
      </c>
    </row>
    <row r="66" spans="1:376" x14ac:dyDescent="0.25">
      <c r="A66" s="9">
        <v>2011</v>
      </c>
      <c r="B66" s="10">
        <v>0</v>
      </c>
      <c r="C66" s="645">
        <v>0</v>
      </c>
      <c r="D66" s="906">
        <v>130</v>
      </c>
      <c r="E66" s="657">
        <v>130</v>
      </c>
      <c r="F66" s="645">
        <f t="shared" si="1164"/>
        <v>0</v>
      </c>
      <c r="G66" s="467">
        <f t="shared" si="1165"/>
        <v>0</v>
      </c>
      <c r="H66" s="467">
        <f t="shared" si="1100"/>
        <v>128.05000000000001</v>
      </c>
      <c r="I66" s="467">
        <f t="shared" si="1101"/>
        <v>128.05000000000001</v>
      </c>
      <c r="J66" s="1085">
        <f>'POSF Zone Def'!BQ136</f>
        <v>35.965199999999996</v>
      </c>
      <c r="K66" s="1085">
        <f t="shared" si="734"/>
        <v>35.965199999999996</v>
      </c>
      <c r="L66" s="666">
        <f t="shared" si="751"/>
        <v>128.05000000000001</v>
      </c>
      <c r="M66" s="667">
        <f t="shared" si="1102"/>
        <v>128.05000000000001</v>
      </c>
      <c r="N66" s="195">
        <v>2E-3</v>
      </c>
      <c r="O66" s="196">
        <v>0</v>
      </c>
      <c r="P66" s="196">
        <v>0</v>
      </c>
      <c r="Q66" s="197">
        <v>6.0000000000000001E-3</v>
      </c>
      <c r="R66" s="48">
        <v>0</v>
      </c>
      <c r="S66" s="48">
        <v>2.7000000000000001E-3</v>
      </c>
      <c r="T66" s="48">
        <v>0</v>
      </c>
      <c r="U66" s="48">
        <v>1.18E-2</v>
      </c>
      <c r="V66" s="118">
        <v>1.0000000000000001E-5</v>
      </c>
      <c r="W66" s="48">
        <v>2.9999999999999997E-4</v>
      </c>
      <c r="X66" s="53">
        <v>0</v>
      </c>
      <c r="Y66" s="53">
        <v>3.1E-2</v>
      </c>
      <c r="Z66" s="487">
        <v>5.2999999999999999E-2</v>
      </c>
      <c r="AA66" s="53">
        <f t="shared" si="147"/>
        <v>0.1</v>
      </c>
      <c r="AB66" s="53">
        <f t="shared" si="148"/>
        <v>0</v>
      </c>
      <c r="AC66" s="53">
        <f t="shared" si="149"/>
        <v>0.9</v>
      </c>
      <c r="AD66" s="56">
        <f t="shared" si="1166"/>
        <v>0</v>
      </c>
      <c r="AE66" s="57">
        <f t="shared" si="1167"/>
        <v>0</v>
      </c>
      <c r="AF66" s="57">
        <f t="shared" si="1168"/>
        <v>0</v>
      </c>
      <c r="AG66" s="57">
        <f t="shared" si="1169"/>
        <v>0</v>
      </c>
      <c r="AH66" s="57">
        <f t="shared" si="1170"/>
        <v>0</v>
      </c>
      <c r="AI66" s="57">
        <f t="shared" si="1171"/>
        <v>0</v>
      </c>
      <c r="AJ66" s="126">
        <f t="shared" si="1103"/>
        <v>1.0372049999999999</v>
      </c>
      <c r="AK66" s="57">
        <f t="shared" si="1104"/>
        <v>1.0372049999999999</v>
      </c>
      <c r="AL66" s="57">
        <f t="shared" si="1105"/>
        <v>0</v>
      </c>
      <c r="AM66" s="57">
        <f t="shared" si="1106"/>
        <v>0</v>
      </c>
      <c r="AN66" s="57">
        <f t="shared" si="1107"/>
        <v>0.76830000000000009</v>
      </c>
      <c r="AO66" s="127">
        <f t="shared" si="1108"/>
        <v>0.76830000000000009</v>
      </c>
      <c r="AP66" s="57">
        <f t="shared" si="1172"/>
        <v>1.0372049999999999</v>
      </c>
      <c r="AQ66" s="57">
        <f t="shared" si="1172"/>
        <v>1.0372049999999999</v>
      </c>
      <c r="AR66" s="57">
        <f t="shared" si="1172"/>
        <v>0</v>
      </c>
      <c r="AS66" s="57">
        <f t="shared" si="1109"/>
        <v>0</v>
      </c>
      <c r="AT66" s="57">
        <f t="shared" si="1109"/>
        <v>0.76830000000000009</v>
      </c>
      <c r="AU66" s="87">
        <f t="shared" si="1109"/>
        <v>0.76830000000000009</v>
      </c>
      <c r="AV66" s="56">
        <f t="shared" si="1110"/>
        <v>0</v>
      </c>
      <c r="AW66" s="57">
        <f t="shared" si="1111"/>
        <v>0</v>
      </c>
      <c r="AX66" s="57">
        <f t="shared" si="1112"/>
        <v>0</v>
      </c>
      <c r="AY66" s="57">
        <f t="shared" si="1113"/>
        <v>0</v>
      </c>
      <c r="AZ66" s="57">
        <f t="shared" si="1114"/>
        <v>0</v>
      </c>
      <c r="BA66" s="57">
        <f t="shared" si="1115"/>
        <v>0</v>
      </c>
      <c r="BB66" s="126">
        <f t="shared" si="1116"/>
        <v>0</v>
      </c>
      <c r="BC66" s="57">
        <f t="shared" si="1117"/>
        <v>0</v>
      </c>
      <c r="BD66" s="57">
        <f t="shared" si="1118"/>
        <v>0.69147000000000014</v>
      </c>
      <c r="BE66" s="57">
        <f t="shared" si="1119"/>
        <v>0.69147000000000014</v>
      </c>
      <c r="BF66" s="57">
        <f t="shared" si="1120"/>
        <v>1.2805000000000002</v>
      </c>
      <c r="BG66" s="57">
        <f t="shared" si="1121"/>
        <v>1.2805000000000002</v>
      </c>
      <c r="BH66" s="57">
        <f t="shared" si="1122"/>
        <v>0</v>
      </c>
      <c r="BI66" s="57">
        <f t="shared" si="1122"/>
        <v>0</v>
      </c>
      <c r="BJ66" s="57">
        <f t="shared" si="1122"/>
        <v>0.69147000000000014</v>
      </c>
      <c r="BK66" s="57">
        <f t="shared" si="1122"/>
        <v>0.69147000000000014</v>
      </c>
      <c r="BL66" s="57">
        <f t="shared" si="1122"/>
        <v>1.2805000000000002</v>
      </c>
      <c r="BM66" s="57">
        <f t="shared" si="1122"/>
        <v>1.2805000000000002</v>
      </c>
      <c r="BN66" s="56">
        <f t="shared" si="1123"/>
        <v>0</v>
      </c>
      <c r="BO66" s="57">
        <f t="shared" si="1124"/>
        <v>0</v>
      </c>
      <c r="BP66" s="57">
        <f t="shared" si="1125"/>
        <v>0</v>
      </c>
      <c r="BQ66" s="57">
        <f t="shared" si="1126"/>
        <v>0</v>
      </c>
      <c r="BR66" s="57">
        <f t="shared" si="1127"/>
        <v>0</v>
      </c>
      <c r="BS66" s="57">
        <f t="shared" si="1128"/>
        <v>0</v>
      </c>
      <c r="BT66" s="126">
        <f t="shared" si="1129"/>
        <v>5.1220000000000007E-3</v>
      </c>
      <c r="BU66" s="57">
        <f t="shared" si="1130"/>
        <v>5.1220000000000007E-3</v>
      </c>
      <c r="BV66" s="57">
        <f t="shared" si="1131"/>
        <v>7.6829999999999996E-2</v>
      </c>
      <c r="BW66" s="57">
        <f t="shared" si="1132"/>
        <v>7.6829999999999996E-2</v>
      </c>
      <c r="BX66" s="57">
        <f t="shared" si="1133"/>
        <v>1.40855</v>
      </c>
      <c r="BY66" s="57">
        <f t="shared" si="1134"/>
        <v>1.40855</v>
      </c>
      <c r="BZ66" s="126">
        <f t="shared" si="1135"/>
        <v>5.1220000000000007E-3</v>
      </c>
      <c r="CA66" s="57">
        <f t="shared" si="1135"/>
        <v>5.1220000000000007E-3</v>
      </c>
      <c r="CB66" s="57">
        <f t="shared" si="1135"/>
        <v>7.6829999999999996E-2</v>
      </c>
      <c r="CC66" s="57">
        <f t="shared" si="1135"/>
        <v>7.6829999999999996E-2</v>
      </c>
      <c r="CD66" s="57">
        <f t="shared" si="1135"/>
        <v>1.40855</v>
      </c>
      <c r="CE66" s="518">
        <f t="shared" si="1135"/>
        <v>1.40855</v>
      </c>
      <c r="CF66" s="57">
        <f t="shared" si="173"/>
        <v>3.5965199999999999</v>
      </c>
      <c r="CG66" s="57">
        <f t="shared" si="1173"/>
        <v>3.5965199999999999</v>
      </c>
      <c r="CH66" s="57">
        <f t="shared" si="175"/>
        <v>0</v>
      </c>
      <c r="CI66" s="57">
        <f t="shared" si="1174"/>
        <v>0</v>
      </c>
      <c r="CJ66" s="57">
        <f t="shared" si="176"/>
        <v>32.368679999999998</v>
      </c>
      <c r="CK66" s="57">
        <f t="shared" si="1175"/>
        <v>32.368679999999998</v>
      </c>
      <c r="CL66" s="3"/>
      <c r="CM66" s="59">
        <f t="shared" si="1083"/>
        <v>0</v>
      </c>
      <c r="CN66" s="62">
        <f t="shared" si="1136"/>
        <v>0</v>
      </c>
      <c r="CO66" s="128">
        <f t="shared" si="1137"/>
        <v>85.298150000000021</v>
      </c>
      <c r="CP66" s="129">
        <f t="shared" si="1138"/>
        <v>85.298150000000021</v>
      </c>
      <c r="CQ66" s="62">
        <f t="shared" si="1176"/>
        <v>85.298150000000021</v>
      </c>
      <c r="CR66" s="60">
        <f t="shared" si="1176"/>
        <v>85.298150000000021</v>
      </c>
      <c r="CS66" s="33">
        <v>0</v>
      </c>
      <c r="CT66" s="34">
        <v>0</v>
      </c>
      <c r="CU66" s="34">
        <v>1</v>
      </c>
      <c r="CV66" s="35">
        <f t="shared" si="1177"/>
        <v>0</v>
      </c>
      <c r="CW66" s="36">
        <f t="shared" si="1178"/>
        <v>0</v>
      </c>
      <c r="CX66" s="37">
        <f t="shared" si="1179"/>
        <v>0</v>
      </c>
      <c r="CY66" s="57">
        <f t="shared" si="1180"/>
        <v>0</v>
      </c>
      <c r="CZ66" s="127">
        <f t="shared" si="1181"/>
        <v>0</v>
      </c>
      <c r="DA66" s="37">
        <f t="shared" si="1139"/>
        <v>59.708705000000009</v>
      </c>
      <c r="DB66" s="37">
        <f t="shared" si="1140"/>
        <v>59.708705000000009</v>
      </c>
      <c r="DC66" s="37">
        <f t="shared" si="1141"/>
        <v>0</v>
      </c>
      <c r="DD66" s="142">
        <f t="shared" si="1142"/>
        <v>0</v>
      </c>
      <c r="DE66" s="37">
        <f t="shared" si="768"/>
        <v>59.708705000000009</v>
      </c>
      <c r="DF66" s="37">
        <f t="shared" si="1182"/>
        <v>59.708705000000009</v>
      </c>
      <c r="DG66" s="37">
        <f t="shared" si="1183"/>
        <v>0</v>
      </c>
      <c r="DH66" s="39">
        <f t="shared" si="1184"/>
        <v>0</v>
      </c>
      <c r="DJ66" s="496">
        <v>1</v>
      </c>
      <c r="DK66" s="496">
        <v>0.3</v>
      </c>
      <c r="DL66" s="37">
        <f t="shared" si="1143"/>
        <v>0</v>
      </c>
      <c r="DM66" s="37">
        <f t="shared" si="1144"/>
        <v>0</v>
      </c>
      <c r="DN66" s="37">
        <f t="shared" si="1084"/>
        <v>25.589445000000005</v>
      </c>
      <c r="DO66" s="37">
        <f t="shared" si="1085"/>
        <v>25.589445000000005</v>
      </c>
      <c r="DP66" s="33">
        <v>1</v>
      </c>
      <c r="DQ66" s="34">
        <v>0.1</v>
      </c>
      <c r="DR66" s="34">
        <v>0.5</v>
      </c>
      <c r="DS66" s="681">
        <f t="shared" si="185"/>
        <v>0.1</v>
      </c>
      <c r="DT66" s="78">
        <f t="shared" si="186"/>
        <v>1</v>
      </c>
      <c r="DU66" s="34">
        <v>0</v>
      </c>
      <c r="DV66" s="34">
        <v>1</v>
      </c>
      <c r="DW66" s="34">
        <v>0</v>
      </c>
      <c r="DX66" s="34">
        <v>0</v>
      </c>
      <c r="DY66" s="34">
        <v>1</v>
      </c>
      <c r="DZ66" s="34">
        <v>0</v>
      </c>
      <c r="EA66" s="85">
        <f t="shared" si="888"/>
        <v>0</v>
      </c>
      <c r="EB66" s="57">
        <f t="shared" si="1185"/>
        <v>0</v>
      </c>
      <c r="EC66" s="57">
        <f t="shared" si="889"/>
        <v>0</v>
      </c>
      <c r="ED66" s="57">
        <f t="shared" si="1186"/>
        <v>0</v>
      </c>
      <c r="EE66" s="57">
        <f t="shared" si="890"/>
        <v>0</v>
      </c>
      <c r="EF66" s="57">
        <f t="shared" si="1187"/>
        <v>0</v>
      </c>
      <c r="EG66" s="126">
        <f t="shared" si="1145"/>
        <v>0</v>
      </c>
      <c r="EH66" s="57">
        <f t="shared" si="1146"/>
        <v>0</v>
      </c>
      <c r="EI66" s="57">
        <f t="shared" si="1147"/>
        <v>2.2146757500000005</v>
      </c>
      <c r="EJ66" s="57">
        <f t="shared" si="1148"/>
        <v>22.1467575</v>
      </c>
      <c r="EK66" s="57">
        <f t="shared" si="1149"/>
        <v>0</v>
      </c>
      <c r="EL66" s="127">
        <f t="shared" si="1150"/>
        <v>0</v>
      </c>
      <c r="EM66" s="57">
        <f t="shared" si="193"/>
        <v>2.2146757500000005</v>
      </c>
      <c r="EN66" s="81">
        <f t="shared" si="194"/>
        <v>22.1467575</v>
      </c>
      <c r="EP66" s="85">
        <f t="shared" si="769"/>
        <v>0</v>
      </c>
      <c r="EQ66" s="57">
        <f t="shared" si="1151"/>
        <v>0</v>
      </c>
      <c r="ER66" s="57">
        <f t="shared" si="770"/>
        <v>0</v>
      </c>
      <c r="ES66" s="57">
        <f t="shared" si="1152"/>
        <v>0</v>
      </c>
      <c r="ET66" s="57">
        <f t="shared" si="771"/>
        <v>0</v>
      </c>
      <c r="EU66" s="127">
        <f t="shared" si="1153"/>
        <v>0</v>
      </c>
      <c r="EV66" s="126">
        <f t="shared" si="1086"/>
        <v>5.1220000000000007E-3</v>
      </c>
      <c r="EW66" s="57">
        <f t="shared" si="1087"/>
        <v>5.1220000000000007E-3</v>
      </c>
      <c r="EX66" s="57">
        <f t="shared" si="1088"/>
        <v>7.6829999999999996E-2</v>
      </c>
      <c r="EY66" s="57">
        <f t="shared" si="1089"/>
        <v>7.6829999999999996E-2</v>
      </c>
      <c r="EZ66" s="57">
        <f t="shared" si="1090"/>
        <v>1.40855</v>
      </c>
      <c r="FA66" s="87">
        <f t="shared" si="1091"/>
        <v>1.40855</v>
      </c>
      <c r="FB66" s="36">
        <f t="shared" si="1188"/>
        <v>0</v>
      </c>
      <c r="FC66" s="37">
        <f t="shared" si="1189"/>
        <v>0</v>
      </c>
      <c r="FD66" s="57">
        <f t="shared" si="1154"/>
        <v>59.708705000000009</v>
      </c>
      <c r="FE66" s="37">
        <f t="shared" si="1155"/>
        <v>59.708705000000009</v>
      </c>
      <c r="FF66" s="36">
        <f t="shared" si="772"/>
        <v>0</v>
      </c>
      <c r="FG66" s="37">
        <f t="shared" si="1156"/>
        <v>0</v>
      </c>
      <c r="FH66" s="37">
        <f t="shared" si="1157"/>
        <v>0</v>
      </c>
      <c r="FI66" s="37">
        <f t="shared" si="1158"/>
        <v>0</v>
      </c>
      <c r="FJ66" s="33">
        <v>1</v>
      </c>
      <c r="FK66" s="34">
        <v>0.2</v>
      </c>
      <c r="FL66" s="502">
        <v>0.8</v>
      </c>
      <c r="FM66" s="34">
        <v>0.1</v>
      </c>
      <c r="FN66" s="502">
        <v>0.5</v>
      </c>
      <c r="FO66" s="34">
        <f t="shared" si="200"/>
        <v>0.1</v>
      </c>
      <c r="FP66" s="34">
        <f t="shared" si="201"/>
        <v>1</v>
      </c>
      <c r="FQ66" s="34">
        <v>1</v>
      </c>
      <c r="FR66" s="34">
        <v>0</v>
      </c>
      <c r="FS66" s="90">
        <f t="shared" si="202"/>
        <v>1E-3</v>
      </c>
      <c r="FT66" s="34">
        <f t="shared" si="203"/>
        <v>0.05</v>
      </c>
      <c r="FU66" s="33">
        <v>0.05</v>
      </c>
      <c r="FV66" s="35">
        <f t="shared" si="25"/>
        <v>2.4224999999999997E-2</v>
      </c>
      <c r="FW66" s="34">
        <v>0.1</v>
      </c>
      <c r="FX66" s="78">
        <f t="shared" si="26"/>
        <v>9.0000000000000011E-2</v>
      </c>
      <c r="FY66" s="33">
        <v>0.45</v>
      </c>
      <c r="FZ66" s="35">
        <f t="shared" si="1092"/>
        <v>1.4025000000000001E-2</v>
      </c>
      <c r="GA66" s="34">
        <v>0.45</v>
      </c>
      <c r="GB66" s="78">
        <f t="shared" si="1093"/>
        <v>5.5000000000000007E-2</v>
      </c>
      <c r="GC66" s="85">
        <f t="shared" si="773"/>
        <v>0</v>
      </c>
      <c r="GD66" s="57">
        <f t="shared" si="1159"/>
        <v>0</v>
      </c>
      <c r="GE66" s="57">
        <f t="shared" si="774"/>
        <v>0</v>
      </c>
      <c r="GF66" s="57">
        <f t="shared" si="1160"/>
        <v>0</v>
      </c>
      <c r="GG66" s="57">
        <f t="shared" si="1190"/>
        <v>0</v>
      </c>
      <c r="GH66" s="127">
        <f t="shared" si="1191"/>
        <v>0</v>
      </c>
      <c r="GI66" s="57">
        <f t="shared" si="1094"/>
        <v>5.1220000000000007E-3</v>
      </c>
      <c r="GJ66" s="57">
        <f t="shared" si="1095"/>
        <v>5.1220000000000007E-3</v>
      </c>
      <c r="GK66" s="57">
        <f t="shared" si="1096"/>
        <v>7.6829999999999996E-2</v>
      </c>
      <c r="GL66" s="57">
        <f t="shared" si="1097"/>
        <v>7.6829999999999996E-2</v>
      </c>
      <c r="GM66" s="57">
        <f t="shared" si="1098"/>
        <v>0.28171000000000002</v>
      </c>
      <c r="GN66" s="127">
        <f t="shared" si="1099"/>
        <v>1.1268400000000001</v>
      </c>
      <c r="GO66" s="57">
        <f t="shared" si="208"/>
        <v>0.36366200000000004</v>
      </c>
      <c r="GP66" s="87">
        <f t="shared" si="209"/>
        <v>1.2087920000000001</v>
      </c>
      <c r="GQ66" s="37">
        <f t="shared" si="891"/>
        <v>0</v>
      </c>
      <c r="GR66" s="37">
        <f t="shared" si="892"/>
        <v>0</v>
      </c>
      <c r="GS66" s="57">
        <f t="shared" si="1031"/>
        <v>2.6761888549999994E-4</v>
      </c>
      <c r="GT66" s="57">
        <f t="shared" si="1032"/>
        <v>0.13380944274999995</v>
      </c>
      <c r="GU66" s="57">
        <f t="shared" si="1033"/>
        <v>0</v>
      </c>
      <c r="GV66" s="127">
        <f t="shared" si="1034"/>
        <v>0</v>
      </c>
      <c r="GW66" s="37">
        <f t="shared" si="1162"/>
        <v>1.3853165918812502</v>
      </c>
      <c r="GX66" s="37">
        <f t="shared" si="1163"/>
        <v>15.076448012500002</v>
      </c>
      <c r="GY66" s="37">
        <f t="shared" ref="GY66:GY85" si="1192">1/10*($FH66*$FQ66*$FO66*$FS66+$FH65*$FQ65*$FO65*$FS65+$FH64*$FQ64*$FO64*$FS64+$FH63*$FQ63*$FO63*$FS63+$FH62*$FQ62*$FO62*$FS62+$FH61*$FQ61*$FO61*$FS61+$FH60*$FQ60*$FO60*$FS60+$FH59*$FQ59*$FO59*$FS59+$FH58*$FQ58*$FO58*$FS58+$FH57*$FQ57*$FO57*$FS57)</f>
        <v>3.5945021874999998E-3</v>
      </c>
      <c r="GZ66" s="37">
        <f t="shared" ref="GZ66:GZ85" si="1193">1/10*($FI66*$FQ66*$FP66*$FT66+$FI65*$FQ65*$FP65*$FT65+$FI64*$FQ64*$FP64*$FT64+$FI63*$FQ63*$FP63*$FT63+$FI62*$FQ62*$FP62*$FT62+$FI61*$FQ61*$FP61*$FT61+$FI60*$FQ60*$FP60*$FT60+$FI59*$FQ59*$FP59*$FT59+$FI58*$FQ58*$FP58*$FT58+$FI57*$FQ57*$FP57*$FT57)</f>
        <v>1.7972510937500001</v>
      </c>
      <c r="HA66" s="37">
        <f t="shared" ref="HA66:HA85" si="1194">1/10*($FH66*$FR66*$FO66*$FS66+$FH65*$FR65*$FO65*$FS65+$FH64*$FR64*$FO64*$FS64+$FH63*$FR63*$FO63*$FS63+$FH62*$FR62*$FO62*$FS62+$FH61*$FR61*$FO61*$FS61+$FH60*$FR60*$FO60*$FS60+$FH59*$FR59*$FO59*$FS59+$FH58*$FR58*$FO58*$FS58+$FH57*$FR57*$FO57*$FS57)</f>
        <v>0</v>
      </c>
      <c r="HB66" s="142">
        <f t="shared" ref="HB66:HB85" si="1195">1/10*($FI66*$FR66*$FP66*$FT66+$FI65*$FR65*$FP65*$FT65+$FI64*$FR64*$FP64*$FT64+$FI63*$FR63*$FP63*$FT63+$FI62*$FR62*$FP62*$FT62+$FI61*$FR61*$FP61*$FT61+$FI60*$FR60*$FP60*$FT60+$FI59*$FR59*$FP59*$FT59+$FI58*$FR58*$FP58*$FT58+$FI57*$FR57*$FP57*$FT57)</f>
        <v>0</v>
      </c>
      <c r="HC66" s="57">
        <f t="shared" si="212"/>
        <v>1.3891787129542501</v>
      </c>
      <c r="HD66" s="39">
        <f t="shared" si="213"/>
        <v>17.007508549000001</v>
      </c>
      <c r="HE66" s="527"/>
      <c r="HF66" s="530">
        <f t="shared" si="775"/>
        <v>1.0372049999999999</v>
      </c>
      <c r="HG66" s="530">
        <f t="shared" si="776"/>
        <v>1.0372049999999999</v>
      </c>
      <c r="HH66" s="530">
        <f t="shared" si="777"/>
        <v>0</v>
      </c>
      <c r="HI66" s="530">
        <f t="shared" si="778"/>
        <v>0</v>
      </c>
      <c r="HJ66" s="530">
        <f t="shared" si="779"/>
        <v>0.76830000000000009</v>
      </c>
      <c r="HK66" s="531">
        <f t="shared" si="780"/>
        <v>0.76830000000000009</v>
      </c>
      <c r="HL66" s="530">
        <f t="shared" si="781"/>
        <v>0</v>
      </c>
      <c r="HM66" s="530">
        <f t="shared" si="782"/>
        <v>0</v>
      </c>
      <c r="HN66" s="530">
        <f t="shared" si="783"/>
        <v>2.9061457500000007</v>
      </c>
      <c r="HO66" s="530">
        <f t="shared" si="784"/>
        <v>22.838227499999999</v>
      </c>
      <c r="HP66" s="530">
        <f t="shared" si="785"/>
        <v>1.2805000000000002</v>
      </c>
      <c r="HQ66" s="531">
        <f t="shared" si="786"/>
        <v>1.2805000000000002</v>
      </c>
      <c r="HR66" s="530">
        <f t="shared" si="214"/>
        <v>4.9872262107667504</v>
      </c>
      <c r="HS66" s="530">
        <f t="shared" si="787"/>
        <v>20.609150548999999</v>
      </c>
      <c r="HT66" s="530">
        <f t="shared" si="788"/>
        <v>7.6829999999999996E-2</v>
      </c>
      <c r="HU66" s="530">
        <f t="shared" si="789"/>
        <v>7.6829999999999996E-2</v>
      </c>
      <c r="HV66" s="530">
        <f t="shared" si="790"/>
        <v>32.650389999999994</v>
      </c>
      <c r="HW66" s="531">
        <f t="shared" si="791"/>
        <v>33.495519999999999</v>
      </c>
      <c r="IG66" s="560"/>
      <c r="IH66" s="530">
        <f t="shared" si="215"/>
        <v>1.1409255E-2</v>
      </c>
      <c r="II66" s="530">
        <f t="shared" si="216"/>
        <v>9.3348450000000013E-3</v>
      </c>
      <c r="IJ66" s="530">
        <f t="shared" si="217"/>
        <v>1.8669690000000003E-2</v>
      </c>
      <c r="IK66" s="530">
        <f t="shared" si="893"/>
        <v>9.3348450000000013E-3</v>
      </c>
      <c r="IL66" s="530">
        <f t="shared" si="894"/>
        <v>0.8764382249999999</v>
      </c>
      <c r="IM66" s="530">
        <f t="shared" si="895"/>
        <v>1.037205E-3</v>
      </c>
      <c r="IN66" s="530">
        <f t="shared" si="896"/>
        <v>1.037205E-3</v>
      </c>
      <c r="IO66" s="530">
        <f t="shared" si="222"/>
        <v>3.4227765E-2</v>
      </c>
      <c r="IP66" s="530">
        <f t="shared" si="223"/>
        <v>4.2525404999999995E-2</v>
      </c>
      <c r="IQ66" s="530">
        <f t="shared" si="897"/>
        <v>5.3934660000000002E-2</v>
      </c>
      <c r="IR66" s="530">
        <f t="shared" si="898"/>
        <v>4.2525404999999995E-2</v>
      </c>
      <c r="IS66" s="530">
        <f t="shared" si="899"/>
        <v>0.87851263499999988</v>
      </c>
      <c r="IT66" s="530">
        <f t="shared" si="900"/>
        <v>1.0372049999999999E-2</v>
      </c>
      <c r="IU66" s="518">
        <f t="shared" si="901"/>
        <v>1.0372049999999999E-2</v>
      </c>
      <c r="IV66" s="57">
        <f t="shared" si="229"/>
        <v>0</v>
      </c>
      <c r="IW66" s="57">
        <f t="shared" si="230"/>
        <v>0</v>
      </c>
      <c r="IX66" s="530">
        <f t="shared" si="792"/>
        <v>0</v>
      </c>
      <c r="IY66" s="530">
        <f t="shared" si="793"/>
        <v>0</v>
      </c>
      <c r="IZ66" s="530">
        <f t="shared" si="794"/>
        <v>0</v>
      </c>
      <c r="JA66" s="530">
        <f t="shared" si="795"/>
        <v>0</v>
      </c>
      <c r="JB66" s="530">
        <f t="shared" si="796"/>
        <v>0</v>
      </c>
      <c r="JC66" s="530">
        <f t="shared" si="231"/>
        <v>0</v>
      </c>
      <c r="JD66" s="530">
        <f t="shared" si="232"/>
        <v>0</v>
      </c>
      <c r="JE66" s="530">
        <f t="shared" si="797"/>
        <v>0</v>
      </c>
      <c r="JF66" s="530">
        <f t="shared" si="798"/>
        <v>0</v>
      </c>
      <c r="JG66" s="530">
        <f t="shared" si="799"/>
        <v>0</v>
      </c>
      <c r="JH66" s="530">
        <f t="shared" si="800"/>
        <v>0</v>
      </c>
      <c r="JI66" s="87">
        <f t="shared" si="801"/>
        <v>0</v>
      </c>
      <c r="JJ66" s="57">
        <f t="shared" si="233"/>
        <v>8.4513000000000019E-3</v>
      </c>
      <c r="JK66" s="57">
        <f t="shared" si="234"/>
        <v>6.9147000000000019E-3</v>
      </c>
      <c r="JL66" s="530">
        <f t="shared" si="802"/>
        <v>1.3829400000000004E-2</v>
      </c>
      <c r="JM66" s="530">
        <f t="shared" si="803"/>
        <v>6.9147000000000019E-3</v>
      </c>
      <c r="JN66" s="530">
        <f t="shared" si="804"/>
        <v>0.64921350000000011</v>
      </c>
      <c r="JO66" s="530">
        <f t="shared" si="805"/>
        <v>7.6830000000000008E-4</v>
      </c>
      <c r="JP66" s="530">
        <f t="shared" si="806"/>
        <v>7.6830000000000008E-4</v>
      </c>
      <c r="JQ66" s="530">
        <f t="shared" si="235"/>
        <v>2.5353900000000006E-2</v>
      </c>
      <c r="JR66" s="530">
        <f t="shared" si="236"/>
        <v>3.1500300000000002E-2</v>
      </c>
      <c r="JS66" s="57">
        <f t="shared" si="807"/>
        <v>3.9951600000000011E-2</v>
      </c>
      <c r="JT66" s="57">
        <f t="shared" si="808"/>
        <v>3.1500300000000002E-2</v>
      </c>
      <c r="JU66" s="57">
        <f t="shared" si="809"/>
        <v>0.65075010000000011</v>
      </c>
      <c r="JV66" s="57">
        <f t="shared" si="810"/>
        <v>7.6830000000000015E-3</v>
      </c>
      <c r="JW66" s="81">
        <f t="shared" si="811"/>
        <v>7.6830000000000015E-3</v>
      </c>
      <c r="JX66" s="57">
        <f t="shared" si="237"/>
        <v>0</v>
      </c>
      <c r="JY66" s="57">
        <f t="shared" si="238"/>
        <v>0</v>
      </c>
      <c r="JZ66" s="530">
        <f t="shared" si="812"/>
        <v>0</v>
      </c>
      <c r="KA66" s="530">
        <f t="shared" si="813"/>
        <v>0</v>
      </c>
      <c r="KB66" s="530">
        <f t="shared" si="814"/>
        <v>0</v>
      </c>
      <c r="KC66" s="530">
        <f t="shared" si="815"/>
        <v>0</v>
      </c>
      <c r="KD66" s="530">
        <f t="shared" si="816"/>
        <v>0</v>
      </c>
      <c r="KE66" s="530">
        <f t="shared" si="239"/>
        <v>0</v>
      </c>
      <c r="KF66" s="530">
        <f t="shared" si="240"/>
        <v>0</v>
      </c>
      <c r="KG66" s="530">
        <f t="shared" si="817"/>
        <v>0</v>
      </c>
      <c r="KH66" s="530">
        <f t="shared" si="818"/>
        <v>0</v>
      </c>
      <c r="KI66" s="530">
        <f t="shared" si="819"/>
        <v>0</v>
      </c>
      <c r="KJ66" s="530">
        <f t="shared" si="820"/>
        <v>0</v>
      </c>
      <c r="KK66" s="518">
        <f t="shared" si="821"/>
        <v>0</v>
      </c>
      <c r="KL66" s="57">
        <f t="shared" si="241"/>
        <v>3.1967603250000011E-2</v>
      </c>
      <c r="KM66" s="57">
        <f t="shared" si="242"/>
        <v>2.6155311750000011E-2</v>
      </c>
      <c r="KN66" s="530">
        <f t="shared" si="822"/>
        <v>5.2310623500000021E-2</v>
      </c>
      <c r="KO66" s="530">
        <f t="shared" si="823"/>
        <v>2.6155311750000011E-2</v>
      </c>
      <c r="KP66" s="530">
        <f t="shared" si="824"/>
        <v>2.4556931587500004</v>
      </c>
      <c r="KQ66" s="530">
        <f t="shared" si="825"/>
        <v>2.9061457500000006E-3</v>
      </c>
      <c r="KR66" s="530">
        <f t="shared" si="826"/>
        <v>2.9061457500000006E-3</v>
      </c>
      <c r="KS66" s="530">
        <f t="shared" si="243"/>
        <v>0.75366150749999994</v>
      </c>
      <c r="KT66" s="530">
        <f t="shared" si="244"/>
        <v>0.93636732749999985</v>
      </c>
      <c r="KU66" s="530">
        <f t="shared" si="827"/>
        <v>1.18758783</v>
      </c>
      <c r="KV66" s="530">
        <f t="shared" si="828"/>
        <v>0.93636732749999985</v>
      </c>
      <c r="KW66" s="530">
        <f t="shared" si="829"/>
        <v>19.343978692499999</v>
      </c>
      <c r="KX66" s="530">
        <f t="shared" si="830"/>
        <v>0.228382275</v>
      </c>
      <c r="KY66" s="87">
        <f t="shared" si="831"/>
        <v>0.228382275</v>
      </c>
      <c r="KZ66" s="57">
        <f t="shared" si="245"/>
        <v>1.4085500000000004E-2</v>
      </c>
      <c r="LA66" s="57">
        <f t="shared" si="246"/>
        <v>1.1524500000000003E-2</v>
      </c>
      <c r="LB66" s="530">
        <f t="shared" si="832"/>
        <v>2.3049000000000007E-2</v>
      </c>
      <c r="LC66" s="530">
        <f t="shared" si="833"/>
        <v>1.1524500000000003E-2</v>
      </c>
      <c r="LD66" s="530">
        <f t="shared" si="834"/>
        <v>1.0820225000000001</v>
      </c>
      <c r="LE66" s="530">
        <f t="shared" si="835"/>
        <v>1.2805000000000002E-3</v>
      </c>
      <c r="LF66" s="530">
        <f t="shared" si="836"/>
        <v>1.2805000000000002E-3</v>
      </c>
      <c r="LG66" s="530">
        <f t="shared" si="247"/>
        <v>4.2256500000000009E-2</v>
      </c>
      <c r="LH66" s="530">
        <f t="shared" si="248"/>
        <v>5.2500499999999999E-2</v>
      </c>
      <c r="LI66" s="57">
        <f t="shared" si="837"/>
        <v>6.658600000000002E-2</v>
      </c>
      <c r="LJ66" s="57">
        <f t="shared" si="838"/>
        <v>5.2500499999999999E-2</v>
      </c>
      <c r="LK66" s="57">
        <f t="shared" si="839"/>
        <v>1.0845835000000001</v>
      </c>
      <c r="LL66" s="57">
        <f t="shared" si="840"/>
        <v>1.2805000000000002E-2</v>
      </c>
      <c r="LM66" s="81">
        <f t="shared" si="841"/>
        <v>1.2805000000000002E-2</v>
      </c>
      <c r="LN66" s="57">
        <f t="shared" si="249"/>
        <v>5.4859488318434258E-3</v>
      </c>
      <c r="LO66" s="57">
        <f t="shared" si="250"/>
        <v>1.4961678632300251E-3</v>
      </c>
      <c r="LP66" s="530">
        <f t="shared" si="842"/>
        <v>2.543485367491043E-2</v>
      </c>
      <c r="LQ66" s="530">
        <f t="shared" si="843"/>
        <v>4.0895254928287349E-2</v>
      </c>
      <c r="LR66" s="530">
        <f t="shared" si="844"/>
        <v>3.9897809686134007</v>
      </c>
      <c r="LS66" s="530">
        <f t="shared" si="845"/>
        <v>4.3388868033670723E-2</v>
      </c>
      <c r="LT66" s="530">
        <f t="shared" si="846"/>
        <v>4.9872262107667504E-3</v>
      </c>
      <c r="LU66" s="530">
        <f t="shared" si="251"/>
        <v>1.23654903294</v>
      </c>
      <c r="LV66" s="530">
        <f t="shared" si="252"/>
        <v>0.61827451646999998</v>
      </c>
      <c r="LW66" s="530">
        <f t="shared" si="847"/>
        <v>1.4426405384300001</v>
      </c>
      <c r="LX66" s="530">
        <f t="shared" si="848"/>
        <v>1.23654903294</v>
      </c>
      <c r="LY66" s="530">
        <f t="shared" si="849"/>
        <v>20.382449892961002</v>
      </c>
      <c r="LZ66" s="530">
        <f t="shared" si="850"/>
        <v>0.20609150548999999</v>
      </c>
      <c r="MA66" s="127">
        <f t="shared" si="851"/>
        <v>0.20609150548999999</v>
      </c>
      <c r="MB66" s="57">
        <f t="shared" si="253"/>
        <v>8.4512999999999995E-5</v>
      </c>
      <c r="MC66" s="57">
        <f t="shared" si="254"/>
        <v>2.3048999999999996E-5</v>
      </c>
      <c r="MD66" s="530">
        <f t="shared" si="852"/>
        <v>3.9183300000000001E-4</v>
      </c>
      <c r="ME66" s="530">
        <f t="shared" si="853"/>
        <v>6.300059999999999E-4</v>
      </c>
      <c r="MF66" s="530">
        <f t="shared" si="854"/>
        <v>6.1463999999999998E-2</v>
      </c>
      <c r="MG66" s="530">
        <f t="shared" si="855"/>
        <v>6.6842099999999988E-4</v>
      </c>
      <c r="MH66" s="530">
        <f t="shared" si="856"/>
        <v>7.6829999999999995E-5</v>
      </c>
      <c r="MI66" s="530">
        <f t="shared" si="255"/>
        <v>4.6097999999999998E-3</v>
      </c>
      <c r="MJ66" s="530">
        <f t="shared" si="256"/>
        <v>2.3048999999999999E-3</v>
      </c>
      <c r="MK66" s="530">
        <f t="shared" si="857"/>
        <v>5.3781000000000002E-3</v>
      </c>
      <c r="ML66" s="530">
        <f t="shared" si="858"/>
        <v>4.6097999999999998E-3</v>
      </c>
      <c r="MM66" s="530">
        <f t="shared" si="859"/>
        <v>7.598487000000001E-2</v>
      </c>
      <c r="MN66" s="530">
        <f t="shared" si="860"/>
        <v>7.6829999999999997E-4</v>
      </c>
      <c r="MO66" s="127">
        <f t="shared" si="861"/>
        <v>7.6829999999999997E-4</v>
      </c>
      <c r="MP66" s="57">
        <f t="shared" si="257"/>
        <v>3.5915428999999999E-2</v>
      </c>
      <c r="MQ66" s="57">
        <f t="shared" si="258"/>
        <v>9.7951169999999973E-3</v>
      </c>
      <c r="MR66" s="530">
        <f t="shared" si="862"/>
        <v>0.16651698899999998</v>
      </c>
      <c r="MS66" s="530">
        <f t="shared" si="863"/>
        <v>0.26773319799999989</v>
      </c>
      <c r="MT66" s="530">
        <f t="shared" si="864"/>
        <v>26.120311999999998</v>
      </c>
      <c r="MU66" s="530">
        <f t="shared" si="865"/>
        <v>0.28405839299999991</v>
      </c>
      <c r="MV66" s="530">
        <f t="shared" si="866"/>
        <v>3.2650389999999994E-2</v>
      </c>
      <c r="MW66" s="530">
        <f t="shared" si="259"/>
        <v>2.0097312000000001</v>
      </c>
      <c r="MX66" s="530">
        <f t="shared" si="260"/>
        <v>1.0048656</v>
      </c>
      <c r="MY66" s="57">
        <f t="shared" si="867"/>
        <v>2.3446864000000001</v>
      </c>
      <c r="MZ66" s="57">
        <f t="shared" si="868"/>
        <v>2.0097312000000001</v>
      </c>
      <c r="NA66" s="57">
        <f t="shared" si="869"/>
        <v>33.127069280000001</v>
      </c>
      <c r="NB66" s="57">
        <f t="shared" si="870"/>
        <v>0.33495520000000001</v>
      </c>
      <c r="NC66" s="81">
        <f t="shared" si="871"/>
        <v>0.33495520000000001</v>
      </c>
    </row>
    <row r="67" spans="1:376" x14ac:dyDescent="0.25">
      <c r="A67" s="9">
        <v>2012</v>
      </c>
      <c r="B67" s="10">
        <v>0</v>
      </c>
      <c r="C67" s="645">
        <v>0</v>
      </c>
      <c r="D67" s="906">
        <v>130</v>
      </c>
      <c r="E67" s="657">
        <v>130</v>
      </c>
      <c r="F67" s="645">
        <f t="shared" si="1164"/>
        <v>0</v>
      </c>
      <c r="G67" s="467">
        <f t="shared" si="1165"/>
        <v>0</v>
      </c>
      <c r="H67" s="467">
        <f t="shared" si="1100"/>
        <v>128.05000000000001</v>
      </c>
      <c r="I67" s="467">
        <f t="shared" si="1101"/>
        <v>128.05000000000001</v>
      </c>
      <c r="J67" s="1085">
        <f>'POSF Zone Def'!BQ137</f>
        <v>31.768799999999999</v>
      </c>
      <c r="K67" s="1085">
        <f t="shared" si="734"/>
        <v>31.768799999999999</v>
      </c>
      <c r="L67" s="666">
        <f t="shared" si="751"/>
        <v>128.05000000000001</v>
      </c>
      <c r="M67" s="667">
        <f t="shared" si="1102"/>
        <v>128.05000000000001</v>
      </c>
      <c r="N67" s="195">
        <v>2E-3</v>
      </c>
      <c r="O67" s="196">
        <v>0</v>
      </c>
      <c r="P67" s="196">
        <v>0</v>
      </c>
      <c r="Q67" s="197">
        <v>6.0000000000000001E-3</v>
      </c>
      <c r="R67" s="48">
        <v>0</v>
      </c>
      <c r="S67" s="48">
        <v>2.7000000000000001E-3</v>
      </c>
      <c r="T67" s="48">
        <v>0</v>
      </c>
      <c r="U67" s="48">
        <v>1.18E-2</v>
      </c>
      <c r="V67" s="118">
        <v>1.0000000000000001E-5</v>
      </c>
      <c r="W67" s="48">
        <v>2.9999999999999997E-4</v>
      </c>
      <c r="X67" s="53">
        <v>0</v>
      </c>
      <c r="Y67" s="53">
        <v>3.1E-2</v>
      </c>
      <c r="Z67" s="487">
        <v>5.2999999999999999E-2</v>
      </c>
      <c r="AA67" s="53">
        <f t="shared" si="147"/>
        <v>0.1</v>
      </c>
      <c r="AB67" s="53">
        <f t="shared" si="148"/>
        <v>0</v>
      </c>
      <c r="AC67" s="53">
        <f t="shared" si="149"/>
        <v>0.9</v>
      </c>
      <c r="AD67" s="56">
        <f t="shared" si="1166"/>
        <v>0</v>
      </c>
      <c r="AE67" s="57">
        <f t="shared" si="1167"/>
        <v>0</v>
      </c>
      <c r="AF67" s="57">
        <f t="shared" si="1168"/>
        <v>0</v>
      </c>
      <c r="AG67" s="57">
        <f t="shared" si="1169"/>
        <v>0</v>
      </c>
      <c r="AH67" s="57">
        <f t="shared" si="1170"/>
        <v>0</v>
      </c>
      <c r="AI67" s="57">
        <f t="shared" si="1171"/>
        <v>0</v>
      </c>
      <c r="AJ67" s="126">
        <f t="shared" si="1103"/>
        <v>1.0372049999999999</v>
      </c>
      <c r="AK67" s="57">
        <f t="shared" si="1104"/>
        <v>1.0372049999999999</v>
      </c>
      <c r="AL67" s="57">
        <f t="shared" si="1105"/>
        <v>0</v>
      </c>
      <c r="AM67" s="57">
        <f t="shared" si="1106"/>
        <v>0</v>
      </c>
      <c r="AN67" s="57">
        <f t="shared" si="1107"/>
        <v>0.76830000000000009</v>
      </c>
      <c r="AO67" s="127">
        <f t="shared" si="1108"/>
        <v>0.76830000000000009</v>
      </c>
      <c r="AP67" s="57">
        <f t="shared" si="1172"/>
        <v>1.0372049999999999</v>
      </c>
      <c r="AQ67" s="57">
        <f t="shared" si="1172"/>
        <v>1.0372049999999999</v>
      </c>
      <c r="AR67" s="57">
        <f t="shared" si="1172"/>
        <v>0</v>
      </c>
      <c r="AS67" s="57">
        <f t="shared" si="1109"/>
        <v>0</v>
      </c>
      <c r="AT67" s="57">
        <f t="shared" si="1109"/>
        <v>0.76830000000000009</v>
      </c>
      <c r="AU67" s="87">
        <f t="shared" si="1109"/>
        <v>0.76830000000000009</v>
      </c>
      <c r="AV67" s="56">
        <f t="shared" si="1110"/>
        <v>0</v>
      </c>
      <c r="AW67" s="57">
        <f t="shared" si="1111"/>
        <v>0</v>
      </c>
      <c r="AX67" s="57">
        <f t="shared" si="1112"/>
        <v>0</v>
      </c>
      <c r="AY67" s="57">
        <f t="shared" si="1113"/>
        <v>0</v>
      </c>
      <c r="AZ67" s="57">
        <f t="shared" si="1114"/>
        <v>0</v>
      </c>
      <c r="BA67" s="57">
        <f t="shared" si="1115"/>
        <v>0</v>
      </c>
      <c r="BB67" s="126">
        <f t="shared" si="1116"/>
        <v>0</v>
      </c>
      <c r="BC67" s="57">
        <f t="shared" si="1117"/>
        <v>0</v>
      </c>
      <c r="BD67" s="57">
        <f t="shared" si="1118"/>
        <v>0.69147000000000014</v>
      </c>
      <c r="BE67" s="57">
        <f t="shared" si="1119"/>
        <v>0.69147000000000014</v>
      </c>
      <c r="BF67" s="57">
        <f t="shared" si="1120"/>
        <v>1.2805000000000002</v>
      </c>
      <c r="BG67" s="57">
        <f t="shared" si="1121"/>
        <v>1.2805000000000002</v>
      </c>
      <c r="BH67" s="57">
        <f t="shared" si="1122"/>
        <v>0</v>
      </c>
      <c r="BI67" s="57">
        <f t="shared" si="1122"/>
        <v>0</v>
      </c>
      <c r="BJ67" s="57">
        <f t="shared" si="1122"/>
        <v>0.69147000000000014</v>
      </c>
      <c r="BK67" s="57">
        <f t="shared" si="1122"/>
        <v>0.69147000000000014</v>
      </c>
      <c r="BL67" s="57">
        <f t="shared" si="1122"/>
        <v>1.2805000000000002</v>
      </c>
      <c r="BM67" s="57">
        <f t="shared" si="1122"/>
        <v>1.2805000000000002</v>
      </c>
      <c r="BN67" s="56">
        <f t="shared" si="1123"/>
        <v>0</v>
      </c>
      <c r="BO67" s="57">
        <f t="shared" si="1124"/>
        <v>0</v>
      </c>
      <c r="BP67" s="57">
        <f t="shared" si="1125"/>
        <v>0</v>
      </c>
      <c r="BQ67" s="57">
        <f t="shared" si="1126"/>
        <v>0</v>
      </c>
      <c r="BR67" s="57">
        <f t="shared" si="1127"/>
        <v>0</v>
      </c>
      <c r="BS67" s="57">
        <f t="shared" si="1128"/>
        <v>0</v>
      </c>
      <c r="BT67" s="126">
        <f t="shared" si="1129"/>
        <v>5.1220000000000007E-3</v>
      </c>
      <c r="BU67" s="57">
        <f t="shared" si="1130"/>
        <v>5.1220000000000007E-3</v>
      </c>
      <c r="BV67" s="57">
        <f t="shared" si="1131"/>
        <v>7.6829999999999996E-2</v>
      </c>
      <c r="BW67" s="57">
        <f t="shared" si="1132"/>
        <v>7.6829999999999996E-2</v>
      </c>
      <c r="BX67" s="57">
        <f t="shared" si="1133"/>
        <v>1.40855</v>
      </c>
      <c r="BY67" s="57">
        <f t="shared" si="1134"/>
        <v>1.40855</v>
      </c>
      <c r="BZ67" s="126">
        <f t="shared" si="1135"/>
        <v>5.1220000000000007E-3</v>
      </c>
      <c r="CA67" s="57">
        <f t="shared" si="1135"/>
        <v>5.1220000000000007E-3</v>
      </c>
      <c r="CB67" s="57">
        <f t="shared" si="1135"/>
        <v>7.6829999999999996E-2</v>
      </c>
      <c r="CC67" s="57">
        <f t="shared" si="1135"/>
        <v>7.6829999999999996E-2</v>
      </c>
      <c r="CD67" s="57">
        <f t="shared" si="1135"/>
        <v>1.40855</v>
      </c>
      <c r="CE67" s="518">
        <f t="shared" si="1135"/>
        <v>1.40855</v>
      </c>
      <c r="CF67" s="57">
        <f t="shared" si="173"/>
        <v>3.1768800000000001</v>
      </c>
      <c r="CG67" s="57">
        <f t="shared" si="1173"/>
        <v>3.1768800000000001</v>
      </c>
      <c r="CH67" s="57">
        <f t="shared" si="175"/>
        <v>0</v>
      </c>
      <c r="CI67" s="57">
        <f t="shared" si="1174"/>
        <v>0</v>
      </c>
      <c r="CJ67" s="57">
        <f t="shared" si="176"/>
        <v>28.591919999999998</v>
      </c>
      <c r="CK67" s="57">
        <f t="shared" si="1175"/>
        <v>28.591919999999998</v>
      </c>
      <c r="CL67" s="3"/>
      <c r="CM67" s="59">
        <f t="shared" si="1083"/>
        <v>0</v>
      </c>
      <c r="CN67" s="62">
        <f t="shared" si="1136"/>
        <v>0</v>
      </c>
      <c r="CO67" s="128">
        <f t="shared" si="1137"/>
        <v>89.494550000000018</v>
      </c>
      <c r="CP67" s="129">
        <f t="shared" si="1138"/>
        <v>89.494550000000018</v>
      </c>
      <c r="CQ67" s="62">
        <f t="shared" si="1176"/>
        <v>89.494550000000018</v>
      </c>
      <c r="CR67" s="60">
        <f t="shared" si="1176"/>
        <v>89.494550000000018</v>
      </c>
      <c r="CS67" s="33">
        <v>0</v>
      </c>
      <c r="CT67" s="34">
        <v>0</v>
      </c>
      <c r="CU67" s="34">
        <v>1</v>
      </c>
      <c r="CV67" s="35">
        <f t="shared" si="1177"/>
        <v>0</v>
      </c>
      <c r="CW67" s="36">
        <f t="shared" si="1178"/>
        <v>0</v>
      </c>
      <c r="CX67" s="37">
        <f t="shared" si="1179"/>
        <v>0</v>
      </c>
      <c r="CY67" s="57">
        <f t="shared" si="1180"/>
        <v>0</v>
      </c>
      <c r="CZ67" s="127">
        <f t="shared" si="1181"/>
        <v>0</v>
      </c>
      <c r="DA67" s="37">
        <f t="shared" si="1139"/>
        <v>62.64618500000001</v>
      </c>
      <c r="DB67" s="37">
        <f t="shared" si="1140"/>
        <v>62.64618500000001</v>
      </c>
      <c r="DC67" s="37">
        <f t="shared" si="1141"/>
        <v>0</v>
      </c>
      <c r="DD67" s="142">
        <f t="shared" si="1142"/>
        <v>0</v>
      </c>
      <c r="DE67" s="37">
        <f t="shared" si="768"/>
        <v>62.64618500000001</v>
      </c>
      <c r="DF67" s="37">
        <f t="shared" si="1182"/>
        <v>62.64618500000001</v>
      </c>
      <c r="DG67" s="37">
        <f t="shared" si="1183"/>
        <v>0</v>
      </c>
      <c r="DH67" s="39">
        <f t="shared" si="1184"/>
        <v>0</v>
      </c>
      <c r="DJ67" s="496">
        <v>1</v>
      </c>
      <c r="DK67" s="496">
        <v>0.3</v>
      </c>
      <c r="DL67" s="37">
        <f t="shared" si="1143"/>
        <v>0</v>
      </c>
      <c r="DM67" s="37">
        <f t="shared" si="1144"/>
        <v>0</v>
      </c>
      <c r="DN67" s="37">
        <f t="shared" si="1084"/>
        <v>26.848365000000005</v>
      </c>
      <c r="DO67" s="37">
        <f t="shared" si="1085"/>
        <v>26.848365000000005</v>
      </c>
      <c r="DP67" s="33">
        <v>1</v>
      </c>
      <c r="DQ67" s="34">
        <v>0.1</v>
      </c>
      <c r="DR67" s="34">
        <v>0.5</v>
      </c>
      <c r="DS67" s="681">
        <f t="shared" si="185"/>
        <v>0.1</v>
      </c>
      <c r="DT67" s="78">
        <f t="shared" si="186"/>
        <v>1</v>
      </c>
      <c r="DU67" s="34">
        <v>0</v>
      </c>
      <c r="DV67" s="34">
        <v>1</v>
      </c>
      <c r="DW67" s="34">
        <v>0</v>
      </c>
      <c r="DX67" s="34">
        <v>0</v>
      </c>
      <c r="DY67" s="34">
        <v>1</v>
      </c>
      <c r="DZ67" s="34">
        <v>0</v>
      </c>
      <c r="EA67" s="85">
        <f t="shared" si="888"/>
        <v>0</v>
      </c>
      <c r="EB67" s="57">
        <f t="shared" si="1185"/>
        <v>0</v>
      </c>
      <c r="EC67" s="57">
        <f t="shared" si="889"/>
        <v>0</v>
      </c>
      <c r="ED67" s="57">
        <f t="shared" si="1186"/>
        <v>0</v>
      </c>
      <c r="EE67" s="57">
        <f t="shared" si="890"/>
        <v>0</v>
      </c>
      <c r="EF67" s="57">
        <f t="shared" si="1187"/>
        <v>0</v>
      </c>
      <c r="EG67" s="126">
        <f t="shared" si="1145"/>
        <v>0</v>
      </c>
      <c r="EH67" s="57">
        <f t="shared" si="1146"/>
        <v>0</v>
      </c>
      <c r="EI67" s="57">
        <f t="shared" si="1147"/>
        <v>2.621890500000001</v>
      </c>
      <c r="EJ67" s="57">
        <f t="shared" si="1148"/>
        <v>26.218905000000007</v>
      </c>
      <c r="EK67" s="57">
        <f t="shared" si="1149"/>
        <v>0</v>
      </c>
      <c r="EL67" s="127">
        <f t="shared" si="1150"/>
        <v>0</v>
      </c>
      <c r="EM67" s="57">
        <f t="shared" si="193"/>
        <v>2.621890500000001</v>
      </c>
      <c r="EN67" s="81">
        <f t="shared" si="194"/>
        <v>26.218905000000007</v>
      </c>
      <c r="EP67" s="85">
        <f t="shared" si="769"/>
        <v>0</v>
      </c>
      <c r="EQ67" s="57">
        <f t="shared" si="1151"/>
        <v>0</v>
      </c>
      <c r="ER67" s="57">
        <f t="shared" si="770"/>
        <v>0</v>
      </c>
      <c r="ES67" s="57">
        <f t="shared" si="1152"/>
        <v>0</v>
      </c>
      <c r="ET67" s="57">
        <f t="shared" si="771"/>
        <v>0</v>
      </c>
      <c r="EU67" s="127">
        <f t="shared" si="1153"/>
        <v>0</v>
      </c>
      <c r="EV67" s="126">
        <f t="shared" si="1086"/>
        <v>5.1220000000000007E-3</v>
      </c>
      <c r="EW67" s="57">
        <f t="shared" si="1087"/>
        <v>5.1220000000000007E-3</v>
      </c>
      <c r="EX67" s="57">
        <f t="shared" si="1088"/>
        <v>7.6829999999999996E-2</v>
      </c>
      <c r="EY67" s="57">
        <f t="shared" si="1089"/>
        <v>7.6829999999999996E-2</v>
      </c>
      <c r="EZ67" s="57">
        <f t="shared" si="1090"/>
        <v>1.40855</v>
      </c>
      <c r="FA67" s="87">
        <f t="shared" si="1091"/>
        <v>1.40855</v>
      </c>
      <c r="FB67" s="36">
        <f t="shared" si="1188"/>
        <v>0</v>
      </c>
      <c r="FC67" s="37">
        <f t="shared" si="1189"/>
        <v>0</v>
      </c>
      <c r="FD67" s="57">
        <f t="shared" si="1154"/>
        <v>62.64618500000001</v>
      </c>
      <c r="FE67" s="37">
        <f t="shared" si="1155"/>
        <v>62.64618500000001</v>
      </c>
      <c r="FF67" s="36">
        <f t="shared" si="772"/>
        <v>0</v>
      </c>
      <c r="FG67" s="37">
        <f t="shared" si="1156"/>
        <v>0</v>
      </c>
      <c r="FH67" s="37">
        <f t="shared" si="1157"/>
        <v>0</v>
      </c>
      <c r="FI67" s="37">
        <f t="shared" si="1158"/>
        <v>0</v>
      </c>
      <c r="FJ67" s="33">
        <v>1</v>
      </c>
      <c r="FK67" s="34">
        <v>0.2</v>
      </c>
      <c r="FL67" s="502">
        <v>0.8</v>
      </c>
      <c r="FM67" s="34">
        <v>0.1</v>
      </c>
      <c r="FN67" s="502">
        <v>0.5</v>
      </c>
      <c r="FO67" s="34">
        <f t="shared" si="200"/>
        <v>0.1</v>
      </c>
      <c r="FP67" s="34">
        <f t="shared" si="201"/>
        <v>1</v>
      </c>
      <c r="FQ67" s="34">
        <v>1</v>
      </c>
      <c r="FR67" s="34">
        <v>0</v>
      </c>
      <c r="FS67" s="90">
        <f t="shared" si="202"/>
        <v>1E-3</v>
      </c>
      <c r="FT67" s="34">
        <f t="shared" si="203"/>
        <v>0.05</v>
      </c>
      <c r="FU67" s="33">
        <v>0.05</v>
      </c>
      <c r="FV67" s="35">
        <f t="shared" si="25"/>
        <v>2.4224999999999997E-2</v>
      </c>
      <c r="FW67" s="34">
        <v>0.1</v>
      </c>
      <c r="FX67" s="78">
        <f t="shared" si="26"/>
        <v>9.0000000000000011E-2</v>
      </c>
      <c r="FY67" s="33">
        <v>0.45</v>
      </c>
      <c r="FZ67" s="35">
        <f t="shared" si="1092"/>
        <v>1.4025000000000001E-2</v>
      </c>
      <c r="GA67" s="34">
        <v>0.45</v>
      </c>
      <c r="GB67" s="78">
        <f t="shared" si="1093"/>
        <v>5.5000000000000007E-2</v>
      </c>
      <c r="GC67" s="85">
        <f t="shared" si="773"/>
        <v>0</v>
      </c>
      <c r="GD67" s="57">
        <f t="shared" si="1159"/>
        <v>0</v>
      </c>
      <c r="GE67" s="57">
        <f t="shared" si="774"/>
        <v>0</v>
      </c>
      <c r="GF67" s="57">
        <f t="shared" si="1160"/>
        <v>0</v>
      </c>
      <c r="GG67" s="57">
        <f t="shared" si="1190"/>
        <v>0</v>
      </c>
      <c r="GH67" s="127">
        <f t="shared" si="1191"/>
        <v>0</v>
      </c>
      <c r="GI67" s="57">
        <f t="shared" si="1094"/>
        <v>5.1220000000000007E-3</v>
      </c>
      <c r="GJ67" s="57">
        <f t="shared" si="1095"/>
        <v>5.1220000000000007E-3</v>
      </c>
      <c r="GK67" s="57">
        <f t="shared" si="1096"/>
        <v>7.6829999999999996E-2</v>
      </c>
      <c r="GL67" s="57">
        <f t="shared" si="1097"/>
        <v>7.6829999999999996E-2</v>
      </c>
      <c r="GM67" s="57">
        <f t="shared" si="1098"/>
        <v>0.28171000000000002</v>
      </c>
      <c r="GN67" s="127">
        <f t="shared" si="1099"/>
        <v>1.1268400000000001</v>
      </c>
      <c r="GO67" s="57">
        <f t="shared" si="208"/>
        <v>0.36366200000000004</v>
      </c>
      <c r="GP67" s="87">
        <f t="shared" si="209"/>
        <v>1.2087920000000001</v>
      </c>
      <c r="GQ67" s="37">
        <f t="shared" si="891"/>
        <v>0</v>
      </c>
      <c r="GR67" s="37">
        <f t="shared" si="892"/>
        <v>0</v>
      </c>
      <c r="GS67" s="57">
        <f t="shared" si="1031"/>
        <v>0</v>
      </c>
      <c r="GT67" s="57">
        <f t="shared" si="1032"/>
        <v>0</v>
      </c>
      <c r="GU67" s="57">
        <f t="shared" si="1033"/>
        <v>0</v>
      </c>
      <c r="GV67" s="127">
        <f t="shared" si="1034"/>
        <v>0</v>
      </c>
      <c r="GW67" s="37">
        <f t="shared" si="1162"/>
        <v>1.4534697997312502</v>
      </c>
      <c r="GX67" s="37">
        <f t="shared" si="1163"/>
        <v>15.818161712500002</v>
      </c>
      <c r="GY67" s="37">
        <f t="shared" si="1192"/>
        <v>3.5814478437500002E-3</v>
      </c>
      <c r="GZ67" s="37">
        <f t="shared" si="1193"/>
        <v>1.7907239218750002</v>
      </c>
      <c r="HA67" s="37">
        <f t="shared" si="1194"/>
        <v>0</v>
      </c>
      <c r="HB67" s="142">
        <f t="shared" si="1195"/>
        <v>0</v>
      </c>
      <c r="HC67" s="57">
        <f t="shared" si="212"/>
        <v>1.4570512475750002</v>
      </c>
      <c r="HD67" s="39">
        <f t="shared" si="213"/>
        <v>17.608885634375003</v>
      </c>
      <c r="HE67" s="527"/>
      <c r="HF67" s="530">
        <f t="shared" si="775"/>
        <v>1.0372049999999999</v>
      </c>
      <c r="HG67" s="530">
        <f t="shared" si="776"/>
        <v>1.0372049999999999</v>
      </c>
      <c r="HH67" s="530">
        <f t="shared" si="777"/>
        <v>0</v>
      </c>
      <c r="HI67" s="530">
        <f t="shared" si="778"/>
        <v>0</v>
      </c>
      <c r="HJ67" s="530">
        <f t="shared" si="779"/>
        <v>0.76830000000000009</v>
      </c>
      <c r="HK67" s="531">
        <f t="shared" si="780"/>
        <v>0.76830000000000009</v>
      </c>
      <c r="HL67" s="530">
        <f t="shared" si="781"/>
        <v>0</v>
      </c>
      <c r="HM67" s="530">
        <f t="shared" si="782"/>
        <v>0</v>
      </c>
      <c r="HN67" s="530">
        <f t="shared" si="783"/>
        <v>3.3133605000000013</v>
      </c>
      <c r="HO67" s="530">
        <f t="shared" si="784"/>
        <v>26.910375000000005</v>
      </c>
      <c r="HP67" s="530">
        <f t="shared" si="785"/>
        <v>1.2805000000000002</v>
      </c>
      <c r="HQ67" s="531">
        <f t="shared" si="786"/>
        <v>1.2805000000000002</v>
      </c>
      <c r="HR67" s="530">
        <f t="shared" si="214"/>
        <v>4.6354717997312509</v>
      </c>
      <c r="HS67" s="530">
        <f t="shared" si="787"/>
        <v>20.790887634375004</v>
      </c>
      <c r="HT67" s="530">
        <f t="shared" si="788"/>
        <v>7.6829999999999996E-2</v>
      </c>
      <c r="HU67" s="530">
        <f t="shared" si="789"/>
        <v>7.6829999999999996E-2</v>
      </c>
      <c r="HV67" s="530">
        <f t="shared" si="790"/>
        <v>28.873629999999999</v>
      </c>
      <c r="HW67" s="531">
        <f t="shared" si="791"/>
        <v>29.71876</v>
      </c>
      <c r="IG67" s="560"/>
      <c r="IH67" s="530">
        <f t="shared" si="215"/>
        <v>1.1409255E-2</v>
      </c>
      <c r="II67" s="530">
        <f t="shared" si="216"/>
        <v>9.3348450000000013E-3</v>
      </c>
      <c r="IJ67" s="530">
        <f t="shared" si="217"/>
        <v>1.8669690000000003E-2</v>
      </c>
      <c r="IK67" s="530">
        <f t="shared" si="893"/>
        <v>9.3348450000000013E-3</v>
      </c>
      <c r="IL67" s="530">
        <f t="shared" si="894"/>
        <v>0.8764382249999999</v>
      </c>
      <c r="IM67" s="530">
        <f t="shared" si="895"/>
        <v>1.037205E-3</v>
      </c>
      <c r="IN67" s="530">
        <f t="shared" si="896"/>
        <v>1.037205E-3</v>
      </c>
      <c r="IO67" s="530">
        <f t="shared" si="222"/>
        <v>3.4227765E-2</v>
      </c>
      <c r="IP67" s="530">
        <f t="shared" si="223"/>
        <v>4.2525404999999995E-2</v>
      </c>
      <c r="IQ67" s="530">
        <f t="shared" si="897"/>
        <v>5.3934660000000002E-2</v>
      </c>
      <c r="IR67" s="530">
        <f t="shared" si="898"/>
        <v>4.2525404999999995E-2</v>
      </c>
      <c r="IS67" s="530">
        <f t="shared" si="899"/>
        <v>0.87851263499999988</v>
      </c>
      <c r="IT67" s="530">
        <f t="shared" si="900"/>
        <v>1.0372049999999999E-2</v>
      </c>
      <c r="IU67" s="518">
        <f t="shared" si="901"/>
        <v>1.0372049999999999E-2</v>
      </c>
      <c r="IV67" s="57">
        <f t="shared" si="229"/>
        <v>0</v>
      </c>
      <c r="IW67" s="57">
        <f t="shared" si="230"/>
        <v>0</v>
      </c>
      <c r="IX67" s="530">
        <f t="shared" si="792"/>
        <v>0</v>
      </c>
      <c r="IY67" s="530">
        <f t="shared" si="793"/>
        <v>0</v>
      </c>
      <c r="IZ67" s="530">
        <f t="shared" si="794"/>
        <v>0</v>
      </c>
      <c r="JA67" s="530">
        <f t="shared" si="795"/>
        <v>0</v>
      </c>
      <c r="JB67" s="530">
        <f t="shared" si="796"/>
        <v>0</v>
      </c>
      <c r="JC67" s="530">
        <f t="shared" si="231"/>
        <v>0</v>
      </c>
      <c r="JD67" s="530">
        <f t="shared" si="232"/>
        <v>0</v>
      </c>
      <c r="JE67" s="530">
        <f t="shared" si="797"/>
        <v>0</v>
      </c>
      <c r="JF67" s="530">
        <f t="shared" si="798"/>
        <v>0</v>
      </c>
      <c r="JG67" s="530">
        <f t="shared" si="799"/>
        <v>0</v>
      </c>
      <c r="JH67" s="530">
        <f t="shared" si="800"/>
        <v>0</v>
      </c>
      <c r="JI67" s="87">
        <f t="shared" si="801"/>
        <v>0</v>
      </c>
      <c r="JJ67" s="57">
        <f t="shared" si="233"/>
        <v>8.4513000000000019E-3</v>
      </c>
      <c r="JK67" s="57">
        <f t="shared" si="234"/>
        <v>6.9147000000000019E-3</v>
      </c>
      <c r="JL67" s="530">
        <f t="shared" si="802"/>
        <v>1.3829400000000004E-2</v>
      </c>
      <c r="JM67" s="530">
        <f t="shared" si="803"/>
        <v>6.9147000000000019E-3</v>
      </c>
      <c r="JN67" s="530">
        <f t="shared" si="804"/>
        <v>0.64921350000000011</v>
      </c>
      <c r="JO67" s="530">
        <f t="shared" si="805"/>
        <v>7.6830000000000008E-4</v>
      </c>
      <c r="JP67" s="530">
        <f t="shared" si="806"/>
        <v>7.6830000000000008E-4</v>
      </c>
      <c r="JQ67" s="530">
        <f t="shared" si="235"/>
        <v>2.5353900000000006E-2</v>
      </c>
      <c r="JR67" s="530">
        <f t="shared" si="236"/>
        <v>3.1500300000000002E-2</v>
      </c>
      <c r="JS67" s="57">
        <f t="shared" si="807"/>
        <v>3.9951600000000011E-2</v>
      </c>
      <c r="JT67" s="57">
        <f t="shared" si="808"/>
        <v>3.1500300000000002E-2</v>
      </c>
      <c r="JU67" s="57">
        <f t="shared" si="809"/>
        <v>0.65075010000000011</v>
      </c>
      <c r="JV67" s="57">
        <f t="shared" si="810"/>
        <v>7.6830000000000015E-3</v>
      </c>
      <c r="JW67" s="81">
        <f t="shared" si="811"/>
        <v>7.6830000000000015E-3</v>
      </c>
      <c r="JX67" s="57">
        <f t="shared" si="237"/>
        <v>0</v>
      </c>
      <c r="JY67" s="57">
        <f t="shared" si="238"/>
        <v>0</v>
      </c>
      <c r="JZ67" s="530">
        <f t="shared" si="812"/>
        <v>0</v>
      </c>
      <c r="KA67" s="530">
        <f t="shared" si="813"/>
        <v>0</v>
      </c>
      <c r="KB67" s="530">
        <f t="shared" si="814"/>
        <v>0</v>
      </c>
      <c r="KC67" s="530">
        <f t="shared" si="815"/>
        <v>0</v>
      </c>
      <c r="KD67" s="530">
        <f t="shared" si="816"/>
        <v>0</v>
      </c>
      <c r="KE67" s="530">
        <f t="shared" si="239"/>
        <v>0</v>
      </c>
      <c r="KF67" s="530">
        <f t="shared" si="240"/>
        <v>0</v>
      </c>
      <c r="KG67" s="530">
        <f t="shared" si="817"/>
        <v>0</v>
      </c>
      <c r="KH67" s="530">
        <f t="shared" si="818"/>
        <v>0</v>
      </c>
      <c r="KI67" s="530">
        <f t="shared" si="819"/>
        <v>0</v>
      </c>
      <c r="KJ67" s="530">
        <f t="shared" si="820"/>
        <v>0</v>
      </c>
      <c r="KK67" s="518">
        <f t="shared" si="821"/>
        <v>0</v>
      </c>
      <c r="KL67" s="57">
        <f t="shared" si="241"/>
        <v>3.6446965500000018E-2</v>
      </c>
      <c r="KM67" s="57">
        <f t="shared" si="242"/>
        <v>2.9820244500000016E-2</v>
      </c>
      <c r="KN67" s="530">
        <f t="shared" si="822"/>
        <v>5.9640489000000033E-2</v>
      </c>
      <c r="KO67" s="530">
        <f t="shared" si="823"/>
        <v>2.9820244500000016E-2</v>
      </c>
      <c r="KP67" s="530">
        <f t="shared" si="824"/>
        <v>2.799789622500001</v>
      </c>
      <c r="KQ67" s="530">
        <f t="shared" si="825"/>
        <v>3.3133605000000015E-3</v>
      </c>
      <c r="KR67" s="530">
        <f t="shared" si="826"/>
        <v>3.3133605000000015E-3</v>
      </c>
      <c r="KS67" s="530">
        <f t="shared" si="243"/>
        <v>0.88804237500000027</v>
      </c>
      <c r="KT67" s="530">
        <f t="shared" si="244"/>
        <v>1.1033253750000001</v>
      </c>
      <c r="KU67" s="530">
        <f t="shared" si="827"/>
        <v>1.3993395000000004</v>
      </c>
      <c r="KV67" s="530">
        <f t="shared" si="828"/>
        <v>1.1033253750000001</v>
      </c>
      <c r="KW67" s="530">
        <f t="shared" si="829"/>
        <v>22.793087625000005</v>
      </c>
      <c r="KX67" s="530">
        <f t="shared" si="830"/>
        <v>0.26910375000000009</v>
      </c>
      <c r="KY67" s="87">
        <f t="shared" si="831"/>
        <v>0.26910375000000009</v>
      </c>
      <c r="KZ67" s="57">
        <f t="shared" si="245"/>
        <v>1.4085500000000004E-2</v>
      </c>
      <c r="LA67" s="57">
        <f t="shared" si="246"/>
        <v>1.1524500000000003E-2</v>
      </c>
      <c r="LB67" s="530">
        <f t="shared" si="832"/>
        <v>2.3049000000000007E-2</v>
      </c>
      <c r="LC67" s="530">
        <f t="shared" si="833"/>
        <v>1.1524500000000003E-2</v>
      </c>
      <c r="LD67" s="530">
        <f t="shared" si="834"/>
        <v>1.0820225000000001</v>
      </c>
      <c r="LE67" s="530">
        <f t="shared" si="835"/>
        <v>1.2805000000000002E-3</v>
      </c>
      <c r="LF67" s="530">
        <f t="shared" si="836"/>
        <v>1.2805000000000002E-3</v>
      </c>
      <c r="LG67" s="530">
        <f t="shared" si="247"/>
        <v>4.2256500000000009E-2</v>
      </c>
      <c r="LH67" s="530">
        <f t="shared" si="248"/>
        <v>5.2500499999999999E-2</v>
      </c>
      <c r="LI67" s="57">
        <f t="shared" si="837"/>
        <v>6.658600000000002E-2</v>
      </c>
      <c r="LJ67" s="57">
        <f t="shared" si="838"/>
        <v>5.2500499999999999E-2</v>
      </c>
      <c r="LK67" s="57">
        <f t="shared" si="839"/>
        <v>1.0845835000000001</v>
      </c>
      <c r="LL67" s="57">
        <f t="shared" si="840"/>
        <v>1.2805000000000002E-2</v>
      </c>
      <c r="LM67" s="81">
        <f t="shared" si="841"/>
        <v>1.2805000000000002E-2</v>
      </c>
      <c r="LN67" s="57">
        <f t="shared" si="249"/>
        <v>5.0990189797043761E-3</v>
      </c>
      <c r="LO67" s="57">
        <f t="shared" si="250"/>
        <v>1.3906415399193752E-3</v>
      </c>
      <c r="LP67" s="530">
        <f t="shared" si="842"/>
        <v>2.3640906178629382E-2</v>
      </c>
      <c r="LQ67" s="530">
        <f t="shared" si="843"/>
        <v>3.8010868757796253E-2</v>
      </c>
      <c r="LR67" s="530">
        <f t="shared" si="844"/>
        <v>3.7083774397850009</v>
      </c>
      <c r="LS67" s="530">
        <f t="shared" si="845"/>
        <v>4.032860465766188E-2</v>
      </c>
      <c r="LT67" s="530">
        <f t="shared" si="846"/>
        <v>4.6354717997312512E-3</v>
      </c>
      <c r="LU67" s="530">
        <f t="shared" si="251"/>
        <v>1.2474532580625002</v>
      </c>
      <c r="LV67" s="530">
        <f t="shared" si="252"/>
        <v>0.62372662903125009</v>
      </c>
      <c r="LW67" s="530">
        <f t="shared" si="847"/>
        <v>1.4553621344062504</v>
      </c>
      <c r="LX67" s="530">
        <f t="shared" si="848"/>
        <v>1.2474532580625002</v>
      </c>
      <c r="LY67" s="530">
        <f t="shared" si="849"/>
        <v>20.56218787039688</v>
      </c>
      <c r="LZ67" s="530">
        <f t="shared" si="850"/>
        <v>0.20790887634375005</v>
      </c>
      <c r="MA67" s="127">
        <f t="shared" si="851"/>
        <v>0.20790887634375005</v>
      </c>
      <c r="MB67" s="57">
        <f t="shared" si="253"/>
        <v>8.4512999999999995E-5</v>
      </c>
      <c r="MC67" s="57">
        <f t="shared" si="254"/>
        <v>2.3048999999999996E-5</v>
      </c>
      <c r="MD67" s="530">
        <f t="shared" si="852"/>
        <v>3.9183300000000001E-4</v>
      </c>
      <c r="ME67" s="530">
        <f t="shared" si="853"/>
        <v>6.300059999999999E-4</v>
      </c>
      <c r="MF67" s="530">
        <f t="shared" si="854"/>
        <v>6.1463999999999998E-2</v>
      </c>
      <c r="MG67" s="530">
        <f t="shared" si="855"/>
        <v>6.6842099999999988E-4</v>
      </c>
      <c r="MH67" s="530">
        <f t="shared" si="856"/>
        <v>7.6829999999999995E-5</v>
      </c>
      <c r="MI67" s="530">
        <f t="shared" si="255"/>
        <v>4.6097999999999998E-3</v>
      </c>
      <c r="MJ67" s="530">
        <f t="shared" si="256"/>
        <v>2.3048999999999999E-3</v>
      </c>
      <c r="MK67" s="530">
        <f t="shared" si="857"/>
        <v>5.3781000000000002E-3</v>
      </c>
      <c r="ML67" s="530">
        <f t="shared" si="858"/>
        <v>4.6097999999999998E-3</v>
      </c>
      <c r="MM67" s="530">
        <f t="shared" si="859"/>
        <v>7.598487000000001E-2</v>
      </c>
      <c r="MN67" s="530">
        <f t="shared" si="860"/>
        <v>7.6829999999999997E-4</v>
      </c>
      <c r="MO67" s="127">
        <f t="shared" si="861"/>
        <v>7.6829999999999997E-4</v>
      </c>
      <c r="MP67" s="57">
        <f t="shared" si="257"/>
        <v>3.1760993000000001E-2</v>
      </c>
      <c r="MQ67" s="57">
        <f t="shared" si="258"/>
        <v>8.6620889999999996E-3</v>
      </c>
      <c r="MR67" s="530">
        <f t="shared" si="862"/>
        <v>0.147255513</v>
      </c>
      <c r="MS67" s="530">
        <f t="shared" si="863"/>
        <v>0.23676376599999996</v>
      </c>
      <c r="MT67" s="530">
        <f t="shared" si="864"/>
        <v>23.098904000000001</v>
      </c>
      <c r="MU67" s="530">
        <f t="shared" si="865"/>
        <v>0.25120058099999998</v>
      </c>
      <c r="MV67" s="530">
        <f t="shared" si="866"/>
        <v>2.8873630000000001E-2</v>
      </c>
      <c r="MW67" s="530">
        <f t="shared" si="259"/>
        <v>1.7831256</v>
      </c>
      <c r="MX67" s="530">
        <f t="shared" si="260"/>
        <v>0.89156279999999999</v>
      </c>
      <c r="MY67" s="57">
        <f t="shared" si="867"/>
        <v>2.0803132</v>
      </c>
      <c r="MZ67" s="57">
        <f t="shared" si="868"/>
        <v>1.7831256</v>
      </c>
      <c r="NA67" s="57">
        <f t="shared" si="869"/>
        <v>29.391853640000004</v>
      </c>
      <c r="NB67" s="57">
        <f t="shared" si="870"/>
        <v>0.2971876</v>
      </c>
      <c r="NC67" s="81">
        <f t="shared" si="871"/>
        <v>0.2971876</v>
      </c>
    </row>
    <row r="68" spans="1:376" x14ac:dyDescent="0.25">
      <c r="A68" s="9">
        <v>2013</v>
      </c>
      <c r="B68" s="10">
        <v>0</v>
      </c>
      <c r="C68" s="645">
        <v>0</v>
      </c>
      <c r="D68" s="645">
        <v>150</v>
      </c>
      <c r="E68" s="657">
        <v>150</v>
      </c>
      <c r="F68" s="645">
        <f t="shared" si="1164"/>
        <v>0</v>
      </c>
      <c r="G68" s="467">
        <f t="shared" si="1165"/>
        <v>0</v>
      </c>
      <c r="H68" s="467">
        <f t="shared" si="1100"/>
        <v>147.75</v>
      </c>
      <c r="I68" s="467">
        <f t="shared" si="1101"/>
        <v>147.75</v>
      </c>
      <c r="J68" s="1085">
        <f>'POSF Zone Def'!BQ138</f>
        <v>40.562800000000003</v>
      </c>
      <c r="K68" s="1085">
        <f t="shared" si="734"/>
        <v>40.562800000000003</v>
      </c>
      <c r="L68" s="666">
        <f t="shared" si="751"/>
        <v>147.75</v>
      </c>
      <c r="M68" s="667">
        <f t="shared" si="1102"/>
        <v>147.75</v>
      </c>
      <c r="N68" s="195">
        <v>2E-3</v>
      </c>
      <c r="O68" s="196">
        <v>0</v>
      </c>
      <c r="P68" s="196">
        <v>0</v>
      </c>
      <c r="Q68" s="197">
        <v>6.0000000000000001E-3</v>
      </c>
      <c r="R68" s="48">
        <v>0</v>
      </c>
      <c r="S68" s="48">
        <v>2.7000000000000001E-3</v>
      </c>
      <c r="T68" s="48">
        <v>0</v>
      </c>
      <c r="U68" s="48">
        <v>1.18E-2</v>
      </c>
      <c r="V68" s="118">
        <v>1.0000000000000001E-5</v>
      </c>
      <c r="W68" s="48">
        <v>2.9999999999999997E-4</v>
      </c>
      <c r="X68" s="53">
        <v>0</v>
      </c>
      <c r="Y68" s="53">
        <v>3.1E-2</v>
      </c>
      <c r="Z68" s="487">
        <v>5.2999999999999999E-2</v>
      </c>
      <c r="AA68" s="53">
        <f t="shared" si="147"/>
        <v>0.1</v>
      </c>
      <c r="AB68" s="53">
        <f t="shared" si="148"/>
        <v>0</v>
      </c>
      <c r="AC68" s="53">
        <f t="shared" si="149"/>
        <v>0.9</v>
      </c>
      <c r="AD68" s="56">
        <f t="shared" si="1166"/>
        <v>0</v>
      </c>
      <c r="AE68" s="57">
        <f t="shared" si="1167"/>
        <v>0</v>
      </c>
      <c r="AF68" s="57">
        <f t="shared" si="1168"/>
        <v>0</v>
      </c>
      <c r="AG68" s="57">
        <f t="shared" si="1169"/>
        <v>0</v>
      </c>
      <c r="AH68" s="57">
        <f t="shared" si="1170"/>
        <v>0</v>
      </c>
      <c r="AI68" s="57">
        <f t="shared" si="1171"/>
        <v>0</v>
      </c>
      <c r="AJ68" s="126">
        <f t="shared" si="1103"/>
        <v>1.1967749999999999</v>
      </c>
      <c r="AK68" s="57">
        <f t="shared" si="1104"/>
        <v>1.1967749999999999</v>
      </c>
      <c r="AL68" s="57">
        <f t="shared" si="1105"/>
        <v>0</v>
      </c>
      <c r="AM68" s="57">
        <f t="shared" si="1106"/>
        <v>0</v>
      </c>
      <c r="AN68" s="57">
        <f t="shared" si="1107"/>
        <v>0.88650000000000007</v>
      </c>
      <c r="AO68" s="127">
        <f t="shared" si="1108"/>
        <v>0.88650000000000007</v>
      </c>
      <c r="AP68" s="57">
        <f t="shared" si="1172"/>
        <v>1.1967749999999999</v>
      </c>
      <c r="AQ68" s="57">
        <f t="shared" si="1172"/>
        <v>1.1967749999999999</v>
      </c>
      <c r="AR68" s="57">
        <f t="shared" si="1172"/>
        <v>0</v>
      </c>
      <c r="AS68" s="57">
        <f t="shared" si="1109"/>
        <v>0</v>
      </c>
      <c r="AT68" s="57">
        <f t="shared" si="1109"/>
        <v>0.88650000000000007</v>
      </c>
      <c r="AU68" s="87">
        <f t="shared" si="1109"/>
        <v>0.88650000000000007</v>
      </c>
      <c r="AV68" s="56">
        <f t="shared" si="1110"/>
        <v>0</v>
      </c>
      <c r="AW68" s="57">
        <f t="shared" si="1111"/>
        <v>0</v>
      </c>
      <c r="AX68" s="57">
        <f t="shared" si="1112"/>
        <v>0</v>
      </c>
      <c r="AY68" s="57">
        <f t="shared" si="1113"/>
        <v>0</v>
      </c>
      <c r="AZ68" s="57">
        <f t="shared" si="1114"/>
        <v>0</v>
      </c>
      <c r="BA68" s="57">
        <f t="shared" si="1115"/>
        <v>0</v>
      </c>
      <c r="BB68" s="126">
        <f t="shared" si="1116"/>
        <v>0</v>
      </c>
      <c r="BC68" s="57">
        <f t="shared" si="1117"/>
        <v>0</v>
      </c>
      <c r="BD68" s="57">
        <f t="shared" si="1118"/>
        <v>0.79785000000000006</v>
      </c>
      <c r="BE68" s="57">
        <f t="shared" si="1119"/>
        <v>0.79785000000000006</v>
      </c>
      <c r="BF68" s="57">
        <f t="shared" si="1120"/>
        <v>1.4775</v>
      </c>
      <c r="BG68" s="57">
        <f t="shared" si="1121"/>
        <v>1.4775</v>
      </c>
      <c r="BH68" s="57">
        <f t="shared" si="1122"/>
        <v>0</v>
      </c>
      <c r="BI68" s="57">
        <f t="shared" si="1122"/>
        <v>0</v>
      </c>
      <c r="BJ68" s="57">
        <f t="shared" si="1122"/>
        <v>0.79785000000000006</v>
      </c>
      <c r="BK68" s="57">
        <f t="shared" si="1122"/>
        <v>0.79785000000000006</v>
      </c>
      <c r="BL68" s="57">
        <f t="shared" si="1122"/>
        <v>1.4775</v>
      </c>
      <c r="BM68" s="57">
        <f t="shared" si="1122"/>
        <v>1.4775</v>
      </c>
      <c r="BN68" s="56">
        <f t="shared" si="1123"/>
        <v>0</v>
      </c>
      <c r="BO68" s="57">
        <f t="shared" si="1124"/>
        <v>0</v>
      </c>
      <c r="BP68" s="57">
        <f t="shared" si="1125"/>
        <v>0</v>
      </c>
      <c r="BQ68" s="57">
        <f t="shared" si="1126"/>
        <v>0</v>
      </c>
      <c r="BR68" s="57">
        <f t="shared" si="1127"/>
        <v>0</v>
      </c>
      <c r="BS68" s="57">
        <f t="shared" si="1128"/>
        <v>0</v>
      </c>
      <c r="BT68" s="126">
        <f t="shared" si="1129"/>
        <v>5.9100000000000003E-3</v>
      </c>
      <c r="BU68" s="57">
        <f t="shared" si="1130"/>
        <v>5.9100000000000003E-3</v>
      </c>
      <c r="BV68" s="57">
        <f t="shared" si="1131"/>
        <v>8.8649999999999993E-2</v>
      </c>
      <c r="BW68" s="57">
        <f t="shared" si="1132"/>
        <v>8.8649999999999993E-2</v>
      </c>
      <c r="BX68" s="57">
        <f t="shared" si="1133"/>
        <v>1.6252499999999999</v>
      </c>
      <c r="BY68" s="57">
        <f t="shared" si="1134"/>
        <v>1.6252499999999999</v>
      </c>
      <c r="BZ68" s="126">
        <f t="shared" si="1135"/>
        <v>5.9100000000000003E-3</v>
      </c>
      <c r="CA68" s="57">
        <f t="shared" si="1135"/>
        <v>5.9100000000000003E-3</v>
      </c>
      <c r="CB68" s="57">
        <f t="shared" si="1135"/>
        <v>8.8649999999999993E-2</v>
      </c>
      <c r="CC68" s="57">
        <f t="shared" si="1135"/>
        <v>8.8649999999999993E-2</v>
      </c>
      <c r="CD68" s="57">
        <f t="shared" si="1135"/>
        <v>1.6252499999999999</v>
      </c>
      <c r="CE68" s="518">
        <f t="shared" si="1135"/>
        <v>1.6252499999999999</v>
      </c>
      <c r="CF68" s="57">
        <f t="shared" si="173"/>
        <v>4.0562800000000001</v>
      </c>
      <c r="CG68" s="57">
        <f t="shared" si="1173"/>
        <v>4.0562800000000001</v>
      </c>
      <c r="CH68" s="57">
        <f t="shared" si="175"/>
        <v>0</v>
      </c>
      <c r="CI68" s="57">
        <f t="shared" si="1174"/>
        <v>0</v>
      </c>
      <c r="CJ68" s="57">
        <f t="shared" si="176"/>
        <v>36.506520000000002</v>
      </c>
      <c r="CK68" s="57">
        <f t="shared" si="1175"/>
        <v>36.506520000000002</v>
      </c>
      <c r="CL68" s="3"/>
      <c r="CM68" s="59">
        <f t="shared" si="1083"/>
        <v>0</v>
      </c>
      <c r="CN68" s="62">
        <f t="shared" si="1136"/>
        <v>0</v>
      </c>
      <c r="CO68" s="128">
        <f t="shared" si="1137"/>
        <v>99.356449999999995</v>
      </c>
      <c r="CP68" s="129">
        <f t="shared" si="1138"/>
        <v>99.356449999999995</v>
      </c>
      <c r="CQ68" s="62">
        <f t="shared" si="1176"/>
        <v>99.356449999999995</v>
      </c>
      <c r="CR68" s="60">
        <f t="shared" si="1176"/>
        <v>99.356449999999995</v>
      </c>
      <c r="CS68" s="33">
        <v>0</v>
      </c>
      <c r="CT68" s="34">
        <v>0</v>
      </c>
      <c r="CU68" s="34">
        <v>1</v>
      </c>
      <c r="CV68" s="35">
        <f t="shared" si="1177"/>
        <v>0</v>
      </c>
      <c r="CW68" s="36">
        <f t="shared" si="1178"/>
        <v>0</v>
      </c>
      <c r="CX68" s="37">
        <f t="shared" si="1179"/>
        <v>0</v>
      </c>
      <c r="CY68" s="57">
        <f t="shared" si="1180"/>
        <v>0</v>
      </c>
      <c r="CZ68" s="127">
        <f t="shared" si="1181"/>
        <v>0</v>
      </c>
      <c r="DA68" s="37">
        <f t="shared" si="1139"/>
        <v>69.549514999999985</v>
      </c>
      <c r="DB68" s="37">
        <f t="shared" si="1140"/>
        <v>69.549514999999985</v>
      </c>
      <c r="DC68" s="37">
        <f t="shared" si="1141"/>
        <v>0</v>
      </c>
      <c r="DD68" s="142">
        <f t="shared" si="1142"/>
        <v>0</v>
      </c>
      <c r="DE68" s="37">
        <f t="shared" si="768"/>
        <v>69.549514999999985</v>
      </c>
      <c r="DF68" s="37">
        <f t="shared" si="1182"/>
        <v>69.549514999999985</v>
      </c>
      <c r="DG68" s="37">
        <f t="shared" si="1183"/>
        <v>0</v>
      </c>
      <c r="DH68" s="39">
        <f t="shared" si="1184"/>
        <v>0</v>
      </c>
      <c r="DJ68" s="496">
        <v>1</v>
      </c>
      <c r="DK68" s="496">
        <v>0.3</v>
      </c>
      <c r="DL68" s="37">
        <f t="shared" si="1143"/>
        <v>0</v>
      </c>
      <c r="DM68" s="37">
        <f t="shared" si="1144"/>
        <v>0</v>
      </c>
      <c r="DN68" s="37">
        <f t="shared" si="1084"/>
        <v>29.806934999999996</v>
      </c>
      <c r="DO68" s="37">
        <f t="shared" si="1085"/>
        <v>29.806934999999996</v>
      </c>
      <c r="DP68" s="33">
        <v>1</v>
      </c>
      <c r="DQ68" s="34">
        <v>0.1</v>
      </c>
      <c r="DR68" s="34">
        <v>0.5</v>
      </c>
      <c r="DS68" s="681">
        <f t="shared" si="185"/>
        <v>0.1</v>
      </c>
      <c r="DT68" s="78">
        <f t="shared" si="186"/>
        <v>1</v>
      </c>
      <c r="DU68" s="34">
        <v>0</v>
      </c>
      <c r="DV68" s="34">
        <v>1</v>
      </c>
      <c r="DW68" s="34">
        <v>0</v>
      </c>
      <c r="DX68" s="34">
        <v>0</v>
      </c>
      <c r="DY68" s="34">
        <v>1</v>
      </c>
      <c r="DZ68" s="34">
        <v>0</v>
      </c>
      <c r="EA68" s="85">
        <f t="shared" si="888"/>
        <v>0</v>
      </c>
      <c r="EB68" s="57">
        <f t="shared" si="1185"/>
        <v>0</v>
      </c>
      <c r="EC68" s="57">
        <f t="shared" si="889"/>
        <v>0</v>
      </c>
      <c r="ED68" s="57">
        <f t="shared" si="1186"/>
        <v>0</v>
      </c>
      <c r="EE68" s="57">
        <f t="shared" si="890"/>
        <v>0</v>
      </c>
      <c r="EF68" s="57">
        <f t="shared" si="1187"/>
        <v>0</v>
      </c>
      <c r="EG68" s="126">
        <f t="shared" si="1145"/>
        <v>0</v>
      </c>
      <c r="EH68" s="57">
        <f t="shared" si="1146"/>
        <v>0</v>
      </c>
      <c r="EI68" s="57">
        <f t="shared" si="1147"/>
        <v>2.8327650000000002</v>
      </c>
      <c r="EJ68" s="57">
        <f t="shared" si="1148"/>
        <v>28.327649999999998</v>
      </c>
      <c r="EK68" s="57">
        <f t="shared" si="1149"/>
        <v>0</v>
      </c>
      <c r="EL68" s="127">
        <f t="shared" si="1150"/>
        <v>0</v>
      </c>
      <c r="EM68" s="57">
        <f t="shared" si="193"/>
        <v>2.8327650000000002</v>
      </c>
      <c r="EN68" s="81">
        <f t="shared" si="194"/>
        <v>28.327649999999998</v>
      </c>
      <c r="EP68" s="85">
        <f t="shared" si="769"/>
        <v>0</v>
      </c>
      <c r="EQ68" s="57">
        <f t="shared" si="1151"/>
        <v>0</v>
      </c>
      <c r="ER68" s="57">
        <f t="shared" si="770"/>
        <v>0</v>
      </c>
      <c r="ES68" s="57">
        <f t="shared" si="1152"/>
        <v>0</v>
      </c>
      <c r="ET68" s="57">
        <f t="shared" si="771"/>
        <v>0</v>
      </c>
      <c r="EU68" s="127">
        <f t="shared" si="1153"/>
        <v>0</v>
      </c>
      <c r="EV68" s="126">
        <f t="shared" si="1086"/>
        <v>5.9100000000000003E-3</v>
      </c>
      <c r="EW68" s="57">
        <f t="shared" si="1087"/>
        <v>5.9100000000000003E-3</v>
      </c>
      <c r="EX68" s="57">
        <f t="shared" si="1088"/>
        <v>8.8649999999999993E-2</v>
      </c>
      <c r="EY68" s="57">
        <f t="shared" si="1089"/>
        <v>8.8649999999999993E-2</v>
      </c>
      <c r="EZ68" s="57">
        <f t="shared" si="1090"/>
        <v>1.6252499999999999</v>
      </c>
      <c r="FA68" s="87">
        <f t="shared" si="1091"/>
        <v>1.6252499999999999</v>
      </c>
      <c r="FB68" s="36">
        <f t="shared" si="1188"/>
        <v>0</v>
      </c>
      <c r="FC68" s="37">
        <f t="shared" si="1189"/>
        <v>0</v>
      </c>
      <c r="FD68" s="57">
        <f t="shared" si="1154"/>
        <v>69.549514999999985</v>
      </c>
      <c r="FE68" s="37">
        <f t="shared" si="1155"/>
        <v>69.549514999999985</v>
      </c>
      <c r="FF68" s="36">
        <f t="shared" si="772"/>
        <v>0</v>
      </c>
      <c r="FG68" s="37">
        <f t="shared" si="1156"/>
        <v>0</v>
      </c>
      <c r="FH68" s="37">
        <f t="shared" si="1157"/>
        <v>0</v>
      </c>
      <c r="FI68" s="37">
        <f t="shared" si="1158"/>
        <v>0</v>
      </c>
      <c r="FJ68" s="33">
        <v>1</v>
      </c>
      <c r="FK68" s="34">
        <v>0.2</v>
      </c>
      <c r="FL68" s="502">
        <v>0.8</v>
      </c>
      <c r="FM68" s="34">
        <v>0.1</v>
      </c>
      <c r="FN68" s="502">
        <v>0.5</v>
      </c>
      <c r="FO68" s="34">
        <f t="shared" si="200"/>
        <v>0.1</v>
      </c>
      <c r="FP68" s="34">
        <f t="shared" si="201"/>
        <v>1</v>
      </c>
      <c r="FQ68" s="34">
        <v>1</v>
      </c>
      <c r="FR68" s="34">
        <v>0</v>
      </c>
      <c r="FS68" s="90">
        <f t="shared" si="202"/>
        <v>1E-3</v>
      </c>
      <c r="FT68" s="34">
        <f t="shared" si="203"/>
        <v>0.05</v>
      </c>
      <c r="FU68" s="33">
        <v>0.05</v>
      </c>
      <c r="FV68" s="35">
        <f t="shared" si="25"/>
        <v>2.4224999999999997E-2</v>
      </c>
      <c r="FW68" s="34">
        <v>0.1</v>
      </c>
      <c r="FX68" s="78">
        <f t="shared" si="26"/>
        <v>9.0000000000000011E-2</v>
      </c>
      <c r="FY68" s="33">
        <v>0.45</v>
      </c>
      <c r="FZ68" s="35">
        <f t="shared" si="1092"/>
        <v>1.4025000000000001E-2</v>
      </c>
      <c r="GA68" s="34">
        <v>0.45</v>
      </c>
      <c r="GB68" s="78">
        <f t="shared" si="1093"/>
        <v>5.5000000000000007E-2</v>
      </c>
      <c r="GC68" s="85">
        <f t="shared" si="773"/>
        <v>0</v>
      </c>
      <c r="GD68" s="57">
        <f t="shared" si="1159"/>
        <v>0</v>
      </c>
      <c r="GE68" s="57">
        <f t="shared" si="774"/>
        <v>0</v>
      </c>
      <c r="GF68" s="57">
        <f t="shared" si="1160"/>
        <v>0</v>
      </c>
      <c r="GG68" s="57">
        <f t="shared" si="1190"/>
        <v>0</v>
      </c>
      <c r="GH68" s="127">
        <f t="shared" si="1191"/>
        <v>0</v>
      </c>
      <c r="GI68" s="57">
        <f t="shared" si="1094"/>
        <v>5.9100000000000003E-3</v>
      </c>
      <c r="GJ68" s="57">
        <f t="shared" si="1095"/>
        <v>5.9100000000000003E-3</v>
      </c>
      <c r="GK68" s="57">
        <f t="shared" si="1096"/>
        <v>8.8649999999999993E-2</v>
      </c>
      <c r="GL68" s="57">
        <f t="shared" si="1097"/>
        <v>8.8649999999999993E-2</v>
      </c>
      <c r="GM68" s="57">
        <f t="shared" si="1098"/>
        <v>0.32505000000000001</v>
      </c>
      <c r="GN68" s="127">
        <f t="shared" si="1099"/>
        <v>1.3002</v>
      </c>
      <c r="GO68" s="57">
        <f t="shared" si="208"/>
        <v>0.41960999999999998</v>
      </c>
      <c r="GP68" s="87">
        <f t="shared" si="209"/>
        <v>1.39476</v>
      </c>
      <c r="GQ68" s="37">
        <f t="shared" si="891"/>
        <v>0</v>
      </c>
      <c r="GR68" s="37">
        <f t="shared" si="892"/>
        <v>0</v>
      </c>
      <c r="GS68" s="57">
        <f t="shared" si="1031"/>
        <v>0</v>
      </c>
      <c r="GT68" s="57">
        <f t="shared" si="1032"/>
        <v>0</v>
      </c>
      <c r="GU68" s="57">
        <f t="shared" si="1033"/>
        <v>0</v>
      </c>
      <c r="GV68" s="127">
        <f t="shared" si="1034"/>
        <v>0</v>
      </c>
      <c r="GW68" s="37">
        <f t="shared" si="1162"/>
        <v>1.6136356848937499</v>
      </c>
      <c r="GX68" s="37">
        <f t="shared" si="1163"/>
        <v>17.561252537499996</v>
      </c>
      <c r="GY68" s="37">
        <f t="shared" si="1192"/>
        <v>3.4977114375000003E-3</v>
      </c>
      <c r="GZ68" s="37">
        <f t="shared" si="1193"/>
        <v>1.74885571875</v>
      </c>
      <c r="HA68" s="37">
        <f t="shared" si="1194"/>
        <v>0</v>
      </c>
      <c r="HB68" s="142">
        <f t="shared" si="1195"/>
        <v>0</v>
      </c>
      <c r="HC68" s="57">
        <f t="shared" si="212"/>
        <v>1.61713339633125</v>
      </c>
      <c r="HD68" s="39">
        <f t="shared" si="213"/>
        <v>19.310108256249997</v>
      </c>
      <c r="HE68" s="527"/>
      <c r="HF68" s="530">
        <f t="shared" si="775"/>
        <v>1.1967749999999999</v>
      </c>
      <c r="HG68" s="530">
        <f t="shared" si="776"/>
        <v>1.1967749999999999</v>
      </c>
      <c r="HH68" s="530">
        <f t="shared" si="777"/>
        <v>0</v>
      </c>
      <c r="HI68" s="530">
        <f t="shared" si="778"/>
        <v>0</v>
      </c>
      <c r="HJ68" s="530">
        <f t="shared" si="779"/>
        <v>0.88650000000000007</v>
      </c>
      <c r="HK68" s="531">
        <f t="shared" si="780"/>
        <v>0.88650000000000007</v>
      </c>
      <c r="HL68" s="530">
        <f t="shared" si="781"/>
        <v>0</v>
      </c>
      <c r="HM68" s="530">
        <f t="shared" si="782"/>
        <v>0</v>
      </c>
      <c r="HN68" s="530">
        <f t="shared" si="783"/>
        <v>3.6306150000000001</v>
      </c>
      <c r="HO68" s="530">
        <f t="shared" si="784"/>
        <v>29.125499999999999</v>
      </c>
      <c r="HP68" s="530">
        <f t="shared" si="785"/>
        <v>1.4775</v>
      </c>
      <c r="HQ68" s="531">
        <f t="shared" si="786"/>
        <v>1.4775</v>
      </c>
      <c r="HR68" s="530">
        <f t="shared" si="214"/>
        <v>5.6758256848937503</v>
      </c>
      <c r="HS68" s="530">
        <f t="shared" si="787"/>
        <v>23.372298256249998</v>
      </c>
      <c r="HT68" s="530">
        <f t="shared" si="788"/>
        <v>8.8649999999999993E-2</v>
      </c>
      <c r="HU68" s="530">
        <f t="shared" si="789"/>
        <v>8.8649999999999993E-2</v>
      </c>
      <c r="HV68" s="530">
        <f t="shared" si="790"/>
        <v>36.831569999999999</v>
      </c>
      <c r="HW68" s="531">
        <f t="shared" si="791"/>
        <v>37.806719999999999</v>
      </c>
      <c r="IG68" s="560"/>
      <c r="IH68" s="530">
        <f t="shared" si="215"/>
        <v>1.3164525E-2</v>
      </c>
      <c r="II68" s="530">
        <f t="shared" si="216"/>
        <v>1.0770975E-2</v>
      </c>
      <c r="IJ68" s="530">
        <f t="shared" si="217"/>
        <v>2.1541950000000001E-2</v>
      </c>
      <c r="IK68" s="530">
        <f t="shared" si="893"/>
        <v>1.0770975E-2</v>
      </c>
      <c r="IL68" s="530">
        <f t="shared" si="894"/>
        <v>1.0112748749999998</v>
      </c>
      <c r="IM68" s="530">
        <f t="shared" si="895"/>
        <v>1.196775E-3</v>
      </c>
      <c r="IN68" s="530">
        <f t="shared" si="896"/>
        <v>1.196775E-3</v>
      </c>
      <c r="IO68" s="530">
        <f t="shared" si="222"/>
        <v>3.9493574999999996E-2</v>
      </c>
      <c r="IP68" s="530">
        <f t="shared" si="223"/>
        <v>4.9067774999999994E-2</v>
      </c>
      <c r="IQ68" s="530">
        <f t="shared" si="897"/>
        <v>6.2232300000000004E-2</v>
      </c>
      <c r="IR68" s="530">
        <f t="shared" si="898"/>
        <v>4.9067774999999994E-2</v>
      </c>
      <c r="IS68" s="530">
        <f t="shared" si="899"/>
        <v>1.0136684249999999</v>
      </c>
      <c r="IT68" s="530">
        <f t="shared" si="900"/>
        <v>1.1967749999999999E-2</v>
      </c>
      <c r="IU68" s="518">
        <f t="shared" si="901"/>
        <v>1.1967749999999999E-2</v>
      </c>
      <c r="IV68" s="57">
        <f t="shared" si="229"/>
        <v>0</v>
      </c>
      <c r="IW68" s="57">
        <f t="shared" si="230"/>
        <v>0</v>
      </c>
      <c r="IX68" s="530">
        <f t="shared" si="792"/>
        <v>0</v>
      </c>
      <c r="IY68" s="530">
        <f t="shared" si="793"/>
        <v>0</v>
      </c>
      <c r="IZ68" s="530">
        <f t="shared" si="794"/>
        <v>0</v>
      </c>
      <c r="JA68" s="530">
        <f t="shared" si="795"/>
        <v>0</v>
      </c>
      <c r="JB68" s="530">
        <f t="shared" si="796"/>
        <v>0</v>
      </c>
      <c r="JC68" s="530">
        <f t="shared" si="231"/>
        <v>0</v>
      </c>
      <c r="JD68" s="530">
        <f t="shared" si="232"/>
        <v>0</v>
      </c>
      <c r="JE68" s="530">
        <f t="shared" si="797"/>
        <v>0</v>
      </c>
      <c r="JF68" s="530">
        <f t="shared" si="798"/>
        <v>0</v>
      </c>
      <c r="JG68" s="530">
        <f t="shared" si="799"/>
        <v>0</v>
      </c>
      <c r="JH68" s="530">
        <f t="shared" si="800"/>
        <v>0</v>
      </c>
      <c r="JI68" s="87">
        <f t="shared" si="801"/>
        <v>0</v>
      </c>
      <c r="JJ68" s="57">
        <f t="shared" si="233"/>
        <v>9.7515000000000015E-3</v>
      </c>
      <c r="JK68" s="57">
        <f t="shared" si="234"/>
        <v>7.9785000000000012E-3</v>
      </c>
      <c r="JL68" s="530">
        <f t="shared" si="802"/>
        <v>1.5957000000000002E-2</v>
      </c>
      <c r="JM68" s="530">
        <f t="shared" si="803"/>
        <v>7.9785000000000012E-3</v>
      </c>
      <c r="JN68" s="530">
        <f t="shared" si="804"/>
        <v>0.74909250000000005</v>
      </c>
      <c r="JO68" s="530">
        <f t="shared" si="805"/>
        <v>8.8650000000000014E-4</v>
      </c>
      <c r="JP68" s="530">
        <f t="shared" si="806"/>
        <v>8.8650000000000014E-4</v>
      </c>
      <c r="JQ68" s="530">
        <f t="shared" si="235"/>
        <v>2.9254500000000003E-2</v>
      </c>
      <c r="JR68" s="530">
        <f t="shared" si="236"/>
        <v>3.6346499999999997E-2</v>
      </c>
      <c r="JS68" s="57">
        <f t="shared" si="807"/>
        <v>4.6098000000000007E-2</v>
      </c>
      <c r="JT68" s="57">
        <f t="shared" si="808"/>
        <v>3.6346499999999997E-2</v>
      </c>
      <c r="JU68" s="57">
        <f t="shared" si="809"/>
        <v>0.75086550000000007</v>
      </c>
      <c r="JV68" s="57">
        <f t="shared" si="810"/>
        <v>8.8650000000000014E-3</v>
      </c>
      <c r="JW68" s="81">
        <f t="shared" si="811"/>
        <v>8.8650000000000014E-3</v>
      </c>
      <c r="JX68" s="57">
        <f t="shared" si="237"/>
        <v>0</v>
      </c>
      <c r="JY68" s="57">
        <f t="shared" si="238"/>
        <v>0</v>
      </c>
      <c r="JZ68" s="530">
        <f t="shared" si="812"/>
        <v>0</v>
      </c>
      <c r="KA68" s="530">
        <f t="shared" si="813"/>
        <v>0</v>
      </c>
      <c r="KB68" s="530">
        <f t="shared" si="814"/>
        <v>0</v>
      </c>
      <c r="KC68" s="530">
        <f t="shared" si="815"/>
        <v>0</v>
      </c>
      <c r="KD68" s="530">
        <f t="shared" si="816"/>
        <v>0</v>
      </c>
      <c r="KE68" s="530">
        <f t="shared" si="239"/>
        <v>0</v>
      </c>
      <c r="KF68" s="530">
        <f t="shared" si="240"/>
        <v>0</v>
      </c>
      <c r="KG68" s="530">
        <f t="shared" si="817"/>
        <v>0</v>
      </c>
      <c r="KH68" s="530">
        <f t="shared" si="818"/>
        <v>0</v>
      </c>
      <c r="KI68" s="530">
        <f t="shared" si="819"/>
        <v>0</v>
      </c>
      <c r="KJ68" s="530">
        <f t="shared" si="820"/>
        <v>0</v>
      </c>
      <c r="KK68" s="518">
        <f t="shared" si="821"/>
        <v>0</v>
      </c>
      <c r="KL68" s="57">
        <f t="shared" si="241"/>
        <v>3.9936765000000006E-2</v>
      </c>
      <c r="KM68" s="57">
        <f t="shared" si="242"/>
        <v>3.2675535000000006E-2</v>
      </c>
      <c r="KN68" s="530">
        <f t="shared" si="822"/>
        <v>6.5351070000000011E-2</v>
      </c>
      <c r="KO68" s="530">
        <f t="shared" si="823"/>
        <v>3.2675535000000006E-2</v>
      </c>
      <c r="KP68" s="530">
        <f t="shared" si="824"/>
        <v>3.0678696749999999</v>
      </c>
      <c r="KQ68" s="530">
        <f t="shared" si="825"/>
        <v>3.6306150000000002E-3</v>
      </c>
      <c r="KR68" s="530">
        <f t="shared" si="826"/>
        <v>3.6306150000000002E-3</v>
      </c>
      <c r="KS68" s="530">
        <f t="shared" si="243"/>
        <v>0.96114149999999998</v>
      </c>
      <c r="KT68" s="530">
        <f t="shared" si="244"/>
        <v>1.1941454999999999</v>
      </c>
      <c r="KU68" s="530">
        <f t="shared" si="827"/>
        <v>1.514526</v>
      </c>
      <c r="KV68" s="530">
        <f t="shared" si="828"/>
        <v>1.1941454999999999</v>
      </c>
      <c r="KW68" s="530">
        <f t="shared" si="829"/>
        <v>24.6692985</v>
      </c>
      <c r="KX68" s="530">
        <f t="shared" si="830"/>
        <v>0.29125499999999999</v>
      </c>
      <c r="KY68" s="87">
        <f t="shared" si="831"/>
        <v>0.29125499999999999</v>
      </c>
      <c r="KZ68" s="57">
        <f t="shared" si="245"/>
        <v>1.6252500000000003E-2</v>
      </c>
      <c r="LA68" s="57">
        <f t="shared" si="246"/>
        <v>1.3297500000000002E-2</v>
      </c>
      <c r="LB68" s="530">
        <f t="shared" si="832"/>
        <v>2.6595000000000004E-2</v>
      </c>
      <c r="LC68" s="530">
        <f t="shared" si="833"/>
        <v>1.3297500000000002E-2</v>
      </c>
      <c r="LD68" s="530">
        <f t="shared" si="834"/>
        <v>1.2484875</v>
      </c>
      <c r="LE68" s="530">
        <f t="shared" si="835"/>
        <v>1.4775000000000001E-3</v>
      </c>
      <c r="LF68" s="530">
        <f t="shared" si="836"/>
        <v>1.4775000000000001E-3</v>
      </c>
      <c r="LG68" s="530">
        <f t="shared" si="247"/>
        <v>4.8757500000000002E-2</v>
      </c>
      <c r="LH68" s="530">
        <f t="shared" si="248"/>
        <v>6.0577499999999992E-2</v>
      </c>
      <c r="LI68" s="57">
        <f t="shared" si="837"/>
        <v>7.6830000000000009E-2</v>
      </c>
      <c r="LJ68" s="57">
        <f t="shared" si="838"/>
        <v>6.0577499999999992E-2</v>
      </c>
      <c r="LK68" s="57">
        <f t="shared" si="839"/>
        <v>1.2514425</v>
      </c>
      <c r="LL68" s="57">
        <f t="shared" si="840"/>
        <v>1.4775E-2</v>
      </c>
      <c r="LM68" s="81">
        <f t="shared" si="841"/>
        <v>1.4775E-2</v>
      </c>
      <c r="LN68" s="57">
        <f t="shared" si="249"/>
        <v>6.2434082533831259E-3</v>
      </c>
      <c r="LO68" s="57">
        <f t="shared" si="250"/>
        <v>1.702747705468125E-3</v>
      </c>
      <c r="LP68" s="530">
        <f t="shared" si="842"/>
        <v>2.8946710992958129E-2</v>
      </c>
      <c r="LQ68" s="530">
        <f t="shared" si="843"/>
        <v>4.6541770616128748E-2</v>
      </c>
      <c r="LR68" s="530">
        <f t="shared" si="844"/>
        <v>4.5406605479150004</v>
      </c>
      <c r="LS68" s="530">
        <f t="shared" si="845"/>
        <v>4.9379683458575623E-2</v>
      </c>
      <c r="LT68" s="530">
        <f t="shared" si="846"/>
        <v>5.67582568489375E-3</v>
      </c>
      <c r="LU68" s="530">
        <f t="shared" si="251"/>
        <v>1.4023378953749999</v>
      </c>
      <c r="LV68" s="530">
        <f t="shared" si="252"/>
        <v>0.70116894768749993</v>
      </c>
      <c r="LW68" s="530">
        <f t="shared" si="847"/>
        <v>1.6360608779375001</v>
      </c>
      <c r="LX68" s="530">
        <f t="shared" si="848"/>
        <v>1.4023378953749999</v>
      </c>
      <c r="LY68" s="530">
        <f t="shared" si="849"/>
        <v>23.115202975431249</v>
      </c>
      <c r="LZ68" s="530">
        <f t="shared" si="850"/>
        <v>0.23372298256249999</v>
      </c>
      <c r="MA68" s="127">
        <f t="shared" si="851"/>
        <v>0.23372298256249999</v>
      </c>
      <c r="MB68" s="57">
        <f t="shared" si="253"/>
        <v>9.7515000000000004E-5</v>
      </c>
      <c r="MC68" s="57">
        <f t="shared" si="254"/>
        <v>2.6594999999999995E-5</v>
      </c>
      <c r="MD68" s="530">
        <f t="shared" si="852"/>
        <v>4.52115E-4</v>
      </c>
      <c r="ME68" s="530">
        <f t="shared" si="853"/>
        <v>7.2692999999999987E-4</v>
      </c>
      <c r="MF68" s="530">
        <f t="shared" si="854"/>
        <v>7.0919999999999997E-2</v>
      </c>
      <c r="MG68" s="530">
        <f t="shared" si="855"/>
        <v>7.7125499999999988E-4</v>
      </c>
      <c r="MH68" s="530">
        <f t="shared" si="856"/>
        <v>8.865E-5</v>
      </c>
      <c r="MI68" s="530">
        <f t="shared" si="255"/>
        <v>5.3189999999999991E-3</v>
      </c>
      <c r="MJ68" s="530">
        <f t="shared" si="256"/>
        <v>2.6594999999999995E-3</v>
      </c>
      <c r="MK68" s="530">
        <f t="shared" si="857"/>
        <v>6.2055000000000001E-3</v>
      </c>
      <c r="ML68" s="530">
        <f t="shared" si="858"/>
        <v>5.3189999999999991E-3</v>
      </c>
      <c r="MM68" s="530">
        <f t="shared" si="859"/>
        <v>8.7674849999999999E-2</v>
      </c>
      <c r="MN68" s="530">
        <f t="shared" si="860"/>
        <v>8.8649999999999992E-4</v>
      </c>
      <c r="MO68" s="127">
        <f t="shared" si="861"/>
        <v>8.8649999999999992E-4</v>
      </c>
      <c r="MP68" s="57">
        <f t="shared" si="257"/>
        <v>4.0514727E-2</v>
      </c>
      <c r="MQ68" s="57">
        <f t="shared" si="258"/>
        <v>1.1049470999999998E-2</v>
      </c>
      <c r="MR68" s="530">
        <f t="shared" si="862"/>
        <v>0.187841007</v>
      </c>
      <c r="MS68" s="530">
        <f t="shared" si="863"/>
        <v>0.30201887399999994</v>
      </c>
      <c r="MT68" s="530">
        <f t="shared" si="864"/>
        <v>29.465256</v>
      </c>
      <c r="MU68" s="530">
        <f t="shared" si="865"/>
        <v>0.32043465899999996</v>
      </c>
      <c r="MV68" s="530">
        <f t="shared" si="866"/>
        <v>3.6831570000000001E-2</v>
      </c>
      <c r="MW68" s="530">
        <f t="shared" si="259"/>
        <v>2.2684031999999998</v>
      </c>
      <c r="MX68" s="530">
        <f t="shared" si="260"/>
        <v>1.1342015999999999</v>
      </c>
      <c r="MY68" s="57">
        <f t="shared" si="867"/>
        <v>2.6464704000000001</v>
      </c>
      <c r="MZ68" s="57">
        <f t="shared" si="868"/>
        <v>2.2684031999999998</v>
      </c>
      <c r="NA68" s="57">
        <f t="shared" si="869"/>
        <v>37.390846080000003</v>
      </c>
      <c r="NB68" s="57">
        <f t="shared" si="870"/>
        <v>0.37806719999999999</v>
      </c>
      <c r="NC68" s="81">
        <f t="shared" si="871"/>
        <v>0.37806719999999999</v>
      </c>
    </row>
    <row r="69" spans="1:376" x14ac:dyDescent="0.25">
      <c r="A69" s="9">
        <v>2014</v>
      </c>
      <c r="B69" s="10">
        <v>0</v>
      </c>
      <c r="C69" s="645">
        <v>0</v>
      </c>
      <c r="D69" s="645">
        <v>170</v>
      </c>
      <c r="E69" s="657">
        <v>170</v>
      </c>
      <c r="F69" s="645">
        <f t="shared" si="1164"/>
        <v>0</v>
      </c>
      <c r="G69" s="467">
        <f t="shared" si="1165"/>
        <v>0</v>
      </c>
      <c r="H69" s="467">
        <f t="shared" si="1100"/>
        <v>167.45</v>
      </c>
      <c r="I69" s="467">
        <f t="shared" si="1101"/>
        <v>167.45</v>
      </c>
      <c r="J69" s="1085">
        <f>'POSF Zone Def'!BQ139</f>
        <v>40.133000000000003</v>
      </c>
      <c r="K69" s="1085">
        <f t="shared" si="734"/>
        <v>40.133000000000003</v>
      </c>
      <c r="L69" s="666">
        <f t="shared" si="751"/>
        <v>167.45</v>
      </c>
      <c r="M69" s="667">
        <f t="shared" si="1102"/>
        <v>167.45</v>
      </c>
      <c r="N69" s="195">
        <v>2E-3</v>
      </c>
      <c r="O69" s="196">
        <v>0</v>
      </c>
      <c r="P69" s="196">
        <v>0</v>
      </c>
      <c r="Q69" s="197">
        <v>6.0000000000000001E-3</v>
      </c>
      <c r="R69" s="48">
        <v>0</v>
      </c>
      <c r="S69" s="48">
        <v>2.7000000000000001E-3</v>
      </c>
      <c r="T69" s="48">
        <v>0</v>
      </c>
      <c r="U69" s="48">
        <v>1.18E-2</v>
      </c>
      <c r="V69" s="118">
        <v>1.0000000000000001E-5</v>
      </c>
      <c r="W69" s="48">
        <v>2.9999999999999997E-4</v>
      </c>
      <c r="X69" s="53">
        <v>0</v>
      </c>
      <c r="Y69" s="53">
        <v>3.1E-2</v>
      </c>
      <c r="Z69" s="487">
        <v>5.2999999999999999E-2</v>
      </c>
      <c r="AA69" s="53">
        <f t="shared" si="147"/>
        <v>0.1</v>
      </c>
      <c r="AB69" s="53">
        <f t="shared" si="148"/>
        <v>0</v>
      </c>
      <c r="AC69" s="53">
        <f t="shared" si="149"/>
        <v>0.9</v>
      </c>
      <c r="AD69" s="56">
        <f t="shared" si="1166"/>
        <v>0</v>
      </c>
      <c r="AE69" s="57">
        <f t="shared" si="1167"/>
        <v>0</v>
      </c>
      <c r="AF69" s="57">
        <f t="shared" si="1168"/>
        <v>0</v>
      </c>
      <c r="AG69" s="57">
        <f t="shared" si="1169"/>
        <v>0</v>
      </c>
      <c r="AH69" s="57">
        <f t="shared" si="1170"/>
        <v>0</v>
      </c>
      <c r="AI69" s="57">
        <f t="shared" si="1171"/>
        <v>0</v>
      </c>
      <c r="AJ69" s="126">
        <f t="shared" si="1103"/>
        <v>1.3563449999999999</v>
      </c>
      <c r="AK69" s="57">
        <f t="shared" si="1104"/>
        <v>1.3563449999999999</v>
      </c>
      <c r="AL69" s="57">
        <f t="shared" si="1105"/>
        <v>0</v>
      </c>
      <c r="AM69" s="57">
        <f t="shared" si="1106"/>
        <v>0</v>
      </c>
      <c r="AN69" s="57">
        <f t="shared" si="1107"/>
        <v>1.0046999999999999</v>
      </c>
      <c r="AO69" s="127">
        <f t="shared" si="1108"/>
        <v>1.0046999999999999</v>
      </c>
      <c r="AP69" s="57">
        <f t="shared" si="1172"/>
        <v>1.3563449999999999</v>
      </c>
      <c r="AQ69" s="57">
        <f t="shared" si="1172"/>
        <v>1.3563449999999999</v>
      </c>
      <c r="AR69" s="57">
        <f t="shared" si="1172"/>
        <v>0</v>
      </c>
      <c r="AS69" s="57">
        <f t="shared" si="1109"/>
        <v>0</v>
      </c>
      <c r="AT69" s="57">
        <f t="shared" si="1109"/>
        <v>1.0046999999999999</v>
      </c>
      <c r="AU69" s="87">
        <f t="shared" si="1109"/>
        <v>1.0046999999999999</v>
      </c>
      <c r="AV69" s="56">
        <f t="shared" si="1110"/>
        <v>0</v>
      </c>
      <c r="AW69" s="57">
        <f t="shared" si="1111"/>
        <v>0</v>
      </c>
      <c r="AX69" s="57">
        <f t="shared" si="1112"/>
        <v>0</v>
      </c>
      <c r="AY69" s="57">
        <f t="shared" si="1113"/>
        <v>0</v>
      </c>
      <c r="AZ69" s="57">
        <f t="shared" si="1114"/>
        <v>0</v>
      </c>
      <c r="BA69" s="57">
        <f t="shared" si="1115"/>
        <v>0</v>
      </c>
      <c r="BB69" s="126">
        <f t="shared" si="1116"/>
        <v>0</v>
      </c>
      <c r="BC69" s="57">
        <f t="shared" si="1117"/>
        <v>0</v>
      </c>
      <c r="BD69" s="57">
        <f t="shared" si="1118"/>
        <v>0.90422999999999998</v>
      </c>
      <c r="BE69" s="57">
        <f t="shared" si="1119"/>
        <v>0.90422999999999998</v>
      </c>
      <c r="BF69" s="57">
        <f t="shared" si="1120"/>
        <v>1.6744999999999999</v>
      </c>
      <c r="BG69" s="57">
        <f t="shared" si="1121"/>
        <v>1.6744999999999999</v>
      </c>
      <c r="BH69" s="57">
        <f t="shared" si="1122"/>
        <v>0</v>
      </c>
      <c r="BI69" s="57">
        <f t="shared" si="1122"/>
        <v>0</v>
      </c>
      <c r="BJ69" s="57">
        <f t="shared" si="1122"/>
        <v>0.90422999999999998</v>
      </c>
      <c r="BK69" s="57">
        <f t="shared" si="1122"/>
        <v>0.90422999999999998</v>
      </c>
      <c r="BL69" s="57">
        <f t="shared" si="1122"/>
        <v>1.6744999999999999</v>
      </c>
      <c r="BM69" s="57">
        <f t="shared" si="1122"/>
        <v>1.6744999999999999</v>
      </c>
      <c r="BN69" s="56">
        <f t="shared" si="1123"/>
        <v>0</v>
      </c>
      <c r="BO69" s="57">
        <f t="shared" si="1124"/>
        <v>0</v>
      </c>
      <c r="BP69" s="57">
        <f t="shared" si="1125"/>
        <v>0</v>
      </c>
      <c r="BQ69" s="57">
        <f t="shared" si="1126"/>
        <v>0</v>
      </c>
      <c r="BR69" s="57">
        <f t="shared" si="1127"/>
        <v>0</v>
      </c>
      <c r="BS69" s="57">
        <f t="shared" si="1128"/>
        <v>0</v>
      </c>
      <c r="BT69" s="126">
        <f t="shared" si="1129"/>
        <v>6.698E-3</v>
      </c>
      <c r="BU69" s="57">
        <f t="shared" si="1130"/>
        <v>6.698E-3</v>
      </c>
      <c r="BV69" s="57">
        <f t="shared" si="1131"/>
        <v>0.10046999999999999</v>
      </c>
      <c r="BW69" s="57">
        <f t="shared" si="1132"/>
        <v>0.10046999999999999</v>
      </c>
      <c r="BX69" s="57">
        <f t="shared" si="1133"/>
        <v>1.8419499999999998</v>
      </c>
      <c r="BY69" s="57">
        <f t="shared" si="1134"/>
        <v>1.8419499999999998</v>
      </c>
      <c r="BZ69" s="126">
        <f t="shared" si="1135"/>
        <v>6.698E-3</v>
      </c>
      <c r="CA69" s="57">
        <f t="shared" si="1135"/>
        <v>6.698E-3</v>
      </c>
      <c r="CB69" s="57">
        <f t="shared" si="1135"/>
        <v>0.10046999999999999</v>
      </c>
      <c r="CC69" s="57">
        <f t="shared" si="1135"/>
        <v>0.10046999999999999</v>
      </c>
      <c r="CD69" s="57">
        <f t="shared" si="1135"/>
        <v>1.8419499999999998</v>
      </c>
      <c r="CE69" s="518">
        <f t="shared" si="1135"/>
        <v>1.8419499999999998</v>
      </c>
      <c r="CF69" s="57">
        <f t="shared" si="173"/>
        <v>4.0133000000000001</v>
      </c>
      <c r="CG69" s="57">
        <f t="shared" si="1173"/>
        <v>4.0133000000000001</v>
      </c>
      <c r="CH69" s="57">
        <f t="shared" si="175"/>
        <v>0</v>
      </c>
      <c r="CI69" s="57">
        <f t="shared" si="1174"/>
        <v>0</v>
      </c>
      <c r="CJ69" s="57">
        <f t="shared" si="176"/>
        <v>36.119700000000002</v>
      </c>
      <c r="CK69" s="57">
        <f t="shared" si="1175"/>
        <v>36.119700000000002</v>
      </c>
      <c r="CL69" s="3"/>
      <c r="CM69" s="59">
        <f t="shared" si="1083"/>
        <v>0</v>
      </c>
      <c r="CN69" s="62">
        <f t="shared" si="1136"/>
        <v>0</v>
      </c>
      <c r="CO69" s="128">
        <f t="shared" si="1137"/>
        <v>118.44214999999997</v>
      </c>
      <c r="CP69" s="129">
        <f t="shared" si="1138"/>
        <v>118.44214999999997</v>
      </c>
      <c r="CQ69" s="62">
        <f t="shared" si="1176"/>
        <v>118.44214999999997</v>
      </c>
      <c r="CR69" s="60">
        <f t="shared" si="1176"/>
        <v>118.44214999999997</v>
      </c>
      <c r="CS69" s="33">
        <v>0</v>
      </c>
      <c r="CT69" s="34">
        <v>0</v>
      </c>
      <c r="CU69" s="34">
        <v>1</v>
      </c>
      <c r="CV69" s="35">
        <f t="shared" si="1177"/>
        <v>0</v>
      </c>
      <c r="CW69" s="36">
        <f t="shared" si="1178"/>
        <v>0</v>
      </c>
      <c r="CX69" s="37">
        <f t="shared" si="1179"/>
        <v>0</v>
      </c>
      <c r="CY69" s="57">
        <f t="shared" si="1180"/>
        <v>0</v>
      </c>
      <c r="CZ69" s="127">
        <f t="shared" si="1181"/>
        <v>0</v>
      </c>
      <c r="DA69" s="37">
        <f t="shared" si="1139"/>
        <v>82.909504999999967</v>
      </c>
      <c r="DB69" s="37">
        <f t="shared" si="1140"/>
        <v>82.909504999999967</v>
      </c>
      <c r="DC69" s="37">
        <f t="shared" si="1141"/>
        <v>0</v>
      </c>
      <c r="DD69" s="142">
        <f t="shared" si="1142"/>
        <v>0</v>
      </c>
      <c r="DE69" s="37">
        <f t="shared" si="768"/>
        <v>82.909504999999967</v>
      </c>
      <c r="DF69" s="37">
        <f t="shared" si="1182"/>
        <v>82.909504999999967</v>
      </c>
      <c r="DG69" s="37">
        <f t="shared" si="1183"/>
        <v>0</v>
      </c>
      <c r="DH69" s="39">
        <f t="shared" si="1184"/>
        <v>0</v>
      </c>
      <c r="DJ69" s="496">
        <v>1</v>
      </c>
      <c r="DK69" s="496">
        <v>0.3</v>
      </c>
      <c r="DL69" s="37">
        <f t="shared" si="1143"/>
        <v>0</v>
      </c>
      <c r="DM69" s="37">
        <f t="shared" si="1144"/>
        <v>0</v>
      </c>
      <c r="DN69" s="37">
        <f t="shared" si="1084"/>
        <v>35.532644999999988</v>
      </c>
      <c r="DO69" s="37">
        <f t="shared" si="1085"/>
        <v>35.532644999999988</v>
      </c>
      <c r="DP69" s="33">
        <v>1</v>
      </c>
      <c r="DQ69" s="34">
        <v>0.1</v>
      </c>
      <c r="DR69" s="34">
        <v>0.5</v>
      </c>
      <c r="DS69" s="681">
        <f t="shared" si="185"/>
        <v>0.1</v>
      </c>
      <c r="DT69" s="78">
        <f t="shared" si="186"/>
        <v>1</v>
      </c>
      <c r="DU69" s="34">
        <v>0</v>
      </c>
      <c r="DV69" s="34">
        <v>1</v>
      </c>
      <c r="DW69" s="34">
        <v>0</v>
      </c>
      <c r="DX69" s="34">
        <v>0</v>
      </c>
      <c r="DY69" s="34">
        <v>1</v>
      </c>
      <c r="DZ69" s="34">
        <v>0</v>
      </c>
      <c r="EA69" s="85">
        <f t="shared" si="888"/>
        <v>0</v>
      </c>
      <c r="EB69" s="57">
        <f t="shared" si="1185"/>
        <v>0</v>
      </c>
      <c r="EC69" s="57">
        <f t="shared" si="889"/>
        <v>0</v>
      </c>
      <c r="ED69" s="57">
        <f t="shared" si="1186"/>
        <v>0</v>
      </c>
      <c r="EE69" s="57">
        <f t="shared" si="890"/>
        <v>0</v>
      </c>
      <c r="EF69" s="57">
        <f t="shared" si="1187"/>
        <v>0</v>
      </c>
      <c r="EG69" s="126">
        <f t="shared" si="1145"/>
        <v>0</v>
      </c>
      <c r="EH69" s="57">
        <f t="shared" si="1146"/>
        <v>0</v>
      </c>
      <c r="EI69" s="57">
        <f t="shared" si="1147"/>
        <v>3.2669789999999992</v>
      </c>
      <c r="EJ69" s="57">
        <f t="shared" si="1148"/>
        <v>32.669789999999992</v>
      </c>
      <c r="EK69" s="57">
        <f t="shared" si="1149"/>
        <v>0</v>
      </c>
      <c r="EL69" s="127">
        <f t="shared" si="1150"/>
        <v>0</v>
      </c>
      <c r="EM69" s="57">
        <f t="shared" si="193"/>
        <v>3.2669789999999992</v>
      </c>
      <c r="EN69" s="81">
        <f t="shared" si="194"/>
        <v>32.669789999999992</v>
      </c>
      <c r="EP69" s="85">
        <f t="shared" si="769"/>
        <v>0</v>
      </c>
      <c r="EQ69" s="57">
        <f t="shared" si="1151"/>
        <v>0</v>
      </c>
      <c r="ER69" s="57">
        <f t="shared" si="770"/>
        <v>0</v>
      </c>
      <c r="ES69" s="57">
        <f t="shared" si="1152"/>
        <v>0</v>
      </c>
      <c r="ET69" s="57">
        <f t="shared" si="771"/>
        <v>0</v>
      </c>
      <c r="EU69" s="127">
        <f t="shared" si="1153"/>
        <v>0</v>
      </c>
      <c r="EV69" s="126">
        <f t="shared" si="1086"/>
        <v>6.698E-3</v>
      </c>
      <c r="EW69" s="57">
        <f t="shared" si="1087"/>
        <v>6.698E-3</v>
      </c>
      <c r="EX69" s="57">
        <f t="shared" si="1088"/>
        <v>0.10046999999999999</v>
      </c>
      <c r="EY69" s="57">
        <f t="shared" si="1089"/>
        <v>0.10046999999999999</v>
      </c>
      <c r="EZ69" s="57">
        <f t="shared" si="1090"/>
        <v>1.8419499999999998</v>
      </c>
      <c r="FA69" s="87">
        <f t="shared" si="1091"/>
        <v>1.8419499999999998</v>
      </c>
      <c r="FB69" s="36">
        <f t="shared" si="1188"/>
        <v>0</v>
      </c>
      <c r="FC69" s="37">
        <f t="shared" si="1189"/>
        <v>0</v>
      </c>
      <c r="FD69" s="57">
        <f t="shared" si="1154"/>
        <v>82.909504999999967</v>
      </c>
      <c r="FE69" s="37">
        <f t="shared" si="1155"/>
        <v>82.909504999999967</v>
      </c>
      <c r="FF69" s="36">
        <f t="shared" si="772"/>
        <v>0</v>
      </c>
      <c r="FG69" s="37">
        <f t="shared" si="1156"/>
        <v>0</v>
      </c>
      <c r="FH69" s="37">
        <f t="shared" si="1157"/>
        <v>0</v>
      </c>
      <c r="FI69" s="37">
        <f t="shared" si="1158"/>
        <v>0</v>
      </c>
      <c r="FJ69" s="33">
        <v>1</v>
      </c>
      <c r="FK69" s="34">
        <v>0.2</v>
      </c>
      <c r="FL69" s="502">
        <v>0.8</v>
      </c>
      <c r="FM69" s="34">
        <v>0.1</v>
      </c>
      <c r="FN69" s="502">
        <v>0.5</v>
      </c>
      <c r="FO69" s="34">
        <f t="shared" si="200"/>
        <v>0.1</v>
      </c>
      <c r="FP69" s="34">
        <f t="shared" si="201"/>
        <v>1</v>
      </c>
      <c r="FQ69" s="34">
        <v>1</v>
      </c>
      <c r="FR69" s="34">
        <v>0</v>
      </c>
      <c r="FS69" s="90">
        <f t="shared" si="202"/>
        <v>1E-3</v>
      </c>
      <c r="FT69" s="34">
        <f t="shared" si="203"/>
        <v>0.05</v>
      </c>
      <c r="FU69" s="33">
        <v>0.05</v>
      </c>
      <c r="FV69" s="35">
        <f t="shared" si="25"/>
        <v>2.4224999999999997E-2</v>
      </c>
      <c r="FW69" s="34">
        <v>0.1</v>
      </c>
      <c r="FX69" s="78">
        <f t="shared" si="26"/>
        <v>9.0000000000000011E-2</v>
      </c>
      <c r="FY69" s="33">
        <v>0.45</v>
      </c>
      <c r="FZ69" s="35">
        <f t="shared" si="1092"/>
        <v>1.4025000000000001E-2</v>
      </c>
      <c r="GA69" s="34">
        <v>0.45</v>
      </c>
      <c r="GB69" s="78">
        <f t="shared" si="1093"/>
        <v>5.5000000000000007E-2</v>
      </c>
      <c r="GC69" s="85">
        <f t="shared" si="773"/>
        <v>0</v>
      </c>
      <c r="GD69" s="57">
        <f t="shared" si="1159"/>
        <v>0</v>
      </c>
      <c r="GE69" s="57">
        <f t="shared" si="774"/>
        <v>0</v>
      </c>
      <c r="GF69" s="57">
        <f t="shared" si="1160"/>
        <v>0</v>
      </c>
      <c r="GG69" s="57">
        <f t="shared" si="1190"/>
        <v>0</v>
      </c>
      <c r="GH69" s="127">
        <f t="shared" si="1191"/>
        <v>0</v>
      </c>
      <c r="GI69" s="57">
        <f t="shared" si="1094"/>
        <v>6.698E-3</v>
      </c>
      <c r="GJ69" s="57">
        <f t="shared" si="1095"/>
        <v>6.698E-3</v>
      </c>
      <c r="GK69" s="57">
        <f t="shared" si="1096"/>
        <v>0.10046999999999999</v>
      </c>
      <c r="GL69" s="57">
        <f t="shared" si="1097"/>
        <v>0.10046999999999999</v>
      </c>
      <c r="GM69" s="57">
        <f t="shared" si="1098"/>
        <v>0.36839</v>
      </c>
      <c r="GN69" s="127">
        <f t="shared" si="1099"/>
        <v>1.47356</v>
      </c>
      <c r="GO69" s="57">
        <f t="shared" si="208"/>
        <v>0.47555799999999998</v>
      </c>
      <c r="GP69" s="87">
        <f t="shared" si="209"/>
        <v>1.5807279999999999</v>
      </c>
      <c r="GQ69" s="37">
        <f t="shared" si="891"/>
        <v>0</v>
      </c>
      <c r="GR69" s="37">
        <f t="shared" si="892"/>
        <v>0</v>
      </c>
      <c r="GS69" s="57">
        <f t="shared" si="1031"/>
        <v>0</v>
      </c>
      <c r="GT69" s="57">
        <f t="shared" si="1032"/>
        <v>0</v>
      </c>
      <c r="GU69" s="57">
        <f t="shared" si="1033"/>
        <v>0</v>
      </c>
      <c r="GV69" s="127">
        <f t="shared" si="1034"/>
        <v>0</v>
      </c>
      <c r="GW69" s="37">
        <f t="shared" si="1162"/>
        <v>1.9236041528812495</v>
      </c>
      <c r="GX69" s="37">
        <f t="shared" si="1163"/>
        <v>20.934650012499993</v>
      </c>
      <c r="GY69" s="37">
        <f t="shared" si="1192"/>
        <v>3.2208636250000001E-3</v>
      </c>
      <c r="GZ69" s="37">
        <f t="shared" si="1193"/>
        <v>1.6104318124999999</v>
      </c>
      <c r="HA69" s="37">
        <f t="shared" si="1194"/>
        <v>0</v>
      </c>
      <c r="HB69" s="142">
        <f t="shared" si="1195"/>
        <v>0</v>
      </c>
      <c r="HC69" s="57">
        <f t="shared" si="212"/>
        <v>1.9268250165062495</v>
      </c>
      <c r="HD69" s="39">
        <f t="shared" si="213"/>
        <v>22.545081824999993</v>
      </c>
      <c r="HE69" s="527"/>
      <c r="HF69" s="530">
        <f t="shared" si="775"/>
        <v>1.3563449999999999</v>
      </c>
      <c r="HG69" s="530">
        <f t="shared" si="776"/>
        <v>1.3563449999999999</v>
      </c>
      <c r="HH69" s="530">
        <f t="shared" si="777"/>
        <v>0</v>
      </c>
      <c r="HI69" s="530">
        <f t="shared" si="778"/>
        <v>0</v>
      </c>
      <c r="HJ69" s="530">
        <f t="shared" si="779"/>
        <v>1.0046999999999999</v>
      </c>
      <c r="HK69" s="531">
        <f t="shared" si="780"/>
        <v>1.0046999999999999</v>
      </c>
      <c r="HL69" s="530">
        <f t="shared" si="781"/>
        <v>0</v>
      </c>
      <c r="HM69" s="530">
        <f t="shared" si="782"/>
        <v>0</v>
      </c>
      <c r="HN69" s="530">
        <f t="shared" si="783"/>
        <v>4.1712089999999993</v>
      </c>
      <c r="HO69" s="530">
        <f t="shared" si="784"/>
        <v>33.57401999999999</v>
      </c>
      <c r="HP69" s="530">
        <f t="shared" si="785"/>
        <v>1.6744999999999999</v>
      </c>
      <c r="HQ69" s="531">
        <f t="shared" si="786"/>
        <v>1.6744999999999999</v>
      </c>
      <c r="HR69" s="530">
        <f t="shared" si="214"/>
        <v>5.9436021528812493</v>
      </c>
      <c r="HS69" s="530">
        <f t="shared" si="787"/>
        <v>26.565079824999994</v>
      </c>
      <c r="HT69" s="530">
        <f t="shared" si="788"/>
        <v>0.10046999999999999</v>
      </c>
      <c r="HU69" s="530">
        <f t="shared" si="789"/>
        <v>0.10046999999999999</v>
      </c>
      <c r="HV69" s="530">
        <f t="shared" si="790"/>
        <v>36.48809</v>
      </c>
      <c r="HW69" s="531">
        <f t="shared" si="791"/>
        <v>37.593260000000001</v>
      </c>
      <c r="IG69" s="560"/>
      <c r="IH69" s="530">
        <f t="shared" si="215"/>
        <v>1.4919795000000001E-2</v>
      </c>
      <c r="II69" s="530">
        <f t="shared" si="216"/>
        <v>1.2207105000000001E-2</v>
      </c>
      <c r="IJ69" s="530">
        <f t="shared" si="217"/>
        <v>2.4414210000000002E-2</v>
      </c>
      <c r="IK69" s="530">
        <f t="shared" si="893"/>
        <v>1.2207105000000001E-2</v>
      </c>
      <c r="IL69" s="530">
        <f t="shared" si="894"/>
        <v>1.1461115249999998</v>
      </c>
      <c r="IM69" s="530">
        <f t="shared" si="895"/>
        <v>1.3563449999999999E-3</v>
      </c>
      <c r="IN69" s="530">
        <f t="shared" si="896"/>
        <v>1.3563449999999999E-3</v>
      </c>
      <c r="IO69" s="530">
        <f t="shared" si="222"/>
        <v>4.4759384999999999E-2</v>
      </c>
      <c r="IP69" s="530">
        <f t="shared" si="223"/>
        <v>5.5610144999999993E-2</v>
      </c>
      <c r="IQ69" s="530">
        <f t="shared" si="897"/>
        <v>7.0529939999999999E-2</v>
      </c>
      <c r="IR69" s="530">
        <f t="shared" si="898"/>
        <v>5.5610144999999993E-2</v>
      </c>
      <c r="IS69" s="530">
        <f t="shared" si="899"/>
        <v>1.1488242149999999</v>
      </c>
      <c r="IT69" s="530">
        <f t="shared" si="900"/>
        <v>1.3563449999999999E-2</v>
      </c>
      <c r="IU69" s="518">
        <f t="shared" si="901"/>
        <v>1.3563449999999999E-2</v>
      </c>
      <c r="IV69" s="57">
        <f t="shared" si="229"/>
        <v>0</v>
      </c>
      <c r="IW69" s="57">
        <f t="shared" si="230"/>
        <v>0</v>
      </c>
      <c r="IX69" s="530">
        <f t="shared" si="792"/>
        <v>0</v>
      </c>
      <c r="IY69" s="530">
        <f t="shared" si="793"/>
        <v>0</v>
      </c>
      <c r="IZ69" s="530">
        <f t="shared" si="794"/>
        <v>0</v>
      </c>
      <c r="JA69" s="530">
        <f t="shared" si="795"/>
        <v>0</v>
      </c>
      <c r="JB69" s="530">
        <f t="shared" si="796"/>
        <v>0</v>
      </c>
      <c r="JC69" s="530">
        <f t="shared" si="231"/>
        <v>0</v>
      </c>
      <c r="JD69" s="530">
        <f t="shared" si="232"/>
        <v>0</v>
      </c>
      <c r="JE69" s="530">
        <f t="shared" si="797"/>
        <v>0</v>
      </c>
      <c r="JF69" s="530">
        <f t="shared" si="798"/>
        <v>0</v>
      </c>
      <c r="JG69" s="530">
        <f t="shared" si="799"/>
        <v>0</v>
      </c>
      <c r="JH69" s="530">
        <f t="shared" si="800"/>
        <v>0</v>
      </c>
      <c r="JI69" s="87">
        <f t="shared" si="801"/>
        <v>0</v>
      </c>
      <c r="JJ69" s="57">
        <f t="shared" si="233"/>
        <v>1.1051700000000001E-2</v>
      </c>
      <c r="JK69" s="57">
        <f t="shared" si="234"/>
        <v>9.0422999999999996E-3</v>
      </c>
      <c r="JL69" s="530">
        <f t="shared" si="802"/>
        <v>1.8084599999999999E-2</v>
      </c>
      <c r="JM69" s="530">
        <f t="shared" si="803"/>
        <v>9.0422999999999996E-3</v>
      </c>
      <c r="JN69" s="530">
        <f t="shared" si="804"/>
        <v>0.84897149999999988</v>
      </c>
      <c r="JO69" s="530">
        <f t="shared" si="805"/>
        <v>1.0046999999999999E-3</v>
      </c>
      <c r="JP69" s="530">
        <f t="shared" si="806"/>
        <v>1.0046999999999999E-3</v>
      </c>
      <c r="JQ69" s="530">
        <f t="shared" si="235"/>
        <v>3.31551E-2</v>
      </c>
      <c r="JR69" s="530">
        <f t="shared" si="236"/>
        <v>4.1192699999999992E-2</v>
      </c>
      <c r="JS69" s="57">
        <f t="shared" si="807"/>
        <v>5.2244400000000003E-2</v>
      </c>
      <c r="JT69" s="57">
        <f t="shared" si="808"/>
        <v>4.1192699999999992E-2</v>
      </c>
      <c r="JU69" s="57">
        <f t="shared" si="809"/>
        <v>0.85098089999999993</v>
      </c>
      <c r="JV69" s="57">
        <f t="shared" si="810"/>
        <v>1.0046999999999999E-2</v>
      </c>
      <c r="JW69" s="81">
        <f t="shared" si="811"/>
        <v>1.0046999999999999E-2</v>
      </c>
      <c r="JX69" s="57">
        <f t="shared" si="237"/>
        <v>0</v>
      </c>
      <c r="JY69" s="57">
        <f t="shared" si="238"/>
        <v>0</v>
      </c>
      <c r="JZ69" s="530">
        <f t="shared" si="812"/>
        <v>0</v>
      </c>
      <c r="KA69" s="530">
        <f t="shared" si="813"/>
        <v>0</v>
      </c>
      <c r="KB69" s="530">
        <f t="shared" si="814"/>
        <v>0</v>
      </c>
      <c r="KC69" s="530">
        <f t="shared" si="815"/>
        <v>0</v>
      </c>
      <c r="KD69" s="530">
        <f t="shared" si="816"/>
        <v>0</v>
      </c>
      <c r="KE69" s="530">
        <f t="shared" si="239"/>
        <v>0</v>
      </c>
      <c r="KF69" s="530">
        <f t="shared" si="240"/>
        <v>0</v>
      </c>
      <c r="KG69" s="530">
        <f t="shared" si="817"/>
        <v>0</v>
      </c>
      <c r="KH69" s="530">
        <f t="shared" si="818"/>
        <v>0</v>
      </c>
      <c r="KI69" s="530">
        <f t="shared" si="819"/>
        <v>0</v>
      </c>
      <c r="KJ69" s="530">
        <f t="shared" si="820"/>
        <v>0</v>
      </c>
      <c r="KK69" s="518">
        <f t="shared" si="821"/>
        <v>0</v>
      </c>
      <c r="KL69" s="57">
        <f t="shared" si="241"/>
        <v>4.5883298999999995E-2</v>
      </c>
      <c r="KM69" s="57">
        <f t="shared" si="242"/>
        <v>3.7540880999999998E-2</v>
      </c>
      <c r="KN69" s="530">
        <f t="shared" si="822"/>
        <v>7.5081761999999996E-2</v>
      </c>
      <c r="KO69" s="530">
        <f t="shared" si="823"/>
        <v>3.7540880999999998E-2</v>
      </c>
      <c r="KP69" s="530">
        <f t="shared" si="824"/>
        <v>3.5246716049999991</v>
      </c>
      <c r="KQ69" s="530">
        <f t="shared" si="825"/>
        <v>4.1712089999999995E-3</v>
      </c>
      <c r="KR69" s="530">
        <f t="shared" si="826"/>
        <v>4.1712089999999995E-3</v>
      </c>
      <c r="KS69" s="530">
        <f t="shared" si="243"/>
        <v>1.1079426599999997</v>
      </c>
      <c r="KT69" s="530">
        <f t="shared" si="244"/>
        <v>1.3765348199999994</v>
      </c>
      <c r="KU69" s="530">
        <f t="shared" si="827"/>
        <v>1.7458490399999997</v>
      </c>
      <c r="KV69" s="530">
        <f t="shared" si="828"/>
        <v>1.3765348199999994</v>
      </c>
      <c r="KW69" s="530">
        <f t="shared" si="829"/>
        <v>28.437194939999991</v>
      </c>
      <c r="KX69" s="530">
        <f t="shared" si="830"/>
        <v>0.33574019999999993</v>
      </c>
      <c r="KY69" s="87">
        <f t="shared" si="831"/>
        <v>0.33574019999999993</v>
      </c>
      <c r="KZ69" s="57">
        <f t="shared" si="245"/>
        <v>1.8419500000000002E-2</v>
      </c>
      <c r="LA69" s="57">
        <f t="shared" si="246"/>
        <v>1.5070500000000001E-2</v>
      </c>
      <c r="LB69" s="530">
        <f t="shared" si="832"/>
        <v>3.0141000000000001E-2</v>
      </c>
      <c r="LC69" s="530">
        <f t="shared" si="833"/>
        <v>1.5070500000000001E-2</v>
      </c>
      <c r="LD69" s="530">
        <f t="shared" si="834"/>
        <v>1.4149524999999998</v>
      </c>
      <c r="LE69" s="530">
        <f t="shared" si="835"/>
        <v>1.6745E-3</v>
      </c>
      <c r="LF69" s="530">
        <f t="shared" si="836"/>
        <v>1.6745E-3</v>
      </c>
      <c r="LG69" s="530">
        <f t="shared" si="247"/>
        <v>5.5258499999999995E-2</v>
      </c>
      <c r="LH69" s="530">
        <f t="shared" si="248"/>
        <v>6.8654499999999979E-2</v>
      </c>
      <c r="LI69" s="57">
        <f t="shared" si="837"/>
        <v>8.7073999999999999E-2</v>
      </c>
      <c r="LJ69" s="57">
        <f t="shared" si="838"/>
        <v>6.8654499999999979E-2</v>
      </c>
      <c r="LK69" s="57">
        <f t="shared" si="839"/>
        <v>1.4183014999999999</v>
      </c>
      <c r="LL69" s="57">
        <f t="shared" si="840"/>
        <v>1.6744999999999999E-2</v>
      </c>
      <c r="LM69" s="81">
        <f t="shared" si="841"/>
        <v>1.6744999999999999E-2</v>
      </c>
      <c r="LN69" s="57">
        <f t="shared" si="249"/>
        <v>6.5379623681693748E-3</v>
      </c>
      <c r="LO69" s="57">
        <f t="shared" si="250"/>
        <v>1.7830806458643746E-3</v>
      </c>
      <c r="LP69" s="530">
        <f t="shared" si="842"/>
        <v>3.0312370979694372E-2</v>
      </c>
      <c r="LQ69" s="530">
        <f t="shared" si="843"/>
        <v>4.8737537653626241E-2</v>
      </c>
      <c r="LR69" s="530">
        <f t="shared" si="844"/>
        <v>4.7548817223049999</v>
      </c>
      <c r="LS69" s="530">
        <f t="shared" si="845"/>
        <v>5.1709338730066862E-2</v>
      </c>
      <c r="LT69" s="530">
        <f t="shared" si="846"/>
        <v>5.9436021528812494E-3</v>
      </c>
      <c r="LU69" s="530">
        <f t="shared" si="251"/>
        <v>1.5939047894999996</v>
      </c>
      <c r="LV69" s="530">
        <f t="shared" si="252"/>
        <v>0.79695239474999979</v>
      </c>
      <c r="LW69" s="530">
        <f t="shared" si="847"/>
        <v>1.8595555877499998</v>
      </c>
      <c r="LX69" s="530">
        <f t="shared" si="848"/>
        <v>1.5939047894999996</v>
      </c>
      <c r="LY69" s="530">
        <f t="shared" si="849"/>
        <v>26.272863946924996</v>
      </c>
      <c r="LZ69" s="530">
        <f t="shared" si="850"/>
        <v>0.26565079824999993</v>
      </c>
      <c r="MA69" s="127">
        <f t="shared" si="851"/>
        <v>0.26565079824999993</v>
      </c>
      <c r="MB69" s="57">
        <f t="shared" si="253"/>
        <v>1.10517E-4</v>
      </c>
      <c r="MC69" s="57">
        <f t="shared" si="254"/>
        <v>3.0140999999999995E-5</v>
      </c>
      <c r="MD69" s="530">
        <f t="shared" si="852"/>
        <v>5.1239699999999994E-4</v>
      </c>
      <c r="ME69" s="530">
        <f t="shared" si="853"/>
        <v>8.2385399999999984E-4</v>
      </c>
      <c r="MF69" s="530">
        <f t="shared" si="854"/>
        <v>8.0376000000000003E-2</v>
      </c>
      <c r="MG69" s="530">
        <f t="shared" si="855"/>
        <v>8.7408899999999988E-4</v>
      </c>
      <c r="MH69" s="530">
        <f t="shared" si="856"/>
        <v>1.0046999999999999E-4</v>
      </c>
      <c r="MI69" s="530">
        <f t="shared" si="255"/>
        <v>6.0281999999999992E-3</v>
      </c>
      <c r="MJ69" s="530">
        <f t="shared" si="256"/>
        <v>3.0140999999999996E-3</v>
      </c>
      <c r="MK69" s="530">
        <f t="shared" si="857"/>
        <v>7.0328999999999999E-3</v>
      </c>
      <c r="ML69" s="530">
        <f t="shared" si="858"/>
        <v>6.0281999999999992E-3</v>
      </c>
      <c r="MM69" s="530">
        <f t="shared" si="859"/>
        <v>9.9364830000000001E-2</v>
      </c>
      <c r="MN69" s="530">
        <f t="shared" si="860"/>
        <v>1.0046999999999999E-3</v>
      </c>
      <c r="MO69" s="127">
        <f t="shared" si="861"/>
        <v>1.0046999999999999E-3</v>
      </c>
      <c r="MP69" s="57">
        <f t="shared" si="257"/>
        <v>4.0136899000000004E-2</v>
      </c>
      <c r="MQ69" s="57">
        <f t="shared" si="258"/>
        <v>1.0946426999999998E-2</v>
      </c>
      <c r="MR69" s="530">
        <f t="shared" si="862"/>
        <v>0.18608925900000001</v>
      </c>
      <c r="MS69" s="530">
        <f t="shared" si="863"/>
        <v>0.29920233799999996</v>
      </c>
      <c r="MT69" s="530">
        <f t="shared" si="864"/>
        <v>29.190472</v>
      </c>
      <c r="MU69" s="530">
        <f t="shared" si="865"/>
        <v>0.317446383</v>
      </c>
      <c r="MV69" s="530">
        <f t="shared" si="866"/>
        <v>3.6488090000000001E-2</v>
      </c>
      <c r="MW69" s="530">
        <f t="shared" si="259"/>
        <v>2.2555955999999999</v>
      </c>
      <c r="MX69" s="530">
        <f t="shared" si="260"/>
        <v>1.1277978</v>
      </c>
      <c r="MY69" s="57">
        <f t="shared" si="867"/>
        <v>2.6315282000000004</v>
      </c>
      <c r="MZ69" s="57">
        <f t="shared" si="868"/>
        <v>2.2555955999999999</v>
      </c>
      <c r="NA69" s="57">
        <f t="shared" si="869"/>
        <v>37.179734140000008</v>
      </c>
      <c r="NB69" s="57">
        <f t="shared" si="870"/>
        <v>0.37593260000000001</v>
      </c>
      <c r="NC69" s="81">
        <f t="shared" si="871"/>
        <v>0.37593260000000001</v>
      </c>
    </row>
    <row r="70" spans="1:376" x14ac:dyDescent="0.25">
      <c r="A70" s="9">
        <v>2015</v>
      </c>
      <c r="B70" s="10">
        <v>0</v>
      </c>
      <c r="C70" s="645">
        <v>0</v>
      </c>
      <c r="D70" s="645">
        <v>170</v>
      </c>
      <c r="E70" s="657">
        <v>170</v>
      </c>
      <c r="F70" s="645">
        <f t="shared" si="1164"/>
        <v>0</v>
      </c>
      <c r="G70" s="467">
        <f t="shared" si="1165"/>
        <v>0</v>
      </c>
      <c r="H70" s="467">
        <f t="shared" si="1100"/>
        <v>167.45</v>
      </c>
      <c r="I70" s="467">
        <f t="shared" si="1101"/>
        <v>167.45</v>
      </c>
      <c r="J70" s="1085">
        <f>'POSF Zone Def'!BQ140</f>
        <v>39.703300000000006</v>
      </c>
      <c r="K70" s="1085">
        <f t="shared" si="734"/>
        <v>39.703300000000006</v>
      </c>
      <c r="L70" s="467">
        <f t="shared" si="751"/>
        <v>167.45</v>
      </c>
      <c r="M70" s="16">
        <f t="shared" si="1102"/>
        <v>167.45</v>
      </c>
      <c r="N70" s="195">
        <v>2E-3</v>
      </c>
      <c r="O70" s="196">
        <v>0</v>
      </c>
      <c r="P70" s="196">
        <v>0</v>
      </c>
      <c r="Q70" s="197">
        <v>6.0000000000000001E-3</v>
      </c>
      <c r="R70" s="48">
        <v>0</v>
      </c>
      <c r="S70" s="48">
        <v>2.7000000000000001E-3</v>
      </c>
      <c r="T70" s="48">
        <v>0</v>
      </c>
      <c r="U70" s="48">
        <v>1.18E-2</v>
      </c>
      <c r="V70" s="118">
        <v>1.0000000000000001E-5</v>
      </c>
      <c r="W70" s="48">
        <v>2.9999999999999997E-4</v>
      </c>
      <c r="X70" s="53">
        <v>0</v>
      </c>
      <c r="Y70" s="53">
        <v>3.1E-2</v>
      </c>
      <c r="Z70" s="487">
        <v>5.2999999999999999E-2</v>
      </c>
      <c r="AA70" s="53">
        <f t="shared" si="147"/>
        <v>0.1</v>
      </c>
      <c r="AB70" s="53">
        <f t="shared" si="148"/>
        <v>0</v>
      </c>
      <c r="AC70" s="53">
        <f t="shared" si="149"/>
        <v>0.9</v>
      </c>
      <c r="AD70" s="56">
        <f t="shared" si="1166"/>
        <v>0</v>
      </c>
      <c r="AE70" s="57">
        <f t="shared" si="1167"/>
        <v>0</v>
      </c>
      <c r="AF70" s="57">
        <f t="shared" si="1168"/>
        <v>0</v>
      </c>
      <c r="AG70" s="57">
        <f t="shared" si="1169"/>
        <v>0</v>
      </c>
      <c r="AH70" s="57">
        <f t="shared" si="1170"/>
        <v>0</v>
      </c>
      <c r="AI70" s="57">
        <f t="shared" si="1171"/>
        <v>0</v>
      </c>
      <c r="AJ70" s="126">
        <f t="shared" si="1103"/>
        <v>1.3563449999999999</v>
      </c>
      <c r="AK70" s="57">
        <f t="shared" si="1104"/>
        <v>1.3563449999999999</v>
      </c>
      <c r="AL70" s="57">
        <f t="shared" si="1105"/>
        <v>0</v>
      </c>
      <c r="AM70" s="57">
        <f t="shared" si="1106"/>
        <v>0</v>
      </c>
      <c r="AN70" s="57">
        <f t="shared" si="1107"/>
        <v>1.0046999999999999</v>
      </c>
      <c r="AO70" s="127">
        <f t="shared" si="1108"/>
        <v>1.0046999999999999</v>
      </c>
      <c r="AP70" s="57">
        <f t="shared" si="1172"/>
        <v>1.3563449999999999</v>
      </c>
      <c r="AQ70" s="57">
        <f t="shared" si="1172"/>
        <v>1.3563449999999999</v>
      </c>
      <c r="AR70" s="57">
        <f t="shared" si="1172"/>
        <v>0</v>
      </c>
      <c r="AS70" s="57">
        <f t="shared" si="1109"/>
        <v>0</v>
      </c>
      <c r="AT70" s="57">
        <f t="shared" si="1109"/>
        <v>1.0046999999999999</v>
      </c>
      <c r="AU70" s="87">
        <f t="shared" si="1109"/>
        <v>1.0046999999999999</v>
      </c>
      <c r="AV70" s="56">
        <f t="shared" si="1110"/>
        <v>0</v>
      </c>
      <c r="AW70" s="57">
        <f t="shared" si="1111"/>
        <v>0</v>
      </c>
      <c r="AX70" s="57">
        <f t="shared" si="1112"/>
        <v>0</v>
      </c>
      <c r="AY70" s="57">
        <f t="shared" si="1113"/>
        <v>0</v>
      </c>
      <c r="AZ70" s="57">
        <f t="shared" si="1114"/>
        <v>0</v>
      </c>
      <c r="BA70" s="57">
        <f t="shared" si="1115"/>
        <v>0</v>
      </c>
      <c r="BB70" s="126">
        <f t="shared" si="1116"/>
        <v>0</v>
      </c>
      <c r="BC70" s="57">
        <f t="shared" si="1117"/>
        <v>0</v>
      </c>
      <c r="BD70" s="57">
        <f t="shared" si="1118"/>
        <v>0.90422999999999998</v>
      </c>
      <c r="BE70" s="57">
        <f t="shared" si="1119"/>
        <v>0.90422999999999998</v>
      </c>
      <c r="BF70" s="57">
        <f t="shared" si="1120"/>
        <v>1.6744999999999999</v>
      </c>
      <c r="BG70" s="57">
        <f t="shared" si="1121"/>
        <v>1.6744999999999999</v>
      </c>
      <c r="BH70" s="57">
        <f t="shared" si="1122"/>
        <v>0</v>
      </c>
      <c r="BI70" s="57">
        <f t="shared" si="1122"/>
        <v>0</v>
      </c>
      <c r="BJ70" s="57">
        <f t="shared" si="1122"/>
        <v>0.90422999999999998</v>
      </c>
      <c r="BK70" s="57">
        <f t="shared" si="1122"/>
        <v>0.90422999999999998</v>
      </c>
      <c r="BL70" s="57">
        <f t="shared" si="1122"/>
        <v>1.6744999999999999</v>
      </c>
      <c r="BM70" s="57">
        <f t="shared" si="1122"/>
        <v>1.6744999999999999</v>
      </c>
      <c r="BN70" s="56">
        <f t="shared" si="1123"/>
        <v>0</v>
      </c>
      <c r="BO70" s="57">
        <f t="shared" si="1124"/>
        <v>0</v>
      </c>
      <c r="BP70" s="57">
        <f t="shared" si="1125"/>
        <v>0</v>
      </c>
      <c r="BQ70" s="57">
        <f t="shared" si="1126"/>
        <v>0</v>
      </c>
      <c r="BR70" s="57">
        <f t="shared" si="1127"/>
        <v>0</v>
      </c>
      <c r="BS70" s="57">
        <f t="shared" si="1128"/>
        <v>0</v>
      </c>
      <c r="BT70" s="126">
        <f t="shared" si="1129"/>
        <v>6.698E-3</v>
      </c>
      <c r="BU70" s="57">
        <f t="shared" si="1130"/>
        <v>6.698E-3</v>
      </c>
      <c r="BV70" s="57">
        <f t="shared" si="1131"/>
        <v>0.10046999999999999</v>
      </c>
      <c r="BW70" s="57">
        <f t="shared" si="1132"/>
        <v>0.10046999999999999</v>
      </c>
      <c r="BX70" s="57">
        <f t="shared" si="1133"/>
        <v>1.8419499999999998</v>
      </c>
      <c r="BY70" s="57">
        <f t="shared" si="1134"/>
        <v>1.8419499999999998</v>
      </c>
      <c r="BZ70" s="126">
        <f t="shared" si="1135"/>
        <v>6.698E-3</v>
      </c>
      <c r="CA70" s="57">
        <f t="shared" si="1135"/>
        <v>6.698E-3</v>
      </c>
      <c r="CB70" s="57">
        <f t="shared" si="1135"/>
        <v>0.10046999999999999</v>
      </c>
      <c r="CC70" s="57">
        <f t="shared" si="1135"/>
        <v>0.10046999999999999</v>
      </c>
      <c r="CD70" s="57">
        <f t="shared" si="1135"/>
        <v>1.8419499999999998</v>
      </c>
      <c r="CE70" s="518">
        <f t="shared" si="1135"/>
        <v>1.8419499999999998</v>
      </c>
      <c r="CF70" s="57">
        <f t="shared" si="173"/>
        <v>3.9703300000000006</v>
      </c>
      <c r="CG70" s="57">
        <f t="shared" si="1173"/>
        <v>3.9703300000000006</v>
      </c>
      <c r="CH70" s="57">
        <f t="shared" si="175"/>
        <v>0</v>
      </c>
      <c r="CI70" s="57">
        <f t="shared" si="1174"/>
        <v>0</v>
      </c>
      <c r="CJ70" s="57">
        <f t="shared" si="176"/>
        <v>35.732970000000009</v>
      </c>
      <c r="CK70" s="57">
        <f t="shared" si="1175"/>
        <v>35.732970000000009</v>
      </c>
      <c r="CL70" s="3"/>
      <c r="CM70" s="59">
        <f t="shared" si="1083"/>
        <v>0</v>
      </c>
      <c r="CN70" s="62">
        <f t="shared" si="1136"/>
        <v>0</v>
      </c>
      <c r="CO70" s="128">
        <f t="shared" si="1137"/>
        <v>118.87184999999997</v>
      </c>
      <c r="CP70" s="129">
        <f t="shared" si="1138"/>
        <v>118.87184999999997</v>
      </c>
      <c r="CQ70" s="62">
        <f t="shared" si="1176"/>
        <v>118.87184999999997</v>
      </c>
      <c r="CR70" s="60">
        <f t="shared" si="1176"/>
        <v>118.87184999999997</v>
      </c>
      <c r="CS70" s="33">
        <v>0</v>
      </c>
      <c r="CT70" s="34">
        <v>0</v>
      </c>
      <c r="CU70" s="34">
        <v>1</v>
      </c>
      <c r="CV70" s="35">
        <f t="shared" si="1177"/>
        <v>0</v>
      </c>
      <c r="CW70" s="36">
        <f t="shared" si="1178"/>
        <v>0</v>
      </c>
      <c r="CX70" s="37">
        <f t="shared" si="1179"/>
        <v>0</v>
      </c>
      <c r="CY70" s="57">
        <f t="shared" si="1180"/>
        <v>0</v>
      </c>
      <c r="CZ70" s="127">
        <f t="shared" si="1181"/>
        <v>0</v>
      </c>
      <c r="DA70" s="37">
        <f t="shared" si="1139"/>
        <v>83.210294999999974</v>
      </c>
      <c r="DB70" s="37">
        <f t="shared" si="1140"/>
        <v>83.210294999999974</v>
      </c>
      <c r="DC70" s="37">
        <f t="shared" si="1141"/>
        <v>0</v>
      </c>
      <c r="DD70" s="142">
        <f t="shared" si="1142"/>
        <v>0</v>
      </c>
      <c r="DE70" s="37">
        <f t="shared" si="768"/>
        <v>83.210294999999974</v>
      </c>
      <c r="DF70" s="37">
        <f t="shared" si="1182"/>
        <v>83.210294999999974</v>
      </c>
      <c r="DG70" s="37">
        <f t="shared" si="1183"/>
        <v>0</v>
      </c>
      <c r="DH70" s="39">
        <f t="shared" si="1184"/>
        <v>0</v>
      </c>
      <c r="DJ70" s="496">
        <v>1</v>
      </c>
      <c r="DK70" s="496">
        <v>0.3</v>
      </c>
      <c r="DL70" s="37">
        <f t="shared" si="1143"/>
        <v>0</v>
      </c>
      <c r="DM70" s="37">
        <f t="shared" si="1144"/>
        <v>0</v>
      </c>
      <c r="DN70" s="37">
        <f t="shared" si="1084"/>
        <v>35.661554999999986</v>
      </c>
      <c r="DO70" s="37">
        <f t="shared" si="1085"/>
        <v>35.661554999999986</v>
      </c>
      <c r="DP70" s="33">
        <v>1</v>
      </c>
      <c r="DQ70" s="34">
        <v>0.1</v>
      </c>
      <c r="DR70" s="34">
        <v>0.5</v>
      </c>
      <c r="DS70" s="681">
        <f t="shared" si="185"/>
        <v>0.1</v>
      </c>
      <c r="DT70" s="78">
        <f t="shared" si="186"/>
        <v>1</v>
      </c>
      <c r="DU70" s="34">
        <v>0</v>
      </c>
      <c r="DV70" s="34">
        <v>1</v>
      </c>
      <c r="DW70" s="34">
        <v>0</v>
      </c>
      <c r="DX70" s="34">
        <v>0</v>
      </c>
      <c r="DY70" s="34">
        <v>1</v>
      </c>
      <c r="DZ70" s="34">
        <v>0</v>
      </c>
      <c r="EA70" s="85">
        <f t="shared" si="888"/>
        <v>0</v>
      </c>
      <c r="EB70" s="57">
        <f t="shared" si="1185"/>
        <v>0</v>
      </c>
      <c r="EC70" s="57">
        <f t="shared" si="889"/>
        <v>0</v>
      </c>
      <c r="ED70" s="57">
        <f t="shared" si="1186"/>
        <v>0</v>
      </c>
      <c r="EE70" s="57">
        <f t="shared" si="890"/>
        <v>0</v>
      </c>
      <c r="EF70" s="57">
        <f t="shared" si="1187"/>
        <v>0</v>
      </c>
      <c r="EG70" s="126">
        <f t="shared" si="1145"/>
        <v>0</v>
      </c>
      <c r="EH70" s="57">
        <f t="shared" si="1146"/>
        <v>0</v>
      </c>
      <c r="EI70" s="57">
        <f t="shared" si="1147"/>
        <v>3.559709999999999</v>
      </c>
      <c r="EJ70" s="57">
        <f t="shared" si="1148"/>
        <v>35.597099999999983</v>
      </c>
      <c r="EK70" s="57">
        <f t="shared" si="1149"/>
        <v>0</v>
      </c>
      <c r="EL70" s="127">
        <f t="shared" si="1150"/>
        <v>0</v>
      </c>
      <c r="EM70" s="57">
        <f t="shared" si="193"/>
        <v>3.559709999999999</v>
      </c>
      <c r="EN70" s="81">
        <f t="shared" si="194"/>
        <v>35.597099999999983</v>
      </c>
      <c r="EP70" s="85">
        <f t="shared" si="769"/>
        <v>0</v>
      </c>
      <c r="EQ70" s="57">
        <f t="shared" si="1151"/>
        <v>0</v>
      </c>
      <c r="ER70" s="57">
        <f t="shared" si="770"/>
        <v>0</v>
      </c>
      <c r="ES70" s="57">
        <f t="shared" si="1152"/>
        <v>0</v>
      </c>
      <c r="ET70" s="57">
        <f t="shared" si="771"/>
        <v>0</v>
      </c>
      <c r="EU70" s="127">
        <f t="shared" si="1153"/>
        <v>0</v>
      </c>
      <c r="EV70" s="126">
        <f t="shared" si="1086"/>
        <v>6.698E-3</v>
      </c>
      <c r="EW70" s="57">
        <f t="shared" si="1087"/>
        <v>6.698E-3</v>
      </c>
      <c r="EX70" s="57">
        <f t="shared" si="1088"/>
        <v>0.10046999999999999</v>
      </c>
      <c r="EY70" s="57">
        <f t="shared" si="1089"/>
        <v>0.10046999999999999</v>
      </c>
      <c r="EZ70" s="57">
        <f t="shared" si="1090"/>
        <v>1.8419499999999998</v>
      </c>
      <c r="FA70" s="87">
        <f t="shared" si="1091"/>
        <v>1.8419499999999998</v>
      </c>
      <c r="FB70" s="36">
        <f t="shared" si="1188"/>
        <v>0</v>
      </c>
      <c r="FC70" s="37">
        <f t="shared" si="1189"/>
        <v>0</v>
      </c>
      <c r="FD70" s="57">
        <f t="shared" si="1154"/>
        <v>83.210294999999974</v>
      </c>
      <c r="FE70" s="37">
        <f t="shared" si="1155"/>
        <v>83.210294999999974</v>
      </c>
      <c r="FF70" s="36">
        <f t="shared" si="772"/>
        <v>0</v>
      </c>
      <c r="FG70" s="37">
        <f t="shared" si="1156"/>
        <v>0</v>
      </c>
      <c r="FH70" s="37">
        <f t="shared" si="1157"/>
        <v>0</v>
      </c>
      <c r="FI70" s="37">
        <f t="shared" si="1158"/>
        <v>0</v>
      </c>
      <c r="FJ70" s="33">
        <v>1</v>
      </c>
      <c r="FK70" s="34">
        <v>0.2</v>
      </c>
      <c r="FL70" s="502">
        <v>0.8</v>
      </c>
      <c r="FM70" s="34">
        <v>0.1</v>
      </c>
      <c r="FN70" s="502">
        <v>0.5</v>
      </c>
      <c r="FO70" s="34">
        <f t="shared" si="200"/>
        <v>0.1</v>
      </c>
      <c r="FP70" s="34">
        <f t="shared" si="201"/>
        <v>1</v>
      </c>
      <c r="FQ70" s="34">
        <v>1</v>
      </c>
      <c r="FR70" s="34">
        <v>0</v>
      </c>
      <c r="FS70" s="90">
        <f t="shared" si="202"/>
        <v>1E-3</v>
      </c>
      <c r="FT70" s="34">
        <f t="shared" si="203"/>
        <v>0.05</v>
      </c>
      <c r="FU70" s="33">
        <v>0.05</v>
      </c>
      <c r="FV70" s="35">
        <f t="shared" si="25"/>
        <v>2.4224999999999997E-2</v>
      </c>
      <c r="FW70" s="34">
        <v>0.1</v>
      </c>
      <c r="FX70" s="78">
        <f t="shared" si="26"/>
        <v>9.0000000000000011E-2</v>
      </c>
      <c r="FY70" s="33">
        <v>0.45</v>
      </c>
      <c r="FZ70" s="35">
        <f t="shared" si="1092"/>
        <v>1.4025000000000001E-2</v>
      </c>
      <c r="GA70" s="34">
        <v>0.45</v>
      </c>
      <c r="GB70" s="78">
        <f t="shared" si="1093"/>
        <v>5.5000000000000007E-2</v>
      </c>
      <c r="GC70" s="85">
        <f t="shared" si="773"/>
        <v>0</v>
      </c>
      <c r="GD70" s="57">
        <f t="shared" si="1159"/>
        <v>0</v>
      </c>
      <c r="GE70" s="57">
        <f t="shared" si="774"/>
        <v>0</v>
      </c>
      <c r="GF70" s="57">
        <f t="shared" si="1160"/>
        <v>0</v>
      </c>
      <c r="GG70" s="57">
        <f t="shared" si="1190"/>
        <v>0</v>
      </c>
      <c r="GH70" s="127">
        <f t="shared" si="1191"/>
        <v>0</v>
      </c>
      <c r="GI70" s="57">
        <f t="shared" si="1094"/>
        <v>6.698E-3</v>
      </c>
      <c r="GJ70" s="57">
        <f t="shared" si="1095"/>
        <v>6.698E-3</v>
      </c>
      <c r="GK70" s="57">
        <f t="shared" si="1096"/>
        <v>0.10046999999999999</v>
      </c>
      <c r="GL70" s="57">
        <f t="shared" si="1097"/>
        <v>0.10046999999999999</v>
      </c>
      <c r="GM70" s="57">
        <f t="shared" si="1098"/>
        <v>0.36839</v>
      </c>
      <c r="GN70" s="127">
        <f t="shared" si="1099"/>
        <v>1.47356</v>
      </c>
      <c r="GO70" s="57">
        <f t="shared" si="208"/>
        <v>0.47555799999999998</v>
      </c>
      <c r="GP70" s="87">
        <f t="shared" si="209"/>
        <v>1.5807279999999999</v>
      </c>
      <c r="GQ70" s="37">
        <f t="shared" si="891"/>
        <v>0</v>
      </c>
      <c r="GR70" s="37">
        <f t="shared" si="892"/>
        <v>0</v>
      </c>
      <c r="GS70" s="57">
        <f t="shared" si="1031"/>
        <v>0</v>
      </c>
      <c r="GT70" s="57">
        <f t="shared" si="1032"/>
        <v>0</v>
      </c>
      <c r="GU70" s="57">
        <f t="shared" si="1033"/>
        <v>0</v>
      </c>
      <c r="GV70" s="127">
        <f t="shared" si="1034"/>
        <v>0</v>
      </c>
      <c r="GW70" s="37">
        <f t="shared" si="1162"/>
        <v>1.9305828568687495</v>
      </c>
      <c r="GX70" s="37">
        <f t="shared" si="1163"/>
        <v>21.010599487499995</v>
      </c>
      <c r="GY70" s="37">
        <f t="shared" si="1192"/>
        <v>2.6584934687500002E-3</v>
      </c>
      <c r="GZ70" s="37">
        <f t="shared" si="1193"/>
        <v>1.3292467343749998</v>
      </c>
      <c r="HA70" s="37">
        <f t="shared" si="1194"/>
        <v>0</v>
      </c>
      <c r="HB70" s="142">
        <f t="shared" si="1195"/>
        <v>0</v>
      </c>
      <c r="HC70" s="57">
        <f t="shared" si="212"/>
        <v>1.9332413503374994</v>
      </c>
      <c r="HD70" s="39">
        <f t="shared" si="213"/>
        <v>22.339846221874996</v>
      </c>
      <c r="HE70" s="527"/>
      <c r="HF70" s="530">
        <f t="shared" si="775"/>
        <v>1.3563449999999999</v>
      </c>
      <c r="HG70" s="530">
        <f t="shared" si="776"/>
        <v>1.3563449999999999</v>
      </c>
      <c r="HH70" s="530">
        <f t="shared" si="777"/>
        <v>0</v>
      </c>
      <c r="HI70" s="530">
        <f t="shared" si="778"/>
        <v>0</v>
      </c>
      <c r="HJ70" s="530">
        <f t="shared" si="779"/>
        <v>1.0046999999999999</v>
      </c>
      <c r="HK70" s="531">
        <f t="shared" si="780"/>
        <v>1.0046999999999999</v>
      </c>
      <c r="HL70" s="530">
        <f t="shared" si="781"/>
        <v>0</v>
      </c>
      <c r="HM70" s="530">
        <f t="shared" si="782"/>
        <v>0</v>
      </c>
      <c r="HN70" s="530">
        <f t="shared" si="783"/>
        <v>4.4639399999999991</v>
      </c>
      <c r="HO70" s="530">
        <f t="shared" si="784"/>
        <v>36.501329999999982</v>
      </c>
      <c r="HP70" s="530">
        <f t="shared" si="785"/>
        <v>1.6744999999999999</v>
      </c>
      <c r="HQ70" s="531">
        <f t="shared" si="786"/>
        <v>1.6744999999999999</v>
      </c>
      <c r="HR70" s="530">
        <f t="shared" si="214"/>
        <v>5.9076108568687502</v>
      </c>
      <c r="HS70" s="530">
        <f t="shared" si="787"/>
        <v>26.316874221874997</v>
      </c>
      <c r="HT70" s="530">
        <f t="shared" si="788"/>
        <v>0.10046999999999999</v>
      </c>
      <c r="HU70" s="530">
        <f t="shared" si="789"/>
        <v>0.10046999999999999</v>
      </c>
      <c r="HV70" s="530">
        <f t="shared" si="790"/>
        <v>36.101360000000007</v>
      </c>
      <c r="HW70" s="531">
        <f t="shared" si="791"/>
        <v>37.206530000000008</v>
      </c>
      <c r="IG70" s="560"/>
      <c r="IH70" s="530">
        <f t="shared" si="215"/>
        <v>1.4919795000000001E-2</v>
      </c>
      <c r="II70" s="530">
        <f t="shared" si="216"/>
        <v>1.2207105000000001E-2</v>
      </c>
      <c r="IJ70" s="530">
        <f t="shared" si="217"/>
        <v>2.4414210000000002E-2</v>
      </c>
      <c r="IK70" s="530">
        <f t="shared" si="893"/>
        <v>1.2207105000000001E-2</v>
      </c>
      <c r="IL70" s="530">
        <f t="shared" si="894"/>
        <v>1.1461115249999998</v>
      </c>
      <c r="IM70" s="530">
        <f t="shared" si="895"/>
        <v>1.3563449999999999E-3</v>
      </c>
      <c r="IN70" s="530">
        <f t="shared" si="896"/>
        <v>1.3563449999999999E-3</v>
      </c>
      <c r="IO70" s="530">
        <f t="shared" si="222"/>
        <v>4.4759384999999999E-2</v>
      </c>
      <c r="IP70" s="530">
        <f t="shared" si="223"/>
        <v>5.5610144999999993E-2</v>
      </c>
      <c r="IQ70" s="530">
        <f t="shared" si="897"/>
        <v>7.0529939999999999E-2</v>
      </c>
      <c r="IR70" s="530">
        <f t="shared" si="898"/>
        <v>5.5610144999999993E-2</v>
      </c>
      <c r="IS70" s="530">
        <f t="shared" si="899"/>
        <v>1.1488242149999999</v>
      </c>
      <c r="IT70" s="530">
        <f t="shared" si="900"/>
        <v>1.3563449999999999E-2</v>
      </c>
      <c r="IU70" s="518">
        <f t="shared" si="901"/>
        <v>1.3563449999999999E-2</v>
      </c>
      <c r="IV70" s="57">
        <f t="shared" si="229"/>
        <v>0</v>
      </c>
      <c r="IW70" s="57">
        <f t="shared" si="230"/>
        <v>0</v>
      </c>
      <c r="IX70" s="530">
        <f t="shared" si="792"/>
        <v>0</v>
      </c>
      <c r="IY70" s="530">
        <f t="shared" si="793"/>
        <v>0</v>
      </c>
      <c r="IZ70" s="530">
        <f t="shared" si="794"/>
        <v>0</v>
      </c>
      <c r="JA70" s="530">
        <f t="shared" si="795"/>
        <v>0</v>
      </c>
      <c r="JB70" s="530">
        <f t="shared" si="796"/>
        <v>0</v>
      </c>
      <c r="JC70" s="530">
        <f t="shared" si="231"/>
        <v>0</v>
      </c>
      <c r="JD70" s="530">
        <f t="shared" si="232"/>
        <v>0</v>
      </c>
      <c r="JE70" s="530">
        <f t="shared" si="797"/>
        <v>0</v>
      </c>
      <c r="JF70" s="530">
        <f t="shared" si="798"/>
        <v>0</v>
      </c>
      <c r="JG70" s="530">
        <f t="shared" si="799"/>
        <v>0</v>
      </c>
      <c r="JH70" s="530">
        <f t="shared" si="800"/>
        <v>0</v>
      </c>
      <c r="JI70" s="87">
        <f t="shared" si="801"/>
        <v>0</v>
      </c>
      <c r="JJ70" s="57">
        <f t="shared" si="233"/>
        <v>1.1051700000000001E-2</v>
      </c>
      <c r="JK70" s="57">
        <f t="shared" si="234"/>
        <v>9.0422999999999996E-3</v>
      </c>
      <c r="JL70" s="530">
        <f t="shared" si="802"/>
        <v>1.8084599999999999E-2</v>
      </c>
      <c r="JM70" s="530">
        <f t="shared" si="803"/>
        <v>9.0422999999999996E-3</v>
      </c>
      <c r="JN70" s="530">
        <f t="shared" si="804"/>
        <v>0.84897149999999988</v>
      </c>
      <c r="JO70" s="530">
        <f t="shared" si="805"/>
        <v>1.0046999999999999E-3</v>
      </c>
      <c r="JP70" s="530">
        <f t="shared" si="806"/>
        <v>1.0046999999999999E-3</v>
      </c>
      <c r="JQ70" s="530">
        <f t="shared" si="235"/>
        <v>3.31551E-2</v>
      </c>
      <c r="JR70" s="530">
        <f t="shared" si="236"/>
        <v>4.1192699999999992E-2</v>
      </c>
      <c r="JS70" s="57">
        <f t="shared" si="807"/>
        <v>5.2244400000000003E-2</v>
      </c>
      <c r="JT70" s="57">
        <f t="shared" si="808"/>
        <v>4.1192699999999992E-2</v>
      </c>
      <c r="JU70" s="57">
        <f t="shared" si="809"/>
        <v>0.85098089999999993</v>
      </c>
      <c r="JV70" s="57">
        <f t="shared" si="810"/>
        <v>1.0046999999999999E-2</v>
      </c>
      <c r="JW70" s="81">
        <f t="shared" si="811"/>
        <v>1.0046999999999999E-2</v>
      </c>
      <c r="JX70" s="57">
        <f t="shared" si="237"/>
        <v>0</v>
      </c>
      <c r="JY70" s="57">
        <f t="shared" si="238"/>
        <v>0</v>
      </c>
      <c r="JZ70" s="530">
        <f t="shared" si="812"/>
        <v>0</v>
      </c>
      <c r="KA70" s="530">
        <f t="shared" si="813"/>
        <v>0</v>
      </c>
      <c r="KB70" s="530">
        <f t="shared" si="814"/>
        <v>0</v>
      </c>
      <c r="KC70" s="530">
        <f t="shared" si="815"/>
        <v>0</v>
      </c>
      <c r="KD70" s="530">
        <f t="shared" si="816"/>
        <v>0</v>
      </c>
      <c r="KE70" s="530">
        <f t="shared" si="239"/>
        <v>0</v>
      </c>
      <c r="KF70" s="530">
        <f t="shared" si="240"/>
        <v>0</v>
      </c>
      <c r="KG70" s="530">
        <f t="shared" si="817"/>
        <v>0</v>
      </c>
      <c r="KH70" s="530">
        <f t="shared" si="818"/>
        <v>0</v>
      </c>
      <c r="KI70" s="530">
        <f t="shared" si="819"/>
        <v>0</v>
      </c>
      <c r="KJ70" s="530">
        <f t="shared" si="820"/>
        <v>0</v>
      </c>
      <c r="KK70" s="518">
        <f t="shared" si="821"/>
        <v>0</v>
      </c>
      <c r="KL70" s="57">
        <f t="shared" si="241"/>
        <v>4.9103339999999995E-2</v>
      </c>
      <c r="KM70" s="57">
        <f t="shared" si="242"/>
        <v>4.0175459999999996E-2</v>
      </c>
      <c r="KN70" s="530">
        <f t="shared" si="822"/>
        <v>8.0350919999999992E-2</v>
      </c>
      <c r="KO70" s="530">
        <f t="shared" si="823"/>
        <v>4.0175459999999996E-2</v>
      </c>
      <c r="KP70" s="530">
        <f t="shared" si="824"/>
        <v>3.7720292999999994</v>
      </c>
      <c r="KQ70" s="530">
        <f t="shared" si="825"/>
        <v>4.4639399999999996E-3</v>
      </c>
      <c r="KR70" s="530">
        <f t="shared" si="826"/>
        <v>4.4639399999999996E-3</v>
      </c>
      <c r="KS70" s="530">
        <f t="shared" si="243"/>
        <v>1.2045438899999994</v>
      </c>
      <c r="KT70" s="530">
        <f t="shared" si="244"/>
        <v>1.4965545299999992</v>
      </c>
      <c r="KU70" s="530">
        <f t="shared" si="827"/>
        <v>1.8980691599999993</v>
      </c>
      <c r="KV70" s="530">
        <f t="shared" si="828"/>
        <v>1.4965545299999992</v>
      </c>
      <c r="KW70" s="530">
        <f t="shared" si="829"/>
        <v>30.916626509999983</v>
      </c>
      <c r="KX70" s="530">
        <f t="shared" si="830"/>
        <v>0.36501329999999982</v>
      </c>
      <c r="KY70" s="87">
        <f t="shared" si="831"/>
        <v>0.36501329999999982</v>
      </c>
      <c r="KZ70" s="57">
        <f t="shared" si="245"/>
        <v>1.8419500000000002E-2</v>
      </c>
      <c r="LA70" s="57">
        <f t="shared" si="246"/>
        <v>1.5070500000000001E-2</v>
      </c>
      <c r="LB70" s="530">
        <f t="shared" si="832"/>
        <v>3.0141000000000001E-2</v>
      </c>
      <c r="LC70" s="530">
        <f t="shared" si="833"/>
        <v>1.5070500000000001E-2</v>
      </c>
      <c r="LD70" s="530">
        <f t="shared" si="834"/>
        <v>1.4149524999999998</v>
      </c>
      <c r="LE70" s="530">
        <f t="shared" si="835"/>
        <v>1.6745E-3</v>
      </c>
      <c r="LF70" s="530">
        <f t="shared" si="836"/>
        <v>1.6745E-3</v>
      </c>
      <c r="LG70" s="530">
        <f t="shared" si="247"/>
        <v>5.5258499999999995E-2</v>
      </c>
      <c r="LH70" s="530">
        <f t="shared" si="248"/>
        <v>6.8654499999999979E-2</v>
      </c>
      <c r="LI70" s="57">
        <f t="shared" si="837"/>
        <v>8.7073999999999999E-2</v>
      </c>
      <c r="LJ70" s="57">
        <f t="shared" si="838"/>
        <v>6.8654499999999979E-2</v>
      </c>
      <c r="LK70" s="57">
        <f t="shared" si="839"/>
        <v>1.4183014999999999</v>
      </c>
      <c r="LL70" s="57">
        <f t="shared" si="840"/>
        <v>1.6744999999999999E-2</v>
      </c>
      <c r="LM70" s="81">
        <f t="shared" si="841"/>
        <v>1.6744999999999999E-2</v>
      </c>
      <c r="LN70" s="57">
        <f t="shared" si="249"/>
        <v>6.4983719425556257E-3</v>
      </c>
      <c r="LO70" s="57">
        <f t="shared" si="250"/>
        <v>1.7722832570606249E-3</v>
      </c>
      <c r="LP70" s="530">
        <f t="shared" si="842"/>
        <v>3.0128815370030627E-2</v>
      </c>
      <c r="LQ70" s="530">
        <f t="shared" si="843"/>
        <v>4.8442409026323748E-2</v>
      </c>
      <c r="LR70" s="530">
        <f t="shared" si="844"/>
        <v>4.7260886854950002</v>
      </c>
      <c r="LS70" s="530">
        <f t="shared" si="845"/>
        <v>5.1396214454758123E-2</v>
      </c>
      <c r="LT70" s="530">
        <f t="shared" si="846"/>
        <v>5.9076108568687502E-3</v>
      </c>
      <c r="LU70" s="530">
        <f t="shared" si="251"/>
        <v>1.5790124533124998</v>
      </c>
      <c r="LV70" s="530">
        <f t="shared" si="252"/>
        <v>0.78950622665624992</v>
      </c>
      <c r="LW70" s="530">
        <f t="shared" si="847"/>
        <v>1.8421811955312499</v>
      </c>
      <c r="LX70" s="530">
        <f t="shared" si="848"/>
        <v>1.5790124533124998</v>
      </c>
      <c r="LY70" s="530">
        <f t="shared" si="849"/>
        <v>26.027388605434375</v>
      </c>
      <c r="LZ70" s="530">
        <f t="shared" si="850"/>
        <v>0.26316874221874997</v>
      </c>
      <c r="MA70" s="127">
        <f t="shared" si="851"/>
        <v>0.26316874221874997</v>
      </c>
      <c r="MB70" s="57">
        <f t="shared" si="253"/>
        <v>1.10517E-4</v>
      </c>
      <c r="MC70" s="57">
        <f t="shared" si="254"/>
        <v>3.0140999999999995E-5</v>
      </c>
      <c r="MD70" s="530">
        <f t="shared" si="852"/>
        <v>5.1239699999999994E-4</v>
      </c>
      <c r="ME70" s="530">
        <f t="shared" si="853"/>
        <v>8.2385399999999984E-4</v>
      </c>
      <c r="MF70" s="530">
        <f t="shared" si="854"/>
        <v>8.0376000000000003E-2</v>
      </c>
      <c r="MG70" s="530">
        <f t="shared" si="855"/>
        <v>8.7408899999999988E-4</v>
      </c>
      <c r="MH70" s="530">
        <f t="shared" si="856"/>
        <v>1.0046999999999999E-4</v>
      </c>
      <c r="MI70" s="530">
        <f t="shared" si="255"/>
        <v>6.0281999999999992E-3</v>
      </c>
      <c r="MJ70" s="530">
        <f t="shared" si="256"/>
        <v>3.0140999999999996E-3</v>
      </c>
      <c r="MK70" s="530">
        <f t="shared" si="857"/>
        <v>7.0328999999999999E-3</v>
      </c>
      <c r="ML70" s="530">
        <f t="shared" si="858"/>
        <v>6.0281999999999992E-3</v>
      </c>
      <c r="MM70" s="530">
        <f t="shared" si="859"/>
        <v>9.9364830000000001E-2</v>
      </c>
      <c r="MN70" s="530">
        <f t="shared" si="860"/>
        <v>1.0046999999999999E-3</v>
      </c>
      <c r="MO70" s="127">
        <f t="shared" si="861"/>
        <v>1.0046999999999999E-3</v>
      </c>
      <c r="MP70" s="57">
        <f t="shared" si="257"/>
        <v>3.9711496000000013E-2</v>
      </c>
      <c r="MQ70" s="57">
        <f t="shared" si="258"/>
        <v>1.0830408000000001E-2</v>
      </c>
      <c r="MR70" s="530">
        <f t="shared" si="862"/>
        <v>0.18411693600000004</v>
      </c>
      <c r="MS70" s="530">
        <f t="shared" si="863"/>
        <v>0.29603115200000002</v>
      </c>
      <c r="MT70" s="530">
        <f t="shared" si="864"/>
        <v>28.881088000000005</v>
      </c>
      <c r="MU70" s="530">
        <f t="shared" si="865"/>
        <v>0.31408183200000006</v>
      </c>
      <c r="MV70" s="530">
        <f t="shared" si="866"/>
        <v>3.6101360000000006E-2</v>
      </c>
      <c r="MW70" s="530">
        <f t="shared" si="259"/>
        <v>2.2323918000000003</v>
      </c>
      <c r="MX70" s="530">
        <f t="shared" si="260"/>
        <v>1.1161959000000001</v>
      </c>
      <c r="MY70" s="57">
        <f t="shared" si="867"/>
        <v>2.6044571000000007</v>
      </c>
      <c r="MZ70" s="57">
        <f t="shared" si="868"/>
        <v>2.2323918000000003</v>
      </c>
      <c r="NA70" s="57">
        <f t="shared" si="869"/>
        <v>36.797258170000013</v>
      </c>
      <c r="NB70" s="57">
        <f t="shared" si="870"/>
        <v>0.3720653000000001</v>
      </c>
      <c r="NC70" s="81">
        <f t="shared" si="871"/>
        <v>0.3720653000000001</v>
      </c>
    </row>
    <row r="71" spans="1:376" x14ac:dyDescent="0.25">
      <c r="A71" s="12">
        <v>2016</v>
      </c>
      <c r="B71" s="13">
        <v>0</v>
      </c>
      <c r="C71" s="14">
        <v>0</v>
      </c>
      <c r="D71" s="14">
        <f>D70-$D$70/3</f>
        <v>113.33333333333334</v>
      </c>
      <c r="E71" s="658">
        <f>E70-$E$70/10</f>
        <v>153</v>
      </c>
      <c r="F71" s="14">
        <f t="shared" si="1164"/>
        <v>0</v>
      </c>
      <c r="G71" s="14">
        <f t="shared" si="1165"/>
        <v>0</v>
      </c>
      <c r="H71" s="14">
        <f t="shared" si="1100"/>
        <v>111.63333333333334</v>
      </c>
      <c r="I71" s="14">
        <f t="shared" si="1101"/>
        <v>150.70499999999998</v>
      </c>
      <c r="J71" s="14">
        <v>0</v>
      </c>
      <c r="K71" s="917">
        <f>$J$70</f>
        <v>39.703300000000006</v>
      </c>
      <c r="L71" s="14">
        <f t="shared" si="751"/>
        <v>111.63333333333334</v>
      </c>
      <c r="M71" s="17">
        <f t="shared" si="1102"/>
        <v>150.70499999999998</v>
      </c>
      <c r="N71" s="198">
        <v>2E-3</v>
      </c>
      <c r="O71" s="120">
        <v>0</v>
      </c>
      <c r="P71" s="120">
        <v>0</v>
      </c>
      <c r="Q71" s="199">
        <v>6.0000000000000001E-3</v>
      </c>
      <c r="R71" s="120">
        <v>0</v>
      </c>
      <c r="S71" s="120">
        <v>2.7000000000000001E-3</v>
      </c>
      <c r="T71" s="120">
        <v>0</v>
      </c>
      <c r="U71" s="120">
        <v>1.18E-2</v>
      </c>
      <c r="V71" s="119">
        <v>1.0000000000000001E-5</v>
      </c>
      <c r="W71" s="120">
        <v>2.9999999999999997E-4</v>
      </c>
      <c r="X71" s="105">
        <v>0</v>
      </c>
      <c r="Y71" s="105">
        <v>3.1E-2</v>
      </c>
      <c r="Z71" s="488">
        <v>5.2999999999999999E-2</v>
      </c>
      <c r="AA71" s="105">
        <f t="shared" si="147"/>
        <v>0.1</v>
      </c>
      <c r="AB71" s="105">
        <f t="shared" si="148"/>
        <v>0</v>
      </c>
      <c r="AC71" s="105">
        <f t="shared" si="149"/>
        <v>0.9</v>
      </c>
      <c r="AD71" s="82">
        <f t="shared" si="1166"/>
        <v>0</v>
      </c>
      <c r="AE71" s="79">
        <f t="shared" si="1167"/>
        <v>0</v>
      </c>
      <c r="AF71" s="79">
        <f t="shared" si="1168"/>
        <v>0</v>
      </c>
      <c r="AG71" s="79">
        <f t="shared" si="1169"/>
        <v>0</v>
      </c>
      <c r="AH71" s="79">
        <f t="shared" si="1170"/>
        <v>0</v>
      </c>
      <c r="AI71" s="79">
        <f t="shared" si="1171"/>
        <v>0</v>
      </c>
      <c r="AJ71" s="138">
        <f t="shared" si="1103"/>
        <v>0.90422999999999998</v>
      </c>
      <c r="AK71" s="79">
        <f t="shared" si="1104"/>
        <v>1.2207104999999998</v>
      </c>
      <c r="AL71" s="79">
        <f t="shared" si="1105"/>
        <v>0</v>
      </c>
      <c r="AM71" s="79">
        <f t="shared" si="1106"/>
        <v>0</v>
      </c>
      <c r="AN71" s="79">
        <f t="shared" si="1107"/>
        <v>0.66980000000000006</v>
      </c>
      <c r="AO71" s="139">
        <f t="shared" si="1108"/>
        <v>0.90422999999999998</v>
      </c>
      <c r="AP71" s="79">
        <f t="shared" si="1172"/>
        <v>0.90422999999999998</v>
      </c>
      <c r="AQ71" s="79">
        <f t="shared" si="1172"/>
        <v>1.2207104999999998</v>
      </c>
      <c r="AR71" s="79">
        <f t="shared" si="1172"/>
        <v>0</v>
      </c>
      <c r="AS71" s="79">
        <f t="shared" si="1109"/>
        <v>0</v>
      </c>
      <c r="AT71" s="79">
        <f t="shared" si="1109"/>
        <v>0.66980000000000006</v>
      </c>
      <c r="AU71" s="104">
        <f t="shared" si="1109"/>
        <v>0.90422999999999998</v>
      </c>
      <c r="AV71" s="82">
        <f t="shared" si="1110"/>
        <v>0</v>
      </c>
      <c r="AW71" s="79">
        <f t="shared" si="1111"/>
        <v>0</v>
      </c>
      <c r="AX71" s="79">
        <f t="shared" si="1112"/>
        <v>0</v>
      </c>
      <c r="AY71" s="79">
        <f t="shared" si="1113"/>
        <v>0</v>
      </c>
      <c r="AZ71" s="79">
        <f t="shared" si="1114"/>
        <v>0</v>
      </c>
      <c r="BA71" s="79">
        <f t="shared" si="1115"/>
        <v>0</v>
      </c>
      <c r="BB71" s="138">
        <f t="shared" si="1116"/>
        <v>0</v>
      </c>
      <c r="BC71" s="79">
        <f t="shared" si="1117"/>
        <v>0</v>
      </c>
      <c r="BD71" s="79">
        <f t="shared" si="1118"/>
        <v>0.60282000000000002</v>
      </c>
      <c r="BE71" s="79">
        <f t="shared" si="1119"/>
        <v>0.81380699999999995</v>
      </c>
      <c r="BF71" s="79">
        <f t="shared" si="1120"/>
        <v>1.1163333333333334</v>
      </c>
      <c r="BG71" s="79">
        <f t="shared" si="1121"/>
        <v>1.5070499999999998</v>
      </c>
      <c r="BH71" s="79">
        <f t="shared" si="1122"/>
        <v>0</v>
      </c>
      <c r="BI71" s="79">
        <f t="shared" si="1122"/>
        <v>0</v>
      </c>
      <c r="BJ71" s="79">
        <f t="shared" si="1122"/>
        <v>0.60282000000000002</v>
      </c>
      <c r="BK71" s="79">
        <f t="shared" si="1122"/>
        <v>0.81380699999999995</v>
      </c>
      <c r="BL71" s="79">
        <f t="shared" si="1122"/>
        <v>1.1163333333333334</v>
      </c>
      <c r="BM71" s="79">
        <f t="shared" si="1122"/>
        <v>1.5070499999999998</v>
      </c>
      <c r="BN71" s="82">
        <f t="shared" si="1123"/>
        <v>0</v>
      </c>
      <c r="BO71" s="79">
        <f t="shared" si="1124"/>
        <v>0</v>
      </c>
      <c r="BP71" s="79">
        <f t="shared" si="1125"/>
        <v>0</v>
      </c>
      <c r="BQ71" s="79">
        <f t="shared" si="1126"/>
        <v>0</v>
      </c>
      <c r="BR71" s="79">
        <f t="shared" si="1127"/>
        <v>0</v>
      </c>
      <c r="BS71" s="79">
        <f t="shared" si="1128"/>
        <v>0</v>
      </c>
      <c r="BT71" s="138">
        <f t="shared" si="1129"/>
        <v>4.4653333333333342E-3</v>
      </c>
      <c r="BU71" s="79">
        <f t="shared" si="1130"/>
        <v>6.0282000000000001E-3</v>
      </c>
      <c r="BV71" s="79">
        <f t="shared" si="1131"/>
        <v>6.6979999999999998E-2</v>
      </c>
      <c r="BW71" s="79">
        <f t="shared" si="1132"/>
        <v>9.0422999999999976E-2</v>
      </c>
      <c r="BX71" s="79">
        <f t="shared" si="1133"/>
        <v>1.2279666666666667</v>
      </c>
      <c r="BY71" s="79">
        <f t="shared" si="1134"/>
        <v>1.6577549999999996</v>
      </c>
      <c r="BZ71" s="138">
        <f t="shared" si="1135"/>
        <v>4.4653333333333342E-3</v>
      </c>
      <c r="CA71" s="79">
        <f t="shared" si="1135"/>
        <v>6.0282000000000001E-3</v>
      </c>
      <c r="CB71" s="79">
        <f t="shared" si="1135"/>
        <v>6.6979999999999998E-2</v>
      </c>
      <c r="CC71" s="79">
        <f t="shared" si="1135"/>
        <v>9.0422999999999976E-2</v>
      </c>
      <c r="CD71" s="79">
        <f t="shared" si="1135"/>
        <v>1.2279666666666667</v>
      </c>
      <c r="CE71" s="535">
        <f t="shared" si="1135"/>
        <v>1.6577549999999996</v>
      </c>
      <c r="CF71" s="79">
        <f t="shared" si="173"/>
        <v>0</v>
      </c>
      <c r="CG71" s="79">
        <f>$K71*AA71</f>
        <v>3.9703300000000006</v>
      </c>
      <c r="CH71" s="79">
        <f t="shared" si="175"/>
        <v>0</v>
      </c>
      <c r="CI71" s="79">
        <f>$K71*AB71</f>
        <v>0</v>
      </c>
      <c r="CJ71" s="79">
        <f t="shared" si="176"/>
        <v>0</v>
      </c>
      <c r="CK71" s="79">
        <f>$K71*AC71</f>
        <v>35.732970000000009</v>
      </c>
      <c r="CL71" s="3"/>
      <c r="CM71" s="101">
        <f t="shared" si="1083"/>
        <v>0</v>
      </c>
      <c r="CN71" s="99">
        <f t="shared" si="1136"/>
        <v>0</v>
      </c>
      <c r="CO71" s="130">
        <f t="shared" si="1137"/>
        <v>105.71676666666667</v>
      </c>
      <c r="CP71" s="131">
        <f>IF(I71-I71*Z71-K71&lt;0,0,I71-I71*Z71-K71)</f>
        <v>103.01433499999996</v>
      </c>
      <c r="CQ71" s="99">
        <f>CM71+CO71</f>
        <v>105.71676666666667</v>
      </c>
      <c r="CR71" s="98">
        <f>CN71+CP71</f>
        <v>103.01433499999996</v>
      </c>
      <c r="CS71" s="44">
        <v>0</v>
      </c>
      <c r="CT71" s="45">
        <v>0</v>
      </c>
      <c r="CU71" s="45">
        <v>1</v>
      </c>
      <c r="CV71" s="100">
        <f>1-CU71</f>
        <v>0</v>
      </c>
      <c r="CW71" s="40">
        <f t="shared" si="1178"/>
        <v>0</v>
      </c>
      <c r="CX71" s="41">
        <f t="shared" si="1179"/>
        <v>0</v>
      </c>
      <c r="CY71" s="79">
        <f t="shared" si="1180"/>
        <v>0</v>
      </c>
      <c r="CZ71" s="139">
        <f t="shared" si="1181"/>
        <v>0</v>
      </c>
      <c r="DA71" s="41">
        <f t="shared" si="1139"/>
        <v>74.001736666666659</v>
      </c>
      <c r="DB71" s="41">
        <f t="shared" si="1140"/>
        <v>72.110034499999969</v>
      </c>
      <c r="DC71" s="41">
        <f t="shared" si="1141"/>
        <v>0</v>
      </c>
      <c r="DD71" s="143">
        <f t="shared" si="1142"/>
        <v>0</v>
      </c>
      <c r="DE71" s="41">
        <f t="shared" si="768"/>
        <v>74.001736666666659</v>
      </c>
      <c r="DF71" s="41">
        <f t="shared" si="1182"/>
        <v>72.110034499999969</v>
      </c>
      <c r="DG71" s="41">
        <f t="shared" si="1183"/>
        <v>0</v>
      </c>
      <c r="DH71" s="42">
        <f t="shared" si="1184"/>
        <v>0</v>
      </c>
      <c r="DJ71" s="498">
        <v>1</v>
      </c>
      <c r="DK71" s="498">
        <v>0.3</v>
      </c>
      <c r="DL71" s="41">
        <f t="shared" si="1143"/>
        <v>0</v>
      </c>
      <c r="DM71" s="41">
        <f t="shared" si="1144"/>
        <v>0</v>
      </c>
      <c r="DN71" s="41">
        <f t="shared" si="1084"/>
        <v>31.715029999999999</v>
      </c>
      <c r="DO71" s="42">
        <f t="shared" si="1085"/>
        <v>30.904300499999987</v>
      </c>
      <c r="DP71" s="44">
        <v>1</v>
      </c>
      <c r="DQ71" s="45">
        <v>0.1</v>
      </c>
      <c r="DR71" s="45">
        <v>0.5</v>
      </c>
      <c r="DS71" s="682">
        <f t="shared" si="185"/>
        <v>0.1</v>
      </c>
      <c r="DT71" s="102">
        <f t="shared" si="186"/>
        <v>1</v>
      </c>
      <c r="DU71" s="45">
        <v>0</v>
      </c>
      <c r="DV71" s="45">
        <v>1</v>
      </c>
      <c r="DW71" s="45">
        <v>0</v>
      </c>
      <c r="DX71" s="45">
        <v>0</v>
      </c>
      <c r="DY71" s="45">
        <v>1</v>
      </c>
      <c r="DZ71" s="45">
        <v>0</v>
      </c>
      <c r="EA71" s="103">
        <f t="shared" si="888"/>
        <v>0</v>
      </c>
      <c r="EB71" s="79">
        <f t="shared" si="1185"/>
        <v>0</v>
      </c>
      <c r="EC71" s="79">
        <f t="shared" si="889"/>
        <v>0</v>
      </c>
      <c r="ED71" s="79">
        <f t="shared" si="1186"/>
        <v>0</v>
      </c>
      <c r="EE71" s="79">
        <f t="shared" si="890"/>
        <v>0</v>
      </c>
      <c r="EF71" s="79">
        <f t="shared" si="1187"/>
        <v>0</v>
      </c>
      <c r="EG71" s="138">
        <f t="shared" si="1145"/>
        <v>0</v>
      </c>
      <c r="EH71" s="79">
        <f t="shared" si="1146"/>
        <v>0</v>
      </c>
      <c r="EI71" s="79">
        <f t="shared" si="1147"/>
        <v>3.3688292499999992</v>
      </c>
      <c r="EJ71" s="79">
        <f t="shared" si="1148"/>
        <v>33.282927749999985</v>
      </c>
      <c r="EK71" s="79">
        <f t="shared" si="1149"/>
        <v>0</v>
      </c>
      <c r="EL71" s="139">
        <f t="shared" si="1150"/>
        <v>0</v>
      </c>
      <c r="EM71" s="79">
        <f t="shared" si="193"/>
        <v>3.3688292499999992</v>
      </c>
      <c r="EN71" s="83">
        <f t="shared" si="194"/>
        <v>33.282927749999985</v>
      </c>
      <c r="EP71" s="103">
        <f t="shared" si="769"/>
        <v>0</v>
      </c>
      <c r="EQ71" s="79">
        <f t="shared" si="1151"/>
        <v>0</v>
      </c>
      <c r="ER71" s="79">
        <f t="shared" si="770"/>
        <v>0</v>
      </c>
      <c r="ES71" s="79">
        <f t="shared" si="1152"/>
        <v>0</v>
      </c>
      <c r="ET71" s="79">
        <f t="shared" si="771"/>
        <v>0</v>
      </c>
      <c r="EU71" s="79">
        <f t="shared" si="1153"/>
        <v>0</v>
      </c>
      <c r="EV71" s="138">
        <f t="shared" si="1086"/>
        <v>4.4653333333333342E-3</v>
      </c>
      <c r="EW71" s="79">
        <f t="shared" si="1087"/>
        <v>6.0282000000000001E-3</v>
      </c>
      <c r="EX71" s="79">
        <f t="shared" si="1088"/>
        <v>6.6979999999999998E-2</v>
      </c>
      <c r="EY71" s="79">
        <f t="shared" si="1089"/>
        <v>9.0422999999999976E-2</v>
      </c>
      <c r="EZ71" s="79">
        <f t="shared" si="1090"/>
        <v>1.2279666666666667</v>
      </c>
      <c r="FA71" s="104">
        <f t="shared" si="1091"/>
        <v>1.6577549999999996</v>
      </c>
      <c r="FB71" s="40">
        <f t="shared" si="1188"/>
        <v>0</v>
      </c>
      <c r="FC71" s="41">
        <f t="shared" si="1189"/>
        <v>0</v>
      </c>
      <c r="FD71" s="41">
        <f t="shared" si="1154"/>
        <v>74.001736666666659</v>
      </c>
      <c r="FE71" s="41">
        <f t="shared" si="1155"/>
        <v>72.110034499999969</v>
      </c>
      <c r="FF71" s="40">
        <f t="shared" si="772"/>
        <v>0</v>
      </c>
      <c r="FG71" s="41">
        <f t="shared" si="1156"/>
        <v>0</v>
      </c>
      <c r="FH71" s="41">
        <f t="shared" si="1157"/>
        <v>0</v>
      </c>
      <c r="FI71" s="41">
        <f t="shared" si="1158"/>
        <v>0</v>
      </c>
      <c r="FJ71" s="44">
        <v>1</v>
      </c>
      <c r="FK71" s="45">
        <v>0.2</v>
      </c>
      <c r="FL71" s="503">
        <v>0.8</v>
      </c>
      <c r="FM71" s="45">
        <v>0.1</v>
      </c>
      <c r="FN71" s="503">
        <v>0.5</v>
      </c>
      <c r="FO71" s="45">
        <f t="shared" si="200"/>
        <v>0.1</v>
      </c>
      <c r="FP71" s="45">
        <f t="shared" si="201"/>
        <v>1</v>
      </c>
      <c r="FQ71" s="45">
        <v>1</v>
      </c>
      <c r="FR71" s="45">
        <v>0</v>
      </c>
      <c r="FS71" s="108">
        <f t="shared" si="202"/>
        <v>1E-3</v>
      </c>
      <c r="FT71" s="45">
        <f t="shared" si="203"/>
        <v>0.05</v>
      </c>
      <c r="FU71" s="44">
        <v>0.05</v>
      </c>
      <c r="FV71" s="100">
        <f t="shared" si="25"/>
        <v>2.4224999999999997E-2</v>
      </c>
      <c r="FW71" s="45">
        <v>0.1</v>
      </c>
      <c r="FX71" s="102">
        <f t="shared" si="26"/>
        <v>9.0000000000000011E-2</v>
      </c>
      <c r="FY71" s="44">
        <v>0.45</v>
      </c>
      <c r="FZ71" s="100">
        <f t="shared" si="1092"/>
        <v>1.4025000000000001E-2</v>
      </c>
      <c r="GA71" s="45">
        <v>0.45</v>
      </c>
      <c r="GB71" s="102">
        <f t="shared" si="1093"/>
        <v>5.5000000000000007E-2</v>
      </c>
      <c r="GC71" s="103">
        <f t="shared" si="773"/>
        <v>0</v>
      </c>
      <c r="GD71" s="79">
        <f t="shared" si="1159"/>
        <v>0</v>
      </c>
      <c r="GE71" s="79">
        <f t="shared" si="774"/>
        <v>0</v>
      </c>
      <c r="GF71" s="79">
        <f t="shared" si="1160"/>
        <v>0</v>
      </c>
      <c r="GG71" s="79">
        <v>0</v>
      </c>
      <c r="GH71" s="139">
        <v>0</v>
      </c>
      <c r="GI71" s="79">
        <f t="shared" si="1094"/>
        <v>4.4653333333333342E-3</v>
      </c>
      <c r="GJ71" s="79">
        <f t="shared" si="1095"/>
        <v>6.0282000000000001E-3</v>
      </c>
      <c r="GK71" s="79">
        <f t="shared" si="1096"/>
        <v>6.6979999999999998E-2</v>
      </c>
      <c r="GL71" s="79">
        <f t="shared" si="1097"/>
        <v>9.0422999999999976E-2</v>
      </c>
      <c r="GM71" s="79">
        <f t="shared" si="1098"/>
        <v>0.24559333333333333</v>
      </c>
      <c r="GN71" s="139">
        <f t="shared" si="1099"/>
        <v>1.3262039999999997</v>
      </c>
      <c r="GO71" s="79">
        <f t="shared" si="208"/>
        <v>0.31703866666666669</v>
      </c>
      <c r="GP71" s="104">
        <f t="shared" si="209"/>
        <v>1.4226551999999997</v>
      </c>
      <c r="GQ71" s="41">
        <f t="shared" si="891"/>
        <v>0</v>
      </c>
      <c r="GR71" s="41">
        <f t="shared" si="892"/>
        <v>0</v>
      </c>
      <c r="GS71" s="79">
        <f t="shared" si="1031"/>
        <v>0</v>
      </c>
      <c r="GT71" s="79">
        <f t="shared" si="1032"/>
        <v>0</v>
      </c>
      <c r="GU71" s="79">
        <f t="shared" si="1033"/>
        <v>0</v>
      </c>
      <c r="GV71" s="139">
        <f t="shared" si="1034"/>
        <v>0</v>
      </c>
      <c r="GW71" s="41">
        <f t="shared" si="1162"/>
        <v>1.7169327928375</v>
      </c>
      <c r="GX71" s="41">
        <f t="shared" si="1163"/>
        <v>18.207783711249991</v>
      </c>
      <c r="GY71" s="41">
        <f t="shared" si="1192"/>
        <v>1.7736770625000004E-3</v>
      </c>
      <c r="GZ71" s="41">
        <f t="shared" si="1193"/>
        <v>0.88683853125000001</v>
      </c>
      <c r="HA71" s="41">
        <f t="shared" si="1194"/>
        <v>0</v>
      </c>
      <c r="HB71" s="143">
        <f t="shared" si="1195"/>
        <v>0</v>
      </c>
      <c r="HC71" s="79">
        <f t="shared" si="212"/>
        <v>1.7187064699000001</v>
      </c>
      <c r="HD71" s="522">
        <f t="shared" si="213"/>
        <v>19.094622242499991</v>
      </c>
      <c r="HE71" s="527"/>
      <c r="HF71" s="532">
        <f t="shared" si="775"/>
        <v>0.90422999999999998</v>
      </c>
      <c r="HG71" s="532">
        <f t="shared" si="776"/>
        <v>1.2207104999999998</v>
      </c>
      <c r="HH71" s="532">
        <f t="shared" si="777"/>
        <v>0</v>
      </c>
      <c r="HI71" s="532">
        <f t="shared" si="778"/>
        <v>0</v>
      </c>
      <c r="HJ71" s="532">
        <f t="shared" si="779"/>
        <v>0.66980000000000006</v>
      </c>
      <c r="HK71" s="533">
        <f t="shared" si="780"/>
        <v>0.90422999999999998</v>
      </c>
      <c r="HL71" s="532">
        <f t="shared" si="781"/>
        <v>0</v>
      </c>
      <c r="HM71" s="532">
        <f t="shared" si="782"/>
        <v>0</v>
      </c>
      <c r="HN71" s="532">
        <f t="shared" si="783"/>
        <v>3.9716492499999991</v>
      </c>
      <c r="HO71" s="532">
        <f t="shared" si="784"/>
        <v>34.096734749999982</v>
      </c>
      <c r="HP71" s="532">
        <f t="shared" si="785"/>
        <v>1.1163333333333334</v>
      </c>
      <c r="HQ71" s="533">
        <f t="shared" si="786"/>
        <v>1.5070499999999998</v>
      </c>
      <c r="HR71" s="532">
        <f t="shared" si="214"/>
        <v>1.7213981261708333</v>
      </c>
      <c r="HS71" s="532">
        <f t="shared" si="787"/>
        <v>23.070980442499991</v>
      </c>
      <c r="HT71" s="532">
        <f t="shared" si="788"/>
        <v>6.6979999999999998E-2</v>
      </c>
      <c r="HU71" s="532">
        <f t="shared" si="789"/>
        <v>9.0422999999999976E-2</v>
      </c>
      <c r="HV71" s="532">
        <f t="shared" si="790"/>
        <v>0.24559333333333333</v>
      </c>
      <c r="HW71" s="533">
        <f t="shared" si="791"/>
        <v>37.059174000000006</v>
      </c>
      <c r="IG71" s="560"/>
      <c r="IH71" s="532">
        <f t="shared" si="215"/>
        <v>9.9465300000000003E-3</v>
      </c>
      <c r="II71" s="532">
        <f t="shared" si="216"/>
        <v>8.1380700000000007E-3</v>
      </c>
      <c r="IJ71" s="532">
        <f t="shared" si="217"/>
        <v>1.6276140000000001E-2</v>
      </c>
      <c r="IK71" s="532">
        <f t="shared" si="893"/>
        <v>8.1380700000000007E-3</v>
      </c>
      <c r="IL71" s="532">
        <f t="shared" si="894"/>
        <v>0.7640743499999999</v>
      </c>
      <c r="IM71" s="532">
        <f t="shared" si="895"/>
        <v>9.0423000000000001E-4</v>
      </c>
      <c r="IN71" s="532">
        <f t="shared" si="896"/>
        <v>9.0423000000000001E-4</v>
      </c>
      <c r="IO71" s="532">
        <f t="shared" si="222"/>
        <v>4.0283446499999993E-2</v>
      </c>
      <c r="IP71" s="532">
        <f t="shared" si="223"/>
        <v>5.0049130499999983E-2</v>
      </c>
      <c r="IQ71" s="532">
        <f t="shared" si="897"/>
        <v>6.3476945999999992E-2</v>
      </c>
      <c r="IR71" s="532">
        <f t="shared" si="898"/>
        <v>5.0049130499999983E-2</v>
      </c>
      <c r="IS71" s="532">
        <f t="shared" si="899"/>
        <v>1.0339417934999997</v>
      </c>
      <c r="IT71" s="532">
        <f t="shared" si="900"/>
        <v>1.2207104999999998E-2</v>
      </c>
      <c r="IU71" s="534">
        <f t="shared" si="901"/>
        <v>1.2207104999999998E-2</v>
      </c>
      <c r="IV71" s="545">
        <f t="shared" si="229"/>
        <v>0</v>
      </c>
      <c r="IW71" s="545">
        <f t="shared" si="230"/>
        <v>0</v>
      </c>
      <c r="IX71" s="532">
        <f t="shared" si="792"/>
        <v>0</v>
      </c>
      <c r="IY71" s="532">
        <f t="shared" si="793"/>
        <v>0</v>
      </c>
      <c r="IZ71" s="532">
        <f t="shared" si="794"/>
        <v>0</v>
      </c>
      <c r="JA71" s="532">
        <f t="shared" si="795"/>
        <v>0</v>
      </c>
      <c r="JB71" s="532">
        <f t="shared" si="796"/>
        <v>0</v>
      </c>
      <c r="JC71" s="532">
        <f t="shared" si="231"/>
        <v>0</v>
      </c>
      <c r="JD71" s="532">
        <f t="shared" si="232"/>
        <v>0</v>
      </c>
      <c r="JE71" s="532">
        <f t="shared" si="797"/>
        <v>0</v>
      </c>
      <c r="JF71" s="532">
        <f t="shared" si="798"/>
        <v>0</v>
      </c>
      <c r="JG71" s="532">
        <f t="shared" si="799"/>
        <v>0</v>
      </c>
      <c r="JH71" s="532">
        <f t="shared" si="800"/>
        <v>0</v>
      </c>
      <c r="JI71" s="553">
        <f t="shared" si="801"/>
        <v>0</v>
      </c>
      <c r="JJ71" s="545">
        <f t="shared" si="233"/>
        <v>7.3678000000000016E-3</v>
      </c>
      <c r="JK71" s="545">
        <f t="shared" si="234"/>
        <v>6.0282000000000009E-3</v>
      </c>
      <c r="JL71" s="532">
        <f t="shared" si="802"/>
        <v>1.2056400000000002E-2</v>
      </c>
      <c r="JM71" s="532">
        <f t="shared" si="803"/>
        <v>6.0282000000000009E-3</v>
      </c>
      <c r="JN71" s="532">
        <f t="shared" si="804"/>
        <v>0.56598100000000007</v>
      </c>
      <c r="JO71" s="532">
        <f t="shared" si="805"/>
        <v>6.6980000000000013E-4</v>
      </c>
      <c r="JP71" s="532">
        <f t="shared" si="806"/>
        <v>6.6980000000000013E-4</v>
      </c>
      <c r="JQ71" s="532">
        <f t="shared" si="235"/>
        <v>2.9839589999999999E-2</v>
      </c>
      <c r="JR71" s="532">
        <f t="shared" si="236"/>
        <v>3.7073429999999997E-2</v>
      </c>
      <c r="JS71" s="545">
        <f t="shared" si="807"/>
        <v>4.701996E-2</v>
      </c>
      <c r="JT71" s="545">
        <f t="shared" si="808"/>
        <v>3.7073429999999997E-2</v>
      </c>
      <c r="JU71" s="545">
        <f t="shared" si="809"/>
        <v>0.76588280999999991</v>
      </c>
      <c r="JV71" s="545">
        <f t="shared" si="810"/>
        <v>9.0422999999999996E-3</v>
      </c>
      <c r="JW71" s="554">
        <f t="shared" si="811"/>
        <v>9.0422999999999996E-3</v>
      </c>
      <c r="JX71" s="545">
        <f t="shared" si="237"/>
        <v>0</v>
      </c>
      <c r="JY71" s="545">
        <f t="shared" si="238"/>
        <v>0</v>
      </c>
      <c r="JZ71" s="532">
        <f t="shared" si="812"/>
        <v>0</v>
      </c>
      <c r="KA71" s="532">
        <f t="shared" si="813"/>
        <v>0</v>
      </c>
      <c r="KB71" s="532">
        <f t="shared" si="814"/>
        <v>0</v>
      </c>
      <c r="KC71" s="532">
        <f t="shared" si="815"/>
        <v>0</v>
      </c>
      <c r="KD71" s="532">
        <f t="shared" si="816"/>
        <v>0</v>
      </c>
      <c r="KE71" s="532">
        <f t="shared" si="239"/>
        <v>0</v>
      </c>
      <c r="KF71" s="532">
        <f t="shared" si="240"/>
        <v>0</v>
      </c>
      <c r="KG71" s="532">
        <f t="shared" si="817"/>
        <v>0</v>
      </c>
      <c r="KH71" s="532">
        <f t="shared" si="818"/>
        <v>0</v>
      </c>
      <c r="KI71" s="532">
        <f t="shared" si="819"/>
        <v>0</v>
      </c>
      <c r="KJ71" s="532">
        <f t="shared" si="820"/>
        <v>0</v>
      </c>
      <c r="KK71" s="534">
        <f t="shared" si="821"/>
        <v>0</v>
      </c>
      <c r="KL71" s="545">
        <f t="shared" si="241"/>
        <v>4.3688141749999992E-2</v>
      </c>
      <c r="KM71" s="545">
        <f t="shared" si="242"/>
        <v>3.5744843249999998E-2</v>
      </c>
      <c r="KN71" s="532">
        <f t="shared" si="822"/>
        <v>7.1489686499999996E-2</v>
      </c>
      <c r="KO71" s="532">
        <f t="shared" si="823"/>
        <v>3.5744843249999998E-2</v>
      </c>
      <c r="KP71" s="532">
        <f t="shared" si="824"/>
        <v>3.3560436162499991</v>
      </c>
      <c r="KQ71" s="532">
        <f t="shared" si="825"/>
        <v>3.9716492499999988E-3</v>
      </c>
      <c r="KR71" s="532">
        <f t="shared" si="826"/>
        <v>3.9716492499999988E-3</v>
      </c>
      <c r="KS71" s="532">
        <f t="shared" si="243"/>
        <v>1.1251922467499995</v>
      </c>
      <c r="KT71" s="532">
        <f t="shared" si="244"/>
        <v>1.397966124749999</v>
      </c>
      <c r="KU71" s="532">
        <f t="shared" si="827"/>
        <v>1.7730302069999992</v>
      </c>
      <c r="KV71" s="532">
        <f t="shared" si="828"/>
        <v>1.397966124749999</v>
      </c>
      <c r="KW71" s="532">
        <f t="shared" si="829"/>
        <v>28.879934333249984</v>
      </c>
      <c r="KX71" s="532">
        <f t="shared" si="830"/>
        <v>0.34096734749999985</v>
      </c>
      <c r="KY71" s="553">
        <f t="shared" si="831"/>
        <v>0.34096734749999985</v>
      </c>
      <c r="KZ71" s="545">
        <f t="shared" si="245"/>
        <v>1.2279666666666668E-2</v>
      </c>
      <c r="LA71" s="545">
        <f t="shared" si="246"/>
        <v>1.0047000000000002E-2</v>
      </c>
      <c r="LB71" s="532">
        <f t="shared" si="832"/>
        <v>2.0094000000000004E-2</v>
      </c>
      <c r="LC71" s="532">
        <f t="shared" si="833"/>
        <v>1.0047000000000002E-2</v>
      </c>
      <c r="LD71" s="532">
        <f t="shared" si="834"/>
        <v>0.9433016666666667</v>
      </c>
      <c r="LE71" s="532">
        <f t="shared" si="835"/>
        <v>1.1163333333333333E-3</v>
      </c>
      <c r="LF71" s="532">
        <f t="shared" si="836"/>
        <v>1.1163333333333333E-3</v>
      </c>
      <c r="LG71" s="532">
        <f t="shared" si="247"/>
        <v>4.9732649999999996E-2</v>
      </c>
      <c r="LH71" s="532">
        <f t="shared" si="248"/>
        <v>6.1789049999999984E-2</v>
      </c>
      <c r="LI71" s="545">
        <f t="shared" si="837"/>
        <v>7.8366599999999995E-2</v>
      </c>
      <c r="LJ71" s="545">
        <f t="shared" si="838"/>
        <v>6.1789049999999984E-2</v>
      </c>
      <c r="LK71" s="545">
        <f t="shared" si="839"/>
        <v>1.2764713499999998</v>
      </c>
      <c r="LL71" s="545">
        <f t="shared" si="840"/>
        <v>1.5070499999999999E-2</v>
      </c>
      <c r="LM71" s="554">
        <f t="shared" si="841"/>
        <v>1.5070499999999999E-2</v>
      </c>
      <c r="LN71" s="545">
        <f t="shared" si="249"/>
        <v>1.8935379387879168E-3</v>
      </c>
      <c r="LO71" s="545">
        <f t="shared" si="250"/>
        <v>5.1641943785125E-4</v>
      </c>
      <c r="LP71" s="532">
        <f t="shared" si="842"/>
        <v>8.7791304434712506E-3</v>
      </c>
      <c r="LQ71" s="532">
        <f t="shared" si="843"/>
        <v>1.4115464634600831E-2</v>
      </c>
      <c r="LR71" s="532">
        <f t="shared" si="844"/>
        <v>1.3771185009366667</v>
      </c>
      <c r="LS71" s="532">
        <f t="shared" si="845"/>
        <v>1.497616369768625E-2</v>
      </c>
      <c r="LT71" s="532">
        <f t="shared" si="846"/>
        <v>1.7213981261708334E-3</v>
      </c>
      <c r="LU71" s="532">
        <f t="shared" si="251"/>
        <v>1.3842588265499993</v>
      </c>
      <c r="LV71" s="532">
        <f t="shared" si="252"/>
        <v>0.69212941327499966</v>
      </c>
      <c r="LW71" s="532">
        <f t="shared" si="847"/>
        <v>1.6149686309749995</v>
      </c>
      <c r="LX71" s="532">
        <f t="shared" si="848"/>
        <v>1.3842588265499993</v>
      </c>
      <c r="LY71" s="532">
        <f t="shared" si="849"/>
        <v>22.817199657632493</v>
      </c>
      <c r="LZ71" s="532">
        <f t="shared" si="850"/>
        <v>0.23070980442499991</v>
      </c>
      <c r="MA71" s="558">
        <f t="shared" si="851"/>
        <v>0.23070980442499991</v>
      </c>
      <c r="MB71" s="545">
        <f t="shared" si="253"/>
        <v>7.3678000000000008E-5</v>
      </c>
      <c r="MC71" s="545">
        <f t="shared" si="254"/>
        <v>2.0093999999999998E-5</v>
      </c>
      <c r="MD71" s="532">
        <f t="shared" si="852"/>
        <v>3.4159800000000003E-4</v>
      </c>
      <c r="ME71" s="532">
        <f t="shared" si="853"/>
        <v>5.4923599999999993E-4</v>
      </c>
      <c r="MF71" s="532">
        <f t="shared" si="854"/>
        <v>5.3584E-2</v>
      </c>
      <c r="MG71" s="532">
        <f t="shared" si="855"/>
        <v>5.8272599999999999E-4</v>
      </c>
      <c r="MH71" s="532">
        <f t="shared" si="856"/>
        <v>6.6979999999999999E-5</v>
      </c>
      <c r="MI71" s="532">
        <f t="shared" si="255"/>
        <v>5.4253799999999987E-3</v>
      </c>
      <c r="MJ71" s="532">
        <f t="shared" si="256"/>
        <v>2.7126899999999994E-3</v>
      </c>
      <c r="MK71" s="532">
        <f t="shared" si="857"/>
        <v>6.3296099999999985E-3</v>
      </c>
      <c r="ML71" s="532">
        <f t="shared" si="858"/>
        <v>5.4253799999999987E-3</v>
      </c>
      <c r="MM71" s="532">
        <f t="shared" si="859"/>
        <v>8.9428346999999991E-2</v>
      </c>
      <c r="MN71" s="532">
        <f t="shared" si="860"/>
        <v>9.0422999999999979E-4</v>
      </c>
      <c r="MO71" s="558">
        <f t="shared" si="861"/>
        <v>9.0422999999999979E-4</v>
      </c>
      <c r="MP71" s="545">
        <f t="shared" si="257"/>
        <v>2.7015266666666665E-4</v>
      </c>
      <c r="MQ71" s="545">
        <f t="shared" si="258"/>
        <v>7.3677999999999995E-5</v>
      </c>
      <c r="MR71" s="532">
        <f t="shared" si="862"/>
        <v>1.2525260000000001E-3</v>
      </c>
      <c r="MS71" s="532">
        <f t="shared" si="863"/>
        <v>2.0138653333333333E-3</v>
      </c>
      <c r="MT71" s="532">
        <f t="shared" si="864"/>
        <v>0.19647466666666669</v>
      </c>
      <c r="MU71" s="532">
        <f t="shared" si="865"/>
        <v>2.1366619999999997E-3</v>
      </c>
      <c r="MV71" s="532">
        <f t="shared" si="866"/>
        <v>2.4559333333333333E-4</v>
      </c>
      <c r="MW71" s="532">
        <f t="shared" si="259"/>
        <v>2.2235504400000003</v>
      </c>
      <c r="MX71" s="532">
        <f t="shared" si="260"/>
        <v>1.1117752200000002</v>
      </c>
      <c r="MY71" s="545">
        <f t="shared" si="867"/>
        <v>2.5941421800000009</v>
      </c>
      <c r="MZ71" s="545">
        <f t="shared" si="868"/>
        <v>2.2235504400000003</v>
      </c>
      <c r="NA71" s="545">
        <f t="shared" si="869"/>
        <v>36.651523086000012</v>
      </c>
      <c r="NB71" s="545">
        <f t="shared" si="870"/>
        <v>0.37059174000000006</v>
      </c>
      <c r="NC71" s="554">
        <f t="shared" si="871"/>
        <v>0.37059174000000006</v>
      </c>
      <c r="NL71" s="106"/>
    </row>
    <row r="72" spans="1:376" x14ac:dyDescent="0.25">
      <c r="A72" s="12">
        <v>2017</v>
      </c>
      <c r="B72" s="13">
        <v>0</v>
      </c>
      <c r="C72" s="14">
        <v>0</v>
      </c>
      <c r="D72" s="14">
        <f>D71-$D$70/3</f>
        <v>56.666666666666679</v>
      </c>
      <c r="E72" s="658">
        <f t="shared" ref="E72:E80" si="1196">E71-$E$70/10</f>
        <v>136</v>
      </c>
      <c r="F72" s="14">
        <f t="shared" si="1164"/>
        <v>0</v>
      </c>
      <c r="G72" s="14">
        <f t="shared" si="1165"/>
        <v>0</v>
      </c>
      <c r="H72" s="14">
        <f t="shared" si="1100"/>
        <v>55.816666666666677</v>
      </c>
      <c r="I72" s="14">
        <f t="shared" si="1101"/>
        <v>133.96</v>
      </c>
      <c r="J72" s="14">
        <v>0</v>
      </c>
      <c r="K72" s="917">
        <f t="shared" ref="K72:K85" si="1197">$J$70</f>
        <v>39.703300000000006</v>
      </c>
      <c r="L72" s="14">
        <f t="shared" si="751"/>
        <v>55.816666666666677</v>
      </c>
      <c r="M72" s="17">
        <f t="shared" si="1102"/>
        <v>133.96</v>
      </c>
      <c r="N72" s="198">
        <v>2E-3</v>
      </c>
      <c r="O72" s="120">
        <v>0</v>
      </c>
      <c r="P72" s="120">
        <v>0</v>
      </c>
      <c r="Q72" s="199">
        <v>6.0000000000000001E-3</v>
      </c>
      <c r="R72" s="120">
        <v>0</v>
      </c>
      <c r="S72" s="120">
        <v>2.7000000000000001E-3</v>
      </c>
      <c r="T72" s="120">
        <v>0</v>
      </c>
      <c r="U72" s="120">
        <v>1.18E-2</v>
      </c>
      <c r="V72" s="119">
        <v>1.0000000000000001E-5</v>
      </c>
      <c r="W72" s="120">
        <v>2.9999999999999997E-4</v>
      </c>
      <c r="X72" s="105">
        <v>0</v>
      </c>
      <c r="Y72" s="105">
        <v>3.1E-2</v>
      </c>
      <c r="Z72" s="488">
        <v>5.2999999999999999E-2</v>
      </c>
      <c r="AA72" s="105">
        <f t="shared" si="147"/>
        <v>0.1</v>
      </c>
      <c r="AB72" s="105">
        <f t="shared" si="148"/>
        <v>0</v>
      </c>
      <c r="AC72" s="105">
        <f t="shared" si="149"/>
        <v>0.9</v>
      </c>
      <c r="AD72" s="82">
        <f t="shared" si="1166"/>
        <v>0</v>
      </c>
      <c r="AE72" s="79">
        <f t="shared" si="1167"/>
        <v>0</v>
      </c>
      <c r="AF72" s="79">
        <f t="shared" si="1168"/>
        <v>0</v>
      </c>
      <c r="AG72" s="79">
        <f t="shared" si="1169"/>
        <v>0</v>
      </c>
      <c r="AH72" s="79">
        <f t="shared" si="1170"/>
        <v>0</v>
      </c>
      <c r="AI72" s="79">
        <f t="shared" si="1171"/>
        <v>0</v>
      </c>
      <c r="AJ72" s="138">
        <f t="shared" si="1103"/>
        <v>0.45211500000000004</v>
      </c>
      <c r="AK72" s="79">
        <f t="shared" si="1104"/>
        <v>1.0850759999999999</v>
      </c>
      <c r="AL72" s="79">
        <f t="shared" si="1105"/>
        <v>0</v>
      </c>
      <c r="AM72" s="79">
        <f t="shared" si="1106"/>
        <v>0</v>
      </c>
      <c r="AN72" s="79">
        <f t="shared" si="1107"/>
        <v>0.33490000000000009</v>
      </c>
      <c r="AO72" s="139">
        <f t="shared" si="1108"/>
        <v>0.80376000000000003</v>
      </c>
      <c r="AP72" s="79">
        <f t="shared" si="1172"/>
        <v>0.45211500000000004</v>
      </c>
      <c r="AQ72" s="79">
        <f t="shared" si="1172"/>
        <v>1.0850759999999999</v>
      </c>
      <c r="AR72" s="79">
        <f t="shared" si="1172"/>
        <v>0</v>
      </c>
      <c r="AS72" s="79">
        <f t="shared" si="1109"/>
        <v>0</v>
      </c>
      <c r="AT72" s="79">
        <f t="shared" si="1109"/>
        <v>0.33490000000000009</v>
      </c>
      <c r="AU72" s="104">
        <f t="shared" si="1109"/>
        <v>0.80376000000000003</v>
      </c>
      <c r="AV72" s="82">
        <f t="shared" si="1110"/>
        <v>0</v>
      </c>
      <c r="AW72" s="79">
        <f t="shared" si="1111"/>
        <v>0</v>
      </c>
      <c r="AX72" s="79">
        <f t="shared" si="1112"/>
        <v>0</v>
      </c>
      <c r="AY72" s="79">
        <f t="shared" si="1113"/>
        <v>0</v>
      </c>
      <c r="AZ72" s="79">
        <f t="shared" si="1114"/>
        <v>0</v>
      </c>
      <c r="BA72" s="79">
        <f t="shared" si="1115"/>
        <v>0</v>
      </c>
      <c r="BB72" s="138">
        <f t="shared" si="1116"/>
        <v>0</v>
      </c>
      <c r="BC72" s="79">
        <f t="shared" si="1117"/>
        <v>0</v>
      </c>
      <c r="BD72" s="79">
        <f t="shared" si="1118"/>
        <v>0.30141000000000007</v>
      </c>
      <c r="BE72" s="79">
        <f t="shared" si="1119"/>
        <v>0.72338400000000003</v>
      </c>
      <c r="BF72" s="79">
        <f t="shared" si="1120"/>
        <v>0.55816666666666681</v>
      </c>
      <c r="BG72" s="79">
        <f t="shared" si="1121"/>
        <v>1.3396000000000001</v>
      </c>
      <c r="BH72" s="79">
        <f t="shared" si="1122"/>
        <v>0</v>
      </c>
      <c r="BI72" s="79">
        <f t="shared" si="1122"/>
        <v>0</v>
      </c>
      <c r="BJ72" s="79">
        <f t="shared" si="1122"/>
        <v>0.30141000000000007</v>
      </c>
      <c r="BK72" s="79">
        <f t="shared" si="1122"/>
        <v>0.72338400000000003</v>
      </c>
      <c r="BL72" s="79">
        <f t="shared" si="1122"/>
        <v>0.55816666666666681</v>
      </c>
      <c r="BM72" s="79">
        <f t="shared" si="1122"/>
        <v>1.3396000000000001</v>
      </c>
      <c r="BN72" s="82">
        <f t="shared" si="1123"/>
        <v>0</v>
      </c>
      <c r="BO72" s="79">
        <f t="shared" si="1124"/>
        <v>0</v>
      </c>
      <c r="BP72" s="79">
        <f t="shared" si="1125"/>
        <v>0</v>
      </c>
      <c r="BQ72" s="79">
        <f t="shared" si="1126"/>
        <v>0</v>
      </c>
      <c r="BR72" s="79">
        <f t="shared" si="1127"/>
        <v>0</v>
      </c>
      <c r="BS72" s="79">
        <f t="shared" si="1128"/>
        <v>0</v>
      </c>
      <c r="BT72" s="138">
        <f t="shared" si="1129"/>
        <v>2.2326666666666671E-3</v>
      </c>
      <c r="BU72" s="79">
        <f t="shared" si="1130"/>
        <v>5.358400000000001E-3</v>
      </c>
      <c r="BV72" s="79">
        <f t="shared" si="1131"/>
        <v>3.3490000000000006E-2</v>
      </c>
      <c r="BW72" s="79">
        <f t="shared" si="1132"/>
        <v>8.0376000000000003E-2</v>
      </c>
      <c r="BX72" s="79">
        <f t="shared" si="1133"/>
        <v>0.61398333333333344</v>
      </c>
      <c r="BY72" s="79">
        <f t="shared" si="1134"/>
        <v>1.47356</v>
      </c>
      <c r="BZ72" s="138">
        <f t="shared" si="1135"/>
        <v>2.2326666666666671E-3</v>
      </c>
      <c r="CA72" s="79">
        <f t="shared" si="1135"/>
        <v>5.358400000000001E-3</v>
      </c>
      <c r="CB72" s="79">
        <f t="shared" si="1135"/>
        <v>3.3490000000000006E-2</v>
      </c>
      <c r="CC72" s="79">
        <f t="shared" si="1135"/>
        <v>8.0376000000000003E-2</v>
      </c>
      <c r="CD72" s="79">
        <f t="shared" si="1135"/>
        <v>0.61398333333333344</v>
      </c>
      <c r="CE72" s="535">
        <f t="shared" si="1135"/>
        <v>1.47356</v>
      </c>
      <c r="CF72" s="79">
        <f t="shared" si="173"/>
        <v>0</v>
      </c>
      <c r="CG72" s="79">
        <f t="shared" ref="CG72:CG85" si="1198">$K72*AA72</f>
        <v>3.9703300000000006</v>
      </c>
      <c r="CH72" s="79">
        <f t="shared" si="175"/>
        <v>0</v>
      </c>
      <c r="CI72" s="79">
        <f t="shared" ref="CI72:CI85" si="1199">$K72*AB72</f>
        <v>0</v>
      </c>
      <c r="CJ72" s="79">
        <f t="shared" si="176"/>
        <v>0</v>
      </c>
      <c r="CK72" s="79">
        <f t="shared" ref="CK72:CK85" si="1200">$K72*AC72</f>
        <v>35.732970000000009</v>
      </c>
      <c r="CL72" s="3"/>
      <c r="CM72" s="101">
        <f t="shared" si="1083"/>
        <v>0</v>
      </c>
      <c r="CN72" s="99">
        <f t="shared" si="1136"/>
        <v>0</v>
      </c>
      <c r="CO72" s="130">
        <f t="shared" si="1137"/>
        <v>52.858383333333343</v>
      </c>
      <c r="CP72" s="131">
        <f t="shared" ref="CP72:CP85" si="1201">IF(I72-I72*Z72-K72&lt;0,0,I72-I72*Z72-K72)</f>
        <v>87.15682000000001</v>
      </c>
      <c r="CQ72" s="99">
        <f t="shared" ref="CQ72:CR85" si="1202">CM72+CO72</f>
        <v>52.858383333333343</v>
      </c>
      <c r="CR72" s="98">
        <f t="shared" si="1202"/>
        <v>87.15682000000001</v>
      </c>
      <c r="CS72" s="44">
        <v>0</v>
      </c>
      <c r="CT72" s="45">
        <v>0</v>
      </c>
      <c r="CU72" s="45">
        <v>1</v>
      </c>
      <c r="CV72" s="100">
        <f t="shared" ref="CV72:CV85" si="1203">1-CU72</f>
        <v>0</v>
      </c>
      <c r="CW72" s="40">
        <f t="shared" si="1178"/>
        <v>0</v>
      </c>
      <c r="CX72" s="41">
        <f t="shared" si="1179"/>
        <v>0</v>
      </c>
      <c r="CY72" s="79">
        <f t="shared" si="1180"/>
        <v>0</v>
      </c>
      <c r="CZ72" s="139">
        <f t="shared" si="1181"/>
        <v>0</v>
      </c>
      <c r="DA72" s="41">
        <f t="shared" si="1139"/>
        <v>37.000868333333337</v>
      </c>
      <c r="DB72" s="41">
        <f t="shared" si="1140"/>
        <v>61.009774</v>
      </c>
      <c r="DC72" s="41">
        <f t="shared" si="1141"/>
        <v>0</v>
      </c>
      <c r="DD72" s="143">
        <f t="shared" si="1142"/>
        <v>0</v>
      </c>
      <c r="DE72" s="41">
        <f t="shared" si="768"/>
        <v>37.000868333333337</v>
      </c>
      <c r="DF72" s="41">
        <f t="shared" si="1182"/>
        <v>61.009774</v>
      </c>
      <c r="DG72" s="41">
        <f t="shared" si="1183"/>
        <v>0</v>
      </c>
      <c r="DH72" s="42">
        <f t="shared" si="1184"/>
        <v>0</v>
      </c>
      <c r="DJ72" s="498">
        <v>1</v>
      </c>
      <c r="DK72" s="498">
        <v>0.3</v>
      </c>
      <c r="DL72" s="41">
        <f t="shared" si="1143"/>
        <v>0</v>
      </c>
      <c r="DM72" s="41">
        <f t="shared" si="1144"/>
        <v>0</v>
      </c>
      <c r="DN72" s="41">
        <f t="shared" si="1084"/>
        <v>15.857515000000003</v>
      </c>
      <c r="DO72" s="42">
        <f t="shared" si="1085"/>
        <v>26.147046000000003</v>
      </c>
      <c r="DP72" s="44">
        <v>1</v>
      </c>
      <c r="DQ72" s="45">
        <v>0.1</v>
      </c>
      <c r="DR72" s="45">
        <v>0.5</v>
      </c>
      <c r="DS72" s="682">
        <f t="shared" si="185"/>
        <v>0.1</v>
      </c>
      <c r="DT72" s="102">
        <f t="shared" si="186"/>
        <v>1</v>
      </c>
      <c r="DU72" s="45">
        <v>0</v>
      </c>
      <c r="DV72" s="45">
        <v>1</v>
      </c>
      <c r="DW72" s="45">
        <v>0</v>
      </c>
      <c r="DX72" s="45">
        <v>0</v>
      </c>
      <c r="DY72" s="45">
        <v>1</v>
      </c>
      <c r="DZ72" s="45">
        <v>0</v>
      </c>
      <c r="EA72" s="103">
        <f t="shared" si="888"/>
        <v>0</v>
      </c>
      <c r="EB72" s="79">
        <f t="shared" si="1185"/>
        <v>0</v>
      </c>
      <c r="EC72" s="79">
        <f t="shared" si="889"/>
        <v>0</v>
      </c>
      <c r="ED72" s="79">
        <f t="shared" si="1186"/>
        <v>0</v>
      </c>
      <c r="EE72" s="79">
        <f t="shared" si="890"/>
        <v>0</v>
      </c>
      <c r="EF72" s="79">
        <f t="shared" si="1187"/>
        <v>0</v>
      </c>
      <c r="EG72" s="138">
        <f t="shared" si="1145"/>
        <v>0</v>
      </c>
      <c r="EH72" s="79">
        <f t="shared" si="1146"/>
        <v>0</v>
      </c>
      <c r="EI72" s="79">
        <f t="shared" si="1147"/>
        <v>2.3786272500000001</v>
      </c>
      <c r="EJ72" s="79">
        <f t="shared" si="1148"/>
        <v>28.525673249999997</v>
      </c>
      <c r="EK72" s="79">
        <f t="shared" si="1149"/>
        <v>0</v>
      </c>
      <c r="EL72" s="139">
        <f t="shared" si="1150"/>
        <v>0</v>
      </c>
      <c r="EM72" s="79">
        <f t="shared" si="193"/>
        <v>2.3786272500000001</v>
      </c>
      <c r="EN72" s="83">
        <f t="shared" si="194"/>
        <v>28.525673249999997</v>
      </c>
      <c r="EP72" s="103">
        <f t="shared" si="769"/>
        <v>0</v>
      </c>
      <c r="EQ72" s="79">
        <f t="shared" si="1151"/>
        <v>0</v>
      </c>
      <c r="ER72" s="79">
        <f t="shared" si="770"/>
        <v>0</v>
      </c>
      <c r="ES72" s="79">
        <f t="shared" si="1152"/>
        <v>0</v>
      </c>
      <c r="ET72" s="79">
        <f t="shared" si="771"/>
        <v>0</v>
      </c>
      <c r="EU72" s="79">
        <f t="shared" si="1153"/>
        <v>0</v>
      </c>
      <c r="EV72" s="138">
        <f t="shared" si="1086"/>
        <v>2.2326666666666671E-3</v>
      </c>
      <c r="EW72" s="79">
        <f t="shared" si="1087"/>
        <v>5.358400000000001E-3</v>
      </c>
      <c r="EX72" s="79">
        <f t="shared" si="1088"/>
        <v>3.3490000000000006E-2</v>
      </c>
      <c r="EY72" s="79">
        <f t="shared" si="1089"/>
        <v>8.0376000000000003E-2</v>
      </c>
      <c r="EZ72" s="79">
        <f t="shared" si="1090"/>
        <v>0.61398333333333344</v>
      </c>
      <c r="FA72" s="104">
        <f t="shared" si="1091"/>
        <v>1.47356</v>
      </c>
      <c r="FB72" s="40">
        <f t="shared" si="1188"/>
        <v>0</v>
      </c>
      <c r="FC72" s="41">
        <f t="shared" si="1189"/>
        <v>0</v>
      </c>
      <c r="FD72" s="41">
        <f t="shared" si="1154"/>
        <v>37.000868333333337</v>
      </c>
      <c r="FE72" s="41">
        <f t="shared" si="1155"/>
        <v>61.009774</v>
      </c>
      <c r="FF72" s="40">
        <f t="shared" si="772"/>
        <v>0</v>
      </c>
      <c r="FG72" s="41">
        <f t="shared" si="1156"/>
        <v>0</v>
      </c>
      <c r="FH72" s="41">
        <f t="shared" si="1157"/>
        <v>0</v>
      </c>
      <c r="FI72" s="41">
        <f t="shared" si="1158"/>
        <v>0</v>
      </c>
      <c r="FJ72" s="44">
        <v>1</v>
      </c>
      <c r="FK72" s="45">
        <v>0.2</v>
      </c>
      <c r="FL72" s="503">
        <v>0.8</v>
      </c>
      <c r="FM72" s="45">
        <v>0.1</v>
      </c>
      <c r="FN72" s="503">
        <v>0.5</v>
      </c>
      <c r="FO72" s="45">
        <f t="shared" si="200"/>
        <v>0.1</v>
      </c>
      <c r="FP72" s="45">
        <f t="shared" si="201"/>
        <v>1</v>
      </c>
      <c r="FQ72" s="45">
        <v>1</v>
      </c>
      <c r="FR72" s="45">
        <v>0</v>
      </c>
      <c r="FS72" s="108">
        <f t="shared" si="202"/>
        <v>1E-3</v>
      </c>
      <c r="FT72" s="45">
        <f t="shared" si="203"/>
        <v>0.05</v>
      </c>
      <c r="FU72" s="44">
        <v>0.05</v>
      </c>
      <c r="FV72" s="100">
        <f t="shared" si="25"/>
        <v>2.4224999999999997E-2</v>
      </c>
      <c r="FW72" s="45">
        <v>0.1</v>
      </c>
      <c r="FX72" s="102">
        <f t="shared" si="26"/>
        <v>9.0000000000000011E-2</v>
      </c>
      <c r="FY72" s="44">
        <v>0.45</v>
      </c>
      <c r="FZ72" s="100">
        <f t="shared" si="1092"/>
        <v>1.4025000000000001E-2</v>
      </c>
      <c r="GA72" s="45">
        <v>0.45</v>
      </c>
      <c r="GB72" s="102">
        <f t="shared" si="1093"/>
        <v>5.5000000000000007E-2</v>
      </c>
      <c r="GC72" s="103">
        <f t="shared" si="773"/>
        <v>0</v>
      </c>
      <c r="GD72" s="79">
        <f t="shared" si="1159"/>
        <v>0</v>
      </c>
      <c r="GE72" s="79">
        <f t="shared" si="774"/>
        <v>0</v>
      </c>
      <c r="GF72" s="79">
        <f t="shared" si="1160"/>
        <v>0</v>
      </c>
      <c r="GG72" s="79">
        <v>0</v>
      </c>
      <c r="GH72" s="139">
        <v>0</v>
      </c>
      <c r="GI72" s="79">
        <f t="shared" si="1094"/>
        <v>2.2326666666666671E-3</v>
      </c>
      <c r="GJ72" s="79">
        <f t="shared" si="1095"/>
        <v>5.358400000000001E-3</v>
      </c>
      <c r="GK72" s="79">
        <f t="shared" si="1096"/>
        <v>3.3490000000000006E-2</v>
      </c>
      <c r="GL72" s="79">
        <f t="shared" si="1097"/>
        <v>8.0376000000000003E-2</v>
      </c>
      <c r="GM72" s="79">
        <f t="shared" si="1098"/>
        <v>0.12279666666666669</v>
      </c>
      <c r="GN72" s="139">
        <f t="shared" si="1099"/>
        <v>1.1788480000000001</v>
      </c>
      <c r="GO72" s="79">
        <f t="shared" si="208"/>
        <v>0.15851933333333337</v>
      </c>
      <c r="GP72" s="104">
        <f t="shared" si="209"/>
        <v>1.2645824000000001</v>
      </c>
      <c r="GQ72" s="41">
        <f t="shared" si="891"/>
        <v>0</v>
      </c>
      <c r="GR72" s="41">
        <f t="shared" si="892"/>
        <v>0</v>
      </c>
      <c r="GS72" s="79">
        <f t="shared" si="1031"/>
        <v>0</v>
      </c>
      <c r="GT72" s="79">
        <f t="shared" si="1032"/>
        <v>0</v>
      </c>
      <c r="GU72" s="79">
        <f t="shared" si="1033"/>
        <v>0</v>
      </c>
      <c r="GV72" s="139">
        <f t="shared" si="1034"/>
        <v>0</v>
      </c>
      <c r="GW72" s="41">
        <f t="shared" si="1162"/>
        <v>0.85846639641875011</v>
      </c>
      <c r="GX72" s="41">
        <f t="shared" si="1163"/>
        <v>15.404967935</v>
      </c>
      <c r="GY72" s="41">
        <f t="shared" si="1192"/>
        <v>8.8899453124999998E-4</v>
      </c>
      <c r="GZ72" s="41">
        <f t="shared" si="1193"/>
        <v>0.44449726562500003</v>
      </c>
      <c r="HA72" s="41">
        <f t="shared" si="1194"/>
        <v>0</v>
      </c>
      <c r="HB72" s="143">
        <f t="shared" si="1195"/>
        <v>0</v>
      </c>
      <c r="HC72" s="79">
        <f t="shared" si="212"/>
        <v>0.85935539095000013</v>
      </c>
      <c r="HD72" s="522">
        <f t="shared" si="213"/>
        <v>15.849465200625</v>
      </c>
      <c r="HE72" s="527"/>
      <c r="HF72" s="532">
        <f t="shared" si="775"/>
        <v>0.45211500000000004</v>
      </c>
      <c r="HG72" s="532">
        <f t="shared" si="776"/>
        <v>1.0850759999999999</v>
      </c>
      <c r="HH72" s="532">
        <f t="shared" si="777"/>
        <v>0</v>
      </c>
      <c r="HI72" s="532">
        <f t="shared" si="778"/>
        <v>0</v>
      </c>
      <c r="HJ72" s="532">
        <f t="shared" si="779"/>
        <v>0.33490000000000009</v>
      </c>
      <c r="HK72" s="533">
        <f t="shared" si="780"/>
        <v>0.80376000000000003</v>
      </c>
      <c r="HL72" s="532">
        <f t="shared" si="781"/>
        <v>0</v>
      </c>
      <c r="HM72" s="532">
        <f t="shared" si="782"/>
        <v>0</v>
      </c>
      <c r="HN72" s="532">
        <f t="shared" si="783"/>
        <v>2.6800372500000003</v>
      </c>
      <c r="HO72" s="532">
        <f t="shared" si="784"/>
        <v>29.249057249999996</v>
      </c>
      <c r="HP72" s="532">
        <f t="shared" si="785"/>
        <v>0.55816666666666681</v>
      </c>
      <c r="HQ72" s="533">
        <f t="shared" si="786"/>
        <v>1.3396000000000001</v>
      </c>
      <c r="HR72" s="532">
        <f t="shared" si="214"/>
        <v>0.86069906308541677</v>
      </c>
      <c r="HS72" s="532">
        <f t="shared" si="787"/>
        <v>19.825153600625001</v>
      </c>
      <c r="HT72" s="532">
        <f t="shared" si="788"/>
        <v>3.3490000000000006E-2</v>
      </c>
      <c r="HU72" s="532">
        <f t="shared" si="789"/>
        <v>8.0376000000000003E-2</v>
      </c>
      <c r="HV72" s="532">
        <f t="shared" si="790"/>
        <v>0.12279666666666669</v>
      </c>
      <c r="HW72" s="533">
        <f t="shared" si="791"/>
        <v>36.911818000000011</v>
      </c>
      <c r="IG72" s="560"/>
      <c r="IH72" s="532">
        <f t="shared" si="215"/>
        <v>4.973265000000001E-3</v>
      </c>
      <c r="II72" s="532">
        <f t="shared" si="216"/>
        <v>4.0690350000000012E-3</v>
      </c>
      <c r="IJ72" s="532">
        <f t="shared" si="217"/>
        <v>8.1380700000000025E-3</v>
      </c>
      <c r="IK72" s="532">
        <f t="shared" si="893"/>
        <v>4.0690350000000012E-3</v>
      </c>
      <c r="IL72" s="532">
        <f t="shared" si="894"/>
        <v>0.38203717500000001</v>
      </c>
      <c r="IM72" s="532">
        <f t="shared" si="895"/>
        <v>4.5211500000000006E-4</v>
      </c>
      <c r="IN72" s="532">
        <f t="shared" si="896"/>
        <v>4.5211500000000006E-4</v>
      </c>
      <c r="IO72" s="532">
        <f t="shared" si="222"/>
        <v>3.5807508000000002E-2</v>
      </c>
      <c r="IP72" s="532">
        <f t="shared" si="223"/>
        <v>4.4488115999999994E-2</v>
      </c>
      <c r="IQ72" s="532">
        <f t="shared" si="897"/>
        <v>5.6423951999999999E-2</v>
      </c>
      <c r="IR72" s="532">
        <f t="shared" si="898"/>
        <v>4.4488115999999994E-2</v>
      </c>
      <c r="IS72" s="532">
        <f t="shared" si="899"/>
        <v>0.91905937199999987</v>
      </c>
      <c r="IT72" s="532">
        <f t="shared" si="900"/>
        <v>1.0850759999999999E-2</v>
      </c>
      <c r="IU72" s="534">
        <f t="shared" si="901"/>
        <v>1.0850759999999999E-2</v>
      </c>
      <c r="IV72" s="545">
        <f t="shared" si="229"/>
        <v>0</v>
      </c>
      <c r="IW72" s="545">
        <f t="shared" si="230"/>
        <v>0</v>
      </c>
      <c r="IX72" s="532">
        <f t="shared" si="792"/>
        <v>0</v>
      </c>
      <c r="IY72" s="532">
        <f t="shared" si="793"/>
        <v>0</v>
      </c>
      <c r="IZ72" s="532">
        <f t="shared" si="794"/>
        <v>0</v>
      </c>
      <c r="JA72" s="532">
        <f t="shared" si="795"/>
        <v>0</v>
      </c>
      <c r="JB72" s="532">
        <f t="shared" si="796"/>
        <v>0</v>
      </c>
      <c r="JC72" s="532">
        <f t="shared" si="231"/>
        <v>0</v>
      </c>
      <c r="JD72" s="532">
        <f t="shared" si="232"/>
        <v>0</v>
      </c>
      <c r="JE72" s="532">
        <f t="shared" si="797"/>
        <v>0</v>
      </c>
      <c r="JF72" s="532">
        <f t="shared" si="798"/>
        <v>0</v>
      </c>
      <c r="JG72" s="532">
        <f t="shared" si="799"/>
        <v>0</v>
      </c>
      <c r="JH72" s="532">
        <f t="shared" si="800"/>
        <v>0</v>
      </c>
      <c r="JI72" s="553">
        <f t="shared" si="801"/>
        <v>0</v>
      </c>
      <c r="JJ72" s="545">
        <f t="shared" si="233"/>
        <v>3.6839000000000012E-3</v>
      </c>
      <c r="JK72" s="545">
        <f t="shared" si="234"/>
        <v>3.0141000000000013E-3</v>
      </c>
      <c r="JL72" s="532">
        <f t="shared" si="802"/>
        <v>6.0282000000000027E-3</v>
      </c>
      <c r="JM72" s="532">
        <f t="shared" si="803"/>
        <v>3.0141000000000013E-3</v>
      </c>
      <c r="JN72" s="532">
        <f t="shared" si="804"/>
        <v>0.28299050000000009</v>
      </c>
      <c r="JO72" s="532">
        <f t="shared" si="805"/>
        <v>3.3490000000000012E-4</v>
      </c>
      <c r="JP72" s="532">
        <f t="shared" si="806"/>
        <v>3.3490000000000012E-4</v>
      </c>
      <c r="JQ72" s="532">
        <f t="shared" si="235"/>
        <v>2.6524080000000002E-2</v>
      </c>
      <c r="JR72" s="532">
        <f t="shared" si="236"/>
        <v>3.2954159999999996E-2</v>
      </c>
      <c r="JS72" s="545">
        <f t="shared" si="807"/>
        <v>4.1795520000000003E-2</v>
      </c>
      <c r="JT72" s="545">
        <f t="shared" si="808"/>
        <v>3.2954159999999996E-2</v>
      </c>
      <c r="JU72" s="545">
        <f t="shared" si="809"/>
        <v>0.68078472000000001</v>
      </c>
      <c r="JV72" s="545">
        <f t="shared" si="810"/>
        <v>8.0376000000000006E-3</v>
      </c>
      <c r="JW72" s="554">
        <f t="shared" si="811"/>
        <v>8.0376000000000006E-3</v>
      </c>
      <c r="JX72" s="545">
        <f t="shared" si="237"/>
        <v>0</v>
      </c>
      <c r="JY72" s="545">
        <f t="shared" si="238"/>
        <v>0</v>
      </c>
      <c r="JZ72" s="532">
        <f t="shared" si="812"/>
        <v>0</v>
      </c>
      <c r="KA72" s="532">
        <f t="shared" si="813"/>
        <v>0</v>
      </c>
      <c r="KB72" s="532">
        <f t="shared" si="814"/>
        <v>0</v>
      </c>
      <c r="KC72" s="532">
        <f t="shared" si="815"/>
        <v>0</v>
      </c>
      <c r="KD72" s="532">
        <f t="shared" si="816"/>
        <v>0</v>
      </c>
      <c r="KE72" s="532">
        <f t="shared" si="239"/>
        <v>0</v>
      </c>
      <c r="KF72" s="532">
        <f t="shared" si="240"/>
        <v>0</v>
      </c>
      <c r="KG72" s="532">
        <f t="shared" si="817"/>
        <v>0</v>
      </c>
      <c r="KH72" s="532">
        <f t="shared" si="818"/>
        <v>0</v>
      </c>
      <c r="KI72" s="532">
        <f t="shared" si="819"/>
        <v>0</v>
      </c>
      <c r="KJ72" s="532">
        <f t="shared" si="820"/>
        <v>0</v>
      </c>
      <c r="KK72" s="534">
        <f t="shared" si="821"/>
        <v>0</v>
      </c>
      <c r="KL72" s="545">
        <f t="shared" si="241"/>
        <v>2.9480409750000006E-2</v>
      </c>
      <c r="KM72" s="545">
        <f t="shared" si="242"/>
        <v>2.4120335250000006E-2</v>
      </c>
      <c r="KN72" s="532">
        <f t="shared" si="822"/>
        <v>4.8240670500000013E-2</v>
      </c>
      <c r="KO72" s="532">
        <f t="shared" si="823"/>
        <v>2.4120335250000006E-2</v>
      </c>
      <c r="KP72" s="532">
        <f t="shared" si="824"/>
        <v>2.2646314762499999</v>
      </c>
      <c r="KQ72" s="532">
        <f t="shared" si="825"/>
        <v>2.6800372500000004E-3</v>
      </c>
      <c r="KR72" s="532">
        <f t="shared" si="826"/>
        <v>2.6800372500000004E-3</v>
      </c>
      <c r="KS72" s="532">
        <f t="shared" si="243"/>
        <v>0.96521888924999988</v>
      </c>
      <c r="KT72" s="532">
        <f t="shared" si="244"/>
        <v>1.1992113472499997</v>
      </c>
      <c r="KU72" s="532">
        <f t="shared" si="827"/>
        <v>1.520950977</v>
      </c>
      <c r="KV72" s="532">
        <f t="shared" si="828"/>
        <v>1.1992113472499997</v>
      </c>
      <c r="KW72" s="532">
        <f t="shared" si="829"/>
        <v>24.773951490749997</v>
      </c>
      <c r="KX72" s="532">
        <f t="shared" si="830"/>
        <v>0.29249057249999999</v>
      </c>
      <c r="KY72" s="553">
        <f t="shared" si="831"/>
        <v>0.29249057249999999</v>
      </c>
      <c r="KZ72" s="545">
        <f t="shared" si="245"/>
        <v>6.1398333333333357E-3</v>
      </c>
      <c r="LA72" s="545">
        <f t="shared" si="246"/>
        <v>5.0235000000000019E-3</v>
      </c>
      <c r="LB72" s="532">
        <f t="shared" si="832"/>
        <v>1.0047000000000004E-2</v>
      </c>
      <c r="LC72" s="532">
        <f t="shared" si="833"/>
        <v>5.0235000000000019E-3</v>
      </c>
      <c r="LD72" s="532">
        <f t="shared" si="834"/>
        <v>0.47165083333333346</v>
      </c>
      <c r="LE72" s="532">
        <f t="shared" si="835"/>
        <v>5.5816666666666677E-4</v>
      </c>
      <c r="LF72" s="532">
        <f t="shared" si="836"/>
        <v>5.5816666666666677E-4</v>
      </c>
      <c r="LG72" s="532">
        <f t="shared" si="247"/>
        <v>4.4206800000000004E-2</v>
      </c>
      <c r="LH72" s="532">
        <f t="shared" si="248"/>
        <v>5.4923599999999996E-2</v>
      </c>
      <c r="LI72" s="545">
        <f t="shared" si="837"/>
        <v>6.9659200000000018E-2</v>
      </c>
      <c r="LJ72" s="545">
        <f t="shared" si="838"/>
        <v>5.4923599999999996E-2</v>
      </c>
      <c r="LK72" s="545">
        <f t="shared" si="839"/>
        <v>1.1346412000000001</v>
      </c>
      <c r="LL72" s="545">
        <f t="shared" si="840"/>
        <v>1.3396000000000002E-2</v>
      </c>
      <c r="LM72" s="554">
        <f t="shared" si="841"/>
        <v>1.3396000000000002E-2</v>
      </c>
      <c r="LN72" s="545">
        <f t="shared" si="249"/>
        <v>9.4676896939395851E-4</v>
      </c>
      <c r="LO72" s="545">
        <f t="shared" si="250"/>
        <v>2.58209718925625E-4</v>
      </c>
      <c r="LP72" s="532">
        <f t="shared" si="842"/>
        <v>4.3895652217356262E-3</v>
      </c>
      <c r="LQ72" s="532">
        <f t="shared" si="843"/>
        <v>7.0577323173004166E-3</v>
      </c>
      <c r="LR72" s="532">
        <f t="shared" si="844"/>
        <v>0.68855925046833344</v>
      </c>
      <c r="LS72" s="532">
        <f t="shared" si="845"/>
        <v>7.4880818488431257E-3</v>
      </c>
      <c r="LT72" s="532">
        <f t="shared" si="846"/>
        <v>8.6069906308541681E-4</v>
      </c>
      <c r="LU72" s="532">
        <f t="shared" si="251"/>
        <v>1.1895092160375</v>
      </c>
      <c r="LV72" s="532">
        <f t="shared" si="252"/>
        <v>0.59475460801875002</v>
      </c>
      <c r="LW72" s="532">
        <f t="shared" si="847"/>
        <v>1.3877607520437503</v>
      </c>
      <c r="LX72" s="532">
        <f t="shared" si="848"/>
        <v>1.1895092160375</v>
      </c>
      <c r="LY72" s="532">
        <f t="shared" si="849"/>
        <v>19.607076911018126</v>
      </c>
      <c r="LZ72" s="532">
        <f t="shared" si="850"/>
        <v>0.19825153600625001</v>
      </c>
      <c r="MA72" s="558">
        <f t="shared" si="851"/>
        <v>0.19825153600625001</v>
      </c>
      <c r="MB72" s="545">
        <f t="shared" si="253"/>
        <v>3.6839000000000011E-5</v>
      </c>
      <c r="MC72" s="545">
        <f t="shared" si="254"/>
        <v>1.0047000000000001E-5</v>
      </c>
      <c r="MD72" s="532">
        <f t="shared" si="852"/>
        <v>1.7079900000000004E-4</v>
      </c>
      <c r="ME72" s="532">
        <f t="shared" si="853"/>
        <v>2.7461800000000002E-4</v>
      </c>
      <c r="MF72" s="532">
        <f t="shared" si="854"/>
        <v>2.6792000000000007E-2</v>
      </c>
      <c r="MG72" s="532">
        <f t="shared" si="855"/>
        <v>2.9136300000000005E-4</v>
      </c>
      <c r="MH72" s="532">
        <f t="shared" si="856"/>
        <v>3.3490000000000006E-5</v>
      </c>
      <c r="MI72" s="532">
        <f t="shared" si="255"/>
        <v>4.82256E-3</v>
      </c>
      <c r="MJ72" s="532">
        <f t="shared" si="256"/>
        <v>2.41128E-3</v>
      </c>
      <c r="MK72" s="532">
        <f t="shared" si="857"/>
        <v>5.6263200000000006E-3</v>
      </c>
      <c r="ML72" s="532">
        <f t="shared" si="858"/>
        <v>4.82256E-3</v>
      </c>
      <c r="MM72" s="532">
        <f t="shared" si="859"/>
        <v>7.9491864000000009E-2</v>
      </c>
      <c r="MN72" s="532">
        <f t="shared" si="860"/>
        <v>8.0376000000000004E-4</v>
      </c>
      <c r="MO72" s="558">
        <f t="shared" si="861"/>
        <v>8.0376000000000004E-4</v>
      </c>
      <c r="MP72" s="545">
        <f t="shared" si="257"/>
        <v>1.3507633333333338E-4</v>
      </c>
      <c r="MQ72" s="545">
        <f t="shared" si="258"/>
        <v>3.6839000000000004E-5</v>
      </c>
      <c r="MR72" s="532">
        <f t="shared" si="862"/>
        <v>6.2626300000000017E-4</v>
      </c>
      <c r="MS72" s="532">
        <f t="shared" si="863"/>
        <v>1.0069326666666668E-3</v>
      </c>
      <c r="MT72" s="532">
        <f t="shared" si="864"/>
        <v>9.8237333333333357E-2</v>
      </c>
      <c r="MU72" s="532">
        <f t="shared" si="865"/>
        <v>1.0683310000000001E-3</v>
      </c>
      <c r="MV72" s="532">
        <f t="shared" si="866"/>
        <v>1.2279666666666669E-4</v>
      </c>
      <c r="MW72" s="532">
        <f t="shared" si="259"/>
        <v>2.2147090800000004</v>
      </c>
      <c r="MX72" s="532">
        <f t="shared" si="260"/>
        <v>1.1073545400000002</v>
      </c>
      <c r="MY72" s="545">
        <f t="shared" si="867"/>
        <v>2.583827260000001</v>
      </c>
      <c r="MZ72" s="545">
        <f t="shared" si="868"/>
        <v>2.2147090800000004</v>
      </c>
      <c r="NA72" s="545">
        <f t="shared" si="869"/>
        <v>36.505788002000017</v>
      </c>
      <c r="NB72" s="545">
        <f t="shared" si="870"/>
        <v>0.36911818000000013</v>
      </c>
      <c r="NC72" s="554">
        <f t="shared" si="871"/>
        <v>0.36911818000000013</v>
      </c>
      <c r="NL72" s="106"/>
    </row>
    <row r="73" spans="1:376" x14ac:dyDescent="0.25">
      <c r="A73" s="12">
        <v>2018</v>
      </c>
      <c r="B73" s="13">
        <v>0</v>
      </c>
      <c r="C73" s="14">
        <v>0</v>
      </c>
      <c r="D73" s="14">
        <f>D72-$D$70/3</f>
        <v>0</v>
      </c>
      <c r="E73" s="658">
        <f t="shared" si="1196"/>
        <v>119</v>
      </c>
      <c r="F73" s="14">
        <f t="shared" si="1164"/>
        <v>0</v>
      </c>
      <c r="G73" s="14">
        <f t="shared" si="1165"/>
        <v>0</v>
      </c>
      <c r="H73" s="14">
        <f t="shared" si="1100"/>
        <v>0</v>
      </c>
      <c r="I73" s="14">
        <f t="shared" si="1101"/>
        <v>117.215</v>
      </c>
      <c r="J73" s="14">
        <v>0</v>
      </c>
      <c r="K73" s="917">
        <f t="shared" si="1197"/>
        <v>39.703300000000006</v>
      </c>
      <c r="L73" s="14">
        <f t="shared" si="751"/>
        <v>0</v>
      </c>
      <c r="M73" s="17">
        <f t="shared" si="1102"/>
        <v>117.215</v>
      </c>
      <c r="N73" s="198">
        <v>2E-3</v>
      </c>
      <c r="O73" s="120">
        <v>0</v>
      </c>
      <c r="P73" s="120">
        <v>0</v>
      </c>
      <c r="Q73" s="199">
        <v>6.0000000000000001E-3</v>
      </c>
      <c r="R73" s="120">
        <v>0</v>
      </c>
      <c r="S73" s="120">
        <v>2.7000000000000001E-3</v>
      </c>
      <c r="T73" s="120">
        <v>0</v>
      </c>
      <c r="U73" s="120">
        <v>1.18E-2</v>
      </c>
      <c r="V73" s="119">
        <v>1.0000000000000001E-5</v>
      </c>
      <c r="W73" s="120">
        <v>2.9999999999999997E-4</v>
      </c>
      <c r="X73" s="105">
        <v>0</v>
      </c>
      <c r="Y73" s="105">
        <v>3.1E-2</v>
      </c>
      <c r="Z73" s="488">
        <v>5.2999999999999999E-2</v>
      </c>
      <c r="AA73" s="105">
        <f t="shared" si="147"/>
        <v>0.1</v>
      </c>
      <c r="AB73" s="105">
        <f t="shared" si="148"/>
        <v>0</v>
      </c>
      <c r="AC73" s="105">
        <f t="shared" si="149"/>
        <v>0.9</v>
      </c>
      <c r="AD73" s="82">
        <f t="shared" si="1166"/>
        <v>0</v>
      </c>
      <c r="AE73" s="79">
        <f t="shared" si="1167"/>
        <v>0</v>
      </c>
      <c r="AF73" s="79">
        <f t="shared" si="1168"/>
        <v>0</v>
      </c>
      <c r="AG73" s="79">
        <f t="shared" si="1169"/>
        <v>0</v>
      </c>
      <c r="AH73" s="79">
        <f t="shared" si="1170"/>
        <v>0</v>
      </c>
      <c r="AI73" s="79">
        <f t="shared" si="1171"/>
        <v>0</v>
      </c>
      <c r="AJ73" s="138">
        <f t="shared" si="1103"/>
        <v>0</v>
      </c>
      <c r="AK73" s="79">
        <f t="shared" si="1104"/>
        <v>0.94944149999999994</v>
      </c>
      <c r="AL73" s="79">
        <f t="shared" si="1105"/>
        <v>0</v>
      </c>
      <c r="AM73" s="79">
        <f t="shared" si="1106"/>
        <v>0</v>
      </c>
      <c r="AN73" s="79">
        <f t="shared" si="1107"/>
        <v>0</v>
      </c>
      <c r="AO73" s="139">
        <f t="shared" si="1108"/>
        <v>0.70329000000000008</v>
      </c>
      <c r="AP73" s="79">
        <f t="shared" si="1172"/>
        <v>0</v>
      </c>
      <c r="AQ73" s="79">
        <f t="shared" si="1172"/>
        <v>0.94944149999999994</v>
      </c>
      <c r="AR73" s="79">
        <f t="shared" si="1172"/>
        <v>0</v>
      </c>
      <c r="AS73" s="79">
        <f t="shared" si="1109"/>
        <v>0</v>
      </c>
      <c r="AT73" s="79">
        <f t="shared" si="1109"/>
        <v>0</v>
      </c>
      <c r="AU73" s="104">
        <f t="shared" si="1109"/>
        <v>0.70329000000000008</v>
      </c>
      <c r="AV73" s="82">
        <f t="shared" si="1110"/>
        <v>0</v>
      </c>
      <c r="AW73" s="79">
        <f t="shared" si="1111"/>
        <v>0</v>
      </c>
      <c r="AX73" s="79">
        <f t="shared" si="1112"/>
        <v>0</v>
      </c>
      <c r="AY73" s="79">
        <f t="shared" si="1113"/>
        <v>0</v>
      </c>
      <c r="AZ73" s="79">
        <f t="shared" si="1114"/>
        <v>0</v>
      </c>
      <c r="BA73" s="79">
        <f t="shared" si="1115"/>
        <v>0</v>
      </c>
      <c r="BB73" s="138">
        <f t="shared" si="1116"/>
        <v>0</v>
      </c>
      <c r="BC73" s="79">
        <f t="shared" si="1117"/>
        <v>0</v>
      </c>
      <c r="BD73" s="79">
        <f t="shared" si="1118"/>
        <v>0</v>
      </c>
      <c r="BE73" s="79">
        <f t="shared" si="1119"/>
        <v>0.63296100000000011</v>
      </c>
      <c r="BF73" s="79">
        <f t="shared" si="1120"/>
        <v>0</v>
      </c>
      <c r="BG73" s="79">
        <f t="shared" si="1121"/>
        <v>1.17215</v>
      </c>
      <c r="BH73" s="79">
        <f t="shared" si="1122"/>
        <v>0</v>
      </c>
      <c r="BI73" s="79">
        <f t="shared" si="1122"/>
        <v>0</v>
      </c>
      <c r="BJ73" s="79">
        <f t="shared" si="1122"/>
        <v>0</v>
      </c>
      <c r="BK73" s="79">
        <f t="shared" si="1122"/>
        <v>0.63296100000000011</v>
      </c>
      <c r="BL73" s="79">
        <f t="shared" si="1122"/>
        <v>0</v>
      </c>
      <c r="BM73" s="79">
        <f t="shared" si="1122"/>
        <v>1.17215</v>
      </c>
      <c r="BN73" s="82">
        <f t="shared" si="1123"/>
        <v>0</v>
      </c>
      <c r="BO73" s="79">
        <f t="shared" si="1124"/>
        <v>0</v>
      </c>
      <c r="BP73" s="79">
        <f t="shared" si="1125"/>
        <v>0</v>
      </c>
      <c r="BQ73" s="79">
        <f t="shared" si="1126"/>
        <v>0</v>
      </c>
      <c r="BR73" s="79">
        <f t="shared" si="1127"/>
        <v>0</v>
      </c>
      <c r="BS73" s="79">
        <f t="shared" si="1128"/>
        <v>0</v>
      </c>
      <c r="BT73" s="138">
        <f t="shared" si="1129"/>
        <v>0</v>
      </c>
      <c r="BU73" s="79">
        <f t="shared" si="1130"/>
        <v>4.6886000000000002E-3</v>
      </c>
      <c r="BV73" s="79">
        <f t="shared" si="1131"/>
        <v>0</v>
      </c>
      <c r="BW73" s="79">
        <f t="shared" si="1132"/>
        <v>7.0329000000000003E-2</v>
      </c>
      <c r="BX73" s="79">
        <f t="shared" si="1133"/>
        <v>0</v>
      </c>
      <c r="BY73" s="79">
        <f t="shared" si="1134"/>
        <v>1.2893649999999999</v>
      </c>
      <c r="BZ73" s="138">
        <f t="shared" si="1135"/>
        <v>0</v>
      </c>
      <c r="CA73" s="79">
        <f t="shared" si="1135"/>
        <v>4.6886000000000002E-3</v>
      </c>
      <c r="CB73" s="79">
        <f t="shared" si="1135"/>
        <v>0</v>
      </c>
      <c r="CC73" s="79">
        <f t="shared" si="1135"/>
        <v>7.0329000000000003E-2</v>
      </c>
      <c r="CD73" s="79">
        <f t="shared" si="1135"/>
        <v>0</v>
      </c>
      <c r="CE73" s="535">
        <f t="shared" si="1135"/>
        <v>1.2893649999999999</v>
      </c>
      <c r="CF73" s="79">
        <f t="shared" si="173"/>
        <v>0</v>
      </c>
      <c r="CG73" s="79">
        <f t="shared" si="1198"/>
        <v>3.9703300000000006</v>
      </c>
      <c r="CH73" s="79">
        <f t="shared" si="175"/>
        <v>0</v>
      </c>
      <c r="CI73" s="79">
        <f t="shared" si="1199"/>
        <v>0</v>
      </c>
      <c r="CJ73" s="79">
        <f t="shared" si="176"/>
        <v>0</v>
      </c>
      <c r="CK73" s="79">
        <f t="shared" si="1200"/>
        <v>35.732970000000009</v>
      </c>
      <c r="CL73" s="3"/>
      <c r="CM73" s="101">
        <f t="shared" si="1083"/>
        <v>0</v>
      </c>
      <c r="CN73" s="99">
        <f t="shared" si="1136"/>
        <v>0</v>
      </c>
      <c r="CO73" s="130">
        <f t="shared" si="1137"/>
        <v>0</v>
      </c>
      <c r="CP73" s="131">
        <f t="shared" si="1201"/>
        <v>71.299305000000004</v>
      </c>
      <c r="CQ73" s="99">
        <f t="shared" si="1202"/>
        <v>0</v>
      </c>
      <c r="CR73" s="98">
        <f t="shared" si="1202"/>
        <v>71.299305000000004</v>
      </c>
      <c r="CS73" s="44">
        <v>0</v>
      </c>
      <c r="CT73" s="45">
        <v>0</v>
      </c>
      <c r="CU73" s="45">
        <v>1</v>
      </c>
      <c r="CV73" s="100">
        <f t="shared" si="1203"/>
        <v>0</v>
      </c>
      <c r="CW73" s="40">
        <f t="shared" si="1178"/>
        <v>0</v>
      </c>
      <c r="CX73" s="41">
        <f t="shared" si="1179"/>
        <v>0</v>
      </c>
      <c r="CY73" s="79">
        <f t="shared" si="1180"/>
        <v>0</v>
      </c>
      <c r="CZ73" s="139">
        <f t="shared" si="1181"/>
        <v>0</v>
      </c>
      <c r="DA73" s="41">
        <f t="shared" si="1139"/>
        <v>0</v>
      </c>
      <c r="DB73" s="41">
        <f t="shared" si="1140"/>
        <v>49.909513500000003</v>
      </c>
      <c r="DC73" s="41">
        <f t="shared" si="1141"/>
        <v>0</v>
      </c>
      <c r="DD73" s="143">
        <f t="shared" si="1142"/>
        <v>0</v>
      </c>
      <c r="DE73" s="41">
        <f t="shared" si="768"/>
        <v>0</v>
      </c>
      <c r="DF73" s="41">
        <f t="shared" si="1182"/>
        <v>49.909513500000003</v>
      </c>
      <c r="DG73" s="41">
        <f t="shared" si="1183"/>
        <v>0</v>
      </c>
      <c r="DH73" s="42">
        <f t="shared" si="1184"/>
        <v>0</v>
      </c>
      <c r="DJ73" s="498">
        <v>1</v>
      </c>
      <c r="DK73" s="498">
        <v>0.3</v>
      </c>
      <c r="DL73" s="41">
        <f t="shared" si="1143"/>
        <v>0</v>
      </c>
      <c r="DM73" s="41">
        <f t="shared" si="1144"/>
        <v>0</v>
      </c>
      <c r="DN73" s="41">
        <f t="shared" si="1084"/>
        <v>0</v>
      </c>
      <c r="DO73" s="42">
        <f t="shared" si="1085"/>
        <v>21.389791500000001</v>
      </c>
      <c r="DP73" s="44">
        <v>1</v>
      </c>
      <c r="DQ73" s="45">
        <v>0.1</v>
      </c>
      <c r="DR73" s="45">
        <v>0.5</v>
      </c>
      <c r="DS73" s="682">
        <f t="shared" si="185"/>
        <v>0.1</v>
      </c>
      <c r="DT73" s="102">
        <f t="shared" si="186"/>
        <v>1</v>
      </c>
      <c r="DU73" s="45">
        <v>0</v>
      </c>
      <c r="DV73" s="45">
        <v>1</v>
      </c>
      <c r="DW73" s="45">
        <v>0</v>
      </c>
      <c r="DX73" s="45">
        <v>0</v>
      </c>
      <c r="DY73" s="45">
        <v>1</v>
      </c>
      <c r="DZ73" s="45">
        <v>0</v>
      </c>
      <c r="EA73" s="103">
        <f t="shared" si="888"/>
        <v>0</v>
      </c>
      <c r="EB73" s="79">
        <f t="shared" si="1185"/>
        <v>0</v>
      </c>
      <c r="EC73" s="79">
        <f t="shared" si="889"/>
        <v>0</v>
      </c>
      <c r="ED73" s="79">
        <f t="shared" si="1186"/>
        <v>0</v>
      </c>
      <c r="EE73" s="79">
        <f t="shared" si="890"/>
        <v>0</v>
      </c>
      <c r="EF73" s="79">
        <f t="shared" si="1187"/>
        <v>0</v>
      </c>
      <c r="EG73" s="138">
        <f t="shared" si="1145"/>
        <v>0</v>
      </c>
      <c r="EH73" s="79">
        <f t="shared" si="1146"/>
        <v>0</v>
      </c>
      <c r="EI73" s="79">
        <f t="shared" si="1147"/>
        <v>0.79287575000000021</v>
      </c>
      <c r="EJ73" s="79">
        <f t="shared" si="1148"/>
        <v>23.768418750000002</v>
      </c>
      <c r="EK73" s="79">
        <f t="shared" si="1149"/>
        <v>0</v>
      </c>
      <c r="EL73" s="139">
        <f t="shared" si="1150"/>
        <v>0</v>
      </c>
      <c r="EM73" s="79">
        <f t="shared" si="193"/>
        <v>0.79287575000000021</v>
      </c>
      <c r="EN73" s="83">
        <f t="shared" si="194"/>
        <v>23.768418750000002</v>
      </c>
      <c r="EP73" s="103">
        <f t="shared" si="769"/>
        <v>0</v>
      </c>
      <c r="EQ73" s="79">
        <f t="shared" si="1151"/>
        <v>0</v>
      </c>
      <c r="ER73" s="79">
        <f t="shared" si="770"/>
        <v>0</v>
      </c>
      <c r="ES73" s="79">
        <f t="shared" si="1152"/>
        <v>0</v>
      </c>
      <c r="ET73" s="79">
        <f t="shared" si="771"/>
        <v>0</v>
      </c>
      <c r="EU73" s="79">
        <f t="shared" si="1153"/>
        <v>0</v>
      </c>
      <c r="EV73" s="138">
        <f t="shared" si="1086"/>
        <v>0</v>
      </c>
      <c r="EW73" s="79">
        <f t="shared" si="1087"/>
        <v>4.6886000000000002E-3</v>
      </c>
      <c r="EX73" s="79">
        <f t="shared" si="1088"/>
        <v>0</v>
      </c>
      <c r="EY73" s="79">
        <f t="shared" si="1089"/>
        <v>7.0329000000000003E-2</v>
      </c>
      <c r="EZ73" s="79">
        <f t="shared" si="1090"/>
        <v>0</v>
      </c>
      <c r="FA73" s="104">
        <f t="shared" si="1091"/>
        <v>1.2893649999999999</v>
      </c>
      <c r="FB73" s="40">
        <f t="shared" si="1188"/>
        <v>0</v>
      </c>
      <c r="FC73" s="41">
        <f t="shared" si="1189"/>
        <v>0</v>
      </c>
      <c r="FD73" s="41">
        <f t="shared" si="1154"/>
        <v>0</v>
      </c>
      <c r="FE73" s="41">
        <f t="shared" si="1155"/>
        <v>49.909513500000003</v>
      </c>
      <c r="FF73" s="40">
        <f t="shared" si="772"/>
        <v>0</v>
      </c>
      <c r="FG73" s="41">
        <f t="shared" si="1156"/>
        <v>0</v>
      </c>
      <c r="FH73" s="41">
        <f t="shared" si="1157"/>
        <v>0</v>
      </c>
      <c r="FI73" s="41">
        <f t="shared" si="1158"/>
        <v>0</v>
      </c>
      <c r="FJ73" s="44">
        <v>1</v>
      </c>
      <c r="FK73" s="45">
        <v>0.2</v>
      </c>
      <c r="FL73" s="503">
        <v>0.8</v>
      </c>
      <c r="FM73" s="45">
        <v>0.1</v>
      </c>
      <c r="FN73" s="503">
        <v>0.5</v>
      </c>
      <c r="FO73" s="45">
        <f t="shared" si="200"/>
        <v>0.1</v>
      </c>
      <c r="FP73" s="45">
        <f t="shared" si="201"/>
        <v>1</v>
      </c>
      <c r="FQ73" s="45">
        <v>1</v>
      </c>
      <c r="FR73" s="45">
        <v>0</v>
      </c>
      <c r="FS73" s="108">
        <f t="shared" si="202"/>
        <v>1E-3</v>
      </c>
      <c r="FT73" s="45">
        <f t="shared" si="203"/>
        <v>0.05</v>
      </c>
      <c r="FU73" s="44">
        <v>0.05</v>
      </c>
      <c r="FV73" s="100">
        <f t="shared" si="25"/>
        <v>2.4224999999999997E-2</v>
      </c>
      <c r="FW73" s="45">
        <v>0.1</v>
      </c>
      <c r="FX73" s="102">
        <f t="shared" si="26"/>
        <v>9.0000000000000011E-2</v>
      </c>
      <c r="FY73" s="44">
        <v>0.45</v>
      </c>
      <c r="FZ73" s="100">
        <f t="shared" si="1092"/>
        <v>1.4025000000000001E-2</v>
      </c>
      <c r="GA73" s="45">
        <v>0.45</v>
      </c>
      <c r="GB73" s="102">
        <f t="shared" si="1093"/>
        <v>5.5000000000000007E-2</v>
      </c>
      <c r="GC73" s="103">
        <f t="shared" si="773"/>
        <v>0</v>
      </c>
      <c r="GD73" s="79">
        <f t="shared" si="1159"/>
        <v>0</v>
      </c>
      <c r="GE73" s="79">
        <f t="shared" si="774"/>
        <v>0</v>
      </c>
      <c r="GF73" s="79">
        <f t="shared" si="1160"/>
        <v>0</v>
      </c>
      <c r="GG73" s="79">
        <v>0</v>
      </c>
      <c r="GH73" s="139">
        <v>0</v>
      </c>
      <c r="GI73" s="79">
        <f t="shared" si="1094"/>
        <v>0</v>
      </c>
      <c r="GJ73" s="79">
        <f t="shared" si="1095"/>
        <v>4.6886000000000002E-3</v>
      </c>
      <c r="GK73" s="79">
        <f t="shared" si="1096"/>
        <v>0</v>
      </c>
      <c r="GL73" s="79">
        <f t="shared" si="1097"/>
        <v>7.0329000000000003E-2</v>
      </c>
      <c r="GM73" s="79">
        <f t="shared" si="1098"/>
        <v>0</v>
      </c>
      <c r="GN73" s="139">
        <f t="shared" si="1099"/>
        <v>1.0314919999999999</v>
      </c>
      <c r="GO73" s="79">
        <f t="shared" si="208"/>
        <v>0</v>
      </c>
      <c r="GP73" s="104">
        <f t="shared" si="209"/>
        <v>1.1065095999999999</v>
      </c>
      <c r="GQ73" s="41">
        <f t="shared" si="891"/>
        <v>0</v>
      </c>
      <c r="GR73" s="41">
        <f t="shared" si="892"/>
        <v>0</v>
      </c>
      <c r="GS73" s="79">
        <f t="shared" si="1031"/>
        <v>0</v>
      </c>
      <c r="GT73" s="79">
        <f t="shared" si="1032"/>
        <v>0</v>
      </c>
      <c r="GU73" s="79">
        <f t="shared" si="1033"/>
        <v>0</v>
      </c>
      <c r="GV73" s="139">
        <f t="shared" si="1034"/>
        <v>0</v>
      </c>
      <c r="GW73" s="41">
        <f t="shared" si="1162"/>
        <v>0</v>
      </c>
      <c r="GX73" s="41">
        <f t="shared" si="1163"/>
        <v>12.60215215875</v>
      </c>
      <c r="GY73" s="41">
        <f t="shared" si="1192"/>
        <v>0</v>
      </c>
      <c r="GZ73" s="41">
        <f t="shared" si="1193"/>
        <v>0</v>
      </c>
      <c r="HA73" s="41">
        <f t="shared" si="1194"/>
        <v>0</v>
      </c>
      <c r="HB73" s="143">
        <f t="shared" si="1195"/>
        <v>0</v>
      </c>
      <c r="HC73" s="79">
        <f t="shared" si="212"/>
        <v>0</v>
      </c>
      <c r="HD73" s="42">
        <f t="shared" si="213"/>
        <v>12.60215215875</v>
      </c>
      <c r="HE73" s="527"/>
      <c r="HF73" s="532">
        <f t="shared" si="775"/>
        <v>0</v>
      </c>
      <c r="HG73" s="532">
        <f t="shared" si="776"/>
        <v>0.94944149999999994</v>
      </c>
      <c r="HH73" s="532">
        <f t="shared" si="777"/>
        <v>0</v>
      </c>
      <c r="HI73" s="532">
        <f t="shared" si="778"/>
        <v>0</v>
      </c>
      <c r="HJ73" s="532">
        <f t="shared" si="779"/>
        <v>0</v>
      </c>
      <c r="HK73" s="533">
        <f t="shared" si="780"/>
        <v>0.70329000000000008</v>
      </c>
      <c r="HL73" s="532">
        <f t="shared" si="781"/>
        <v>0</v>
      </c>
      <c r="HM73" s="532">
        <f t="shared" si="782"/>
        <v>0</v>
      </c>
      <c r="HN73" s="532">
        <f t="shared" si="783"/>
        <v>0.79287575000000021</v>
      </c>
      <c r="HO73" s="532">
        <f t="shared" si="784"/>
        <v>24.401379750000004</v>
      </c>
      <c r="HP73" s="532">
        <f t="shared" si="785"/>
        <v>0</v>
      </c>
      <c r="HQ73" s="533">
        <f t="shared" si="786"/>
        <v>1.17215</v>
      </c>
      <c r="HR73" s="532">
        <f t="shared" si="214"/>
        <v>0</v>
      </c>
      <c r="HS73" s="532">
        <f t="shared" si="787"/>
        <v>16.57717075875</v>
      </c>
      <c r="HT73" s="532">
        <f t="shared" si="788"/>
        <v>0</v>
      </c>
      <c r="HU73" s="532">
        <f t="shared" si="789"/>
        <v>7.0329000000000003E-2</v>
      </c>
      <c r="HV73" s="532">
        <f t="shared" si="790"/>
        <v>0</v>
      </c>
      <c r="HW73" s="533">
        <f t="shared" si="791"/>
        <v>36.764462000000009</v>
      </c>
      <c r="IG73" s="560"/>
      <c r="IH73" s="532">
        <f t="shared" si="215"/>
        <v>0</v>
      </c>
      <c r="II73" s="532">
        <f t="shared" si="216"/>
        <v>0</v>
      </c>
      <c r="IJ73" s="532">
        <f t="shared" si="217"/>
        <v>0</v>
      </c>
      <c r="IK73" s="532">
        <f t="shared" si="893"/>
        <v>0</v>
      </c>
      <c r="IL73" s="532">
        <f t="shared" si="894"/>
        <v>0</v>
      </c>
      <c r="IM73" s="532">
        <f t="shared" si="895"/>
        <v>0</v>
      </c>
      <c r="IN73" s="532">
        <f t="shared" si="896"/>
        <v>0</v>
      </c>
      <c r="IO73" s="532">
        <f t="shared" si="222"/>
        <v>3.1331569499999996E-2</v>
      </c>
      <c r="IP73" s="532">
        <f t="shared" si="223"/>
        <v>3.8927101499999991E-2</v>
      </c>
      <c r="IQ73" s="532">
        <f t="shared" si="897"/>
        <v>4.9370958E-2</v>
      </c>
      <c r="IR73" s="532">
        <f t="shared" si="898"/>
        <v>3.8927101499999991E-2</v>
      </c>
      <c r="IS73" s="532">
        <f t="shared" si="899"/>
        <v>0.80417695049999993</v>
      </c>
      <c r="IT73" s="532">
        <f t="shared" si="900"/>
        <v>9.4944149999999991E-3</v>
      </c>
      <c r="IU73" s="534">
        <f t="shared" si="901"/>
        <v>9.4944149999999991E-3</v>
      </c>
      <c r="IV73" s="545">
        <f t="shared" si="229"/>
        <v>0</v>
      </c>
      <c r="IW73" s="545">
        <f t="shared" si="230"/>
        <v>0</v>
      </c>
      <c r="IX73" s="532">
        <f t="shared" si="792"/>
        <v>0</v>
      </c>
      <c r="IY73" s="532">
        <f t="shared" si="793"/>
        <v>0</v>
      </c>
      <c r="IZ73" s="532">
        <f t="shared" si="794"/>
        <v>0</v>
      </c>
      <c r="JA73" s="532">
        <f t="shared" si="795"/>
        <v>0</v>
      </c>
      <c r="JB73" s="532">
        <f t="shared" si="796"/>
        <v>0</v>
      </c>
      <c r="JC73" s="532">
        <f t="shared" si="231"/>
        <v>0</v>
      </c>
      <c r="JD73" s="532">
        <f t="shared" si="232"/>
        <v>0</v>
      </c>
      <c r="JE73" s="532">
        <f t="shared" si="797"/>
        <v>0</v>
      </c>
      <c r="JF73" s="532">
        <f t="shared" si="798"/>
        <v>0</v>
      </c>
      <c r="JG73" s="532">
        <f t="shared" si="799"/>
        <v>0</v>
      </c>
      <c r="JH73" s="532">
        <f t="shared" si="800"/>
        <v>0</v>
      </c>
      <c r="JI73" s="553">
        <f t="shared" si="801"/>
        <v>0</v>
      </c>
      <c r="JJ73" s="545">
        <f t="shared" si="233"/>
        <v>0</v>
      </c>
      <c r="JK73" s="545">
        <f t="shared" si="234"/>
        <v>0</v>
      </c>
      <c r="JL73" s="532">
        <f t="shared" si="802"/>
        <v>0</v>
      </c>
      <c r="JM73" s="532">
        <f t="shared" si="803"/>
        <v>0</v>
      </c>
      <c r="JN73" s="532">
        <f t="shared" si="804"/>
        <v>0</v>
      </c>
      <c r="JO73" s="532">
        <f t="shared" si="805"/>
        <v>0</v>
      </c>
      <c r="JP73" s="532">
        <f t="shared" si="806"/>
        <v>0</v>
      </c>
      <c r="JQ73" s="532">
        <f t="shared" si="235"/>
        <v>2.3208570000000005E-2</v>
      </c>
      <c r="JR73" s="532">
        <f t="shared" si="236"/>
        <v>2.8834889999999998E-2</v>
      </c>
      <c r="JS73" s="545">
        <f t="shared" si="807"/>
        <v>3.6571080000000006E-2</v>
      </c>
      <c r="JT73" s="545">
        <f t="shared" si="808"/>
        <v>2.8834889999999998E-2</v>
      </c>
      <c r="JU73" s="545">
        <f t="shared" si="809"/>
        <v>0.59568663000000011</v>
      </c>
      <c r="JV73" s="545">
        <f t="shared" si="810"/>
        <v>7.0329000000000008E-3</v>
      </c>
      <c r="JW73" s="554">
        <f t="shared" si="811"/>
        <v>7.0329000000000008E-3</v>
      </c>
      <c r="JX73" s="545">
        <f t="shared" si="237"/>
        <v>0</v>
      </c>
      <c r="JY73" s="545">
        <f t="shared" si="238"/>
        <v>0</v>
      </c>
      <c r="JZ73" s="532">
        <f t="shared" si="812"/>
        <v>0</v>
      </c>
      <c r="KA73" s="532">
        <f t="shared" si="813"/>
        <v>0</v>
      </c>
      <c r="KB73" s="532">
        <f t="shared" si="814"/>
        <v>0</v>
      </c>
      <c r="KC73" s="532">
        <f t="shared" si="815"/>
        <v>0</v>
      </c>
      <c r="KD73" s="532">
        <f t="shared" si="816"/>
        <v>0</v>
      </c>
      <c r="KE73" s="532">
        <f t="shared" si="239"/>
        <v>0</v>
      </c>
      <c r="KF73" s="532">
        <f t="shared" si="240"/>
        <v>0</v>
      </c>
      <c r="KG73" s="532">
        <f t="shared" si="817"/>
        <v>0</v>
      </c>
      <c r="KH73" s="532">
        <f t="shared" si="818"/>
        <v>0</v>
      </c>
      <c r="KI73" s="532">
        <f t="shared" si="819"/>
        <v>0</v>
      </c>
      <c r="KJ73" s="532">
        <f t="shared" si="820"/>
        <v>0</v>
      </c>
      <c r="KK73" s="534">
        <f t="shared" si="821"/>
        <v>0</v>
      </c>
      <c r="KL73" s="545">
        <f t="shared" si="241"/>
        <v>8.7216332500000028E-3</v>
      </c>
      <c r="KM73" s="545">
        <f t="shared" si="242"/>
        <v>7.1358817500000024E-3</v>
      </c>
      <c r="KN73" s="532">
        <f t="shared" si="822"/>
        <v>1.4271763500000005E-2</v>
      </c>
      <c r="KO73" s="532">
        <f t="shared" si="823"/>
        <v>7.1358817500000024E-3</v>
      </c>
      <c r="KP73" s="532">
        <f t="shared" si="824"/>
        <v>0.66998000875000019</v>
      </c>
      <c r="KQ73" s="532">
        <f t="shared" si="825"/>
        <v>7.9287575000000022E-4</v>
      </c>
      <c r="KR73" s="532">
        <f t="shared" si="826"/>
        <v>7.9287575000000022E-4</v>
      </c>
      <c r="KS73" s="532">
        <f t="shared" si="243"/>
        <v>0.80524553175000013</v>
      </c>
      <c r="KT73" s="532">
        <f t="shared" si="244"/>
        <v>1.0004565697500001</v>
      </c>
      <c r="KU73" s="532">
        <f t="shared" si="827"/>
        <v>1.2688717470000004</v>
      </c>
      <c r="KV73" s="532">
        <f t="shared" si="828"/>
        <v>1.0004565697500001</v>
      </c>
      <c r="KW73" s="532">
        <f t="shared" si="829"/>
        <v>20.667968648250003</v>
      </c>
      <c r="KX73" s="532">
        <f t="shared" si="830"/>
        <v>0.24401379750000005</v>
      </c>
      <c r="KY73" s="553">
        <f t="shared" si="831"/>
        <v>0.24401379750000005</v>
      </c>
      <c r="KZ73" s="545">
        <f t="shared" si="245"/>
        <v>0</v>
      </c>
      <c r="LA73" s="545">
        <f t="shared" si="246"/>
        <v>0</v>
      </c>
      <c r="LB73" s="532">
        <f t="shared" si="832"/>
        <v>0</v>
      </c>
      <c r="LC73" s="532">
        <f t="shared" si="833"/>
        <v>0</v>
      </c>
      <c r="LD73" s="532">
        <f t="shared" si="834"/>
        <v>0</v>
      </c>
      <c r="LE73" s="532">
        <f t="shared" si="835"/>
        <v>0</v>
      </c>
      <c r="LF73" s="532">
        <f t="shared" si="836"/>
        <v>0</v>
      </c>
      <c r="LG73" s="532">
        <f t="shared" si="247"/>
        <v>3.8680950000000006E-2</v>
      </c>
      <c r="LH73" s="532">
        <f t="shared" si="248"/>
        <v>4.8058149999999994E-2</v>
      </c>
      <c r="LI73" s="545">
        <f t="shared" si="837"/>
        <v>6.0951800000000007E-2</v>
      </c>
      <c r="LJ73" s="545">
        <f t="shared" si="838"/>
        <v>4.8058149999999994E-2</v>
      </c>
      <c r="LK73" s="545">
        <f t="shared" si="839"/>
        <v>0.99281105000000003</v>
      </c>
      <c r="LL73" s="545">
        <f t="shared" si="840"/>
        <v>1.1721500000000001E-2</v>
      </c>
      <c r="LM73" s="554">
        <f t="shared" si="841"/>
        <v>1.1721500000000001E-2</v>
      </c>
      <c r="LN73" s="545">
        <f t="shared" si="249"/>
        <v>0</v>
      </c>
      <c r="LO73" s="545">
        <f t="shared" si="250"/>
        <v>0</v>
      </c>
      <c r="LP73" s="532">
        <f t="shared" si="842"/>
        <v>0</v>
      </c>
      <c r="LQ73" s="532">
        <f t="shared" si="843"/>
        <v>0</v>
      </c>
      <c r="LR73" s="532">
        <f t="shared" si="844"/>
        <v>0</v>
      </c>
      <c r="LS73" s="532">
        <f t="shared" si="845"/>
        <v>0</v>
      </c>
      <c r="LT73" s="532">
        <f t="shared" si="846"/>
        <v>0</v>
      </c>
      <c r="LU73" s="532">
        <f t="shared" si="251"/>
        <v>0.99463024552500001</v>
      </c>
      <c r="LV73" s="532">
        <f t="shared" si="252"/>
        <v>0.49731512276250001</v>
      </c>
      <c r="LW73" s="532">
        <f t="shared" si="847"/>
        <v>1.1604019531125001</v>
      </c>
      <c r="LX73" s="532">
        <f t="shared" si="848"/>
        <v>0.99463024552500001</v>
      </c>
      <c r="LY73" s="532">
        <f t="shared" si="849"/>
        <v>16.394821880403754</v>
      </c>
      <c r="LZ73" s="532">
        <f t="shared" si="850"/>
        <v>0.16577170758750001</v>
      </c>
      <c r="MA73" s="558">
        <f t="shared" si="851"/>
        <v>0.16577170758750001</v>
      </c>
      <c r="MB73" s="545">
        <f t="shared" si="253"/>
        <v>0</v>
      </c>
      <c r="MC73" s="545">
        <f t="shared" si="254"/>
        <v>0</v>
      </c>
      <c r="MD73" s="532">
        <f t="shared" si="852"/>
        <v>0</v>
      </c>
      <c r="ME73" s="532">
        <f t="shared" si="853"/>
        <v>0</v>
      </c>
      <c r="MF73" s="532">
        <f t="shared" si="854"/>
        <v>0</v>
      </c>
      <c r="MG73" s="532">
        <f t="shared" si="855"/>
        <v>0</v>
      </c>
      <c r="MH73" s="532">
        <f t="shared" si="856"/>
        <v>0</v>
      </c>
      <c r="MI73" s="532">
        <f t="shared" si="255"/>
        <v>4.2197399999999996E-3</v>
      </c>
      <c r="MJ73" s="532">
        <f t="shared" si="256"/>
        <v>2.1098699999999998E-3</v>
      </c>
      <c r="MK73" s="532">
        <f t="shared" si="857"/>
        <v>4.923030000000001E-3</v>
      </c>
      <c r="ML73" s="532">
        <f t="shared" si="858"/>
        <v>4.2197399999999996E-3</v>
      </c>
      <c r="MM73" s="532">
        <f t="shared" si="859"/>
        <v>6.9555381000000013E-2</v>
      </c>
      <c r="MN73" s="532">
        <f t="shared" si="860"/>
        <v>7.0329000000000008E-4</v>
      </c>
      <c r="MO73" s="558">
        <f t="shared" si="861"/>
        <v>7.0329000000000008E-4</v>
      </c>
      <c r="MP73" s="545">
        <f t="shared" si="257"/>
        <v>0</v>
      </c>
      <c r="MQ73" s="545">
        <f t="shared" si="258"/>
        <v>0</v>
      </c>
      <c r="MR73" s="532">
        <f t="shared" si="862"/>
        <v>0</v>
      </c>
      <c r="MS73" s="532">
        <f t="shared" si="863"/>
        <v>0</v>
      </c>
      <c r="MT73" s="532">
        <f t="shared" si="864"/>
        <v>0</v>
      </c>
      <c r="MU73" s="532">
        <f t="shared" si="865"/>
        <v>0</v>
      </c>
      <c r="MV73" s="532">
        <f t="shared" si="866"/>
        <v>0</v>
      </c>
      <c r="MW73" s="532">
        <f t="shared" si="259"/>
        <v>2.2058677200000005</v>
      </c>
      <c r="MX73" s="532">
        <f t="shared" si="260"/>
        <v>1.1029338600000003</v>
      </c>
      <c r="MY73" s="545">
        <f t="shared" si="867"/>
        <v>2.5735123400000011</v>
      </c>
      <c r="MZ73" s="545">
        <f t="shared" si="868"/>
        <v>2.2058677200000005</v>
      </c>
      <c r="NA73" s="545">
        <f t="shared" si="869"/>
        <v>36.360052918000015</v>
      </c>
      <c r="NB73" s="545">
        <f t="shared" si="870"/>
        <v>0.36764462000000009</v>
      </c>
      <c r="NC73" s="554">
        <f t="shared" si="871"/>
        <v>0.36764462000000009</v>
      </c>
      <c r="NL73" s="106"/>
    </row>
    <row r="74" spans="1:376" x14ac:dyDescent="0.25">
      <c r="A74" s="12">
        <v>2019</v>
      </c>
      <c r="B74" s="13">
        <v>0</v>
      </c>
      <c r="C74" s="14">
        <v>0</v>
      </c>
      <c r="D74" s="14">
        <v>0</v>
      </c>
      <c r="E74" s="658">
        <f t="shared" si="1196"/>
        <v>102</v>
      </c>
      <c r="F74" s="14">
        <f t="shared" si="1164"/>
        <v>0</v>
      </c>
      <c r="G74" s="14">
        <f t="shared" si="1165"/>
        <v>0</v>
      </c>
      <c r="H74" s="14">
        <f t="shared" si="1100"/>
        <v>0</v>
      </c>
      <c r="I74" s="14">
        <f t="shared" si="1101"/>
        <v>100.47</v>
      </c>
      <c r="J74" s="14">
        <v>0</v>
      </c>
      <c r="K74" s="917">
        <f t="shared" si="1197"/>
        <v>39.703300000000006</v>
      </c>
      <c r="L74" s="14">
        <f t="shared" si="751"/>
        <v>0</v>
      </c>
      <c r="M74" s="17">
        <f t="shared" si="1102"/>
        <v>100.47</v>
      </c>
      <c r="N74" s="198">
        <v>2E-3</v>
      </c>
      <c r="O74" s="120">
        <v>0</v>
      </c>
      <c r="P74" s="120">
        <v>0</v>
      </c>
      <c r="Q74" s="199">
        <v>6.0000000000000001E-3</v>
      </c>
      <c r="R74" s="120">
        <v>0</v>
      </c>
      <c r="S74" s="120">
        <v>2.7000000000000001E-3</v>
      </c>
      <c r="T74" s="120">
        <v>0</v>
      </c>
      <c r="U74" s="120">
        <v>1.18E-2</v>
      </c>
      <c r="V74" s="119">
        <v>1.0000000000000001E-5</v>
      </c>
      <c r="W74" s="120">
        <v>2.9999999999999997E-4</v>
      </c>
      <c r="X74" s="105">
        <v>0</v>
      </c>
      <c r="Y74" s="105">
        <v>3.1E-2</v>
      </c>
      <c r="Z74" s="488">
        <v>5.2999999999999999E-2</v>
      </c>
      <c r="AA74" s="105">
        <f t="shared" si="147"/>
        <v>0.1</v>
      </c>
      <c r="AB74" s="105">
        <f t="shared" si="148"/>
        <v>0</v>
      </c>
      <c r="AC74" s="105">
        <f t="shared" si="149"/>
        <v>0.9</v>
      </c>
      <c r="AD74" s="82">
        <f t="shared" si="1166"/>
        <v>0</v>
      </c>
      <c r="AE74" s="79">
        <f t="shared" si="1167"/>
        <v>0</v>
      </c>
      <c r="AF74" s="79">
        <f t="shared" si="1168"/>
        <v>0</v>
      </c>
      <c r="AG74" s="79">
        <f t="shared" si="1169"/>
        <v>0</v>
      </c>
      <c r="AH74" s="79">
        <f t="shared" si="1170"/>
        <v>0</v>
      </c>
      <c r="AI74" s="79">
        <f t="shared" si="1171"/>
        <v>0</v>
      </c>
      <c r="AJ74" s="138">
        <f t="shared" si="1103"/>
        <v>0</v>
      </c>
      <c r="AK74" s="79">
        <f t="shared" si="1104"/>
        <v>0.81380699999999995</v>
      </c>
      <c r="AL74" s="79">
        <f t="shared" si="1105"/>
        <v>0</v>
      </c>
      <c r="AM74" s="79">
        <f t="shared" si="1106"/>
        <v>0</v>
      </c>
      <c r="AN74" s="79">
        <f t="shared" si="1107"/>
        <v>0</v>
      </c>
      <c r="AO74" s="139">
        <f t="shared" si="1108"/>
        <v>0.60282000000000002</v>
      </c>
      <c r="AP74" s="79">
        <f t="shared" si="1172"/>
        <v>0</v>
      </c>
      <c r="AQ74" s="79">
        <f t="shared" si="1172"/>
        <v>0.81380699999999995</v>
      </c>
      <c r="AR74" s="79">
        <f t="shared" si="1172"/>
        <v>0</v>
      </c>
      <c r="AS74" s="79">
        <f t="shared" si="1172"/>
        <v>0</v>
      </c>
      <c r="AT74" s="79">
        <f t="shared" si="1172"/>
        <v>0</v>
      </c>
      <c r="AU74" s="104">
        <f t="shared" si="1172"/>
        <v>0.60282000000000002</v>
      </c>
      <c r="AV74" s="82">
        <f t="shared" si="1110"/>
        <v>0</v>
      </c>
      <c r="AW74" s="79">
        <f t="shared" si="1111"/>
        <v>0</v>
      </c>
      <c r="AX74" s="79">
        <f t="shared" si="1112"/>
        <v>0</v>
      </c>
      <c r="AY74" s="79">
        <f t="shared" si="1113"/>
        <v>0</v>
      </c>
      <c r="AZ74" s="79">
        <f t="shared" si="1114"/>
        <v>0</v>
      </c>
      <c r="BA74" s="79">
        <f t="shared" si="1115"/>
        <v>0</v>
      </c>
      <c r="BB74" s="138">
        <f t="shared" si="1116"/>
        <v>0</v>
      </c>
      <c r="BC74" s="79">
        <f t="shared" si="1117"/>
        <v>0</v>
      </c>
      <c r="BD74" s="79">
        <f t="shared" si="1118"/>
        <v>0</v>
      </c>
      <c r="BE74" s="79">
        <f t="shared" si="1119"/>
        <v>0.54253800000000008</v>
      </c>
      <c r="BF74" s="79">
        <f t="shared" si="1120"/>
        <v>0</v>
      </c>
      <c r="BG74" s="79">
        <f t="shared" si="1121"/>
        <v>1.0046999999999999</v>
      </c>
      <c r="BH74" s="79">
        <f t="shared" si="1122"/>
        <v>0</v>
      </c>
      <c r="BI74" s="79">
        <f t="shared" si="1122"/>
        <v>0</v>
      </c>
      <c r="BJ74" s="79">
        <f t="shared" si="1122"/>
        <v>0</v>
      </c>
      <c r="BK74" s="79">
        <f t="shared" si="1122"/>
        <v>0.54253800000000008</v>
      </c>
      <c r="BL74" s="79">
        <f t="shared" si="1122"/>
        <v>0</v>
      </c>
      <c r="BM74" s="79">
        <f t="shared" si="1122"/>
        <v>1.0046999999999999</v>
      </c>
      <c r="BN74" s="82">
        <f t="shared" si="1123"/>
        <v>0</v>
      </c>
      <c r="BO74" s="79">
        <f t="shared" si="1124"/>
        <v>0</v>
      </c>
      <c r="BP74" s="79">
        <f t="shared" si="1125"/>
        <v>0</v>
      </c>
      <c r="BQ74" s="79">
        <f t="shared" si="1126"/>
        <v>0</v>
      </c>
      <c r="BR74" s="79">
        <f t="shared" si="1127"/>
        <v>0</v>
      </c>
      <c r="BS74" s="79">
        <f t="shared" si="1128"/>
        <v>0</v>
      </c>
      <c r="BT74" s="138">
        <f t="shared" si="1129"/>
        <v>0</v>
      </c>
      <c r="BU74" s="79">
        <f t="shared" si="1130"/>
        <v>4.0188000000000003E-3</v>
      </c>
      <c r="BV74" s="79">
        <f t="shared" si="1131"/>
        <v>0</v>
      </c>
      <c r="BW74" s="79">
        <f t="shared" si="1132"/>
        <v>6.0281999999999995E-2</v>
      </c>
      <c r="BX74" s="79">
        <f t="shared" si="1133"/>
        <v>0</v>
      </c>
      <c r="BY74" s="79">
        <f t="shared" si="1134"/>
        <v>1.10517</v>
      </c>
      <c r="BZ74" s="138">
        <f t="shared" si="1135"/>
        <v>0</v>
      </c>
      <c r="CA74" s="79">
        <f t="shared" si="1135"/>
        <v>4.0188000000000003E-3</v>
      </c>
      <c r="CB74" s="79">
        <f t="shared" si="1135"/>
        <v>0</v>
      </c>
      <c r="CC74" s="79">
        <f t="shared" si="1135"/>
        <v>6.0281999999999995E-2</v>
      </c>
      <c r="CD74" s="79">
        <f t="shared" si="1135"/>
        <v>0</v>
      </c>
      <c r="CE74" s="535">
        <f t="shared" si="1135"/>
        <v>1.10517</v>
      </c>
      <c r="CF74" s="79">
        <f t="shared" si="173"/>
        <v>0</v>
      </c>
      <c r="CG74" s="79">
        <f t="shared" si="1198"/>
        <v>3.9703300000000006</v>
      </c>
      <c r="CH74" s="79">
        <f t="shared" si="175"/>
        <v>0</v>
      </c>
      <c r="CI74" s="79">
        <f t="shared" si="1199"/>
        <v>0</v>
      </c>
      <c r="CJ74" s="79">
        <f t="shared" si="176"/>
        <v>0</v>
      </c>
      <c r="CK74" s="79">
        <f t="shared" si="1200"/>
        <v>35.732970000000009</v>
      </c>
      <c r="CL74" s="3"/>
      <c r="CM74" s="101">
        <f t="shared" si="1083"/>
        <v>0</v>
      </c>
      <c r="CN74" s="99">
        <f t="shared" si="1136"/>
        <v>0</v>
      </c>
      <c r="CO74" s="130">
        <f t="shared" si="1137"/>
        <v>0</v>
      </c>
      <c r="CP74" s="131">
        <f t="shared" si="1201"/>
        <v>55.44178999999999</v>
      </c>
      <c r="CQ74" s="99">
        <f t="shared" si="1202"/>
        <v>0</v>
      </c>
      <c r="CR74" s="98">
        <f t="shared" si="1202"/>
        <v>55.44178999999999</v>
      </c>
      <c r="CS74" s="44">
        <v>0</v>
      </c>
      <c r="CT74" s="45">
        <v>0</v>
      </c>
      <c r="CU74" s="45">
        <v>1</v>
      </c>
      <c r="CV74" s="100">
        <f t="shared" si="1203"/>
        <v>0</v>
      </c>
      <c r="CW74" s="40">
        <f t="shared" si="1178"/>
        <v>0</v>
      </c>
      <c r="CX74" s="41">
        <f t="shared" si="1179"/>
        <v>0</v>
      </c>
      <c r="CY74" s="79">
        <f t="shared" si="1180"/>
        <v>0</v>
      </c>
      <c r="CZ74" s="139">
        <f t="shared" si="1181"/>
        <v>0</v>
      </c>
      <c r="DA74" s="41">
        <f t="shared" si="1139"/>
        <v>0</v>
      </c>
      <c r="DB74" s="41">
        <f t="shared" si="1140"/>
        <v>38.809252999999991</v>
      </c>
      <c r="DC74" s="41">
        <f t="shared" si="1141"/>
        <v>0</v>
      </c>
      <c r="DD74" s="143">
        <f t="shared" si="1142"/>
        <v>0</v>
      </c>
      <c r="DE74" s="41">
        <f t="shared" si="768"/>
        <v>0</v>
      </c>
      <c r="DF74" s="41">
        <f t="shared" si="1182"/>
        <v>38.809252999999991</v>
      </c>
      <c r="DG74" s="41">
        <f t="shared" si="1183"/>
        <v>0</v>
      </c>
      <c r="DH74" s="42">
        <f t="shared" si="1184"/>
        <v>0</v>
      </c>
      <c r="DJ74" s="498">
        <v>1</v>
      </c>
      <c r="DK74" s="498">
        <v>0.3</v>
      </c>
      <c r="DL74" s="41">
        <f t="shared" si="1143"/>
        <v>0</v>
      </c>
      <c r="DM74" s="41">
        <f t="shared" si="1144"/>
        <v>0</v>
      </c>
      <c r="DN74" s="41">
        <f t="shared" si="1084"/>
        <v>0</v>
      </c>
      <c r="DO74" s="42">
        <f t="shared" si="1085"/>
        <v>16.632536999999996</v>
      </c>
      <c r="DP74" s="44">
        <v>1</v>
      </c>
      <c r="DQ74" s="45">
        <v>0.1</v>
      </c>
      <c r="DR74" s="45">
        <v>0.5</v>
      </c>
      <c r="DS74" s="682">
        <f t="shared" si="185"/>
        <v>0.1</v>
      </c>
      <c r="DT74" s="102">
        <f t="shared" si="186"/>
        <v>1</v>
      </c>
      <c r="DU74" s="45">
        <v>0</v>
      </c>
      <c r="DV74" s="45">
        <v>1</v>
      </c>
      <c r="DW74" s="45">
        <v>0</v>
      </c>
      <c r="DX74" s="45">
        <v>0</v>
      </c>
      <c r="DY74" s="45">
        <v>1</v>
      </c>
      <c r="DZ74" s="45">
        <v>0</v>
      </c>
      <c r="EA74" s="103">
        <f t="shared" si="888"/>
        <v>0</v>
      </c>
      <c r="EB74" s="79">
        <f t="shared" si="1185"/>
        <v>0</v>
      </c>
      <c r="EC74" s="79">
        <f t="shared" si="889"/>
        <v>0</v>
      </c>
      <c r="ED74" s="79">
        <f t="shared" si="1186"/>
        <v>0</v>
      </c>
      <c r="EE74" s="79">
        <f t="shared" si="890"/>
        <v>0</v>
      </c>
      <c r="EF74" s="79">
        <f t="shared" si="1187"/>
        <v>0</v>
      </c>
      <c r="EG74" s="138">
        <f t="shared" si="1145"/>
        <v>0</v>
      </c>
      <c r="EH74" s="79">
        <f t="shared" si="1146"/>
        <v>0</v>
      </c>
      <c r="EI74" s="79">
        <f t="shared" si="1147"/>
        <v>0</v>
      </c>
      <c r="EJ74" s="79">
        <f t="shared" si="1148"/>
        <v>19.01116425</v>
      </c>
      <c r="EK74" s="79">
        <f t="shared" si="1149"/>
        <v>0</v>
      </c>
      <c r="EL74" s="139">
        <f t="shared" si="1150"/>
        <v>0</v>
      </c>
      <c r="EM74" s="79">
        <f t="shared" si="193"/>
        <v>0</v>
      </c>
      <c r="EN74" s="83">
        <f t="shared" si="194"/>
        <v>19.01116425</v>
      </c>
      <c r="EP74" s="103">
        <f t="shared" si="769"/>
        <v>0</v>
      </c>
      <c r="EQ74" s="79">
        <f t="shared" si="1151"/>
        <v>0</v>
      </c>
      <c r="ER74" s="79">
        <f t="shared" si="770"/>
        <v>0</v>
      </c>
      <c r="ES74" s="79">
        <f t="shared" si="1152"/>
        <v>0</v>
      </c>
      <c r="ET74" s="79">
        <f t="shared" si="771"/>
        <v>0</v>
      </c>
      <c r="EU74" s="79">
        <f t="shared" si="1153"/>
        <v>0</v>
      </c>
      <c r="EV74" s="138">
        <f t="shared" si="1086"/>
        <v>0</v>
      </c>
      <c r="EW74" s="79">
        <f t="shared" si="1087"/>
        <v>4.0188000000000003E-3</v>
      </c>
      <c r="EX74" s="79">
        <f t="shared" si="1088"/>
        <v>0</v>
      </c>
      <c r="EY74" s="79">
        <f t="shared" si="1089"/>
        <v>6.0281999999999995E-2</v>
      </c>
      <c r="EZ74" s="79">
        <f t="shared" si="1090"/>
        <v>0</v>
      </c>
      <c r="FA74" s="104">
        <f t="shared" si="1091"/>
        <v>1.10517</v>
      </c>
      <c r="FB74" s="40">
        <f t="shared" si="1188"/>
        <v>0</v>
      </c>
      <c r="FC74" s="41">
        <f t="shared" si="1189"/>
        <v>0</v>
      </c>
      <c r="FD74" s="41">
        <f t="shared" si="1154"/>
        <v>0</v>
      </c>
      <c r="FE74" s="41">
        <f t="shared" si="1155"/>
        <v>38.809252999999991</v>
      </c>
      <c r="FF74" s="40">
        <f t="shared" si="772"/>
        <v>0</v>
      </c>
      <c r="FG74" s="41">
        <f t="shared" si="1156"/>
        <v>0</v>
      </c>
      <c r="FH74" s="41">
        <f t="shared" si="1157"/>
        <v>0</v>
      </c>
      <c r="FI74" s="41">
        <f t="shared" si="1158"/>
        <v>0</v>
      </c>
      <c r="FJ74" s="44">
        <v>1</v>
      </c>
      <c r="FK74" s="45">
        <v>0.2</v>
      </c>
      <c r="FL74" s="503">
        <v>0.8</v>
      </c>
      <c r="FM74" s="45">
        <v>0.1</v>
      </c>
      <c r="FN74" s="503">
        <v>0.5</v>
      </c>
      <c r="FO74" s="45">
        <f t="shared" si="200"/>
        <v>0.1</v>
      </c>
      <c r="FP74" s="45">
        <f t="shared" si="201"/>
        <v>1</v>
      </c>
      <c r="FQ74" s="45">
        <v>1</v>
      </c>
      <c r="FR74" s="45">
        <v>0</v>
      </c>
      <c r="FS74" s="108">
        <f t="shared" si="202"/>
        <v>1E-3</v>
      </c>
      <c r="FT74" s="45">
        <f t="shared" si="203"/>
        <v>0.05</v>
      </c>
      <c r="FU74" s="44">
        <v>0.05</v>
      </c>
      <c r="FV74" s="100">
        <f t="shared" si="25"/>
        <v>2.4224999999999997E-2</v>
      </c>
      <c r="FW74" s="45">
        <v>0.1</v>
      </c>
      <c r="FX74" s="102">
        <f t="shared" si="26"/>
        <v>9.0000000000000011E-2</v>
      </c>
      <c r="FY74" s="44">
        <v>0.45</v>
      </c>
      <c r="FZ74" s="100">
        <f t="shared" si="1092"/>
        <v>1.4025000000000001E-2</v>
      </c>
      <c r="GA74" s="45">
        <v>0.45</v>
      </c>
      <c r="GB74" s="102">
        <f t="shared" si="1093"/>
        <v>5.5000000000000007E-2</v>
      </c>
      <c r="GC74" s="103">
        <f t="shared" si="773"/>
        <v>0</v>
      </c>
      <c r="GD74" s="79">
        <f t="shared" si="1159"/>
        <v>0</v>
      </c>
      <c r="GE74" s="79">
        <f t="shared" si="774"/>
        <v>0</v>
      </c>
      <c r="GF74" s="79">
        <f t="shared" si="1160"/>
        <v>0</v>
      </c>
      <c r="GG74" s="79">
        <v>0</v>
      </c>
      <c r="GH74" s="139">
        <v>0</v>
      </c>
      <c r="GI74" s="79">
        <f t="shared" si="1094"/>
        <v>0</v>
      </c>
      <c r="GJ74" s="79">
        <f t="shared" si="1095"/>
        <v>4.0188000000000003E-3</v>
      </c>
      <c r="GK74" s="79">
        <f t="shared" si="1096"/>
        <v>0</v>
      </c>
      <c r="GL74" s="79">
        <f t="shared" si="1097"/>
        <v>6.0281999999999995E-2</v>
      </c>
      <c r="GM74" s="79">
        <f t="shared" si="1098"/>
        <v>0</v>
      </c>
      <c r="GN74" s="139">
        <f t="shared" si="1099"/>
        <v>0.88413600000000003</v>
      </c>
      <c r="GO74" s="79">
        <f t="shared" si="208"/>
        <v>0</v>
      </c>
      <c r="GP74" s="104">
        <f t="shared" si="209"/>
        <v>0.94843680000000008</v>
      </c>
      <c r="GQ74" s="41">
        <f t="shared" si="891"/>
        <v>0</v>
      </c>
      <c r="GR74" s="41">
        <f t="shared" si="892"/>
        <v>0</v>
      </c>
      <c r="GS74" s="79">
        <f t="shared" si="1031"/>
        <v>0</v>
      </c>
      <c r="GT74" s="79">
        <f t="shared" si="1032"/>
        <v>0</v>
      </c>
      <c r="GU74" s="79">
        <f t="shared" si="1033"/>
        <v>0</v>
      </c>
      <c r="GV74" s="139">
        <f t="shared" si="1034"/>
        <v>0</v>
      </c>
      <c r="GW74" s="41">
        <f t="shared" si="1162"/>
        <v>0</v>
      </c>
      <c r="GX74" s="41">
        <f t="shared" si="1163"/>
        <v>9.7993363824999982</v>
      </c>
      <c r="GY74" s="41">
        <f t="shared" si="1192"/>
        <v>0</v>
      </c>
      <c r="GZ74" s="41">
        <f t="shared" si="1193"/>
        <v>0</v>
      </c>
      <c r="HA74" s="41">
        <f t="shared" si="1194"/>
        <v>0</v>
      </c>
      <c r="HB74" s="143">
        <f t="shared" si="1195"/>
        <v>0</v>
      </c>
      <c r="HC74" s="79">
        <f t="shared" si="212"/>
        <v>0</v>
      </c>
      <c r="HD74" s="42">
        <f t="shared" si="213"/>
        <v>9.7993363824999982</v>
      </c>
      <c r="HE74" s="527"/>
      <c r="HF74" s="532">
        <f t="shared" si="775"/>
        <v>0</v>
      </c>
      <c r="HG74" s="532">
        <f t="shared" si="776"/>
        <v>0.81380699999999995</v>
      </c>
      <c r="HH74" s="532">
        <f t="shared" si="777"/>
        <v>0</v>
      </c>
      <c r="HI74" s="532">
        <f t="shared" si="778"/>
        <v>0</v>
      </c>
      <c r="HJ74" s="532">
        <f t="shared" si="779"/>
        <v>0</v>
      </c>
      <c r="HK74" s="533">
        <f t="shared" si="780"/>
        <v>0.60282000000000002</v>
      </c>
      <c r="HL74" s="532">
        <f t="shared" si="781"/>
        <v>0</v>
      </c>
      <c r="HM74" s="532">
        <f t="shared" si="782"/>
        <v>0</v>
      </c>
      <c r="HN74" s="532">
        <f t="shared" si="783"/>
        <v>0</v>
      </c>
      <c r="HO74" s="532">
        <f t="shared" si="784"/>
        <v>19.553702250000001</v>
      </c>
      <c r="HP74" s="532">
        <f t="shared" si="785"/>
        <v>0</v>
      </c>
      <c r="HQ74" s="533">
        <f t="shared" si="786"/>
        <v>1.0046999999999999</v>
      </c>
      <c r="HR74" s="532">
        <f t="shared" si="214"/>
        <v>0</v>
      </c>
      <c r="HS74" s="532">
        <f t="shared" si="787"/>
        <v>13.7736851825</v>
      </c>
      <c r="HT74" s="532">
        <f t="shared" si="788"/>
        <v>0</v>
      </c>
      <c r="HU74" s="532">
        <f t="shared" si="789"/>
        <v>6.0281999999999995E-2</v>
      </c>
      <c r="HV74" s="532">
        <f t="shared" si="790"/>
        <v>0</v>
      </c>
      <c r="HW74" s="533">
        <f t="shared" si="791"/>
        <v>36.617106000000007</v>
      </c>
      <c r="IG74" s="560"/>
      <c r="IH74" s="532">
        <f t="shared" si="215"/>
        <v>0</v>
      </c>
      <c r="II74" s="532">
        <f t="shared" si="216"/>
        <v>0</v>
      </c>
      <c r="IJ74" s="532">
        <f t="shared" si="217"/>
        <v>0</v>
      </c>
      <c r="IK74" s="532">
        <f t="shared" si="893"/>
        <v>0</v>
      </c>
      <c r="IL74" s="532">
        <f t="shared" si="894"/>
        <v>0</v>
      </c>
      <c r="IM74" s="532">
        <f t="shared" si="895"/>
        <v>0</v>
      </c>
      <c r="IN74" s="532">
        <f t="shared" si="896"/>
        <v>0</v>
      </c>
      <c r="IO74" s="532">
        <f t="shared" si="222"/>
        <v>2.6855630999999998E-2</v>
      </c>
      <c r="IP74" s="532">
        <f t="shared" si="223"/>
        <v>3.3366086999999996E-2</v>
      </c>
      <c r="IQ74" s="532">
        <f t="shared" si="897"/>
        <v>4.2317964E-2</v>
      </c>
      <c r="IR74" s="532">
        <f t="shared" si="898"/>
        <v>3.3366086999999996E-2</v>
      </c>
      <c r="IS74" s="532">
        <f t="shared" si="899"/>
        <v>0.68929452899999999</v>
      </c>
      <c r="IT74" s="532">
        <f t="shared" si="900"/>
        <v>8.138069999999999E-3</v>
      </c>
      <c r="IU74" s="534">
        <f t="shared" si="901"/>
        <v>8.138069999999999E-3</v>
      </c>
      <c r="IV74" s="545">
        <f t="shared" si="229"/>
        <v>0</v>
      </c>
      <c r="IW74" s="545">
        <f t="shared" si="230"/>
        <v>0</v>
      </c>
      <c r="IX74" s="532">
        <f t="shared" si="792"/>
        <v>0</v>
      </c>
      <c r="IY74" s="532">
        <f t="shared" si="793"/>
        <v>0</v>
      </c>
      <c r="IZ74" s="532">
        <f t="shared" si="794"/>
        <v>0</v>
      </c>
      <c r="JA74" s="532">
        <f t="shared" si="795"/>
        <v>0</v>
      </c>
      <c r="JB74" s="532">
        <f t="shared" si="796"/>
        <v>0</v>
      </c>
      <c r="JC74" s="532">
        <f t="shared" si="231"/>
        <v>0</v>
      </c>
      <c r="JD74" s="532">
        <f t="shared" si="232"/>
        <v>0</v>
      </c>
      <c r="JE74" s="532">
        <f t="shared" si="797"/>
        <v>0</v>
      </c>
      <c r="JF74" s="532">
        <f t="shared" si="798"/>
        <v>0</v>
      </c>
      <c r="JG74" s="532">
        <f t="shared" si="799"/>
        <v>0</v>
      </c>
      <c r="JH74" s="532">
        <f t="shared" si="800"/>
        <v>0</v>
      </c>
      <c r="JI74" s="553">
        <f t="shared" si="801"/>
        <v>0</v>
      </c>
      <c r="JJ74" s="545">
        <f t="shared" si="233"/>
        <v>0</v>
      </c>
      <c r="JK74" s="545">
        <f t="shared" si="234"/>
        <v>0</v>
      </c>
      <c r="JL74" s="532">
        <f t="shared" si="802"/>
        <v>0</v>
      </c>
      <c r="JM74" s="532">
        <f t="shared" si="803"/>
        <v>0</v>
      </c>
      <c r="JN74" s="532">
        <f t="shared" si="804"/>
        <v>0</v>
      </c>
      <c r="JO74" s="532">
        <f t="shared" si="805"/>
        <v>0</v>
      </c>
      <c r="JP74" s="532">
        <f t="shared" si="806"/>
        <v>0</v>
      </c>
      <c r="JQ74" s="532">
        <f t="shared" si="235"/>
        <v>1.9893060000000001E-2</v>
      </c>
      <c r="JR74" s="532">
        <f t="shared" si="236"/>
        <v>2.4715619999999997E-2</v>
      </c>
      <c r="JS74" s="545">
        <f t="shared" si="807"/>
        <v>3.1346640000000002E-2</v>
      </c>
      <c r="JT74" s="545">
        <f t="shared" si="808"/>
        <v>2.4715619999999997E-2</v>
      </c>
      <c r="JU74" s="545">
        <f t="shared" si="809"/>
        <v>0.51058853999999998</v>
      </c>
      <c r="JV74" s="545">
        <f t="shared" si="810"/>
        <v>6.0282000000000001E-3</v>
      </c>
      <c r="JW74" s="554">
        <f t="shared" si="811"/>
        <v>6.0282000000000001E-3</v>
      </c>
      <c r="JX74" s="545">
        <f t="shared" si="237"/>
        <v>0</v>
      </c>
      <c r="JY74" s="545">
        <f t="shared" si="238"/>
        <v>0</v>
      </c>
      <c r="JZ74" s="532">
        <f t="shared" si="812"/>
        <v>0</v>
      </c>
      <c r="KA74" s="532">
        <f t="shared" si="813"/>
        <v>0</v>
      </c>
      <c r="KB74" s="532">
        <f t="shared" si="814"/>
        <v>0</v>
      </c>
      <c r="KC74" s="532">
        <f t="shared" si="815"/>
        <v>0</v>
      </c>
      <c r="KD74" s="532">
        <f t="shared" si="816"/>
        <v>0</v>
      </c>
      <c r="KE74" s="532">
        <f t="shared" si="239"/>
        <v>0</v>
      </c>
      <c r="KF74" s="532">
        <f t="shared" si="240"/>
        <v>0</v>
      </c>
      <c r="KG74" s="532">
        <f t="shared" si="817"/>
        <v>0</v>
      </c>
      <c r="KH74" s="532">
        <f t="shared" si="818"/>
        <v>0</v>
      </c>
      <c r="KI74" s="532">
        <f t="shared" si="819"/>
        <v>0</v>
      </c>
      <c r="KJ74" s="532">
        <f t="shared" si="820"/>
        <v>0</v>
      </c>
      <c r="KK74" s="534">
        <f t="shared" si="821"/>
        <v>0</v>
      </c>
      <c r="KL74" s="545">
        <f t="shared" si="241"/>
        <v>0</v>
      </c>
      <c r="KM74" s="545">
        <f t="shared" si="242"/>
        <v>0</v>
      </c>
      <c r="KN74" s="532">
        <f t="shared" si="822"/>
        <v>0</v>
      </c>
      <c r="KO74" s="532">
        <f t="shared" si="823"/>
        <v>0</v>
      </c>
      <c r="KP74" s="532">
        <f t="shared" si="824"/>
        <v>0</v>
      </c>
      <c r="KQ74" s="532">
        <f t="shared" si="825"/>
        <v>0</v>
      </c>
      <c r="KR74" s="532">
        <f t="shared" si="826"/>
        <v>0</v>
      </c>
      <c r="KS74" s="532">
        <f t="shared" si="243"/>
        <v>0.64527217425000005</v>
      </c>
      <c r="KT74" s="532">
        <f t="shared" si="244"/>
        <v>0.80170179224999993</v>
      </c>
      <c r="KU74" s="532">
        <f t="shared" si="827"/>
        <v>1.0167925170000001</v>
      </c>
      <c r="KV74" s="532">
        <f t="shared" si="828"/>
        <v>0.80170179224999993</v>
      </c>
      <c r="KW74" s="532">
        <f t="shared" si="829"/>
        <v>16.561985805750002</v>
      </c>
      <c r="KX74" s="532">
        <f t="shared" si="830"/>
        <v>0.19553702250000002</v>
      </c>
      <c r="KY74" s="553">
        <f t="shared" si="831"/>
        <v>0.19553702250000002</v>
      </c>
      <c r="KZ74" s="545">
        <f t="shared" si="245"/>
        <v>0</v>
      </c>
      <c r="LA74" s="545">
        <f t="shared" si="246"/>
        <v>0</v>
      </c>
      <c r="LB74" s="532">
        <f t="shared" si="832"/>
        <v>0</v>
      </c>
      <c r="LC74" s="532">
        <f t="shared" si="833"/>
        <v>0</v>
      </c>
      <c r="LD74" s="532">
        <f t="shared" si="834"/>
        <v>0</v>
      </c>
      <c r="LE74" s="532">
        <f t="shared" si="835"/>
        <v>0</v>
      </c>
      <c r="LF74" s="532">
        <f t="shared" si="836"/>
        <v>0</v>
      </c>
      <c r="LG74" s="532">
        <f t="shared" si="247"/>
        <v>3.31551E-2</v>
      </c>
      <c r="LH74" s="532">
        <f t="shared" si="248"/>
        <v>4.1192699999999992E-2</v>
      </c>
      <c r="LI74" s="545">
        <f t="shared" si="837"/>
        <v>5.2244400000000003E-2</v>
      </c>
      <c r="LJ74" s="545">
        <f t="shared" si="838"/>
        <v>4.1192699999999992E-2</v>
      </c>
      <c r="LK74" s="545">
        <f t="shared" si="839"/>
        <v>0.85098089999999993</v>
      </c>
      <c r="LL74" s="545">
        <f t="shared" si="840"/>
        <v>1.0046999999999999E-2</v>
      </c>
      <c r="LM74" s="554">
        <f t="shared" si="841"/>
        <v>1.0046999999999999E-2</v>
      </c>
      <c r="LN74" s="545">
        <f t="shared" si="249"/>
        <v>0</v>
      </c>
      <c r="LO74" s="545">
        <f t="shared" si="250"/>
        <v>0</v>
      </c>
      <c r="LP74" s="532">
        <f t="shared" si="842"/>
        <v>0</v>
      </c>
      <c r="LQ74" s="532">
        <f t="shared" si="843"/>
        <v>0</v>
      </c>
      <c r="LR74" s="532">
        <f t="shared" si="844"/>
        <v>0</v>
      </c>
      <c r="LS74" s="532">
        <f t="shared" si="845"/>
        <v>0</v>
      </c>
      <c r="LT74" s="532">
        <f t="shared" si="846"/>
        <v>0</v>
      </c>
      <c r="LU74" s="532">
        <f t="shared" si="251"/>
        <v>0.82642111094999993</v>
      </c>
      <c r="LV74" s="532">
        <f t="shared" si="252"/>
        <v>0.41321055547499996</v>
      </c>
      <c r="LW74" s="532">
        <f t="shared" si="847"/>
        <v>0.9641579627750001</v>
      </c>
      <c r="LX74" s="532">
        <f t="shared" si="848"/>
        <v>0.82642111094999993</v>
      </c>
      <c r="LY74" s="532">
        <f t="shared" si="849"/>
        <v>13.622174645492501</v>
      </c>
      <c r="LZ74" s="532">
        <f t="shared" si="850"/>
        <v>0.13773685182500001</v>
      </c>
      <c r="MA74" s="558">
        <f t="shared" si="851"/>
        <v>0.13773685182500001</v>
      </c>
      <c r="MB74" s="545">
        <f t="shared" si="253"/>
        <v>0</v>
      </c>
      <c r="MC74" s="545">
        <f t="shared" si="254"/>
        <v>0</v>
      </c>
      <c r="MD74" s="532">
        <f t="shared" si="852"/>
        <v>0</v>
      </c>
      <c r="ME74" s="532">
        <f t="shared" si="853"/>
        <v>0</v>
      </c>
      <c r="MF74" s="532">
        <f t="shared" si="854"/>
        <v>0</v>
      </c>
      <c r="MG74" s="532">
        <f t="shared" si="855"/>
        <v>0</v>
      </c>
      <c r="MH74" s="532">
        <f t="shared" si="856"/>
        <v>0</v>
      </c>
      <c r="MI74" s="532">
        <f t="shared" si="255"/>
        <v>3.6169199999999996E-3</v>
      </c>
      <c r="MJ74" s="532">
        <f t="shared" si="256"/>
        <v>1.8084599999999998E-3</v>
      </c>
      <c r="MK74" s="532">
        <f t="shared" si="857"/>
        <v>4.2197400000000005E-3</v>
      </c>
      <c r="ML74" s="532">
        <f t="shared" si="858"/>
        <v>3.6169199999999996E-3</v>
      </c>
      <c r="MM74" s="532">
        <f t="shared" si="859"/>
        <v>5.9618898000000004E-2</v>
      </c>
      <c r="MN74" s="532">
        <f t="shared" si="860"/>
        <v>6.0282000000000001E-4</v>
      </c>
      <c r="MO74" s="558">
        <f t="shared" si="861"/>
        <v>6.0282000000000001E-4</v>
      </c>
      <c r="MP74" s="545">
        <f t="shared" si="257"/>
        <v>0</v>
      </c>
      <c r="MQ74" s="545">
        <f t="shared" si="258"/>
        <v>0</v>
      </c>
      <c r="MR74" s="532">
        <f t="shared" si="862"/>
        <v>0</v>
      </c>
      <c r="MS74" s="532">
        <f t="shared" si="863"/>
        <v>0</v>
      </c>
      <c r="MT74" s="532">
        <f t="shared" si="864"/>
        <v>0</v>
      </c>
      <c r="MU74" s="532">
        <f t="shared" si="865"/>
        <v>0</v>
      </c>
      <c r="MV74" s="532">
        <f t="shared" si="866"/>
        <v>0</v>
      </c>
      <c r="MW74" s="532">
        <f t="shared" si="259"/>
        <v>2.1970263600000002</v>
      </c>
      <c r="MX74" s="532">
        <f t="shared" si="260"/>
        <v>1.0985131800000001</v>
      </c>
      <c r="MY74" s="545">
        <f t="shared" si="867"/>
        <v>2.5631974200000007</v>
      </c>
      <c r="MZ74" s="545">
        <f t="shared" si="868"/>
        <v>2.1970263600000002</v>
      </c>
      <c r="NA74" s="545">
        <f t="shared" si="869"/>
        <v>36.214317834000013</v>
      </c>
      <c r="NB74" s="545">
        <f t="shared" si="870"/>
        <v>0.36617106000000005</v>
      </c>
      <c r="NC74" s="554">
        <f t="shared" si="871"/>
        <v>0.36617106000000005</v>
      </c>
      <c r="NL74" s="106"/>
    </row>
    <row r="75" spans="1:376" x14ac:dyDescent="0.25">
      <c r="A75" s="12">
        <v>2020</v>
      </c>
      <c r="B75" s="13">
        <v>0</v>
      </c>
      <c r="C75" s="14">
        <v>0</v>
      </c>
      <c r="D75" s="14">
        <v>0</v>
      </c>
      <c r="E75" s="658">
        <f t="shared" si="1196"/>
        <v>85</v>
      </c>
      <c r="F75" s="14">
        <f t="shared" si="1164"/>
        <v>0</v>
      </c>
      <c r="G75" s="14">
        <f t="shared" si="1165"/>
        <v>0</v>
      </c>
      <c r="H75" s="14">
        <f t="shared" si="1100"/>
        <v>0</v>
      </c>
      <c r="I75" s="14">
        <f t="shared" si="1101"/>
        <v>83.724999999999994</v>
      </c>
      <c r="J75" s="14">
        <v>0</v>
      </c>
      <c r="K75" s="917">
        <f t="shared" si="1197"/>
        <v>39.703300000000006</v>
      </c>
      <c r="L75" s="14">
        <f t="shared" si="751"/>
        <v>0</v>
      </c>
      <c r="M75" s="17">
        <f t="shared" si="1102"/>
        <v>83.724999999999994</v>
      </c>
      <c r="N75" s="198">
        <v>2E-3</v>
      </c>
      <c r="O75" s="120">
        <v>0</v>
      </c>
      <c r="P75" s="120">
        <v>0</v>
      </c>
      <c r="Q75" s="199">
        <v>6.0000000000000001E-3</v>
      </c>
      <c r="R75" s="120">
        <v>0</v>
      </c>
      <c r="S75" s="120">
        <v>2.7000000000000001E-3</v>
      </c>
      <c r="T75" s="120">
        <v>0</v>
      </c>
      <c r="U75" s="120">
        <v>1.18E-2</v>
      </c>
      <c r="V75" s="119">
        <v>1.0000000000000001E-5</v>
      </c>
      <c r="W75" s="120">
        <v>2.9999999999999997E-4</v>
      </c>
      <c r="X75" s="105">
        <v>0</v>
      </c>
      <c r="Y75" s="105">
        <v>3.1E-2</v>
      </c>
      <c r="Z75" s="488">
        <v>5.2999999999999999E-2</v>
      </c>
      <c r="AA75" s="105">
        <f t="shared" si="147"/>
        <v>0.1</v>
      </c>
      <c r="AB75" s="105">
        <f t="shared" si="148"/>
        <v>0</v>
      </c>
      <c r="AC75" s="105">
        <f t="shared" si="149"/>
        <v>0.9</v>
      </c>
      <c r="AD75" s="82">
        <f t="shared" si="1166"/>
        <v>0</v>
      </c>
      <c r="AE75" s="79">
        <f t="shared" si="1167"/>
        <v>0</v>
      </c>
      <c r="AF75" s="79">
        <f t="shared" si="1168"/>
        <v>0</v>
      </c>
      <c r="AG75" s="79">
        <f t="shared" si="1169"/>
        <v>0</v>
      </c>
      <c r="AH75" s="79">
        <f t="shared" si="1170"/>
        <v>0</v>
      </c>
      <c r="AI75" s="79">
        <f t="shared" si="1171"/>
        <v>0</v>
      </c>
      <c r="AJ75" s="138">
        <f t="shared" si="1103"/>
        <v>0</v>
      </c>
      <c r="AK75" s="79">
        <f t="shared" si="1104"/>
        <v>0.67817249999999996</v>
      </c>
      <c r="AL75" s="79">
        <f t="shared" si="1105"/>
        <v>0</v>
      </c>
      <c r="AM75" s="79">
        <f t="shared" si="1106"/>
        <v>0</v>
      </c>
      <c r="AN75" s="79">
        <f t="shared" si="1107"/>
        <v>0</v>
      </c>
      <c r="AO75" s="139">
        <f t="shared" si="1108"/>
        <v>0.50234999999999996</v>
      </c>
      <c r="AP75" s="79">
        <f t="shared" si="1172"/>
        <v>0</v>
      </c>
      <c r="AQ75" s="79">
        <f t="shared" si="1172"/>
        <v>0.67817249999999996</v>
      </c>
      <c r="AR75" s="79">
        <f t="shared" si="1172"/>
        <v>0</v>
      </c>
      <c r="AS75" s="79">
        <f t="shared" si="1172"/>
        <v>0</v>
      </c>
      <c r="AT75" s="79">
        <f t="shared" si="1172"/>
        <v>0</v>
      </c>
      <c r="AU75" s="104">
        <f t="shared" si="1172"/>
        <v>0.50234999999999996</v>
      </c>
      <c r="AV75" s="82">
        <f t="shared" si="1110"/>
        <v>0</v>
      </c>
      <c r="AW75" s="79">
        <f t="shared" si="1111"/>
        <v>0</v>
      </c>
      <c r="AX75" s="79">
        <f t="shared" si="1112"/>
        <v>0</v>
      </c>
      <c r="AY75" s="79">
        <f t="shared" si="1113"/>
        <v>0</v>
      </c>
      <c r="AZ75" s="79">
        <f t="shared" si="1114"/>
        <v>0</v>
      </c>
      <c r="BA75" s="79">
        <f t="shared" si="1115"/>
        <v>0</v>
      </c>
      <c r="BB75" s="138">
        <f t="shared" si="1116"/>
        <v>0</v>
      </c>
      <c r="BC75" s="79">
        <f t="shared" si="1117"/>
        <v>0</v>
      </c>
      <c r="BD75" s="79">
        <f t="shared" si="1118"/>
        <v>0</v>
      </c>
      <c r="BE75" s="79">
        <f t="shared" si="1119"/>
        <v>0.45211499999999999</v>
      </c>
      <c r="BF75" s="79">
        <f t="shared" si="1120"/>
        <v>0</v>
      </c>
      <c r="BG75" s="79">
        <f t="shared" si="1121"/>
        <v>0.83724999999999994</v>
      </c>
      <c r="BH75" s="79">
        <f t="shared" si="1122"/>
        <v>0</v>
      </c>
      <c r="BI75" s="79">
        <f t="shared" si="1122"/>
        <v>0</v>
      </c>
      <c r="BJ75" s="79">
        <f t="shared" si="1122"/>
        <v>0</v>
      </c>
      <c r="BK75" s="79">
        <f t="shared" si="1122"/>
        <v>0.45211499999999999</v>
      </c>
      <c r="BL75" s="79">
        <f t="shared" si="1122"/>
        <v>0</v>
      </c>
      <c r="BM75" s="79">
        <f t="shared" si="1122"/>
        <v>0.83724999999999994</v>
      </c>
      <c r="BN75" s="82">
        <f t="shared" si="1123"/>
        <v>0</v>
      </c>
      <c r="BO75" s="79">
        <f t="shared" si="1124"/>
        <v>0</v>
      </c>
      <c r="BP75" s="79">
        <f t="shared" si="1125"/>
        <v>0</v>
      </c>
      <c r="BQ75" s="79">
        <f t="shared" si="1126"/>
        <v>0</v>
      </c>
      <c r="BR75" s="79">
        <f t="shared" si="1127"/>
        <v>0</v>
      </c>
      <c r="BS75" s="79">
        <f t="shared" si="1128"/>
        <v>0</v>
      </c>
      <c r="BT75" s="138">
        <f t="shared" si="1129"/>
        <v>0</v>
      </c>
      <c r="BU75" s="79">
        <f t="shared" si="1130"/>
        <v>3.349E-3</v>
      </c>
      <c r="BV75" s="79">
        <f t="shared" si="1131"/>
        <v>0</v>
      </c>
      <c r="BW75" s="79">
        <f t="shared" si="1132"/>
        <v>5.0234999999999995E-2</v>
      </c>
      <c r="BX75" s="79">
        <f t="shared" si="1133"/>
        <v>0</v>
      </c>
      <c r="BY75" s="79">
        <f t="shared" si="1134"/>
        <v>0.92097499999999988</v>
      </c>
      <c r="BZ75" s="138">
        <f t="shared" si="1135"/>
        <v>0</v>
      </c>
      <c r="CA75" s="79">
        <f t="shared" si="1135"/>
        <v>3.349E-3</v>
      </c>
      <c r="CB75" s="79">
        <f t="shared" si="1135"/>
        <v>0</v>
      </c>
      <c r="CC75" s="79">
        <f t="shared" si="1135"/>
        <v>5.0234999999999995E-2</v>
      </c>
      <c r="CD75" s="79">
        <f t="shared" si="1135"/>
        <v>0</v>
      </c>
      <c r="CE75" s="535">
        <f t="shared" si="1135"/>
        <v>0.92097499999999988</v>
      </c>
      <c r="CF75" s="79">
        <f t="shared" si="173"/>
        <v>0</v>
      </c>
      <c r="CG75" s="79">
        <f t="shared" si="1198"/>
        <v>3.9703300000000006</v>
      </c>
      <c r="CH75" s="79">
        <f t="shared" si="175"/>
        <v>0</v>
      </c>
      <c r="CI75" s="79">
        <f t="shared" si="1199"/>
        <v>0</v>
      </c>
      <c r="CJ75" s="79">
        <f t="shared" si="176"/>
        <v>0</v>
      </c>
      <c r="CK75" s="79">
        <f t="shared" si="1200"/>
        <v>35.732970000000009</v>
      </c>
      <c r="CL75" s="3"/>
      <c r="CM75" s="101">
        <f t="shared" si="1083"/>
        <v>0</v>
      </c>
      <c r="CN75" s="99">
        <f t="shared" si="1136"/>
        <v>0</v>
      </c>
      <c r="CO75" s="130">
        <f t="shared" si="1137"/>
        <v>0</v>
      </c>
      <c r="CP75" s="131">
        <f t="shared" si="1201"/>
        <v>39.584274999999984</v>
      </c>
      <c r="CQ75" s="99">
        <f t="shared" si="1202"/>
        <v>0</v>
      </c>
      <c r="CR75" s="98">
        <f t="shared" si="1202"/>
        <v>39.584274999999984</v>
      </c>
      <c r="CS75" s="44">
        <v>0</v>
      </c>
      <c r="CT75" s="45">
        <v>0</v>
      </c>
      <c r="CU75" s="45">
        <v>1</v>
      </c>
      <c r="CV75" s="100">
        <f t="shared" si="1203"/>
        <v>0</v>
      </c>
      <c r="CW75" s="40">
        <f t="shared" si="1178"/>
        <v>0</v>
      </c>
      <c r="CX75" s="41">
        <f t="shared" si="1179"/>
        <v>0</v>
      </c>
      <c r="CY75" s="79">
        <f t="shared" si="1180"/>
        <v>0</v>
      </c>
      <c r="CZ75" s="139">
        <f t="shared" si="1181"/>
        <v>0</v>
      </c>
      <c r="DA75" s="41">
        <f t="shared" si="1139"/>
        <v>0</v>
      </c>
      <c r="DB75" s="41">
        <f t="shared" si="1140"/>
        <v>27.708992499999987</v>
      </c>
      <c r="DC75" s="41">
        <f t="shared" si="1141"/>
        <v>0</v>
      </c>
      <c r="DD75" s="143">
        <f t="shared" si="1142"/>
        <v>0</v>
      </c>
      <c r="DE75" s="41">
        <f t="shared" si="768"/>
        <v>0</v>
      </c>
      <c r="DF75" s="41">
        <f t="shared" si="1182"/>
        <v>27.708992499999987</v>
      </c>
      <c r="DG75" s="41">
        <f t="shared" si="1183"/>
        <v>0</v>
      </c>
      <c r="DH75" s="42">
        <f t="shared" si="1184"/>
        <v>0</v>
      </c>
      <c r="DJ75" s="498">
        <v>1</v>
      </c>
      <c r="DK75" s="498">
        <v>0.3</v>
      </c>
      <c r="DL75" s="41">
        <f t="shared" si="1143"/>
        <v>0</v>
      </c>
      <c r="DM75" s="41">
        <f t="shared" si="1144"/>
        <v>0</v>
      </c>
      <c r="DN75" s="41">
        <f t="shared" si="1084"/>
        <v>0</v>
      </c>
      <c r="DO75" s="42">
        <f t="shared" si="1085"/>
        <v>11.875282499999996</v>
      </c>
      <c r="DP75" s="44">
        <v>1</v>
      </c>
      <c r="DQ75" s="45">
        <v>0.1</v>
      </c>
      <c r="DR75" s="45">
        <v>0.5</v>
      </c>
      <c r="DS75" s="682">
        <f t="shared" si="185"/>
        <v>0.1</v>
      </c>
      <c r="DT75" s="102">
        <f t="shared" si="186"/>
        <v>1</v>
      </c>
      <c r="DU75" s="45">
        <v>0</v>
      </c>
      <c r="DV75" s="45">
        <v>1</v>
      </c>
      <c r="DW75" s="45">
        <v>0</v>
      </c>
      <c r="DX75" s="45">
        <v>0</v>
      </c>
      <c r="DY75" s="45">
        <v>1</v>
      </c>
      <c r="DZ75" s="45">
        <v>0</v>
      </c>
      <c r="EA75" s="103">
        <f t="shared" si="888"/>
        <v>0</v>
      </c>
      <c r="EB75" s="79">
        <f t="shared" si="1185"/>
        <v>0</v>
      </c>
      <c r="EC75" s="79">
        <f t="shared" si="889"/>
        <v>0</v>
      </c>
      <c r="ED75" s="79">
        <f t="shared" si="1186"/>
        <v>0</v>
      </c>
      <c r="EE75" s="79">
        <f t="shared" si="890"/>
        <v>0</v>
      </c>
      <c r="EF75" s="79">
        <f t="shared" si="1187"/>
        <v>0</v>
      </c>
      <c r="EG75" s="138">
        <f t="shared" si="1145"/>
        <v>0</v>
      </c>
      <c r="EH75" s="79">
        <f t="shared" si="1146"/>
        <v>0</v>
      </c>
      <c r="EI75" s="79">
        <f t="shared" si="1147"/>
        <v>0</v>
      </c>
      <c r="EJ75" s="79">
        <f t="shared" si="1148"/>
        <v>14.253909749999995</v>
      </c>
      <c r="EK75" s="79">
        <f t="shared" si="1149"/>
        <v>0</v>
      </c>
      <c r="EL75" s="139">
        <f t="shared" si="1150"/>
        <v>0</v>
      </c>
      <c r="EM75" s="79">
        <f t="shared" si="193"/>
        <v>0</v>
      </c>
      <c r="EN75" s="83">
        <f t="shared" si="194"/>
        <v>14.253909749999995</v>
      </c>
      <c r="EP75" s="103">
        <f t="shared" si="769"/>
        <v>0</v>
      </c>
      <c r="EQ75" s="79">
        <f t="shared" si="1151"/>
        <v>0</v>
      </c>
      <c r="ER75" s="79">
        <f t="shared" si="770"/>
        <v>0</v>
      </c>
      <c r="ES75" s="79">
        <f t="shared" si="1152"/>
        <v>0</v>
      </c>
      <c r="ET75" s="79">
        <f t="shared" si="771"/>
        <v>0</v>
      </c>
      <c r="EU75" s="79">
        <f t="shared" si="1153"/>
        <v>0</v>
      </c>
      <c r="EV75" s="138">
        <f t="shared" si="1086"/>
        <v>0</v>
      </c>
      <c r="EW75" s="79">
        <f t="shared" si="1087"/>
        <v>3.349E-3</v>
      </c>
      <c r="EX75" s="79">
        <f t="shared" si="1088"/>
        <v>0</v>
      </c>
      <c r="EY75" s="79">
        <f t="shared" si="1089"/>
        <v>5.0234999999999995E-2</v>
      </c>
      <c r="EZ75" s="79">
        <f t="shared" si="1090"/>
        <v>0</v>
      </c>
      <c r="FA75" s="104">
        <f t="shared" si="1091"/>
        <v>0.92097499999999988</v>
      </c>
      <c r="FB75" s="40">
        <f t="shared" si="1188"/>
        <v>0</v>
      </c>
      <c r="FC75" s="41">
        <f t="shared" si="1189"/>
        <v>0</v>
      </c>
      <c r="FD75" s="41">
        <f t="shared" si="1154"/>
        <v>0</v>
      </c>
      <c r="FE75" s="41">
        <f t="shared" si="1155"/>
        <v>27.708992499999987</v>
      </c>
      <c r="FF75" s="40">
        <f t="shared" si="772"/>
        <v>0</v>
      </c>
      <c r="FG75" s="41">
        <f t="shared" si="1156"/>
        <v>0</v>
      </c>
      <c r="FH75" s="41">
        <f t="shared" si="1157"/>
        <v>0</v>
      </c>
      <c r="FI75" s="41">
        <f t="shared" si="1158"/>
        <v>0</v>
      </c>
      <c r="FJ75" s="44">
        <v>1</v>
      </c>
      <c r="FK75" s="45">
        <v>0.2</v>
      </c>
      <c r="FL75" s="503">
        <v>0.8</v>
      </c>
      <c r="FM75" s="45">
        <v>0.1</v>
      </c>
      <c r="FN75" s="503">
        <v>0.5</v>
      </c>
      <c r="FO75" s="45">
        <f t="shared" si="200"/>
        <v>0.1</v>
      </c>
      <c r="FP75" s="45">
        <f t="shared" si="201"/>
        <v>1</v>
      </c>
      <c r="FQ75" s="45">
        <v>1</v>
      </c>
      <c r="FR75" s="45">
        <v>0</v>
      </c>
      <c r="FS75" s="108">
        <f t="shared" si="202"/>
        <v>1E-3</v>
      </c>
      <c r="FT75" s="45">
        <f t="shared" si="203"/>
        <v>0.05</v>
      </c>
      <c r="FU75" s="44">
        <v>0.05</v>
      </c>
      <c r="FV75" s="100">
        <f t="shared" si="25"/>
        <v>2.4224999999999997E-2</v>
      </c>
      <c r="FW75" s="45">
        <v>0.1</v>
      </c>
      <c r="FX75" s="102">
        <f t="shared" si="26"/>
        <v>9.0000000000000011E-2</v>
      </c>
      <c r="FY75" s="44">
        <v>0.45</v>
      </c>
      <c r="FZ75" s="100">
        <f t="shared" si="1092"/>
        <v>1.4025000000000001E-2</v>
      </c>
      <c r="GA75" s="45">
        <v>0.45</v>
      </c>
      <c r="GB75" s="102">
        <f t="shared" si="1093"/>
        <v>5.5000000000000007E-2</v>
      </c>
      <c r="GC75" s="103">
        <f t="shared" si="773"/>
        <v>0</v>
      </c>
      <c r="GD75" s="79">
        <f t="shared" si="1159"/>
        <v>0</v>
      </c>
      <c r="GE75" s="79">
        <f t="shared" si="774"/>
        <v>0</v>
      </c>
      <c r="GF75" s="79">
        <f t="shared" si="1160"/>
        <v>0</v>
      </c>
      <c r="GG75" s="79">
        <v>0</v>
      </c>
      <c r="GH75" s="139">
        <v>0</v>
      </c>
      <c r="GI75" s="79">
        <f t="shared" si="1094"/>
        <v>0</v>
      </c>
      <c r="GJ75" s="79">
        <f t="shared" si="1095"/>
        <v>3.349E-3</v>
      </c>
      <c r="GK75" s="79">
        <f t="shared" si="1096"/>
        <v>0</v>
      </c>
      <c r="GL75" s="79">
        <f t="shared" si="1097"/>
        <v>5.0234999999999995E-2</v>
      </c>
      <c r="GM75" s="79">
        <f t="shared" si="1098"/>
        <v>0</v>
      </c>
      <c r="GN75" s="139">
        <f t="shared" si="1099"/>
        <v>0.73677999999999999</v>
      </c>
      <c r="GO75" s="79">
        <f t="shared" si="208"/>
        <v>0</v>
      </c>
      <c r="GP75" s="104">
        <f t="shared" si="209"/>
        <v>0.79036399999999996</v>
      </c>
      <c r="GQ75" s="41">
        <f t="shared" si="891"/>
        <v>0</v>
      </c>
      <c r="GR75" s="41">
        <f t="shared" si="892"/>
        <v>0</v>
      </c>
      <c r="GS75" s="79">
        <f t="shared" si="1031"/>
        <v>0</v>
      </c>
      <c r="GT75" s="79">
        <f t="shared" si="1032"/>
        <v>0</v>
      </c>
      <c r="GU75" s="79">
        <f t="shared" si="1033"/>
        <v>0</v>
      </c>
      <c r="GV75" s="139">
        <f t="shared" si="1034"/>
        <v>0</v>
      </c>
      <c r="GW75" s="41">
        <f t="shared" si="1162"/>
        <v>0</v>
      </c>
      <c r="GX75" s="41">
        <f t="shared" si="1163"/>
        <v>6.9965206062499963</v>
      </c>
      <c r="GY75" s="41">
        <f t="shared" si="1192"/>
        <v>0</v>
      </c>
      <c r="GZ75" s="41">
        <f t="shared" si="1193"/>
        <v>0</v>
      </c>
      <c r="HA75" s="41">
        <f t="shared" si="1194"/>
        <v>0</v>
      </c>
      <c r="HB75" s="143">
        <f t="shared" si="1195"/>
        <v>0</v>
      </c>
      <c r="HC75" s="79">
        <f t="shared" si="212"/>
        <v>0</v>
      </c>
      <c r="HD75" s="42">
        <f t="shared" si="213"/>
        <v>6.9965206062499963</v>
      </c>
      <c r="HE75" s="527"/>
      <c r="HF75" s="532">
        <f t="shared" si="775"/>
        <v>0</v>
      </c>
      <c r="HG75" s="532">
        <f t="shared" si="776"/>
        <v>0.67817249999999996</v>
      </c>
      <c r="HH75" s="532">
        <f t="shared" si="777"/>
        <v>0</v>
      </c>
      <c r="HI75" s="532">
        <f t="shared" si="778"/>
        <v>0</v>
      </c>
      <c r="HJ75" s="532">
        <f t="shared" si="779"/>
        <v>0</v>
      </c>
      <c r="HK75" s="533">
        <f t="shared" si="780"/>
        <v>0.50234999999999996</v>
      </c>
      <c r="HL75" s="532">
        <f t="shared" si="781"/>
        <v>0</v>
      </c>
      <c r="HM75" s="532">
        <f t="shared" si="782"/>
        <v>0</v>
      </c>
      <c r="HN75" s="532">
        <f t="shared" si="783"/>
        <v>0</v>
      </c>
      <c r="HO75" s="532">
        <f t="shared" si="784"/>
        <v>14.706024749999994</v>
      </c>
      <c r="HP75" s="532">
        <f t="shared" si="785"/>
        <v>0</v>
      </c>
      <c r="HQ75" s="533">
        <f t="shared" si="786"/>
        <v>0.83724999999999994</v>
      </c>
      <c r="HR75" s="532">
        <f t="shared" si="214"/>
        <v>0</v>
      </c>
      <c r="HS75" s="532">
        <f t="shared" si="787"/>
        <v>10.970199606249997</v>
      </c>
      <c r="HT75" s="532">
        <f t="shared" si="788"/>
        <v>0</v>
      </c>
      <c r="HU75" s="532">
        <f t="shared" si="789"/>
        <v>5.0234999999999995E-2</v>
      </c>
      <c r="HV75" s="532">
        <f t="shared" si="790"/>
        <v>0</v>
      </c>
      <c r="HW75" s="533">
        <f t="shared" si="791"/>
        <v>36.469750000000012</v>
      </c>
      <c r="IG75" s="560"/>
      <c r="IH75" s="532">
        <f t="shared" si="215"/>
        <v>0</v>
      </c>
      <c r="II75" s="532">
        <f t="shared" si="216"/>
        <v>0</v>
      </c>
      <c r="IJ75" s="532">
        <f t="shared" si="217"/>
        <v>0</v>
      </c>
      <c r="IK75" s="532">
        <f t="shared" si="893"/>
        <v>0</v>
      </c>
      <c r="IL75" s="532">
        <f t="shared" si="894"/>
        <v>0</v>
      </c>
      <c r="IM75" s="532">
        <f t="shared" si="895"/>
        <v>0</v>
      </c>
      <c r="IN75" s="532">
        <f t="shared" si="896"/>
        <v>0</v>
      </c>
      <c r="IO75" s="532">
        <f t="shared" si="222"/>
        <v>2.2379692499999999E-2</v>
      </c>
      <c r="IP75" s="532">
        <f t="shared" si="223"/>
        <v>2.7805072499999996E-2</v>
      </c>
      <c r="IQ75" s="532">
        <f t="shared" si="897"/>
        <v>3.526497E-2</v>
      </c>
      <c r="IR75" s="532">
        <f t="shared" si="898"/>
        <v>2.7805072499999996E-2</v>
      </c>
      <c r="IS75" s="532">
        <f t="shared" si="899"/>
        <v>0.57441210749999994</v>
      </c>
      <c r="IT75" s="532">
        <f t="shared" si="900"/>
        <v>6.7817249999999997E-3</v>
      </c>
      <c r="IU75" s="534">
        <f t="shared" si="901"/>
        <v>6.7817249999999997E-3</v>
      </c>
      <c r="IV75" s="545">
        <f t="shared" si="229"/>
        <v>0</v>
      </c>
      <c r="IW75" s="545">
        <f t="shared" si="230"/>
        <v>0</v>
      </c>
      <c r="IX75" s="532">
        <f t="shared" si="792"/>
        <v>0</v>
      </c>
      <c r="IY75" s="532">
        <f t="shared" si="793"/>
        <v>0</v>
      </c>
      <c r="IZ75" s="532">
        <f t="shared" si="794"/>
        <v>0</v>
      </c>
      <c r="JA75" s="532">
        <f t="shared" si="795"/>
        <v>0</v>
      </c>
      <c r="JB75" s="532">
        <f t="shared" si="796"/>
        <v>0</v>
      </c>
      <c r="JC75" s="532">
        <f t="shared" si="231"/>
        <v>0</v>
      </c>
      <c r="JD75" s="532">
        <f t="shared" si="232"/>
        <v>0</v>
      </c>
      <c r="JE75" s="532">
        <f t="shared" si="797"/>
        <v>0</v>
      </c>
      <c r="JF75" s="532">
        <f t="shared" si="798"/>
        <v>0</v>
      </c>
      <c r="JG75" s="532">
        <f t="shared" si="799"/>
        <v>0</v>
      </c>
      <c r="JH75" s="532">
        <f t="shared" si="800"/>
        <v>0</v>
      </c>
      <c r="JI75" s="553">
        <f t="shared" si="801"/>
        <v>0</v>
      </c>
      <c r="JJ75" s="545">
        <f t="shared" si="233"/>
        <v>0</v>
      </c>
      <c r="JK75" s="545">
        <f t="shared" si="234"/>
        <v>0</v>
      </c>
      <c r="JL75" s="532">
        <f t="shared" si="802"/>
        <v>0</v>
      </c>
      <c r="JM75" s="532">
        <f t="shared" si="803"/>
        <v>0</v>
      </c>
      <c r="JN75" s="532">
        <f t="shared" si="804"/>
        <v>0</v>
      </c>
      <c r="JO75" s="532">
        <f t="shared" si="805"/>
        <v>0</v>
      </c>
      <c r="JP75" s="532">
        <f t="shared" si="806"/>
        <v>0</v>
      </c>
      <c r="JQ75" s="532">
        <f t="shared" si="235"/>
        <v>1.657755E-2</v>
      </c>
      <c r="JR75" s="532">
        <f t="shared" si="236"/>
        <v>2.0596349999999996E-2</v>
      </c>
      <c r="JS75" s="545">
        <f t="shared" si="807"/>
        <v>2.6122200000000002E-2</v>
      </c>
      <c r="JT75" s="545">
        <f t="shared" si="808"/>
        <v>2.0596349999999996E-2</v>
      </c>
      <c r="JU75" s="545">
        <f t="shared" si="809"/>
        <v>0.42549044999999996</v>
      </c>
      <c r="JV75" s="545">
        <f t="shared" si="810"/>
        <v>5.0234999999999993E-3</v>
      </c>
      <c r="JW75" s="554">
        <f t="shared" si="811"/>
        <v>5.0234999999999993E-3</v>
      </c>
      <c r="JX75" s="545">
        <f t="shared" si="237"/>
        <v>0</v>
      </c>
      <c r="JY75" s="545">
        <f t="shared" si="238"/>
        <v>0</v>
      </c>
      <c r="JZ75" s="532">
        <f t="shared" si="812"/>
        <v>0</v>
      </c>
      <c r="KA75" s="532">
        <f t="shared" si="813"/>
        <v>0</v>
      </c>
      <c r="KB75" s="532">
        <f t="shared" si="814"/>
        <v>0</v>
      </c>
      <c r="KC75" s="532">
        <f t="shared" si="815"/>
        <v>0</v>
      </c>
      <c r="KD75" s="532">
        <f t="shared" si="816"/>
        <v>0</v>
      </c>
      <c r="KE75" s="532">
        <f t="shared" si="239"/>
        <v>0</v>
      </c>
      <c r="KF75" s="532">
        <f t="shared" si="240"/>
        <v>0</v>
      </c>
      <c r="KG75" s="532">
        <f t="shared" si="817"/>
        <v>0</v>
      </c>
      <c r="KH75" s="532">
        <f t="shared" si="818"/>
        <v>0</v>
      </c>
      <c r="KI75" s="532">
        <f t="shared" si="819"/>
        <v>0</v>
      </c>
      <c r="KJ75" s="532">
        <f t="shared" si="820"/>
        <v>0</v>
      </c>
      <c r="KK75" s="534">
        <f t="shared" si="821"/>
        <v>0</v>
      </c>
      <c r="KL75" s="545">
        <f t="shared" si="241"/>
        <v>0</v>
      </c>
      <c r="KM75" s="545">
        <f t="shared" si="242"/>
        <v>0</v>
      </c>
      <c r="KN75" s="532">
        <f t="shared" si="822"/>
        <v>0</v>
      </c>
      <c r="KO75" s="532">
        <f t="shared" si="823"/>
        <v>0</v>
      </c>
      <c r="KP75" s="532">
        <f t="shared" si="824"/>
        <v>0</v>
      </c>
      <c r="KQ75" s="532">
        <f t="shared" si="825"/>
        <v>0</v>
      </c>
      <c r="KR75" s="532">
        <f t="shared" si="826"/>
        <v>0</v>
      </c>
      <c r="KS75" s="532">
        <f t="shared" si="243"/>
        <v>0.48529881674999981</v>
      </c>
      <c r="KT75" s="532">
        <f t="shared" si="244"/>
        <v>0.60294701474999968</v>
      </c>
      <c r="KU75" s="532">
        <f t="shared" si="827"/>
        <v>0.76471328699999974</v>
      </c>
      <c r="KV75" s="532">
        <f t="shared" si="828"/>
        <v>0.60294701474999968</v>
      </c>
      <c r="KW75" s="532">
        <f t="shared" si="829"/>
        <v>12.456002963249995</v>
      </c>
      <c r="KX75" s="532">
        <f t="shared" si="830"/>
        <v>0.14706024749999994</v>
      </c>
      <c r="KY75" s="553">
        <f t="shared" si="831"/>
        <v>0.14706024749999994</v>
      </c>
      <c r="KZ75" s="545">
        <f t="shared" si="245"/>
        <v>0</v>
      </c>
      <c r="LA75" s="545">
        <f t="shared" si="246"/>
        <v>0</v>
      </c>
      <c r="LB75" s="532">
        <f t="shared" si="832"/>
        <v>0</v>
      </c>
      <c r="LC75" s="532">
        <f t="shared" si="833"/>
        <v>0</v>
      </c>
      <c r="LD75" s="532">
        <f t="shared" si="834"/>
        <v>0</v>
      </c>
      <c r="LE75" s="532">
        <f t="shared" si="835"/>
        <v>0</v>
      </c>
      <c r="LF75" s="532">
        <f t="shared" si="836"/>
        <v>0</v>
      </c>
      <c r="LG75" s="532">
        <f t="shared" si="247"/>
        <v>2.7629249999999998E-2</v>
      </c>
      <c r="LH75" s="532">
        <f t="shared" si="248"/>
        <v>3.432724999999999E-2</v>
      </c>
      <c r="LI75" s="545">
        <f t="shared" si="837"/>
        <v>4.3536999999999999E-2</v>
      </c>
      <c r="LJ75" s="545">
        <f t="shared" si="838"/>
        <v>3.432724999999999E-2</v>
      </c>
      <c r="LK75" s="545">
        <f t="shared" si="839"/>
        <v>0.70915074999999994</v>
      </c>
      <c r="LL75" s="545">
        <f t="shared" si="840"/>
        <v>8.3724999999999997E-3</v>
      </c>
      <c r="LM75" s="554">
        <f t="shared" si="841"/>
        <v>8.3724999999999997E-3</v>
      </c>
      <c r="LN75" s="545">
        <f t="shared" si="249"/>
        <v>0</v>
      </c>
      <c r="LO75" s="545">
        <f t="shared" si="250"/>
        <v>0</v>
      </c>
      <c r="LP75" s="532">
        <f t="shared" si="842"/>
        <v>0</v>
      </c>
      <c r="LQ75" s="532">
        <f t="shared" si="843"/>
        <v>0</v>
      </c>
      <c r="LR75" s="532">
        <f t="shared" si="844"/>
        <v>0</v>
      </c>
      <c r="LS75" s="532">
        <f t="shared" si="845"/>
        <v>0</v>
      </c>
      <c r="LT75" s="532">
        <f t="shared" si="846"/>
        <v>0</v>
      </c>
      <c r="LU75" s="532">
        <f t="shared" si="251"/>
        <v>0.65821197637499984</v>
      </c>
      <c r="LV75" s="532">
        <f t="shared" si="252"/>
        <v>0.32910598818749992</v>
      </c>
      <c r="LW75" s="532">
        <f t="shared" si="847"/>
        <v>0.76791397243749981</v>
      </c>
      <c r="LX75" s="532">
        <f t="shared" si="848"/>
        <v>0.65821197637499984</v>
      </c>
      <c r="LY75" s="532">
        <f t="shared" si="849"/>
        <v>10.849527410581247</v>
      </c>
      <c r="LZ75" s="532">
        <f t="shared" si="850"/>
        <v>0.10970199606249997</v>
      </c>
      <c r="MA75" s="558">
        <f t="shared" si="851"/>
        <v>0.10970199606249997</v>
      </c>
      <c r="MB75" s="545">
        <f t="shared" si="253"/>
        <v>0</v>
      </c>
      <c r="MC75" s="545">
        <f t="shared" si="254"/>
        <v>0</v>
      </c>
      <c r="MD75" s="532">
        <f t="shared" si="852"/>
        <v>0</v>
      </c>
      <c r="ME75" s="532">
        <f t="shared" si="853"/>
        <v>0</v>
      </c>
      <c r="MF75" s="532">
        <f t="shared" si="854"/>
        <v>0</v>
      </c>
      <c r="MG75" s="532">
        <f t="shared" si="855"/>
        <v>0</v>
      </c>
      <c r="MH75" s="532">
        <f t="shared" si="856"/>
        <v>0</v>
      </c>
      <c r="MI75" s="532">
        <f t="shared" si="255"/>
        <v>3.0140999999999996E-3</v>
      </c>
      <c r="MJ75" s="532">
        <f t="shared" si="256"/>
        <v>1.5070499999999998E-3</v>
      </c>
      <c r="MK75" s="532">
        <f t="shared" si="857"/>
        <v>3.51645E-3</v>
      </c>
      <c r="ML75" s="532">
        <f t="shared" si="858"/>
        <v>3.0140999999999996E-3</v>
      </c>
      <c r="MM75" s="532">
        <f t="shared" si="859"/>
        <v>4.9682415000000001E-2</v>
      </c>
      <c r="MN75" s="532">
        <f t="shared" si="860"/>
        <v>5.0234999999999993E-4</v>
      </c>
      <c r="MO75" s="558">
        <f t="shared" si="861"/>
        <v>5.0234999999999993E-4</v>
      </c>
      <c r="MP75" s="545">
        <f t="shared" si="257"/>
        <v>0</v>
      </c>
      <c r="MQ75" s="545">
        <f t="shared" si="258"/>
        <v>0</v>
      </c>
      <c r="MR75" s="532">
        <f t="shared" si="862"/>
        <v>0</v>
      </c>
      <c r="MS75" s="532">
        <f t="shared" si="863"/>
        <v>0</v>
      </c>
      <c r="MT75" s="532">
        <f t="shared" si="864"/>
        <v>0</v>
      </c>
      <c r="MU75" s="532">
        <f t="shared" si="865"/>
        <v>0</v>
      </c>
      <c r="MV75" s="532">
        <f t="shared" si="866"/>
        <v>0</v>
      </c>
      <c r="MW75" s="532">
        <f t="shared" si="259"/>
        <v>2.1881850000000007</v>
      </c>
      <c r="MX75" s="532">
        <f t="shared" si="260"/>
        <v>1.0940925000000004</v>
      </c>
      <c r="MY75" s="545">
        <f t="shared" si="867"/>
        <v>2.5528825000000013</v>
      </c>
      <c r="MZ75" s="545">
        <f t="shared" si="868"/>
        <v>2.1881850000000007</v>
      </c>
      <c r="NA75" s="545">
        <f t="shared" si="869"/>
        <v>36.068582750000019</v>
      </c>
      <c r="NB75" s="545">
        <f t="shared" si="870"/>
        <v>0.36469750000000012</v>
      </c>
      <c r="NC75" s="554">
        <f t="shared" si="871"/>
        <v>0.36469750000000012</v>
      </c>
      <c r="NL75" s="106"/>
    </row>
    <row r="76" spans="1:376" x14ac:dyDescent="0.25">
      <c r="A76" s="12">
        <v>2021</v>
      </c>
      <c r="B76" s="13">
        <v>0</v>
      </c>
      <c r="C76" s="14">
        <v>0</v>
      </c>
      <c r="D76" s="14">
        <v>0</v>
      </c>
      <c r="E76" s="658">
        <f t="shared" si="1196"/>
        <v>68</v>
      </c>
      <c r="F76" s="14">
        <f t="shared" si="1164"/>
        <v>0</v>
      </c>
      <c r="G76" s="14">
        <f t="shared" si="1165"/>
        <v>0</v>
      </c>
      <c r="H76" s="14">
        <f t="shared" si="1100"/>
        <v>0</v>
      </c>
      <c r="I76" s="14">
        <f t="shared" si="1101"/>
        <v>66.98</v>
      </c>
      <c r="J76" s="14">
        <v>0</v>
      </c>
      <c r="K76" s="917">
        <f t="shared" si="1197"/>
        <v>39.703300000000006</v>
      </c>
      <c r="L76" s="14">
        <f t="shared" si="751"/>
        <v>0</v>
      </c>
      <c r="M76" s="17">
        <f t="shared" si="1102"/>
        <v>66.98</v>
      </c>
      <c r="N76" s="198">
        <v>2E-3</v>
      </c>
      <c r="O76" s="120">
        <v>0</v>
      </c>
      <c r="P76" s="120">
        <v>0</v>
      </c>
      <c r="Q76" s="199">
        <v>6.0000000000000001E-3</v>
      </c>
      <c r="R76" s="120">
        <v>0</v>
      </c>
      <c r="S76" s="120">
        <v>2.7000000000000001E-3</v>
      </c>
      <c r="T76" s="120">
        <v>0</v>
      </c>
      <c r="U76" s="120">
        <v>1.18E-2</v>
      </c>
      <c r="V76" s="119">
        <v>1.0000000000000001E-5</v>
      </c>
      <c r="W76" s="120">
        <v>2.9999999999999997E-4</v>
      </c>
      <c r="X76" s="105">
        <v>0</v>
      </c>
      <c r="Y76" s="105">
        <v>3.1E-2</v>
      </c>
      <c r="Z76" s="488">
        <v>5.2999999999999999E-2</v>
      </c>
      <c r="AA76" s="105">
        <f t="shared" si="147"/>
        <v>0.1</v>
      </c>
      <c r="AB76" s="105">
        <f t="shared" si="148"/>
        <v>0</v>
      </c>
      <c r="AC76" s="105">
        <f t="shared" si="149"/>
        <v>0.9</v>
      </c>
      <c r="AD76" s="82">
        <f t="shared" si="1166"/>
        <v>0</v>
      </c>
      <c r="AE76" s="79">
        <f t="shared" si="1167"/>
        <v>0</v>
      </c>
      <c r="AF76" s="79">
        <f t="shared" si="1168"/>
        <v>0</v>
      </c>
      <c r="AG76" s="79">
        <f t="shared" si="1169"/>
        <v>0</v>
      </c>
      <c r="AH76" s="79">
        <f t="shared" si="1170"/>
        <v>0</v>
      </c>
      <c r="AI76" s="79">
        <f t="shared" si="1171"/>
        <v>0</v>
      </c>
      <c r="AJ76" s="138">
        <f t="shared" si="1103"/>
        <v>0</v>
      </c>
      <c r="AK76" s="79">
        <f t="shared" si="1104"/>
        <v>0.54253799999999996</v>
      </c>
      <c r="AL76" s="79">
        <f t="shared" si="1105"/>
        <v>0</v>
      </c>
      <c r="AM76" s="79">
        <f t="shared" si="1106"/>
        <v>0</v>
      </c>
      <c r="AN76" s="79">
        <f t="shared" si="1107"/>
        <v>0</v>
      </c>
      <c r="AO76" s="139">
        <f t="shared" si="1108"/>
        <v>0.40188000000000001</v>
      </c>
      <c r="AP76" s="79">
        <f t="shared" si="1172"/>
        <v>0</v>
      </c>
      <c r="AQ76" s="79">
        <f t="shared" si="1172"/>
        <v>0.54253799999999996</v>
      </c>
      <c r="AR76" s="79">
        <f t="shared" si="1172"/>
        <v>0</v>
      </c>
      <c r="AS76" s="79">
        <f t="shared" si="1172"/>
        <v>0</v>
      </c>
      <c r="AT76" s="79">
        <f t="shared" si="1172"/>
        <v>0</v>
      </c>
      <c r="AU76" s="104">
        <f t="shared" si="1172"/>
        <v>0.40188000000000001</v>
      </c>
      <c r="AV76" s="82">
        <f t="shared" si="1110"/>
        <v>0</v>
      </c>
      <c r="AW76" s="79">
        <f t="shared" si="1111"/>
        <v>0</v>
      </c>
      <c r="AX76" s="79">
        <f t="shared" si="1112"/>
        <v>0</v>
      </c>
      <c r="AY76" s="79">
        <f t="shared" si="1113"/>
        <v>0</v>
      </c>
      <c r="AZ76" s="79">
        <f t="shared" si="1114"/>
        <v>0</v>
      </c>
      <c r="BA76" s="79">
        <f t="shared" si="1115"/>
        <v>0</v>
      </c>
      <c r="BB76" s="138">
        <f t="shared" si="1116"/>
        <v>0</v>
      </c>
      <c r="BC76" s="79">
        <f t="shared" si="1117"/>
        <v>0</v>
      </c>
      <c r="BD76" s="79">
        <f t="shared" si="1118"/>
        <v>0</v>
      </c>
      <c r="BE76" s="79">
        <f t="shared" si="1119"/>
        <v>0.36169200000000001</v>
      </c>
      <c r="BF76" s="79">
        <f t="shared" si="1120"/>
        <v>0</v>
      </c>
      <c r="BG76" s="79">
        <f t="shared" si="1121"/>
        <v>0.66980000000000006</v>
      </c>
      <c r="BH76" s="79">
        <f t="shared" si="1122"/>
        <v>0</v>
      </c>
      <c r="BI76" s="79">
        <f t="shared" si="1122"/>
        <v>0</v>
      </c>
      <c r="BJ76" s="79">
        <f t="shared" si="1122"/>
        <v>0</v>
      </c>
      <c r="BK76" s="79">
        <f t="shared" si="1122"/>
        <v>0.36169200000000001</v>
      </c>
      <c r="BL76" s="79">
        <f t="shared" si="1122"/>
        <v>0</v>
      </c>
      <c r="BM76" s="79">
        <f t="shared" si="1122"/>
        <v>0.66980000000000006</v>
      </c>
      <c r="BN76" s="82">
        <f t="shared" si="1123"/>
        <v>0</v>
      </c>
      <c r="BO76" s="79">
        <f t="shared" si="1124"/>
        <v>0</v>
      </c>
      <c r="BP76" s="79">
        <f t="shared" si="1125"/>
        <v>0</v>
      </c>
      <c r="BQ76" s="79">
        <f t="shared" si="1126"/>
        <v>0</v>
      </c>
      <c r="BR76" s="79">
        <f t="shared" si="1127"/>
        <v>0</v>
      </c>
      <c r="BS76" s="79">
        <f t="shared" si="1128"/>
        <v>0</v>
      </c>
      <c r="BT76" s="138">
        <f t="shared" si="1129"/>
        <v>0</v>
      </c>
      <c r="BU76" s="79">
        <f t="shared" si="1130"/>
        <v>2.6792000000000005E-3</v>
      </c>
      <c r="BV76" s="79">
        <f t="shared" si="1131"/>
        <v>0</v>
      </c>
      <c r="BW76" s="79">
        <f t="shared" si="1132"/>
        <v>4.0188000000000001E-2</v>
      </c>
      <c r="BX76" s="79">
        <f t="shared" si="1133"/>
        <v>0</v>
      </c>
      <c r="BY76" s="79">
        <f t="shared" si="1134"/>
        <v>0.73677999999999999</v>
      </c>
      <c r="BZ76" s="138">
        <f t="shared" si="1135"/>
        <v>0</v>
      </c>
      <c r="CA76" s="79">
        <f t="shared" si="1135"/>
        <v>2.6792000000000005E-3</v>
      </c>
      <c r="CB76" s="79">
        <f t="shared" si="1135"/>
        <v>0</v>
      </c>
      <c r="CC76" s="79">
        <f t="shared" si="1135"/>
        <v>4.0188000000000001E-2</v>
      </c>
      <c r="CD76" s="79">
        <f t="shared" si="1135"/>
        <v>0</v>
      </c>
      <c r="CE76" s="535">
        <f t="shared" si="1135"/>
        <v>0.73677999999999999</v>
      </c>
      <c r="CF76" s="79">
        <f t="shared" si="173"/>
        <v>0</v>
      </c>
      <c r="CG76" s="79">
        <f t="shared" si="1198"/>
        <v>3.9703300000000006</v>
      </c>
      <c r="CH76" s="79">
        <f t="shared" si="175"/>
        <v>0</v>
      </c>
      <c r="CI76" s="79">
        <f t="shared" si="1199"/>
        <v>0</v>
      </c>
      <c r="CJ76" s="79">
        <f t="shared" si="176"/>
        <v>0</v>
      </c>
      <c r="CK76" s="79">
        <f t="shared" si="1200"/>
        <v>35.732970000000009</v>
      </c>
      <c r="CL76" s="3"/>
      <c r="CM76" s="101">
        <f t="shared" si="1083"/>
        <v>0</v>
      </c>
      <c r="CN76" s="99">
        <f t="shared" si="1136"/>
        <v>0</v>
      </c>
      <c r="CO76" s="130">
        <f t="shared" si="1137"/>
        <v>0</v>
      </c>
      <c r="CP76" s="131">
        <f t="shared" si="1201"/>
        <v>23.726759999999999</v>
      </c>
      <c r="CQ76" s="99">
        <f t="shared" si="1202"/>
        <v>0</v>
      </c>
      <c r="CR76" s="98">
        <f t="shared" si="1202"/>
        <v>23.726759999999999</v>
      </c>
      <c r="CS76" s="44">
        <v>0</v>
      </c>
      <c r="CT76" s="45">
        <v>0</v>
      </c>
      <c r="CU76" s="45">
        <v>1</v>
      </c>
      <c r="CV76" s="100">
        <f t="shared" si="1203"/>
        <v>0</v>
      </c>
      <c r="CW76" s="40">
        <f t="shared" si="1178"/>
        <v>0</v>
      </c>
      <c r="CX76" s="41">
        <f t="shared" si="1179"/>
        <v>0</v>
      </c>
      <c r="CY76" s="79">
        <f t="shared" si="1180"/>
        <v>0</v>
      </c>
      <c r="CZ76" s="139">
        <f t="shared" si="1181"/>
        <v>0</v>
      </c>
      <c r="DA76" s="41">
        <f t="shared" si="1139"/>
        <v>0</v>
      </c>
      <c r="DB76" s="41">
        <f t="shared" si="1140"/>
        <v>16.608732</v>
      </c>
      <c r="DC76" s="41">
        <f t="shared" si="1141"/>
        <v>0</v>
      </c>
      <c r="DD76" s="143">
        <f t="shared" si="1142"/>
        <v>0</v>
      </c>
      <c r="DE76" s="41">
        <f t="shared" si="768"/>
        <v>0</v>
      </c>
      <c r="DF76" s="41">
        <f t="shared" si="1182"/>
        <v>16.608732</v>
      </c>
      <c r="DG76" s="41">
        <f t="shared" si="1183"/>
        <v>0</v>
      </c>
      <c r="DH76" s="42">
        <f t="shared" si="1184"/>
        <v>0</v>
      </c>
      <c r="DJ76" s="498">
        <v>1</v>
      </c>
      <c r="DK76" s="498">
        <v>0.3</v>
      </c>
      <c r="DL76" s="41">
        <f t="shared" si="1143"/>
        <v>0</v>
      </c>
      <c r="DM76" s="41">
        <f t="shared" si="1144"/>
        <v>0</v>
      </c>
      <c r="DN76" s="41">
        <f t="shared" si="1084"/>
        <v>0</v>
      </c>
      <c r="DO76" s="42">
        <f t="shared" si="1085"/>
        <v>7.1180279999999998</v>
      </c>
      <c r="DP76" s="44">
        <v>1</v>
      </c>
      <c r="DQ76" s="45">
        <v>0.1</v>
      </c>
      <c r="DR76" s="45">
        <v>0.5</v>
      </c>
      <c r="DS76" s="682">
        <f t="shared" si="185"/>
        <v>0.1</v>
      </c>
      <c r="DT76" s="102">
        <f t="shared" si="186"/>
        <v>1</v>
      </c>
      <c r="DU76" s="45">
        <v>0</v>
      </c>
      <c r="DV76" s="45">
        <v>1</v>
      </c>
      <c r="DW76" s="45">
        <v>0</v>
      </c>
      <c r="DX76" s="45">
        <v>0</v>
      </c>
      <c r="DY76" s="45">
        <v>1</v>
      </c>
      <c r="DZ76" s="45">
        <v>0</v>
      </c>
      <c r="EA76" s="103">
        <f t="shared" si="888"/>
        <v>0</v>
      </c>
      <c r="EB76" s="79">
        <f t="shared" si="1185"/>
        <v>0</v>
      </c>
      <c r="EC76" s="79">
        <f t="shared" si="889"/>
        <v>0</v>
      </c>
      <c r="ED76" s="79">
        <f t="shared" si="1186"/>
        <v>0</v>
      </c>
      <c r="EE76" s="79">
        <f t="shared" si="890"/>
        <v>0</v>
      </c>
      <c r="EF76" s="79">
        <f t="shared" si="1187"/>
        <v>0</v>
      </c>
      <c r="EG76" s="138">
        <f t="shared" si="1145"/>
        <v>0</v>
      </c>
      <c r="EH76" s="79">
        <f t="shared" si="1146"/>
        <v>0</v>
      </c>
      <c r="EI76" s="79">
        <f t="shared" si="1147"/>
        <v>0</v>
      </c>
      <c r="EJ76" s="79">
        <f t="shared" si="1148"/>
        <v>9.4966552499999981</v>
      </c>
      <c r="EK76" s="79">
        <f t="shared" si="1149"/>
        <v>0</v>
      </c>
      <c r="EL76" s="139">
        <f t="shared" si="1150"/>
        <v>0</v>
      </c>
      <c r="EM76" s="79">
        <f t="shared" si="193"/>
        <v>0</v>
      </c>
      <c r="EN76" s="83">
        <f t="shared" si="194"/>
        <v>9.4966552499999981</v>
      </c>
      <c r="EP76" s="103">
        <f t="shared" si="769"/>
        <v>0</v>
      </c>
      <c r="EQ76" s="79">
        <f t="shared" si="1151"/>
        <v>0</v>
      </c>
      <c r="ER76" s="79">
        <f t="shared" si="770"/>
        <v>0</v>
      </c>
      <c r="ES76" s="79">
        <f t="shared" si="1152"/>
        <v>0</v>
      </c>
      <c r="ET76" s="79">
        <f t="shared" si="771"/>
        <v>0</v>
      </c>
      <c r="EU76" s="79">
        <f t="shared" si="1153"/>
        <v>0</v>
      </c>
      <c r="EV76" s="138">
        <f t="shared" si="1086"/>
        <v>0</v>
      </c>
      <c r="EW76" s="79">
        <f t="shared" si="1087"/>
        <v>2.6792000000000005E-3</v>
      </c>
      <c r="EX76" s="79">
        <f t="shared" si="1088"/>
        <v>0</v>
      </c>
      <c r="EY76" s="79">
        <f t="shared" si="1089"/>
        <v>4.0188000000000001E-2</v>
      </c>
      <c r="EZ76" s="79">
        <f t="shared" si="1090"/>
        <v>0</v>
      </c>
      <c r="FA76" s="104">
        <f t="shared" si="1091"/>
        <v>0.73677999999999999</v>
      </c>
      <c r="FB76" s="40">
        <f t="shared" si="1188"/>
        <v>0</v>
      </c>
      <c r="FC76" s="41">
        <f t="shared" si="1189"/>
        <v>0</v>
      </c>
      <c r="FD76" s="41">
        <f t="shared" si="1154"/>
        <v>0</v>
      </c>
      <c r="FE76" s="41">
        <f t="shared" si="1155"/>
        <v>16.608732</v>
      </c>
      <c r="FF76" s="40">
        <f t="shared" si="772"/>
        <v>0</v>
      </c>
      <c r="FG76" s="41">
        <f t="shared" si="1156"/>
        <v>0</v>
      </c>
      <c r="FH76" s="41">
        <f t="shared" si="1157"/>
        <v>0</v>
      </c>
      <c r="FI76" s="41">
        <f t="shared" si="1158"/>
        <v>0</v>
      </c>
      <c r="FJ76" s="44">
        <v>1</v>
      </c>
      <c r="FK76" s="45">
        <v>0.2</v>
      </c>
      <c r="FL76" s="503">
        <v>0.8</v>
      </c>
      <c r="FM76" s="45">
        <v>0.1</v>
      </c>
      <c r="FN76" s="503">
        <v>0.5</v>
      </c>
      <c r="FO76" s="45">
        <f t="shared" si="200"/>
        <v>0.1</v>
      </c>
      <c r="FP76" s="45">
        <f t="shared" si="201"/>
        <v>1</v>
      </c>
      <c r="FQ76" s="45">
        <v>1</v>
      </c>
      <c r="FR76" s="45">
        <v>0</v>
      </c>
      <c r="FS76" s="108">
        <f t="shared" si="202"/>
        <v>1E-3</v>
      </c>
      <c r="FT76" s="45">
        <f t="shared" si="203"/>
        <v>0.05</v>
      </c>
      <c r="FU76" s="44">
        <v>0.05</v>
      </c>
      <c r="FV76" s="100">
        <f t="shared" si="25"/>
        <v>2.4224999999999997E-2</v>
      </c>
      <c r="FW76" s="45">
        <v>0.1</v>
      </c>
      <c r="FX76" s="102">
        <f t="shared" si="26"/>
        <v>9.0000000000000011E-2</v>
      </c>
      <c r="FY76" s="44">
        <v>0.45</v>
      </c>
      <c r="FZ76" s="100">
        <f t="shared" si="1092"/>
        <v>1.4025000000000001E-2</v>
      </c>
      <c r="GA76" s="45">
        <v>0.45</v>
      </c>
      <c r="GB76" s="102">
        <f t="shared" si="1093"/>
        <v>5.5000000000000007E-2</v>
      </c>
      <c r="GC76" s="103">
        <f t="shared" si="773"/>
        <v>0</v>
      </c>
      <c r="GD76" s="79">
        <f t="shared" si="1159"/>
        <v>0</v>
      </c>
      <c r="GE76" s="79">
        <f t="shared" si="774"/>
        <v>0</v>
      </c>
      <c r="GF76" s="79">
        <f t="shared" si="1160"/>
        <v>0</v>
      </c>
      <c r="GG76" s="79">
        <v>0</v>
      </c>
      <c r="GH76" s="139">
        <v>0</v>
      </c>
      <c r="GI76" s="79">
        <f t="shared" si="1094"/>
        <v>0</v>
      </c>
      <c r="GJ76" s="79">
        <f t="shared" si="1095"/>
        <v>2.6792000000000005E-3</v>
      </c>
      <c r="GK76" s="79">
        <f t="shared" si="1096"/>
        <v>0</v>
      </c>
      <c r="GL76" s="79">
        <f t="shared" si="1097"/>
        <v>4.0188000000000001E-2</v>
      </c>
      <c r="GM76" s="79">
        <f t="shared" si="1098"/>
        <v>0</v>
      </c>
      <c r="GN76" s="139">
        <f t="shared" si="1099"/>
        <v>0.58942400000000006</v>
      </c>
      <c r="GO76" s="79">
        <f t="shared" si="208"/>
        <v>0</v>
      </c>
      <c r="GP76" s="104">
        <f t="shared" si="209"/>
        <v>0.63229120000000005</v>
      </c>
      <c r="GQ76" s="41">
        <f t="shared" si="891"/>
        <v>0</v>
      </c>
      <c r="GR76" s="41">
        <f t="shared" si="892"/>
        <v>0</v>
      </c>
      <c r="GS76" s="79">
        <f t="shared" si="1031"/>
        <v>0</v>
      </c>
      <c r="GT76" s="79">
        <f t="shared" si="1032"/>
        <v>0</v>
      </c>
      <c r="GU76" s="79">
        <f t="shared" si="1033"/>
        <v>0</v>
      </c>
      <c r="GV76" s="139">
        <f t="shared" si="1034"/>
        <v>0</v>
      </c>
      <c r="GW76" s="41">
        <f t="shared" si="1162"/>
        <v>0</v>
      </c>
      <c r="GX76" s="41">
        <f t="shared" si="1163"/>
        <v>4.1937048299999997</v>
      </c>
      <c r="GY76" s="41">
        <f t="shared" si="1192"/>
        <v>0</v>
      </c>
      <c r="GZ76" s="41">
        <f t="shared" si="1193"/>
        <v>0</v>
      </c>
      <c r="HA76" s="41">
        <f t="shared" si="1194"/>
        <v>0</v>
      </c>
      <c r="HB76" s="143">
        <f t="shared" si="1195"/>
        <v>0</v>
      </c>
      <c r="HC76" s="79">
        <f t="shared" si="212"/>
        <v>0</v>
      </c>
      <c r="HD76" s="42">
        <f t="shared" si="213"/>
        <v>4.1937048299999997</v>
      </c>
      <c r="HE76" s="527"/>
      <c r="HF76" s="532">
        <f t="shared" si="775"/>
        <v>0</v>
      </c>
      <c r="HG76" s="532">
        <f t="shared" si="776"/>
        <v>0.54253799999999996</v>
      </c>
      <c r="HH76" s="532">
        <f t="shared" si="777"/>
        <v>0</v>
      </c>
      <c r="HI76" s="532">
        <f t="shared" si="778"/>
        <v>0</v>
      </c>
      <c r="HJ76" s="532">
        <f t="shared" si="779"/>
        <v>0</v>
      </c>
      <c r="HK76" s="533">
        <f t="shared" si="780"/>
        <v>0.40188000000000001</v>
      </c>
      <c r="HL76" s="532">
        <f t="shared" si="781"/>
        <v>0</v>
      </c>
      <c r="HM76" s="532">
        <f t="shared" si="782"/>
        <v>0</v>
      </c>
      <c r="HN76" s="532">
        <f t="shared" si="783"/>
        <v>0</v>
      </c>
      <c r="HO76" s="532">
        <f t="shared" si="784"/>
        <v>9.8583472499999978</v>
      </c>
      <c r="HP76" s="532">
        <f t="shared" si="785"/>
        <v>0</v>
      </c>
      <c r="HQ76" s="533">
        <f t="shared" si="786"/>
        <v>0.66980000000000006</v>
      </c>
      <c r="HR76" s="532">
        <f t="shared" si="214"/>
        <v>0</v>
      </c>
      <c r="HS76" s="532">
        <f t="shared" si="787"/>
        <v>8.1667140300000014</v>
      </c>
      <c r="HT76" s="532">
        <f t="shared" si="788"/>
        <v>0</v>
      </c>
      <c r="HU76" s="532">
        <f t="shared" si="789"/>
        <v>4.0188000000000001E-2</v>
      </c>
      <c r="HV76" s="532">
        <f t="shared" si="790"/>
        <v>0</v>
      </c>
      <c r="HW76" s="533">
        <f t="shared" si="791"/>
        <v>36.32239400000001</v>
      </c>
      <c r="IG76" s="560"/>
      <c r="IH76" s="532">
        <f t="shared" si="215"/>
        <v>0</v>
      </c>
      <c r="II76" s="532">
        <f t="shared" si="216"/>
        <v>0</v>
      </c>
      <c r="IJ76" s="532">
        <f t="shared" si="217"/>
        <v>0</v>
      </c>
      <c r="IK76" s="532">
        <f t="shared" si="893"/>
        <v>0</v>
      </c>
      <c r="IL76" s="532">
        <f t="shared" si="894"/>
        <v>0</v>
      </c>
      <c r="IM76" s="532">
        <f t="shared" si="895"/>
        <v>0</v>
      </c>
      <c r="IN76" s="532">
        <f t="shared" si="896"/>
        <v>0</v>
      </c>
      <c r="IO76" s="532">
        <f t="shared" si="222"/>
        <v>1.7903754000000001E-2</v>
      </c>
      <c r="IP76" s="532">
        <f t="shared" si="223"/>
        <v>2.2244057999999997E-2</v>
      </c>
      <c r="IQ76" s="532">
        <f t="shared" si="897"/>
        <v>2.8211976E-2</v>
      </c>
      <c r="IR76" s="532">
        <f t="shared" si="898"/>
        <v>2.2244057999999997E-2</v>
      </c>
      <c r="IS76" s="532">
        <f t="shared" si="899"/>
        <v>0.45952968599999994</v>
      </c>
      <c r="IT76" s="532">
        <f t="shared" si="900"/>
        <v>5.4253799999999996E-3</v>
      </c>
      <c r="IU76" s="534">
        <f t="shared" si="901"/>
        <v>5.4253799999999996E-3</v>
      </c>
      <c r="IV76" s="545">
        <f t="shared" si="229"/>
        <v>0</v>
      </c>
      <c r="IW76" s="545">
        <f t="shared" si="230"/>
        <v>0</v>
      </c>
      <c r="IX76" s="532">
        <f t="shared" si="792"/>
        <v>0</v>
      </c>
      <c r="IY76" s="532">
        <f t="shared" si="793"/>
        <v>0</v>
      </c>
      <c r="IZ76" s="532">
        <f t="shared" si="794"/>
        <v>0</v>
      </c>
      <c r="JA76" s="532">
        <f t="shared" si="795"/>
        <v>0</v>
      </c>
      <c r="JB76" s="532">
        <f t="shared" si="796"/>
        <v>0</v>
      </c>
      <c r="JC76" s="532">
        <f t="shared" si="231"/>
        <v>0</v>
      </c>
      <c r="JD76" s="532">
        <f t="shared" si="232"/>
        <v>0</v>
      </c>
      <c r="JE76" s="532">
        <f t="shared" si="797"/>
        <v>0</v>
      </c>
      <c r="JF76" s="532">
        <f t="shared" si="798"/>
        <v>0</v>
      </c>
      <c r="JG76" s="532">
        <f t="shared" si="799"/>
        <v>0</v>
      </c>
      <c r="JH76" s="532">
        <f t="shared" si="800"/>
        <v>0</v>
      </c>
      <c r="JI76" s="553">
        <f t="shared" si="801"/>
        <v>0</v>
      </c>
      <c r="JJ76" s="545">
        <f t="shared" si="233"/>
        <v>0</v>
      </c>
      <c r="JK76" s="545">
        <f t="shared" si="234"/>
        <v>0</v>
      </c>
      <c r="JL76" s="532">
        <f t="shared" si="802"/>
        <v>0</v>
      </c>
      <c r="JM76" s="532">
        <f t="shared" si="803"/>
        <v>0</v>
      </c>
      <c r="JN76" s="532">
        <f t="shared" si="804"/>
        <v>0</v>
      </c>
      <c r="JO76" s="532">
        <f t="shared" si="805"/>
        <v>0</v>
      </c>
      <c r="JP76" s="532">
        <f t="shared" si="806"/>
        <v>0</v>
      </c>
      <c r="JQ76" s="532">
        <f t="shared" si="235"/>
        <v>1.3262040000000001E-2</v>
      </c>
      <c r="JR76" s="532">
        <f t="shared" si="236"/>
        <v>1.6477079999999998E-2</v>
      </c>
      <c r="JS76" s="545">
        <f t="shared" si="807"/>
        <v>2.0897760000000001E-2</v>
      </c>
      <c r="JT76" s="545">
        <f t="shared" si="808"/>
        <v>1.6477079999999998E-2</v>
      </c>
      <c r="JU76" s="545">
        <f t="shared" si="809"/>
        <v>0.34039236</v>
      </c>
      <c r="JV76" s="545">
        <f t="shared" si="810"/>
        <v>4.0188000000000003E-3</v>
      </c>
      <c r="JW76" s="554">
        <f t="shared" si="811"/>
        <v>4.0188000000000003E-3</v>
      </c>
      <c r="JX76" s="545">
        <f t="shared" si="237"/>
        <v>0</v>
      </c>
      <c r="JY76" s="545">
        <f t="shared" si="238"/>
        <v>0</v>
      </c>
      <c r="JZ76" s="532">
        <f t="shared" si="812"/>
        <v>0</v>
      </c>
      <c r="KA76" s="532">
        <f t="shared" si="813"/>
        <v>0</v>
      </c>
      <c r="KB76" s="532">
        <f t="shared" si="814"/>
        <v>0</v>
      </c>
      <c r="KC76" s="532">
        <f t="shared" si="815"/>
        <v>0</v>
      </c>
      <c r="KD76" s="532">
        <f t="shared" si="816"/>
        <v>0</v>
      </c>
      <c r="KE76" s="532">
        <f t="shared" si="239"/>
        <v>0</v>
      </c>
      <c r="KF76" s="532">
        <f t="shared" si="240"/>
        <v>0</v>
      </c>
      <c r="KG76" s="532">
        <f t="shared" si="817"/>
        <v>0</v>
      </c>
      <c r="KH76" s="532">
        <f t="shared" si="818"/>
        <v>0</v>
      </c>
      <c r="KI76" s="532">
        <f t="shared" si="819"/>
        <v>0</v>
      </c>
      <c r="KJ76" s="532">
        <f t="shared" si="820"/>
        <v>0</v>
      </c>
      <c r="KK76" s="534">
        <f t="shared" si="821"/>
        <v>0</v>
      </c>
      <c r="KL76" s="545">
        <f t="shared" si="241"/>
        <v>0</v>
      </c>
      <c r="KM76" s="545">
        <f t="shared" si="242"/>
        <v>0</v>
      </c>
      <c r="KN76" s="532">
        <f t="shared" si="822"/>
        <v>0</v>
      </c>
      <c r="KO76" s="532">
        <f t="shared" si="823"/>
        <v>0</v>
      </c>
      <c r="KP76" s="532">
        <f t="shared" si="824"/>
        <v>0</v>
      </c>
      <c r="KQ76" s="532">
        <f t="shared" si="825"/>
        <v>0</v>
      </c>
      <c r="KR76" s="532">
        <f t="shared" si="826"/>
        <v>0</v>
      </c>
      <c r="KS76" s="532">
        <f t="shared" si="243"/>
        <v>0.32532545924999995</v>
      </c>
      <c r="KT76" s="532">
        <f t="shared" si="244"/>
        <v>0.40419223724999986</v>
      </c>
      <c r="KU76" s="532">
        <f t="shared" si="827"/>
        <v>0.51263405699999998</v>
      </c>
      <c r="KV76" s="532">
        <f t="shared" si="828"/>
        <v>0.40419223724999986</v>
      </c>
      <c r="KW76" s="532">
        <f t="shared" si="829"/>
        <v>8.3500201207499973</v>
      </c>
      <c r="KX76" s="532">
        <f t="shared" si="830"/>
        <v>9.8583472499999977E-2</v>
      </c>
      <c r="KY76" s="553">
        <f t="shared" si="831"/>
        <v>9.8583472499999977E-2</v>
      </c>
      <c r="KZ76" s="545">
        <f t="shared" si="245"/>
        <v>0</v>
      </c>
      <c r="LA76" s="545">
        <f t="shared" si="246"/>
        <v>0</v>
      </c>
      <c r="LB76" s="532">
        <f t="shared" si="832"/>
        <v>0</v>
      </c>
      <c r="LC76" s="532">
        <f t="shared" si="833"/>
        <v>0</v>
      </c>
      <c r="LD76" s="532">
        <f t="shared" si="834"/>
        <v>0</v>
      </c>
      <c r="LE76" s="532">
        <f t="shared" si="835"/>
        <v>0</v>
      </c>
      <c r="LF76" s="532">
        <f t="shared" si="836"/>
        <v>0</v>
      </c>
      <c r="LG76" s="532">
        <f t="shared" si="247"/>
        <v>2.2103400000000002E-2</v>
      </c>
      <c r="LH76" s="532">
        <f t="shared" si="248"/>
        <v>2.7461799999999998E-2</v>
      </c>
      <c r="LI76" s="545">
        <f t="shared" si="837"/>
        <v>3.4829600000000009E-2</v>
      </c>
      <c r="LJ76" s="545">
        <f t="shared" si="838"/>
        <v>2.7461799999999998E-2</v>
      </c>
      <c r="LK76" s="545">
        <f t="shared" si="839"/>
        <v>0.56732060000000006</v>
      </c>
      <c r="LL76" s="545">
        <f t="shared" si="840"/>
        <v>6.6980000000000008E-3</v>
      </c>
      <c r="LM76" s="554">
        <f t="shared" si="841"/>
        <v>6.6980000000000008E-3</v>
      </c>
      <c r="LN76" s="545">
        <f t="shared" si="249"/>
        <v>0</v>
      </c>
      <c r="LO76" s="545">
        <f t="shared" si="250"/>
        <v>0</v>
      </c>
      <c r="LP76" s="532">
        <f t="shared" si="842"/>
        <v>0</v>
      </c>
      <c r="LQ76" s="532">
        <f t="shared" si="843"/>
        <v>0</v>
      </c>
      <c r="LR76" s="532">
        <f t="shared" si="844"/>
        <v>0</v>
      </c>
      <c r="LS76" s="532">
        <f t="shared" si="845"/>
        <v>0</v>
      </c>
      <c r="LT76" s="532">
        <f t="shared" si="846"/>
        <v>0</v>
      </c>
      <c r="LU76" s="532">
        <f t="shared" si="251"/>
        <v>0.49000284180000009</v>
      </c>
      <c r="LV76" s="532">
        <f t="shared" si="252"/>
        <v>0.24500142090000004</v>
      </c>
      <c r="LW76" s="532">
        <f t="shared" si="847"/>
        <v>0.5716699821000002</v>
      </c>
      <c r="LX76" s="532">
        <f t="shared" si="848"/>
        <v>0.49000284180000009</v>
      </c>
      <c r="LY76" s="532">
        <f t="shared" si="849"/>
        <v>8.0768801756700022</v>
      </c>
      <c r="LZ76" s="532">
        <f t="shared" si="850"/>
        <v>8.166714030000001E-2</v>
      </c>
      <c r="MA76" s="558">
        <f t="shared" si="851"/>
        <v>8.166714030000001E-2</v>
      </c>
      <c r="MB76" s="545">
        <f t="shared" si="253"/>
        <v>0</v>
      </c>
      <c r="MC76" s="545">
        <f t="shared" si="254"/>
        <v>0</v>
      </c>
      <c r="MD76" s="532">
        <f t="shared" si="852"/>
        <v>0</v>
      </c>
      <c r="ME76" s="532">
        <f t="shared" si="853"/>
        <v>0</v>
      </c>
      <c r="MF76" s="532">
        <f t="shared" si="854"/>
        <v>0</v>
      </c>
      <c r="MG76" s="532">
        <f t="shared" si="855"/>
        <v>0</v>
      </c>
      <c r="MH76" s="532">
        <f t="shared" si="856"/>
        <v>0</v>
      </c>
      <c r="MI76" s="532">
        <f t="shared" si="255"/>
        <v>2.41128E-3</v>
      </c>
      <c r="MJ76" s="532">
        <f t="shared" si="256"/>
        <v>1.20564E-3</v>
      </c>
      <c r="MK76" s="532">
        <f t="shared" si="857"/>
        <v>2.8131600000000003E-3</v>
      </c>
      <c r="ML76" s="532">
        <f t="shared" si="858"/>
        <v>2.41128E-3</v>
      </c>
      <c r="MM76" s="532">
        <f t="shared" si="859"/>
        <v>3.9745932000000005E-2</v>
      </c>
      <c r="MN76" s="532">
        <f t="shared" si="860"/>
        <v>4.0188000000000002E-4</v>
      </c>
      <c r="MO76" s="558">
        <f t="shared" si="861"/>
        <v>4.0188000000000002E-4</v>
      </c>
      <c r="MP76" s="545">
        <f t="shared" si="257"/>
        <v>0</v>
      </c>
      <c r="MQ76" s="545">
        <f t="shared" si="258"/>
        <v>0</v>
      </c>
      <c r="MR76" s="532">
        <f t="shared" si="862"/>
        <v>0</v>
      </c>
      <c r="MS76" s="532">
        <f t="shared" si="863"/>
        <v>0</v>
      </c>
      <c r="MT76" s="532">
        <f t="shared" si="864"/>
        <v>0</v>
      </c>
      <c r="MU76" s="532">
        <f t="shared" si="865"/>
        <v>0</v>
      </c>
      <c r="MV76" s="532">
        <f t="shared" si="866"/>
        <v>0</v>
      </c>
      <c r="MW76" s="532">
        <f t="shared" si="259"/>
        <v>2.1793436400000004</v>
      </c>
      <c r="MX76" s="532">
        <f t="shared" si="260"/>
        <v>1.0896718200000002</v>
      </c>
      <c r="MY76" s="545">
        <f t="shared" si="867"/>
        <v>2.5425675800000009</v>
      </c>
      <c r="MZ76" s="545">
        <f t="shared" si="868"/>
        <v>2.1793436400000004</v>
      </c>
      <c r="NA76" s="545">
        <f t="shared" si="869"/>
        <v>35.922847666000017</v>
      </c>
      <c r="NB76" s="545">
        <f t="shared" si="870"/>
        <v>0.36322394000000008</v>
      </c>
      <c r="NC76" s="554">
        <f t="shared" si="871"/>
        <v>0.36322394000000008</v>
      </c>
      <c r="NL76" s="106"/>
    </row>
    <row r="77" spans="1:376" x14ac:dyDescent="0.25">
      <c r="A77" s="12">
        <v>2022</v>
      </c>
      <c r="B77" s="13">
        <v>0</v>
      </c>
      <c r="C77" s="14">
        <v>0</v>
      </c>
      <c r="D77" s="14">
        <v>0</v>
      </c>
      <c r="E77" s="658">
        <f t="shared" si="1196"/>
        <v>51</v>
      </c>
      <c r="F77" s="14">
        <f t="shared" si="1164"/>
        <v>0</v>
      </c>
      <c r="G77" s="14">
        <f t="shared" si="1165"/>
        <v>0</v>
      </c>
      <c r="H77" s="14">
        <f t="shared" si="1100"/>
        <v>0</v>
      </c>
      <c r="I77" s="14">
        <f t="shared" si="1101"/>
        <v>50.234999999999999</v>
      </c>
      <c r="J77" s="14">
        <v>0</v>
      </c>
      <c r="K77" s="917">
        <f t="shared" si="1197"/>
        <v>39.703300000000006</v>
      </c>
      <c r="L77" s="14">
        <f t="shared" ref="L77:L85" si="1204">F77+H77</f>
        <v>0</v>
      </c>
      <c r="M77" s="17">
        <f t="shared" si="1102"/>
        <v>50.234999999999999</v>
      </c>
      <c r="N77" s="198">
        <v>2E-3</v>
      </c>
      <c r="O77" s="120">
        <v>0</v>
      </c>
      <c r="P77" s="120">
        <v>0</v>
      </c>
      <c r="Q77" s="199">
        <v>6.0000000000000001E-3</v>
      </c>
      <c r="R77" s="120">
        <v>0</v>
      </c>
      <c r="S77" s="120">
        <v>2.7000000000000001E-3</v>
      </c>
      <c r="T77" s="120">
        <v>0</v>
      </c>
      <c r="U77" s="120">
        <v>1.18E-2</v>
      </c>
      <c r="V77" s="119">
        <v>1.0000000000000001E-5</v>
      </c>
      <c r="W77" s="120">
        <v>2.9999999999999997E-4</v>
      </c>
      <c r="X77" s="105">
        <v>0</v>
      </c>
      <c r="Y77" s="105">
        <v>3.1E-2</v>
      </c>
      <c r="Z77" s="488">
        <v>5.2999999999999999E-2</v>
      </c>
      <c r="AA77" s="105">
        <f t="shared" si="147"/>
        <v>0.1</v>
      </c>
      <c r="AB77" s="105">
        <f t="shared" si="148"/>
        <v>0</v>
      </c>
      <c r="AC77" s="105">
        <f t="shared" si="149"/>
        <v>0.9</v>
      </c>
      <c r="AD77" s="82">
        <f t="shared" si="1166"/>
        <v>0</v>
      </c>
      <c r="AE77" s="79">
        <f t="shared" si="1167"/>
        <v>0</v>
      </c>
      <c r="AF77" s="79">
        <f t="shared" si="1168"/>
        <v>0</v>
      </c>
      <c r="AG77" s="79">
        <f t="shared" si="1169"/>
        <v>0</v>
      </c>
      <c r="AH77" s="79">
        <f t="shared" si="1170"/>
        <v>0</v>
      </c>
      <c r="AI77" s="79">
        <f t="shared" si="1171"/>
        <v>0</v>
      </c>
      <c r="AJ77" s="138">
        <f t="shared" si="1103"/>
        <v>0</v>
      </c>
      <c r="AK77" s="79">
        <f t="shared" si="1104"/>
        <v>0.40690349999999997</v>
      </c>
      <c r="AL77" s="79">
        <f t="shared" si="1105"/>
        <v>0</v>
      </c>
      <c r="AM77" s="79">
        <f t="shared" si="1106"/>
        <v>0</v>
      </c>
      <c r="AN77" s="79">
        <f t="shared" si="1107"/>
        <v>0</v>
      </c>
      <c r="AO77" s="139">
        <f t="shared" si="1108"/>
        <v>0.30141000000000001</v>
      </c>
      <c r="AP77" s="79">
        <f t="shared" si="1172"/>
        <v>0</v>
      </c>
      <c r="AQ77" s="79">
        <f t="shared" si="1172"/>
        <v>0.40690349999999997</v>
      </c>
      <c r="AR77" s="79">
        <f t="shared" si="1172"/>
        <v>0</v>
      </c>
      <c r="AS77" s="79">
        <f t="shared" si="1172"/>
        <v>0</v>
      </c>
      <c r="AT77" s="79">
        <f t="shared" si="1172"/>
        <v>0</v>
      </c>
      <c r="AU77" s="104">
        <f t="shared" si="1172"/>
        <v>0.30141000000000001</v>
      </c>
      <c r="AV77" s="82">
        <f t="shared" si="1110"/>
        <v>0</v>
      </c>
      <c r="AW77" s="79">
        <f t="shared" si="1111"/>
        <v>0</v>
      </c>
      <c r="AX77" s="79">
        <f t="shared" si="1112"/>
        <v>0</v>
      </c>
      <c r="AY77" s="79">
        <f t="shared" si="1113"/>
        <v>0</v>
      </c>
      <c r="AZ77" s="79">
        <f t="shared" si="1114"/>
        <v>0</v>
      </c>
      <c r="BA77" s="79">
        <f t="shared" si="1115"/>
        <v>0</v>
      </c>
      <c r="BB77" s="138">
        <f t="shared" si="1116"/>
        <v>0</v>
      </c>
      <c r="BC77" s="79">
        <f t="shared" si="1117"/>
        <v>0</v>
      </c>
      <c r="BD77" s="79">
        <f t="shared" si="1118"/>
        <v>0</v>
      </c>
      <c r="BE77" s="79">
        <f t="shared" si="1119"/>
        <v>0.27126900000000004</v>
      </c>
      <c r="BF77" s="79">
        <f t="shared" si="1120"/>
        <v>0</v>
      </c>
      <c r="BG77" s="79">
        <f t="shared" si="1121"/>
        <v>0.50234999999999996</v>
      </c>
      <c r="BH77" s="79">
        <f t="shared" si="1122"/>
        <v>0</v>
      </c>
      <c r="BI77" s="79">
        <f t="shared" si="1122"/>
        <v>0</v>
      </c>
      <c r="BJ77" s="79">
        <f t="shared" si="1122"/>
        <v>0</v>
      </c>
      <c r="BK77" s="79">
        <f t="shared" si="1122"/>
        <v>0.27126900000000004</v>
      </c>
      <c r="BL77" s="79">
        <f t="shared" si="1122"/>
        <v>0</v>
      </c>
      <c r="BM77" s="79">
        <f t="shared" si="1122"/>
        <v>0.50234999999999996</v>
      </c>
      <c r="BN77" s="82">
        <f t="shared" si="1123"/>
        <v>0</v>
      </c>
      <c r="BO77" s="79">
        <f t="shared" si="1124"/>
        <v>0</v>
      </c>
      <c r="BP77" s="79">
        <f t="shared" si="1125"/>
        <v>0</v>
      </c>
      <c r="BQ77" s="79">
        <f t="shared" si="1126"/>
        <v>0</v>
      </c>
      <c r="BR77" s="79">
        <f t="shared" si="1127"/>
        <v>0</v>
      </c>
      <c r="BS77" s="79">
        <f t="shared" si="1128"/>
        <v>0</v>
      </c>
      <c r="BT77" s="138">
        <f t="shared" si="1129"/>
        <v>0</v>
      </c>
      <c r="BU77" s="79">
        <f t="shared" si="1130"/>
        <v>2.0094000000000002E-3</v>
      </c>
      <c r="BV77" s="79">
        <f t="shared" si="1131"/>
        <v>0</v>
      </c>
      <c r="BW77" s="79">
        <f t="shared" si="1132"/>
        <v>3.0140999999999998E-2</v>
      </c>
      <c r="BX77" s="79">
        <f t="shared" si="1133"/>
        <v>0</v>
      </c>
      <c r="BY77" s="79">
        <f t="shared" si="1134"/>
        <v>0.55258499999999999</v>
      </c>
      <c r="BZ77" s="138">
        <f t="shared" si="1135"/>
        <v>0</v>
      </c>
      <c r="CA77" s="79">
        <f t="shared" si="1135"/>
        <v>2.0094000000000002E-3</v>
      </c>
      <c r="CB77" s="79">
        <f t="shared" si="1135"/>
        <v>0</v>
      </c>
      <c r="CC77" s="79">
        <f t="shared" si="1135"/>
        <v>3.0140999999999998E-2</v>
      </c>
      <c r="CD77" s="79">
        <f t="shared" si="1135"/>
        <v>0</v>
      </c>
      <c r="CE77" s="535">
        <f t="shared" si="1135"/>
        <v>0.55258499999999999</v>
      </c>
      <c r="CF77" s="79">
        <f t="shared" si="173"/>
        <v>0</v>
      </c>
      <c r="CG77" s="79">
        <f t="shared" si="1198"/>
        <v>3.9703300000000006</v>
      </c>
      <c r="CH77" s="79">
        <f t="shared" si="175"/>
        <v>0</v>
      </c>
      <c r="CI77" s="79">
        <f t="shared" si="1199"/>
        <v>0</v>
      </c>
      <c r="CJ77" s="79">
        <f t="shared" si="176"/>
        <v>0</v>
      </c>
      <c r="CK77" s="79">
        <f t="shared" si="1200"/>
        <v>35.732970000000009</v>
      </c>
      <c r="CL77" s="3"/>
      <c r="CM77" s="101">
        <f t="shared" ref="CM77:CM85" si="1205">F77-F77*Z77</f>
        <v>0</v>
      </c>
      <c r="CN77" s="99">
        <f t="shared" si="1136"/>
        <v>0</v>
      </c>
      <c r="CO77" s="130">
        <f t="shared" si="1137"/>
        <v>0</v>
      </c>
      <c r="CP77" s="131">
        <f t="shared" si="1201"/>
        <v>7.8692449999999923</v>
      </c>
      <c r="CQ77" s="99">
        <f t="shared" si="1202"/>
        <v>0</v>
      </c>
      <c r="CR77" s="98">
        <f t="shared" si="1202"/>
        <v>7.8692449999999923</v>
      </c>
      <c r="CS77" s="44">
        <v>0</v>
      </c>
      <c r="CT77" s="45">
        <v>0</v>
      </c>
      <c r="CU77" s="45">
        <v>1</v>
      </c>
      <c r="CV77" s="100">
        <f t="shared" si="1203"/>
        <v>0</v>
      </c>
      <c r="CW77" s="40">
        <f t="shared" si="1178"/>
        <v>0</v>
      </c>
      <c r="CX77" s="41">
        <f t="shared" si="1179"/>
        <v>0</v>
      </c>
      <c r="CY77" s="79">
        <f t="shared" si="1180"/>
        <v>0</v>
      </c>
      <c r="CZ77" s="139">
        <f t="shared" si="1181"/>
        <v>0</v>
      </c>
      <c r="DA77" s="41">
        <f t="shared" si="1139"/>
        <v>0</v>
      </c>
      <c r="DB77" s="41">
        <f t="shared" si="1140"/>
        <v>5.5084714999999944</v>
      </c>
      <c r="DC77" s="41">
        <f t="shared" si="1141"/>
        <v>0</v>
      </c>
      <c r="DD77" s="143">
        <f t="shared" si="1142"/>
        <v>0</v>
      </c>
      <c r="DE77" s="41">
        <f t="shared" ref="DE77:DE85" si="1206">CW77+DA77</f>
        <v>0</v>
      </c>
      <c r="DF77" s="41">
        <f t="shared" si="1182"/>
        <v>5.5084714999999944</v>
      </c>
      <c r="DG77" s="41">
        <f t="shared" si="1183"/>
        <v>0</v>
      </c>
      <c r="DH77" s="42">
        <f t="shared" si="1184"/>
        <v>0</v>
      </c>
      <c r="DJ77" s="498">
        <v>1</v>
      </c>
      <c r="DK77" s="498">
        <v>0.3</v>
      </c>
      <c r="DL77" s="41">
        <f t="shared" si="1143"/>
        <v>0</v>
      </c>
      <c r="DM77" s="41">
        <f t="shared" si="1144"/>
        <v>0</v>
      </c>
      <c r="DN77" s="41">
        <f t="shared" si="1084"/>
        <v>0</v>
      </c>
      <c r="DO77" s="42">
        <f t="shared" si="1085"/>
        <v>2.3607734999999974</v>
      </c>
      <c r="DP77" s="44">
        <v>1</v>
      </c>
      <c r="DQ77" s="45">
        <v>0.1</v>
      </c>
      <c r="DR77" s="45">
        <v>0.5</v>
      </c>
      <c r="DS77" s="682">
        <f t="shared" si="185"/>
        <v>0.1</v>
      </c>
      <c r="DT77" s="102">
        <f t="shared" si="186"/>
        <v>1</v>
      </c>
      <c r="DU77" s="45">
        <v>0</v>
      </c>
      <c r="DV77" s="45">
        <v>1</v>
      </c>
      <c r="DW77" s="45">
        <v>0</v>
      </c>
      <c r="DX77" s="45">
        <v>0</v>
      </c>
      <c r="DY77" s="45">
        <v>1</v>
      </c>
      <c r="DZ77" s="45">
        <v>0</v>
      </c>
      <c r="EA77" s="103">
        <f t="shared" si="888"/>
        <v>0</v>
      </c>
      <c r="EB77" s="79">
        <f t="shared" si="1185"/>
        <v>0</v>
      </c>
      <c r="EC77" s="79">
        <f t="shared" si="889"/>
        <v>0</v>
      </c>
      <c r="ED77" s="79">
        <f t="shared" si="1186"/>
        <v>0</v>
      </c>
      <c r="EE77" s="79">
        <f t="shared" si="890"/>
        <v>0</v>
      </c>
      <c r="EF77" s="79">
        <f t="shared" si="1187"/>
        <v>0</v>
      </c>
      <c r="EG77" s="138">
        <f t="shared" si="1145"/>
        <v>0</v>
      </c>
      <c r="EH77" s="79">
        <f t="shared" si="1146"/>
        <v>0</v>
      </c>
      <c r="EI77" s="79">
        <f t="shared" si="1147"/>
        <v>0</v>
      </c>
      <c r="EJ77" s="79">
        <f t="shared" si="1148"/>
        <v>4.7394007499999988</v>
      </c>
      <c r="EK77" s="79">
        <f t="shared" si="1149"/>
        <v>0</v>
      </c>
      <c r="EL77" s="139">
        <f t="shared" si="1150"/>
        <v>0</v>
      </c>
      <c r="EM77" s="79">
        <f t="shared" si="193"/>
        <v>0</v>
      </c>
      <c r="EN77" s="83">
        <f t="shared" si="194"/>
        <v>4.7394007499999988</v>
      </c>
      <c r="EP77" s="103">
        <f t="shared" ref="EP77:EP85" si="1207">BN77</f>
        <v>0</v>
      </c>
      <c r="EQ77" s="79">
        <f t="shared" si="1151"/>
        <v>0</v>
      </c>
      <c r="ER77" s="79">
        <f t="shared" ref="ER77:ER85" si="1208">BP77</f>
        <v>0</v>
      </c>
      <c r="ES77" s="79">
        <f t="shared" si="1152"/>
        <v>0</v>
      </c>
      <c r="ET77" s="79">
        <f t="shared" ref="ET77:ET85" si="1209">BR77</f>
        <v>0</v>
      </c>
      <c r="EU77" s="79">
        <f t="shared" si="1153"/>
        <v>0</v>
      </c>
      <c r="EV77" s="138">
        <f t="shared" si="1086"/>
        <v>0</v>
      </c>
      <c r="EW77" s="79">
        <f t="shared" si="1087"/>
        <v>2.0094000000000002E-3</v>
      </c>
      <c r="EX77" s="79">
        <f t="shared" si="1088"/>
        <v>0</v>
      </c>
      <c r="EY77" s="79">
        <f t="shared" si="1089"/>
        <v>3.0140999999999998E-2</v>
      </c>
      <c r="EZ77" s="79">
        <f t="shared" si="1090"/>
        <v>0</v>
      </c>
      <c r="FA77" s="104">
        <f t="shared" si="1091"/>
        <v>0.55258499999999999</v>
      </c>
      <c r="FB77" s="40">
        <f t="shared" si="1188"/>
        <v>0</v>
      </c>
      <c r="FC77" s="41">
        <f t="shared" si="1189"/>
        <v>0</v>
      </c>
      <c r="FD77" s="41">
        <f t="shared" si="1154"/>
        <v>0</v>
      </c>
      <c r="FE77" s="41">
        <f t="shared" si="1155"/>
        <v>5.5084714999999944</v>
      </c>
      <c r="FF77" s="40">
        <f t="shared" ref="FF77:FF85" si="1210">CY77</f>
        <v>0</v>
      </c>
      <c r="FG77" s="41">
        <f t="shared" si="1156"/>
        <v>0</v>
      </c>
      <c r="FH77" s="41">
        <f t="shared" si="1157"/>
        <v>0</v>
      </c>
      <c r="FI77" s="41">
        <f t="shared" si="1158"/>
        <v>0</v>
      </c>
      <c r="FJ77" s="44">
        <v>1</v>
      </c>
      <c r="FK77" s="45">
        <v>0.2</v>
      </c>
      <c r="FL77" s="503">
        <v>0.8</v>
      </c>
      <c r="FM77" s="45">
        <v>0.1</v>
      </c>
      <c r="FN77" s="503">
        <v>0.5</v>
      </c>
      <c r="FO77" s="45">
        <f t="shared" si="200"/>
        <v>0.1</v>
      </c>
      <c r="FP77" s="45">
        <f t="shared" si="201"/>
        <v>1</v>
      </c>
      <c r="FQ77" s="45">
        <v>1</v>
      </c>
      <c r="FR77" s="45">
        <v>0</v>
      </c>
      <c r="FS77" s="108">
        <f t="shared" si="202"/>
        <v>1E-3</v>
      </c>
      <c r="FT77" s="45">
        <f t="shared" si="203"/>
        <v>0.05</v>
      </c>
      <c r="FU77" s="44">
        <v>0.05</v>
      </c>
      <c r="FV77" s="100">
        <f t="shared" ref="FV77:FV85" si="1211">(1-FU77)*FV$12</f>
        <v>2.4224999999999997E-2</v>
      </c>
      <c r="FW77" s="45">
        <v>0.1</v>
      </c>
      <c r="FX77" s="102">
        <f t="shared" ref="FX77:FX85" si="1212">(1-FW77)*FX$12</f>
        <v>9.0000000000000011E-2</v>
      </c>
      <c r="FY77" s="44">
        <v>0.45</v>
      </c>
      <c r="FZ77" s="100">
        <f t="shared" si="1092"/>
        <v>1.4025000000000001E-2</v>
      </c>
      <c r="GA77" s="45">
        <v>0.45</v>
      </c>
      <c r="GB77" s="102">
        <f t="shared" si="1093"/>
        <v>5.5000000000000007E-2</v>
      </c>
      <c r="GC77" s="103">
        <f t="shared" ref="GC77:GC85" si="1213">EP77*$FJ77</f>
        <v>0</v>
      </c>
      <c r="GD77" s="79">
        <f t="shared" si="1159"/>
        <v>0</v>
      </c>
      <c r="GE77" s="79">
        <f t="shared" ref="GE77:GE85" si="1214">ER77*$FJ77</f>
        <v>0</v>
      </c>
      <c r="GF77" s="79">
        <f t="shared" si="1160"/>
        <v>0</v>
      </c>
      <c r="GG77" s="79">
        <v>0</v>
      </c>
      <c r="GH77" s="139">
        <v>0</v>
      </c>
      <c r="GI77" s="79">
        <f t="shared" si="1094"/>
        <v>0</v>
      </c>
      <c r="GJ77" s="79">
        <f t="shared" si="1095"/>
        <v>2.0094000000000002E-3</v>
      </c>
      <c r="GK77" s="79">
        <f t="shared" si="1096"/>
        <v>0</v>
      </c>
      <c r="GL77" s="79">
        <f t="shared" si="1097"/>
        <v>3.0140999999999998E-2</v>
      </c>
      <c r="GM77" s="79">
        <f t="shared" si="1098"/>
        <v>0</v>
      </c>
      <c r="GN77" s="139">
        <f t="shared" si="1099"/>
        <v>0.44206800000000002</v>
      </c>
      <c r="GO77" s="79">
        <f t="shared" si="208"/>
        <v>0</v>
      </c>
      <c r="GP77" s="104">
        <f t="shared" si="209"/>
        <v>0.47421840000000004</v>
      </c>
      <c r="GQ77" s="41">
        <f t="shared" si="891"/>
        <v>0</v>
      </c>
      <c r="GR77" s="41">
        <f t="shared" si="892"/>
        <v>0</v>
      </c>
      <c r="GS77" s="79">
        <f t="shared" si="1031"/>
        <v>0</v>
      </c>
      <c r="GT77" s="79">
        <f t="shared" si="1032"/>
        <v>0</v>
      </c>
      <c r="GU77" s="79">
        <f t="shared" si="1033"/>
        <v>0</v>
      </c>
      <c r="GV77" s="139">
        <f t="shared" si="1034"/>
        <v>0</v>
      </c>
      <c r="GW77" s="41">
        <f t="shared" si="1162"/>
        <v>0</v>
      </c>
      <c r="GX77" s="41">
        <f t="shared" si="1163"/>
        <v>1.3908890537499985</v>
      </c>
      <c r="GY77" s="41">
        <f t="shared" si="1192"/>
        <v>0</v>
      </c>
      <c r="GZ77" s="41">
        <f t="shared" si="1193"/>
        <v>0</v>
      </c>
      <c r="HA77" s="41">
        <f t="shared" si="1194"/>
        <v>0</v>
      </c>
      <c r="HB77" s="143">
        <f t="shared" si="1195"/>
        <v>0</v>
      </c>
      <c r="HC77" s="79">
        <f t="shared" si="212"/>
        <v>0</v>
      </c>
      <c r="HD77" s="42">
        <f t="shared" si="213"/>
        <v>1.3908890537499985</v>
      </c>
      <c r="HE77" s="527"/>
      <c r="HF77" s="532">
        <f t="shared" ref="HF77:HF85" si="1215">AD77+AJ77</f>
        <v>0</v>
      </c>
      <c r="HG77" s="532">
        <f t="shared" ref="HG77:HG85" si="1216">AE77+AK77</f>
        <v>0.40690349999999997</v>
      </c>
      <c r="HH77" s="532">
        <f t="shared" ref="HH77:HH85" si="1217">AF77+AL77</f>
        <v>0</v>
      </c>
      <c r="HI77" s="532">
        <f t="shared" ref="HI77:HI85" si="1218">AG77+AM77</f>
        <v>0</v>
      </c>
      <c r="HJ77" s="532">
        <f t="shared" ref="HJ77:HJ85" si="1219">AH77+AN77</f>
        <v>0</v>
      </c>
      <c r="HK77" s="533">
        <f t="shared" ref="HK77:HK85" si="1220">AI77+AO77</f>
        <v>0.30141000000000001</v>
      </c>
      <c r="HL77" s="532">
        <f t="shared" ref="HL77:HL85" si="1221">SUM(AV77,EA77,BB77,EG77)</f>
        <v>0</v>
      </c>
      <c r="HM77" s="532">
        <f t="shared" ref="HM77:HM85" si="1222">SUM(AW77,EB77,BC77,EH77)</f>
        <v>0</v>
      </c>
      <c r="HN77" s="532">
        <f t="shared" ref="HN77:HN85" si="1223">SUM(AX77,EC77,BD77,EI77)</f>
        <v>0</v>
      </c>
      <c r="HO77" s="532">
        <f t="shared" ref="HO77:HO85" si="1224">SUM(AY77,ED77,BE77,EJ77)</f>
        <v>5.010669749999999</v>
      </c>
      <c r="HP77" s="532">
        <f t="shared" ref="HP77:HP85" si="1225">SUM(AZ77,EE77,BF77,EK77)</f>
        <v>0</v>
      </c>
      <c r="HQ77" s="533">
        <f t="shared" ref="HQ77:HQ85" si="1226">SUM(BA77,EF77,BG77,EL77)</f>
        <v>0.50234999999999996</v>
      </c>
      <c r="HR77" s="532">
        <f t="shared" si="214"/>
        <v>0</v>
      </c>
      <c r="HS77" s="532">
        <f t="shared" ref="HS77:HS85" si="1227">SUM(GD77,GR77,GT77,GJ77,GX77,GZ77,CG77)</f>
        <v>5.3632284537499988</v>
      </c>
      <c r="HT77" s="532">
        <f t="shared" ref="HT77:HT85" si="1228">SUM(GE77,GK77,CH77)</f>
        <v>0</v>
      </c>
      <c r="HU77" s="532">
        <f t="shared" ref="HU77:HU85" si="1229">SUM(GF77,GL77,CI77)</f>
        <v>3.0140999999999998E-2</v>
      </c>
      <c r="HV77" s="532">
        <f t="shared" ref="HV77:HV85" si="1230">SUM(GG77,GU77,GM77,HA77,CJ77)</f>
        <v>0</v>
      </c>
      <c r="HW77" s="533">
        <f t="shared" ref="HW77:HW85" si="1231">SUM(GH77,GV77,GN77,HB77,CK77)</f>
        <v>36.175038000000008</v>
      </c>
      <c r="IG77" s="560"/>
      <c r="IH77" s="532">
        <f t="shared" si="215"/>
        <v>0</v>
      </c>
      <c r="II77" s="532">
        <f t="shared" si="216"/>
        <v>0</v>
      </c>
      <c r="IJ77" s="532">
        <f t="shared" si="217"/>
        <v>0</v>
      </c>
      <c r="IK77" s="532">
        <f t="shared" si="893"/>
        <v>0</v>
      </c>
      <c r="IL77" s="532">
        <f t="shared" si="894"/>
        <v>0</v>
      </c>
      <c r="IM77" s="532">
        <f t="shared" si="895"/>
        <v>0</v>
      </c>
      <c r="IN77" s="532">
        <f t="shared" si="896"/>
        <v>0</v>
      </c>
      <c r="IO77" s="532">
        <f t="shared" si="222"/>
        <v>1.3427815499999999E-2</v>
      </c>
      <c r="IP77" s="532">
        <f t="shared" si="223"/>
        <v>1.6683043499999998E-2</v>
      </c>
      <c r="IQ77" s="532">
        <f t="shared" si="897"/>
        <v>2.1158982E-2</v>
      </c>
      <c r="IR77" s="532">
        <f t="shared" si="898"/>
        <v>1.6683043499999998E-2</v>
      </c>
      <c r="IS77" s="532">
        <f t="shared" si="899"/>
        <v>0.34464726449999999</v>
      </c>
      <c r="IT77" s="532">
        <f t="shared" si="900"/>
        <v>4.0690349999999995E-3</v>
      </c>
      <c r="IU77" s="534">
        <f t="shared" si="901"/>
        <v>4.0690349999999995E-3</v>
      </c>
      <c r="IV77" s="545">
        <f t="shared" si="229"/>
        <v>0</v>
      </c>
      <c r="IW77" s="545">
        <f t="shared" si="230"/>
        <v>0</v>
      </c>
      <c r="IX77" s="532">
        <f t="shared" ref="IX77:IX85" si="1232">$HH77*IB$13</f>
        <v>0</v>
      </c>
      <c r="IY77" s="532">
        <f t="shared" ref="IY77:IY85" si="1233">$HH77*IC$13</f>
        <v>0</v>
      </c>
      <c r="IZ77" s="532">
        <f t="shared" ref="IZ77:IZ85" si="1234">$HH77*ID$13</f>
        <v>0</v>
      </c>
      <c r="JA77" s="532">
        <f t="shared" ref="JA77:JA85" si="1235">$HH77*IE$13</f>
        <v>0</v>
      </c>
      <c r="JB77" s="532">
        <f t="shared" ref="JB77:JB85" si="1236">$HH77*IF$13</f>
        <v>0</v>
      </c>
      <c r="JC77" s="532">
        <f t="shared" si="231"/>
        <v>0</v>
      </c>
      <c r="JD77" s="532">
        <f t="shared" si="232"/>
        <v>0</v>
      </c>
      <c r="JE77" s="532">
        <f t="shared" ref="JE77:JE85" si="1237">$HI77*IB$14</f>
        <v>0</v>
      </c>
      <c r="JF77" s="532">
        <f t="shared" ref="JF77:JF85" si="1238">$HI77*IC$14</f>
        <v>0</v>
      </c>
      <c r="JG77" s="532">
        <f t="shared" ref="JG77:JG85" si="1239">$HI77*ID$14</f>
        <v>0</v>
      </c>
      <c r="JH77" s="532">
        <f t="shared" ref="JH77:JH85" si="1240">$HI77*IE$14</f>
        <v>0</v>
      </c>
      <c r="JI77" s="553">
        <f t="shared" ref="JI77:JI85" si="1241">$HI77*IF$14</f>
        <v>0</v>
      </c>
      <c r="JJ77" s="545">
        <f t="shared" si="233"/>
        <v>0</v>
      </c>
      <c r="JK77" s="545">
        <f t="shared" si="234"/>
        <v>0</v>
      </c>
      <c r="JL77" s="532">
        <f t="shared" ref="JL77:JL85" si="1242">$HJ77*IB$13</f>
        <v>0</v>
      </c>
      <c r="JM77" s="532">
        <f t="shared" ref="JM77:JM85" si="1243">$HJ77*IC$13</f>
        <v>0</v>
      </c>
      <c r="JN77" s="532">
        <f t="shared" ref="JN77:JN85" si="1244">$HJ77*ID$13</f>
        <v>0</v>
      </c>
      <c r="JO77" s="532">
        <f t="shared" ref="JO77:JO85" si="1245">$HJ77*IE$13</f>
        <v>0</v>
      </c>
      <c r="JP77" s="532">
        <f t="shared" ref="JP77:JP85" si="1246">$HJ77*IF$13</f>
        <v>0</v>
      </c>
      <c r="JQ77" s="532">
        <f t="shared" si="235"/>
        <v>9.9465300000000003E-3</v>
      </c>
      <c r="JR77" s="532">
        <f t="shared" si="236"/>
        <v>1.2357809999999999E-2</v>
      </c>
      <c r="JS77" s="545">
        <f t="shared" ref="JS77:JS85" si="1247">$HK77*IB$14</f>
        <v>1.5673320000000001E-2</v>
      </c>
      <c r="JT77" s="545">
        <f t="shared" ref="JT77:JT85" si="1248">$HK77*IC$14</f>
        <v>1.2357809999999999E-2</v>
      </c>
      <c r="JU77" s="545">
        <f t="shared" ref="JU77:JU85" si="1249">$HK77*ID$14</f>
        <v>0.25529426999999999</v>
      </c>
      <c r="JV77" s="545">
        <f t="shared" ref="JV77:JV85" si="1250">$HK77*IE$14</f>
        <v>3.0141E-3</v>
      </c>
      <c r="JW77" s="554">
        <f t="shared" ref="JW77:JW85" si="1251">$HK77*IF$14</f>
        <v>3.0141E-3</v>
      </c>
      <c r="JX77" s="545">
        <f t="shared" si="237"/>
        <v>0</v>
      </c>
      <c r="JY77" s="545">
        <f t="shared" si="238"/>
        <v>0</v>
      </c>
      <c r="JZ77" s="532">
        <f t="shared" ref="JZ77:JZ85" si="1252">$HL77*IB$13</f>
        <v>0</v>
      </c>
      <c r="KA77" s="532">
        <f t="shared" ref="KA77:KA85" si="1253">$HL77*IC$13</f>
        <v>0</v>
      </c>
      <c r="KB77" s="532">
        <f t="shared" ref="KB77:KB85" si="1254">$HL77*ID$13</f>
        <v>0</v>
      </c>
      <c r="KC77" s="532">
        <f t="shared" ref="KC77:KC85" si="1255">$HL77*IE$13</f>
        <v>0</v>
      </c>
      <c r="KD77" s="532">
        <f t="shared" ref="KD77:KD85" si="1256">$HL77*IF$13</f>
        <v>0</v>
      </c>
      <c r="KE77" s="532">
        <f t="shared" si="239"/>
        <v>0</v>
      </c>
      <c r="KF77" s="532">
        <f t="shared" si="240"/>
        <v>0</v>
      </c>
      <c r="KG77" s="532">
        <f t="shared" ref="KG77:KG85" si="1257">$HM77*IB$14</f>
        <v>0</v>
      </c>
      <c r="KH77" s="532">
        <f t="shared" ref="KH77:KH85" si="1258">$HM77*IC$14</f>
        <v>0</v>
      </c>
      <c r="KI77" s="532">
        <f t="shared" ref="KI77:KI85" si="1259">$HM77*ID$14</f>
        <v>0</v>
      </c>
      <c r="KJ77" s="532">
        <f t="shared" ref="KJ77:KJ85" si="1260">$HM77*IE$14</f>
        <v>0</v>
      </c>
      <c r="KK77" s="534">
        <f t="shared" ref="KK77:KK85" si="1261">$HM77*IF$14</f>
        <v>0</v>
      </c>
      <c r="KL77" s="545">
        <f t="shared" si="241"/>
        <v>0</v>
      </c>
      <c r="KM77" s="545">
        <f t="shared" si="242"/>
        <v>0</v>
      </c>
      <c r="KN77" s="532">
        <f t="shared" ref="KN77:KN85" si="1262">$HN77*IB$13</f>
        <v>0</v>
      </c>
      <c r="KO77" s="532">
        <f t="shared" ref="KO77:KO85" si="1263">$HN77*IC$13</f>
        <v>0</v>
      </c>
      <c r="KP77" s="532">
        <f t="shared" ref="KP77:KP85" si="1264">$HN77*ID$13</f>
        <v>0</v>
      </c>
      <c r="KQ77" s="532">
        <f t="shared" ref="KQ77:KQ85" si="1265">$HN77*IE$13</f>
        <v>0</v>
      </c>
      <c r="KR77" s="532">
        <f t="shared" ref="KR77:KR85" si="1266">$HN77*IF$13</f>
        <v>0</v>
      </c>
      <c r="KS77" s="532">
        <f t="shared" si="243"/>
        <v>0.16535210174999998</v>
      </c>
      <c r="KT77" s="532">
        <f t="shared" si="244"/>
        <v>0.20543745974999994</v>
      </c>
      <c r="KU77" s="532">
        <f t="shared" ref="KU77:KU85" si="1267">$HO77*IB$14</f>
        <v>0.26055482699999999</v>
      </c>
      <c r="KV77" s="532">
        <f t="shared" ref="KV77:KV85" si="1268">$HO77*IC$14</f>
        <v>0.20543745974999994</v>
      </c>
      <c r="KW77" s="532">
        <f t="shared" ref="KW77:KW85" si="1269">$HO77*ID$14</f>
        <v>4.2440372782499987</v>
      </c>
      <c r="KX77" s="532">
        <f t="shared" ref="KX77:KX85" si="1270">$HO77*IE$14</f>
        <v>5.0106697499999991E-2</v>
      </c>
      <c r="KY77" s="553">
        <f t="shared" ref="KY77:KY85" si="1271">$HO77*IF$14</f>
        <v>5.0106697499999991E-2</v>
      </c>
      <c r="KZ77" s="545">
        <f t="shared" si="245"/>
        <v>0</v>
      </c>
      <c r="LA77" s="545">
        <f t="shared" si="246"/>
        <v>0</v>
      </c>
      <c r="LB77" s="532">
        <f t="shared" ref="LB77:LB85" si="1272">$HP77*IB$13</f>
        <v>0</v>
      </c>
      <c r="LC77" s="532">
        <f t="shared" ref="LC77:LC85" si="1273">$HP77*IC$13</f>
        <v>0</v>
      </c>
      <c r="LD77" s="532">
        <f t="shared" ref="LD77:LD85" si="1274">$HP77*ID$13</f>
        <v>0</v>
      </c>
      <c r="LE77" s="532">
        <f t="shared" ref="LE77:LE85" si="1275">$HP77*IE$13</f>
        <v>0</v>
      </c>
      <c r="LF77" s="532">
        <f t="shared" ref="LF77:LF85" si="1276">$HP77*IF$13</f>
        <v>0</v>
      </c>
      <c r="LG77" s="532">
        <f t="shared" si="247"/>
        <v>1.657755E-2</v>
      </c>
      <c r="LH77" s="532">
        <f t="shared" si="248"/>
        <v>2.0596349999999996E-2</v>
      </c>
      <c r="LI77" s="545">
        <f t="shared" ref="LI77:LI85" si="1277">$HQ77*IB$14</f>
        <v>2.6122200000000002E-2</v>
      </c>
      <c r="LJ77" s="545">
        <f t="shared" ref="LJ77:LJ85" si="1278">$HQ77*IC$14</f>
        <v>2.0596349999999996E-2</v>
      </c>
      <c r="LK77" s="545">
        <f t="shared" ref="LK77:LK85" si="1279">$HQ77*ID$14</f>
        <v>0.42549044999999996</v>
      </c>
      <c r="LL77" s="545">
        <f t="shared" ref="LL77:LL85" si="1280">$HQ77*IE$14</f>
        <v>5.0234999999999993E-3</v>
      </c>
      <c r="LM77" s="554">
        <f t="shared" ref="LM77:LM85" si="1281">$HQ77*IF$14</f>
        <v>5.0234999999999993E-3</v>
      </c>
      <c r="LN77" s="545">
        <f t="shared" si="249"/>
        <v>0</v>
      </c>
      <c r="LO77" s="545">
        <f t="shared" si="250"/>
        <v>0</v>
      </c>
      <c r="LP77" s="532">
        <f t="shared" ref="LP77:LP85" si="1282">$HR77*IB$16</f>
        <v>0</v>
      </c>
      <c r="LQ77" s="532">
        <f t="shared" ref="LQ77:LQ85" si="1283">$HR77*IC$16</f>
        <v>0</v>
      </c>
      <c r="LR77" s="532">
        <f t="shared" ref="LR77:LR85" si="1284">$HR77*ID$16</f>
        <v>0</v>
      </c>
      <c r="LS77" s="532">
        <f t="shared" ref="LS77:LS85" si="1285">$HR77*IE$16</f>
        <v>0</v>
      </c>
      <c r="LT77" s="532">
        <f t="shared" ref="LT77:LT85" si="1286">$HR77*IF$16</f>
        <v>0</v>
      </c>
      <c r="LU77" s="532">
        <f t="shared" si="251"/>
        <v>0.32179370722499989</v>
      </c>
      <c r="LV77" s="532">
        <f t="shared" si="252"/>
        <v>0.16089685361249995</v>
      </c>
      <c r="LW77" s="532">
        <f t="shared" ref="LW77:LW85" si="1287">$HS77*IB$17</f>
        <v>0.37542599176249997</v>
      </c>
      <c r="LX77" s="532">
        <f t="shared" ref="LX77:LX85" si="1288">$HS77*IC$17</f>
        <v>0.32179370722499989</v>
      </c>
      <c r="LY77" s="532">
        <f t="shared" ref="LY77:LY85" si="1289">$HS77*ID$17</f>
        <v>5.304232940758749</v>
      </c>
      <c r="LZ77" s="532">
        <f t="shared" ref="LZ77:LZ85" si="1290">$HS77*IE$17</f>
        <v>5.3632284537499991E-2</v>
      </c>
      <c r="MA77" s="558">
        <f t="shared" ref="MA77:MA85" si="1291">$HS77*IF$17</f>
        <v>5.3632284537499991E-2</v>
      </c>
      <c r="MB77" s="545">
        <f t="shared" si="253"/>
        <v>0</v>
      </c>
      <c r="MC77" s="545">
        <f t="shared" si="254"/>
        <v>0</v>
      </c>
      <c r="MD77" s="532">
        <f t="shared" ref="MD77:MD85" si="1292">$HT77*IB$16</f>
        <v>0</v>
      </c>
      <c r="ME77" s="532">
        <f t="shared" ref="ME77:ME85" si="1293">$HT77*IC$16</f>
        <v>0</v>
      </c>
      <c r="MF77" s="532">
        <f t="shared" ref="MF77:MF85" si="1294">$HT77*ID$16</f>
        <v>0</v>
      </c>
      <c r="MG77" s="532">
        <f t="shared" ref="MG77:MG85" si="1295">$HT77*IE$16</f>
        <v>0</v>
      </c>
      <c r="MH77" s="532">
        <f t="shared" ref="MH77:MH85" si="1296">$HT77*IF$16</f>
        <v>0</v>
      </c>
      <c r="MI77" s="532">
        <f t="shared" si="255"/>
        <v>1.8084599999999998E-3</v>
      </c>
      <c r="MJ77" s="532">
        <f t="shared" si="256"/>
        <v>9.042299999999999E-4</v>
      </c>
      <c r="MK77" s="532">
        <f t="shared" ref="MK77:MK85" si="1297">$HU77*IB$17</f>
        <v>2.1098700000000002E-3</v>
      </c>
      <c r="ML77" s="532">
        <f t="shared" ref="ML77:ML85" si="1298">$HU77*IC$17</f>
        <v>1.8084599999999998E-3</v>
      </c>
      <c r="MM77" s="532">
        <f t="shared" ref="MM77:MM85" si="1299">$HU77*ID$17</f>
        <v>2.9809449000000002E-2</v>
      </c>
      <c r="MN77" s="532">
        <f t="shared" ref="MN77:MN85" si="1300">$HU77*IE$17</f>
        <v>3.0141E-4</v>
      </c>
      <c r="MO77" s="558">
        <f t="shared" ref="MO77:MO85" si="1301">$HU77*IF$17</f>
        <v>3.0141E-4</v>
      </c>
      <c r="MP77" s="545">
        <f t="shared" si="257"/>
        <v>0</v>
      </c>
      <c r="MQ77" s="545">
        <f t="shared" si="258"/>
        <v>0</v>
      </c>
      <c r="MR77" s="532">
        <f t="shared" ref="MR77:MR85" si="1302">$HV77*IB$16</f>
        <v>0</v>
      </c>
      <c r="MS77" s="532">
        <f t="shared" ref="MS77:MS85" si="1303">$HV77*IC$16</f>
        <v>0</v>
      </c>
      <c r="MT77" s="532">
        <f t="shared" ref="MT77:MT85" si="1304">$HV77*ID$16</f>
        <v>0</v>
      </c>
      <c r="MU77" s="532">
        <f t="shared" ref="MU77:MU85" si="1305">$HV77*IE$16</f>
        <v>0</v>
      </c>
      <c r="MV77" s="532">
        <f t="shared" ref="MV77:MV85" si="1306">$HV77*IF$16</f>
        <v>0</v>
      </c>
      <c r="MW77" s="532">
        <f t="shared" si="259"/>
        <v>2.1705022800000005</v>
      </c>
      <c r="MX77" s="532">
        <f t="shared" si="260"/>
        <v>1.0852511400000002</v>
      </c>
      <c r="MY77" s="545">
        <f t="shared" ref="MY77:MY85" si="1307">$HW77*IB$17</f>
        <v>2.5322526600000006</v>
      </c>
      <c r="MZ77" s="545">
        <f t="shared" ref="MZ77:MZ85" si="1308">$HW77*IC$17</f>
        <v>2.1705022800000005</v>
      </c>
      <c r="NA77" s="545">
        <f t="shared" ref="NA77:NA85" si="1309">$HW77*ID$17</f>
        <v>35.777112582000008</v>
      </c>
      <c r="NB77" s="545">
        <f t="shared" ref="NB77:NB85" si="1310">$HW77*IE$17</f>
        <v>0.36175038000000009</v>
      </c>
      <c r="NC77" s="554">
        <f t="shared" ref="NC77:NC85" si="1311">$HW77*IF$17</f>
        <v>0.36175038000000009</v>
      </c>
      <c r="NL77" s="106"/>
    </row>
    <row r="78" spans="1:376" x14ac:dyDescent="0.25">
      <c r="A78" s="12">
        <v>2023</v>
      </c>
      <c r="B78" s="13">
        <v>0</v>
      </c>
      <c r="C78" s="14">
        <v>0</v>
      </c>
      <c r="D78" s="14">
        <v>0</v>
      </c>
      <c r="E78" s="658">
        <f t="shared" si="1196"/>
        <v>34</v>
      </c>
      <c r="F78" s="14">
        <f t="shared" si="1164"/>
        <v>0</v>
      </c>
      <c r="G78" s="14">
        <f t="shared" si="1165"/>
        <v>0</v>
      </c>
      <c r="H78" s="14">
        <f t="shared" si="1100"/>
        <v>0</v>
      </c>
      <c r="I78" s="14">
        <f t="shared" si="1101"/>
        <v>33.49</v>
      </c>
      <c r="J78" s="14">
        <v>0</v>
      </c>
      <c r="K78" s="917">
        <f t="shared" si="1197"/>
        <v>39.703300000000006</v>
      </c>
      <c r="L78" s="14">
        <f t="shared" si="1204"/>
        <v>0</v>
      </c>
      <c r="M78" s="17">
        <f t="shared" si="1102"/>
        <v>33.49</v>
      </c>
      <c r="N78" s="198">
        <v>2E-3</v>
      </c>
      <c r="O78" s="120">
        <v>0</v>
      </c>
      <c r="P78" s="120">
        <v>0</v>
      </c>
      <c r="Q78" s="199">
        <v>6.0000000000000001E-3</v>
      </c>
      <c r="R78" s="120">
        <v>0</v>
      </c>
      <c r="S78" s="120">
        <v>2.7000000000000001E-3</v>
      </c>
      <c r="T78" s="120">
        <v>0</v>
      </c>
      <c r="U78" s="120">
        <v>1.18E-2</v>
      </c>
      <c r="V78" s="119">
        <v>1.0000000000000001E-5</v>
      </c>
      <c r="W78" s="120">
        <v>2.9999999999999997E-4</v>
      </c>
      <c r="X78" s="105">
        <v>0</v>
      </c>
      <c r="Y78" s="105">
        <v>3.1E-2</v>
      </c>
      <c r="Z78" s="488">
        <v>5.2999999999999999E-2</v>
      </c>
      <c r="AA78" s="105">
        <f t="shared" ref="AA78:AA85" si="1312">$AA$12</f>
        <v>0.1</v>
      </c>
      <c r="AB78" s="105">
        <f t="shared" ref="AB78:AB85" si="1313">$AB$12</f>
        <v>0</v>
      </c>
      <c r="AC78" s="105">
        <f t="shared" ref="AC78:AC85" si="1314">$AC$12</f>
        <v>0.9</v>
      </c>
      <c r="AD78" s="82">
        <f t="shared" si="1166"/>
        <v>0</v>
      </c>
      <c r="AE78" s="79">
        <f t="shared" si="1167"/>
        <v>0</v>
      </c>
      <c r="AF78" s="79">
        <f t="shared" si="1168"/>
        <v>0</v>
      </c>
      <c r="AG78" s="79">
        <f t="shared" si="1169"/>
        <v>0</v>
      </c>
      <c r="AH78" s="79">
        <f t="shared" si="1170"/>
        <v>0</v>
      </c>
      <c r="AI78" s="79">
        <f t="shared" si="1171"/>
        <v>0</v>
      </c>
      <c r="AJ78" s="138">
        <f t="shared" si="1103"/>
        <v>0</v>
      </c>
      <c r="AK78" s="79">
        <f t="shared" si="1104"/>
        <v>0.27126899999999998</v>
      </c>
      <c r="AL78" s="79">
        <f t="shared" si="1105"/>
        <v>0</v>
      </c>
      <c r="AM78" s="79">
        <f t="shared" si="1106"/>
        <v>0</v>
      </c>
      <c r="AN78" s="79">
        <f t="shared" si="1107"/>
        <v>0</v>
      </c>
      <c r="AO78" s="139">
        <f t="shared" si="1108"/>
        <v>0.20094000000000001</v>
      </c>
      <c r="AP78" s="79">
        <f t="shared" si="1172"/>
        <v>0</v>
      </c>
      <c r="AQ78" s="79">
        <f t="shared" si="1172"/>
        <v>0.27126899999999998</v>
      </c>
      <c r="AR78" s="79">
        <f t="shared" si="1172"/>
        <v>0</v>
      </c>
      <c r="AS78" s="79">
        <f t="shared" si="1172"/>
        <v>0</v>
      </c>
      <c r="AT78" s="79">
        <f t="shared" si="1172"/>
        <v>0</v>
      </c>
      <c r="AU78" s="104">
        <f t="shared" si="1172"/>
        <v>0.20094000000000001</v>
      </c>
      <c r="AV78" s="82">
        <f t="shared" si="1110"/>
        <v>0</v>
      </c>
      <c r="AW78" s="79">
        <f t="shared" si="1111"/>
        <v>0</v>
      </c>
      <c r="AX78" s="79">
        <f t="shared" si="1112"/>
        <v>0</v>
      </c>
      <c r="AY78" s="79">
        <f t="shared" si="1113"/>
        <v>0</v>
      </c>
      <c r="AZ78" s="79">
        <f t="shared" si="1114"/>
        <v>0</v>
      </c>
      <c r="BA78" s="79">
        <f t="shared" si="1115"/>
        <v>0</v>
      </c>
      <c r="BB78" s="138">
        <f t="shared" si="1116"/>
        <v>0</v>
      </c>
      <c r="BC78" s="79">
        <f t="shared" si="1117"/>
        <v>0</v>
      </c>
      <c r="BD78" s="79">
        <f t="shared" si="1118"/>
        <v>0</v>
      </c>
      <c r="BE78" s="79">
        <f t="shared" si="1119"/>
        <v>0.18084600000000001</v>
      </c>
      <c r="BF78" s="79">
        <f t="shared" si="1120"/>
        <v>0</v>
      </c>
      <c r="BG78" s="79">
        <f t="shared" si="1121"/>
        <v>0.33490000000000003</v>
      </c>
      <c r="BH78" s="79">
        <f t="shared" si="1122"/>
        <v>0</v>
      </c>
      <c r="BI78" s="79">
        <f t="shared" si="1122"/>
        <v>0</v>
      </c>
      <c r="BJ78" s="79">
        <f t="shared" si="1122"/>
        <v>0</v>
      </c>
      <c r="BK78" s="79">
        <f t="shared" si="1122"/>
        <v>0.18084600000000001</v>
      </c>
      <c r="BL78" s="79">
        <f t="shared" si="1122"/>
        <v>0</v>
      </c>
      <c r="BM78" s="79">
        <f t="shared" si="1122"/>
        <v>0.33490000000000003</v>
      </c>
      <c r="BN78" s="82">
        <f t="shared" si="1123"/>
        <v>0</v>
      </c>
      <c r="BO78" s="79">
        <f t="shared" si="1124"/>
        <v>0</v>
      </c>
      <c r="BP78" s="79">
        <f t="shared" si="1125"/>
        <v>0</v>
      </c>
      <c r="BQ78" s="79">
        <f t="shared" si="1126"/>
        <v>0</v>
      </c>
      <c r="BR78" s="79">
        <f t="shared" si="1127"/>
        <v>0</v>
      </c>
      <c r="BS78" s="79">
        <f t="shared" si="1128"/>
        <v>0</v>
      </c>
      <c r="BT78" s="138">
        <f t="shared" si="1129"/>
        <v>0</v>
      </c>
      <c r="BU78" s="79">
        <f t="shared" si="1130"/>
        <v>1.3396000000000003E-3</v>
      </c>
      <c r="BV78" s="79">
        <f t="shared" si="1131"/>
        <v>0</v>
      </c>
      <c r="BW78" s="79">
        <f t="shared" si="1132"/>
        <v>2.0094000000000001E-2</v>
      </c>
      <c r="BX78" s="79">
        <f t="shared" si="1133"/>
        <v>0</v>
      </c>
      <c r="BY78" s="79">
        <f t="shared" si="1134"/>
        <v>0.36839</v>
      </c>
      <c r="BZ78" s="138">
        <f t="shared" si="1135"/>
        <v>0</v>
      </c>
      <c r="CA78" s="79">
        <f t="shared" si="1135"/>
        <v>1.3396000000000003E-3</v>
      </c>
      <c r="CB78" s="79">
        <f t="shared" si="1135"/>
        <v>0</v>
      </c>
      <c r="CC78" s="79">
        <f t="shared" si="1135"/>
        <v>2.0094000000000001E-2</v>
      </c>
      <c r="CD78" s="79">
        <f t="shared" si="1135"/>
        <v>0</v>
      </c>
      <c r="CE78" s="535">
        <f t="shared" si="1135"/>
        <v>0.36839</v>
      </c>
      <c r="CF78" s="79">
        <f t="shared" ref="CF78:CF85" si="1315">$J78*AA78</f>
        <v>0</v>
      </c>
      <c r="CG78" s="79">
        <f t="shared" si="1198"/>
        <v>3.9703300000000006</v>
      </c>
      <c r="CH78" s="79">
        <f t="shared" ref="CH78:CH85" si="1316">$J78*AB78</f>
        <v>0</v>
      </c>
      <c r="CI78" s="79">
        <f t="shared" si="1199"/>
        <v>0</v>
      </c>
      <c r="CJ78" s="79">
        <f t="shared" ref="CJ78:CJ85" si="1317">$J78*AC78</f>
        <v>0</v>
      </c>
      <c r="CK78" s="79">
        <f t="shared" si="1200"/>
        <v>35.732970000000009</v>
      </c>
      <c r="CL78" s="3"/>
      <c r="CM78" s="101">
        <f t="shared" si="1205"/>
        <v>0</v>
      </c>
      <c r="CN78" s="99">
        <f t="shared" si="1136"/>
        <v>0</v>
      </c>
      <c r="CO78" s="130">
        <f t="shared" si="1137"/>
        <v>0</v>
      </c>
      <c r="CP78" s="131">
        <f t="shared" si="1201"/>
        <v>0</v>
      </c>
      <c r="CQ78" s="99">
        <f t="shared" si="1202"/>
        <v>0</v>
      </c>
      <c r="CR78" s="98">
        <f t="shared" si="1202"/>
        <v>0</v>
      </c>
      <c r="CS78" s="44">
        <v>0</v>
      </c>
      <c r="CT78" s="45">
        <v>0</v>
      </c>
      <c r="CU78" s="45">
        <v>1</v>
      </c>
      <c r="CV78" s="100">
        <f t="shared" si="1203"/>
        <v>0</v>
      </c>
      <c r="CW78" s="40">
        <f t="shared" si="1178"/>
        <v>0</v>
      </c>
      <c r="CX78" s="41">
        <f t="shared" si="1179"/>
        <v>0</v>
      </c>
      <c r="CY78" s="79">
        <f t="shared" si="1180"/>
        <v>0</v>
      </c>
      <c r="CZ78" s="139">
        <f t="shared" si="1181"/>
        <v>0</v>
      </c>
      <c r="DA78" s="41">
        <f t="shared" si="1139"/>
        <v>0</v>
      </c>
      <c r="DB78" s="41">
        <f t="shared" si="1140"/>
        <v>0</v>
      </c>
      <c r="DC78" s="41">
        <f t="shared" si="1141"/>
        <v>0</v>
      </c>
      <c r="DD78" s="143">
        <f t="shared" si="1142"/>
        <v>0</v>
      </c>
      <c r="DE78" s="41">
        <f t="shared" si="1206"/>
        <v>0</v>
      </c>
      <c r="DF78" s="41">
        <f t="shared" si="1182"/>
        <v>0</v>
      </c>
      <c r="DG78" s="41">
        <f t="shared" si="1183"/>
        <v>0</v>
      </c>
      <c r="DH78" s="42">
        <f t="shared" si="1184"/>
        <v>0</v>
      </c>
      <c r="DJ78" s="498">
        <v>1</v>
      </c>
      <c r="DK78" s="498">
        <v>0.3</v>
      </c>
      <c r="DL78" s="41">
        <f t="shared" si="1143"/>
        <v>0</v>
      </c>
      <c r="DM78" s="41">
        <f t="shared" si="1144"/>
        <v>0</v>
      </c>
      <c r="DN78" s="41">
        <f t="shared" si="1084"/>
        <v>0</v>
      </c>
      <c r="DO78" s="42">
        <f t="shared" si="1085"/>
        <v>0</v>
      </c>
      <c r="DP78" s="44">
        <v>1</v>
      </c>
      <c r="DQ78" s="45">
        <v>0.1</v>
      </c>
      <c r="DR78" s="45">
        <v>0.5</v>
      </c>
      <c r="DS78" s="682">
        <f t="shared" ref="DS78:DS85" si="1318">$DS$12</f>
        <v>0.1</v>
      </c>
      <c r="DT78" s="102">
        <f t="shared" ref="DT78:DT85" si="1319">$DT$12</f>
        <v>1</v>
      </c>
      <c r="DU78" s="45">
        <v>0</v>
      </c>
      <c r="DV78" s="45">
        <v>1</v>
      </c>
      <c r="DW78" s="45">
        <v>0</v>
      </c>
      <c r="DX78" s="45">
        <v>0</v>
      </c>
      <c r="DY78" s="45">
        <v>1</v>
      </c>
      <c r="DZ78" s="45">
        <v>0</v>
      </c>
      <c r="EA78" s="103">
        <f t="shared" ref="EA78:EA85" si="1320">1/2*(DL78*DQ78*DU78+DL77*DQ77*DU77)</f>
        <v>0</v>
      </c>
      <c r="EB78" s="79">
        <f t="shared" si="1185"/>
        <v>0</v>
      </c>
      <c r="EC78" s="79">
        <f t="shared" ref="EC78:EC85" si="1321">1/2*(DL78*DQ78*DV78+DL77*DQ77*DV77)</f>
        <v>0</v>
      </c>
      <c r="ED78" s="79">
        <f t="shared" si="1186"/>
        <v>0</v>
      </c>
      <c r="EE78" s="79">
        <f t="shared" ref="EE78:EE85" si="1322">1/2*(DL78*DQ78*DW78+DL77*DQ77*DW77)</f>
        <v>0</v>
      </c>
      <c r="EF78" s="79">
        <f t="shared" si="1187"/>
        <v>0</v>
      </c>
      <c r="EG78" s="138">
        <f t="shared" si="1145"/>
        <v>0</v>
      </c>
      <c r="EH78" s="79">
        <f t="shared" si="1146"/>
        <v>0</v>
      </c>
      <c r="EI78" s="79">
        <f t="shared" si="1147"/>
        <v>0</v>
      </c>
      <c r="EJ78" s="79">
        <f t="shared" si="1148"/>
        <v>1.1803867499999987</v>
      </c>
      <c r="EK78" s="79">
        <f t="shared" si="1149"/>
        <v>0</v>
      </c>
      <c r="EL78" s="139">
        <f t="shared" si="1150"/>
        <v>0</v>
      </c>
      <c r="EM78" s="79">
        <f t="shared" ref="EM78:EM85" si="1323">SUM(EA78,EC78,EE78,EG78,EI78,EK78)</f>
        <v>0</v>
      </c>
      <c r="EN78" s="83">
        <f t="shared" ref="EN78:EN85" si="1324">SUM(EB78,ED78,EF78,EH78,EJ78,EL78)</f>
        <v>1.1803867499999987</v>
      </c>
      <c r="EP78" s="103">
        <f t="shared" si="1207"/>
        <v>0</v>
      </c>
      <c r="EQ78" s="79">
        <f t="shared" si="1151"/>
        <v>0</v>
      </c>
      <c r="ER78" s="79">
        <f t="shared" si="1208"/>
        <v>0</v>
      </c>
      <c r="ES78" s="79">
        <f t="shared" si="1152"/>
        <v>0</v>
      </c>
      <c r="ET78" s="79">
        <f t="shared" si="1209"/>
        <v>0</v>
      </c>
      <c r="EU78" s="79">
        <f t="shared" si="1153"/>
        <v>0</v>
      </c>
      <c r="EV78" s="138">
        <f t="shared" si="1086"/>
        <v>0</v>
      </c>
      <c r="EW78" s="79">
        <f t="shared" si="1087"/>
        <v>1.3396000000000003E-3</v>
      </c>
      <c r="EX78" s="79">
        <f t="shared" si="1088"/>
        <v>0</v>
      </c>
      <c r="EY78" s="79">
        <f t="shared" si="1089"/>
        <v>2.0094000000000001E-2</v>
      </c>
      <c r="EZ78" s="79">
        <f t="shared" si="1090"/>
        <v>0</v>
      </c>
      <c r="FA78" s="104">
        <f t="shared" si="1091"/>
        <v>0.36839</v>
      </c>
      <c r="FB78" s="40">
        <f t="shared" si="1188"/>
        <v>0</v>
      </c>
      <c r="FC78" s="41">
        <f t="shared" si="1189"/>
        <v>0</v>
      </c>
      <c r="FD78" s="41">
        <f t="shared" si="1154"/>
        <v>0</v>
      </c>
      <c r="FE78" s="41">
        <f t="shared" si="1155"/>
        <v>0</v>
      </c>
      <c r="FF78" s="40">
        <f t="shared" si="1210"/>
        <v>0</v>
      </c>
      <c r="FG78" s="41">
        <f t="shared" si="1156"/>
        <v>0</v>
      </c>
      <c r="FH78" s="41">
        <f t="shared" si="1157"/>
        <v>0</v>
      </c>
      <c r="FI78" s="41">
        <f t="shared" si="1158"/>
        <v>0</v>
      </c>
      <c r="FJ78" s="44">
        <v>1</v>
      </c>
      <c r="FK78" s="45">
        <v>0.2</v>
      </c>
      <c r="FL78" s="503">
        <v>0.8</v>
      </c>
      <c r="FM78" s="45">
        <v>0.1</v>
      </c>
      <c r="FN78" s="503">
        <v>0.5</v>
      </c>
      <c r="FO78" s="45">
        <f t="shared" ref="FO78:FO85" si="1325">$FO$11</f>
        <v>0.1</v>
      </c>
      <c r="FP78" s="45">
        <f t="shared" ref="FP78:FP85" si="1326">$FP$11</f>
        <v>1</v>
      </c>
      <c r="FQ78" s="45">
        <v>1</v>
      </c>
      <c r="FR78" s="45">
        <v>0</v>
      </c>
      <c r="FS78" s="108">
        <f t="shared" ref="FS78:FS85" si="1327">$FS$11</f>
        <v>1E-3</v>
      </c>
      <c r="FT78" s="45">
        <f t="shared" ref="FT78:FT85" si="1328">$FT$11</f>
        <v>0.05</v>
      </c>
      <c r="FU78" s="44">
        <v>0.05</v>
      </c>
      <c r="FV78" s="100">
        <f t="shared" si="1211"/>
        <v>2.4224999999999997E-2</v>
      </c>
      <c r="FW78" s="45">
        <v>0.1</v>
      </c>
      <c r="FX78" s="102">
        <f t="shared" si="1212"/>
        <v>9.0000000000000011E-2</v>
      </c>
      <c r="FY78" s="44">
        <v>0.45</v>
      </c>
      <c r="FZ78" s="100">
        <f t="shared" ref="FZ78:FZ85" si="1329">(1-FY78)*FZ$12</f>
        <v>1.4025000000000001E-2</v>
      </c>
      <c r="GA78" s="45">
        <v>0.45</v>
      </c>
      <c r="GB78" s="102">
        <f t="shared" ref="GB78:GB85" si="1330">(1-GA78)*GB$12</f>
        <v>5.5000000000000007E-2</v>
      </c>
      <c r="GC78" s="103">
        <f t="shared" si="1213"/>
        <v>0</v>
      </c>
      <c r="GD78" s="79">
        <f t="shared" si="1159"/>
        <v>0</v>
      </c>
      <c r="GE78" s="79">
        <f t="shared" si="1214"/>
        <v>0</v>
      </c>
      <c r="GF78" s="79">
        <f t="shared" si="1160"/>
        <v>0</v>
      </c>
      <c r="GG78" s="79">
        <v>0</v>
      </c>
      <c r="GH78" s="139">
        <v>0</v>
      </c>
      <c r="GI78" s="79">
        <f t="shared" si="1094"/>
        <v>0</v>
      </c>
      <c r="GJ78" s="79">
        <f t="shared" si="1095"/>
        <v>1.3396000000000003E-3</v>
      </c>
      <c r="GK78" s="79">
        <f t="shared" si="1096"/>
        <v>0</v>
      </c>
      <c r="GL78" s="79">
        <f t="shared" si="1097"/>
        <v>2.0094000000000001E-2</v>
      </c>
      <c r="GM78" s="79">
        <f t="shared" si="1098"/>
        <v>0</v>
      </c>
      <c r="GN78" s="139">
        <f t="shared" si="1099"/>
        <v>0.29471200000000003</v>
      </c>
      <c r="GO78" s="79">
        <f t="shared" ref="GO78:GO85" si="1331">GC78+GE78+GG78+GI78+GK78+GM78</f>
        <v>0</v>
      </c>
      <c r="GP78" s="104">
        <f t="shared" ref="GP78:GP85" si="1332">GD78+GF78+GH78+GJ78+GL78+GN78</f>
        <v>0.31614560000000003</v>
      </c>
      <c r="GQ78" s="41">
        <f t="shared" ref="GQ78:GQ85" si="1333">1/2*(($FB78*$FM78)*($FU78+$FV78)+$FB77*$FM77*($FU77+$FV77))</f>
        <v>0</v>
      </c>
      <c r="GR78" s="41">
        <f t="shared" ref="GR78:GR85" si="1334">1/2*(($FC78*$FN78)*($FW78+$FX78)+$FC77*$FN77*($FW77+$FX77))</f>
        <v>0</v>
      </c>
      <c r="GS78" s="79">
        <f t="shared" si="1031"/>
        <v>0</v>
      </c>
      <c r="GT78" s="79">
        <f t="shared" si="1032"/>
        <v>0</v>
      </c>
      <c r="GU78" s="79">
        <f t="shared" si="1033"/>
        <v>0</v>
      </c>
      <c r="GV78" s="139">
        <f t="shared" si="1034"/>
        <v>0</v>
      </c>
      <c r="GW78" s="41">
        <f t="shared" si="1162"/>
        <v>0</v>
      </c>
      <c r="GX78" s="41">
        <f t="shared" si="1163"/>
        <v>0</v>
      </c>
      <c r="GY78" s="41">
        <f t="shared" si="1192"/>
        <v>0</v>
      </c>
      <c r="GZ78" s="41">
        <f t="shared" si="1193"/>
        <v>0</v>
      </c>
      <c r="HA78" s="41">
        <f t="shared" si="1194"/>
        <v>0</v>
      </c>
      <c r="HB78" s="143">
        <f t="shared" si="1195"/>
        <v>0</v>
      </c>
      <c r="HC78" s="79">
        <f t="shared" ref="HC78:HC85" si="1335">GQ78+GS78+GU78+GW78+GY78+HA78</f>
        <v>0</v>
      </c>
      <c r="HD78" s="42">
        <f t="shared" ref="HD78:HD85" si="1336">GR78+GT78+GV78+GX78+GZ78+HB78</f>
        <v>0</v>
      </c>
      <c r="HE78" s="527"/>
      <c r="HF78" s="532">
        <f t="shared" si="1215"/>
        <v>0</v>
      </c>
      <c r="HG78" s="532">
        <f t="shared" si="1216"/>
        <v>0.27126899999999998</v>
      </c>
      <c r="HH78" s="532">
        <f t="shared" si="1217"/>
        <v>0</v>
      </c>
      <c r="HI78" s="532">
        <f t="shared" si="1218"/>
        <v>0</v>
      </c>
      <c r="HJ78" s="532">
        <f t="shared" si="1219"/>
        <v>0</v>
      </c>
      <c r="HK78" s="533">
        <f t="shared" si="1220"/>
        <v>0.20094000000000001</v>
      </c>
      <c r="HL78" s="532">
        <f t="shared" si="1221"/>
        <v>0</v>
      </c>
      <c r="HM78" s="532">
        <f t="shared" si="1222"/>
        <v>0</v>
      </c>
      <c r="HN78" s="532">
        <f t="shared" si="1223"/>
        <v>0</v>
      </c>
      <c r="HO78" s="532">
        <f t="shared" si="1224"/>
        <v>1.3612327499999988</v>
      </c>
      <c r="HP78" s="532">
        <f t="shared" si="1225"/>
        <v>0</v>
      </c>
      <c r="HQ78" s="533">
        <f t="shared" si="1226"/>
        <v>0.33490000000000003</v>
      </c>
      <c r="HR78" s="532">
        <f t="shared" ref="HR78:HR85" si="1337">SUM(GC78,GQ78,GS78,GI78,GW78,GY198,CF78)</f>
        <v>0</v>
      </c>
      <c r="HS78" s="532">
        <f t="shared" si="1227"/>
        <v>3.9716696000000007</v>
      </c>
      <c r="HT78" s="532">
        <f t="shared" si="1228"/>
        <v>0</v>
      </c>
      <c r="HU78" s="532">
        <f t="shared" si="1229"/>
        <v>2.0094000000000001E-2</v>
      </c>
      <c r="HV78" s="532">
        <f t="shared" si="1230"/>
        <v>0</v>
      </c>
      <c r="HW78" s="533">
        <f t="shared" si="1231"/>
        <v>36.027682000000006</v>
      </c>
      <c r="IG78" s="560"/>
      <c r="IH78" s="532">
        <f t="shared" ref="IH78:IH85" si="1338">$HF78*HZ$13</f>
        <v>0</v>
      </c>
      <c r="II78" s="532">
        <f t="shared" ref="II78:II85" si="1339">$HF78*IA$13</f>
        <v>0</v>
      </c>
      <c r="IJ78" s="532">
        <f t="shared" ref="IJ78:IJ85" si="1340">$HF78*IB$13</f>
        <v>0</v>
      </c>
      <c r="IK78" s="532">
        <f t="shared" ref="IK78:IK85" si="1341">$HF78*IC$13</f>
        <v>0</v>
      </c>
      <c r="IL78" s="532">
        <f t="shared" ref="IL78:IL85" si="1342">$HF78*ID$13</f>
        <v>0</v>
      </c>
      <c r="IM78" s="532">
        <f t="shared" ref="IM78:IM85" si="1343">$HF78*IE$13</f>
        <v>0</v>
      </c>
      <c r="IN78" s="532">
        <f t="shared" ref="IN78:IN85" si="1344">$HF78*IF$13</f>
        <v>0</v>
      </c>
      <c r="IO78" s="532">
        <f t="shared" ref="IO78:IO85" si="1345">$HG78*HZ$14</f>
        <v>8.9518770000000004E-3</v>
      </c>
      <c r="IP78" s="532">
        <f t="shared" ref="IP78:IP85" si="1346">$HG78*IA$14</f>
        <v>1.1122028999999999E-2</v>
      </c>
      <c r="IQ78" s="532">
        <f t="shared" ref="IQ78:IQ85" si="1347">$HG78*IB$14</f>
        <v>1.4105988E-2</v>
      </c>
      <c r="IR78" s="532">
        <f t="shared" ref="IR78:IR85" si="1348">$HG78*IC$14</f>
        <v>1.1122028999999999E-2</v>
      </c>
      <c r="IS78" s="532">
        <f t="shared" ref="IS78:IS85" si="1349">$HG78*ID$14</f>
        <v>0.22976484299999997</v>
      </c>
      <c r="IT78" s="532">
        <f t="shared" ref="IT78:IT85" si="1350">$HG78*IE$14</f>
        <v>2.7126899999999998E-3</v>
      </c>
      <c r="IU78" s="534">
        <f t="shared" ref="IU78:IU85" si="1351">$HG78*IF$14</f>
        <v>2.7126899999999998E-3</v>
      </c>
      <c r="IV78" s="545">
        <f t="shared" ref="IV78:IV85" si="1352">$HH78*HZ$13</f>
        <v>0</v>
      </c>
      <c r="IW78" s="545">
        <f t="shared" ref="IW78:IW85" si="1353">$HH78*IA$13</f>
        <v>0</v>
      </c>
      <c r="IX78" s="532">
        <f t="shared" si="1232"/>
        <v>0</v>
      </c>
      <c r="IY78" s="532">
        <f t="shared" si="1233"/>
        <v>0</v>
      </c>
      <c r="IZ78" s="532">
        <f t="shared" si="1234"/>
        <v>0</v>
      </c>
      <c r="JA78" s="532">
        <f t="shared" si="1235"/>
        <v>0</v>
      </c>
      <c r="JB78" s="532">
        <f t="shared" si="1236"/>
        <v>0</v>
      </c>
      <c r="JC78" s="532">
        <f t="shared" ref="JC78:JC85" si="1354">$HI78*HZ$14</f>
        <v>0</v>
      </c>
      <c r="JD78" s="532">
        <f t="shared" ref="JD78:JD85" si="1355">$HI78*IA$14</f>
        <v>0</v>
      </c>
      <c r="JE78" s="532">
        <f t="shared" si="1237"/>
        <v>0</v>
      </c>
      <c r="JF78" s="532">
        <f t="shared" si="1238"/>
        <v>0</v>
      </c>
      <c r="JG78" s="532">
        <f t="shared" si="1239"/>
        <v>0</v>
      </c>
      <c r="JH78" s="532">
        <f t="shared" si="1240"/>
        <v>0</v>
      </c>
      <c r="JI78" s="553">
        <f t="shared" si="1241"/>
        <v>0</v>
      </c>
      <c r="JJ78" s="545">
        <f t="shared" ref="JJ78:JJ85" si="1356">$HJ78*HZ$13</f>
        <v>0</v>
      </c>
      <c r="JK78" s="545">
        <f t="shared" ref="JK78:JK85" si="1357">$HJ78*IA$13</f>
        <v>0</v>
      </c>
      <c r="JL78" s="532">
        <f t="shared" si="1242"/>
        <v>0</v>
      </c>
      <c r="JM78" s="532">
        <f t="shared" si="1243"/>
        <v>0</v>
      </c>
      <c r="JN78" s="532">
        <f t="shared" si="1244"/>
        <v>0</v>
      </c>
      <c r="JO78" s="532">
        <f t="shared" si="1245"/>
        <v>0</v>
      </c>
      <c r="JP78" s="532">
        <f t="shared" si="1246"/>
        <v>0</v>
      </c>
      <c r="JQ78" s="532">
        <f t="shared" ref="JQ78:JQ85" si="1358">$HK78*HZ$14</f>
        <v>6.6310200000000005E-3</v>
      </c>
      <c r="JR78" s="532">
        <f t="shared" ref="JR78:JR85" si="1359">$HK78*IA$14</f>
        <v>8.2385399999999991E-3</v>
      </c>
      <c r="JS78" s="545">
        <f t="shared" si="1247"/>
        <v>1.0448880000000001E-2</v>
      </c>
      <c r="JT78" s="545">
        <f t="shared" si="1248"/>
        <v>8.2385399999999991E-3</v>
      </c>
      <c r="JU78" s="545">
        <f t="shared" si="1249"/>
        <v>0.17019618</v>
      </c>
      <c r="JV78" s="545">
        <f t="shared" si="1250"/>
        <v>2.0094000000000002E-3</v>
      </c>
      <c r="JW78" s="554">
        <f t="shared" si="1251"/>
        <v>2.0094000000000002E-3</v>
      </c>
      <c r="JX78" s="545">
        <f t="shared" ref="JX78:JX85" si="1360">$HL78*HZ$13</f>
        <v>0</v>
      </c>
      <c r="JY78" s="545">
        <f t="shared" ref="JY78:JY85" si="1361">$HL78*IA$13</f>
        <v>0</v>
      </c>
      <c r="JZ78" s="532">
        <f t="shared" si="1252"/>
        <v>0</v>
      </c>
      <c r="KA78" s="532">
        <f t="shared" si="1253"/>
        <v>0</v>
      </c>
      <c r="KB78" s="532">
        <f t="shared" si="1254"/>
        <v>0</v>
      </c>
      <c r="KC78" s="532">
        <f t="shared" si="1255"/>
        <v>0</v>
      </c>
      <c r="KD78" s="532">
        <f t="shared" si="1256"/>
        <v>0</v>
      </c>
      <c r="KE78" s="532">
        <f t="shared" ref="KE78:KE85" si="1362">$HM78*HZ$14</f>
        <v>0</v>
      </c>
      <c r="KF78" s="532">
        <f t="shared" ref="KF78:KF85" si="1363">$HM78*IA$14</f>
        <v>0</v>
      </c>
      <c r="KG78" s="532">
        <f t="shared" si="1257"/>
        <v>0</v>
      </c>
      <c r="KH78" s="532">
        <f t="shared" si="1258"/>
        <v>0</v>
      </c>
      <c r="KI78" s="532">
        <f t="shared" si="1259"/>
        <v>0</v>
      </c>
      <c r="KJ78" s="532">
        <f t="shared" si="1260"/>
        <v>0</v>
      </c>
      <c r="KK78" s="534">
        <f t="shared" si="1261"/>
        <v>0</v>
      </c>
      <c r="KL78" s="545">
        <f t="shared" ref="KL78:KL85" si="1364">$HN78*HZ$13</f>
        <v>0</v>
      </c>
      <c r="KM78" s="545">
        <f t="shared" ref="KM78:KM85" si="1365">$HN78*IA$13</f>
        <v>0</v>
      </c>
      <c r="KN78" s="532">
        <f t="shared" si="1262"/>
        <v>0</v>
      </c>
      <c r="KO78" s="532">
        <f t="shared" si="1263"/>
        <v>0</v>
      </c>
      <c r="KP78" s="532">
        <f t="shared" si="1264"/>
        <v>0</v>
      </c>
      <c r="KQ78" s="532">
        <f t="shared" si="1265"/>
        <v>0</v>
      </c>
      <c r="KR78" s="532">
        <f t="shared" si="1266"/>
        <v>0</v>
      </c>
      <c r="KS78" s="532">
        <f t="shared" ref="KS78:KS85" si="1366">$HO78*HZ$14</f>
        <v>4.4920680749999962E-2</v>
      </c>
      <c r="KT78" s="532">
        <f t="shared" ref="KT78:KT85" si="1367">$HO78*IA$14</f>
        <v>5.5810542749999942E-2</v>
      </c>
      <c r="KU78" s="532">
        <f t="shared" si="1267"/>
        <v>7.0784102999999945E-2</v>
      </c>
      <c r="KV78" s="532">
        <f t="shared" si="1268"/>
        <v>5.5810542749999942E-2</v>
      </c>
      <c r="KW78" s="532">
        <f t="shared" si="1269"/>
        <v>1.152964139249999</v>
      </c>
      <c r="KX78" s="532">
        <f t="shared" si="1270"/>
        <v>1.3612327499999988E-2</v>
      </c>
      <c r="KY78" s="553">
        <f t="shared" si="1271"/>
        <v>1.3612327499999988E-2</v>
      </c>
      <c r="KZ78" s="545">
        <f t="shared" ref="KZ78:KZ85" si="1368">$HP78*HZ$13</f>
        <v>0</v>
      </c>
      <c r="LA78" s="545">
        <f t="shared" ref="LA78:LA85" si="1369">$HP78*IA$13</f>
        <v>0</v>
      </c>
      <c r="LB78" s="532">
        <f t="shared" si="1272"/>
        <v>0</v>
      </c>
      <c r="LC78" s="532">
        <f t="shared" si="1273"/>
        <v>0</v>
      </c>
      <c r="LD78" s="532">
        <f t="shared" si="1274"/>
        <v>0</v>
      </c>
      <c r="LE78" s="532">
        <f t="shared" si="1275"/>
        <v>0</v>
      </c>
      <c r="LF78" s="532">
        <f t="shared" si="1276"/>
        <v>0</v>
      </c>
      <c r="LG78" s="532">
        <f t="shared" ref="LG78:LG85" si="1370">$HQ78*HZ$14</f>
        <v>1.1051700000000001E-2</v>
      </c>
      <c r="LH78" s="532">
        <f t="shared" ref="LH78:LH85" si="1371">$HQ78*IA$14</f>
        <v>1.3730899999999999E-2</v>
      </c>
      <c r="LI78" s="545">
        <f t="shared" si="1277"/>
        <v>1.7414800000000005E-2</v>
      </c>
      <c r="LJ78" s="545">
        <f t="shared" si="1278"/>
        <v>1.3730899999999999E-2</v>
      </c>
      <c r="LK78" s="545">
        <f t="shared" si="1279"/>
        <v>0.28366030000000003</v>
      </c>
      <c r="LL78" s="545">
        <f t="shared" si="1280"/>
        <v>3.3490000000000004E-3</v>
      </c>
      <c r="LM78" s="554">
        <f t="shared" si="1281"/>
        <v>3.3490000000000004E-3</v>
      </c>
      <c r="LN78" s="545">
        <f t="shared" ref="LN78:LN85" si="1372">$HR78*HZ$16</f>
        <v>0</v>
      </c>
      <c r="LO78" s="545">
        <f t="shared" ref="LO78:LO85" si="1373">$HR78*IA$16</f>
        <v>0</v>
      </c>
      <c r="LP78" s="532">
        <f t="shared" si="1282"/>
        <v>0</v>
      </c>
      <c r="LQ78" s="532">
        <f t="shared" si="1283"/>
        <v>0</v>
      </c>
      <c r="LR78" s="532">
        <f t="shared" si="1284"/>
        <v>0</v>
      </c>
      <c r="LS78" s="532">
        <f t="shared" si="1285"/>
        <v>0</v>
      </c>
      <c r="LT78" s="532">
        <f t="shared" si="1286"/>
        <v>0</v>
      </c>
      <c r="LU78" s="532">
        <f t="shared" ref="LU78:LU85" si="1374">$HS78*HZ$17</f>
        <v>0.23830017600000003</v>
      </c>
      <c r="LV78" s="532">
        <f t="shared" ref="LV78:LV85" si="1375">$HS78*IA$17</f>
        <v>0.11915008800000002</v>
      </c>
      <c r="LW78" s="532">
        <f t="shared" si="1287"/>
        <v>0.27801687200000008</v>
      </c>
      <c r="LX78" s="532">
        <f t="shared" si="1288"/>
        <v>0.23830017600000003</v>
      </c>
      <c r="LY78" s="532">
        <f t="shared" si="1289"/>
        <v>3.9279812344000011</v>
      </c>
      <c r="LZ78" s="532">
        <f t="shared" si="1290"/>
        <v>3.971669600000001E-2</v>
      </c>
      <c r="MA78" s="558">
        <f t="shared" si="1291"/>
        <v>3.971669600000001E-2</v>
      </c>
      <c r="MB78" s="545">
        <f t="shared" ref="MB78:MB85" si="1376">$HT78*HZ$16</f>
        <v>0</v>
      </c>
      <c r="MC78" s="545">
        <f t="shared" ref="MC78:MC85" si="1377">$HT78*IA$16</f>
        <v>0</v>
      </c>
      <c r="MD78" s="532">
        <f t="shared" si="1292"/>
        <v>0</v>
      </c>
      <c r="ME78" s="532">
        <f t="shared" si="1293"/>
        <v>0</v>
      </c>
      <c r="MF78" s="532">
        <f t="shared" si="1294"/>
        <v>0</v>
      </c>
      <c r="MG78" s="532">
        <f t="shared" si="1295"/>
        <v>0</v>
      </c>
      <c r="MH78" s="532">
        <f t="shared" si="1296"/>
        <v>0</v>
      </c>
      <c r="MI78" s="532">
        <f t="shared" ref="MI78:MI85" si="1378">$HU78*HZ$17</f>
        <v>1.20564E-3</v>
      </c>
      <c r="MJ78" s="532">
        <f t="shared" ref="MJ78:MJ85" si="1379">$HU78*IA$17</f>
        <v>6.0282000000000001E-4</v>
      </c>
      <c r="MK78" s="532">
        <f t="shared" si="1297"/>
        <v>1.4065800000000002E-3</v>
      </c>
      <c r="ML78" s="532">
        <f t="shared" si="1298"/>
        <v>1.20564E-3</v>
      </c>
      <c r="MM78" s="532">
        <f t="shared" si="1299"/>
        <v>1.9872966000000002E-2</v>
      </c>
      <c r="MN78" s="532">
        <f t="shared" si="1300"/>
        <v>2.0094000000000001E-4</v>
      </c>
      <c r="MO78" s="558">
        <f t="shared" si="1301"/>
        <v>2.0094000000000001E-4</v>
      </c>
      <c r="MP78" s="545">
        <f t="shared" ref="MP78:MP85" si="1380">$HV78*HZ$16</f>
        <v>0</v>
      </c>
      <c r="MQ78" s="545">
        <f t="shared" ref="MQ78:MQ85" si="1381">$HV78*IA$16</f>
        <v>0</v>
      </c>
      <c r="MR78" s="532">
        <f t="shared" si="1302"/>
        <v>0</v>
      </c>
      <c r="MS78" s="532">
        <f t="shared" si="1303"/>
        <v>0</v>
      </c>
      <c r="MT78" s="532">
        <f t="shared" si="1304"/>
        <v>0</v>
      </c>
      <c r="MU78" s="532">
        <f t="shared" si="1305"/>
        <v>0</v>
      </c>
      <c r="MV78" s="532">
        <f t="shared" si="1306"/>
        <v>0</v>
      </c>
      <c r="MW78" s="532">
        <f t="shared" ref="MW78:MW85" si="1382">$HW78*HZ$17</f>
        <v>2.1616609200000001</v>
      </c>
      <c r="MX78" s="532">
        <f t="shared" ref="MX78:MX85" si="1383">$HW78*IA$17</f>
        <v>1.08083046</v>
      </c>
      <c r="MY78" s="545">
        <f t="shared" si="1307"/>
        <v>2.5219377400000007</v>
      </c>
      <c r="MZ78" s="545">
        <f t="shared" si="1308"/>
        <v>2.1616609200000001</v>
      </c>
      <c r="NA78" s="545">
        <f t="shared" si="1309"/>
        <v>35.631377498000006</v>
      </c>
      <c r="NB78" s="545">
        <f t="shared" si="1310"/>
        <v>0.36027682000000005</v>
      </c>
      <c r="NC78" s="554">
        <f t="shared" si="1311"/>
        <v>0.36027682000000005</v>
      </c>
      <c r="NL78" s="106"/>
    </row>
    <row r="79" spans="1:376" x14ac:dyDescent="0.25">
      <c r="A79" s="12">
        <v>2024</v>
      </c>
      <c r="B79" s="13">
        <v>0</v>
      </c>
      <c r="C79" s="14">
        <v>0</v>
      </c>
      <c r="D79" s="14">
        <v>0</v>
      </c>
      <c r="E79" s="658">
        <f>E78-$E$70/10</f>
        <v>17</v>
      </c>
      <c r="F79" s="14">
        <f t="shared" si="1164"/>
        <v>0</v>
      </c>
      <c r="G79" s="14">
        <f t="shared" si="1165"/>
        <v>0</v>
      </c>
      <c r="H79" s="14">
        <f t="shared" si="1100"/>
        <v>0</v>
      </c>
      <c r="I79" s="14">
        <f t="shared" si="1101"/>
        <v>16.745000000000001</v>
      </c>
      <c r="J79" s="14">
        <v>0</v>
      </c>
      <c r="K79" s="917">
        <f t="shared" si="1197"/>
        <v>39.703300000000006</v>
      </c>
      <c r="L79" s="14">
        <f t="shared" si="1204"/>
        <v>0</v>
      </c>
      <c r="M79" s="17">
        <f t="shared" si="1102"/>
        <v>16.745000000000001</v>
      </c>
      <c r="N79" s="198">
        <v>2E-3</v>
      </c>
      <c r="O79" s="120">
        <v>0</v>
      </c>
      <c r="P79" s="120">
        <v>0</v>
      </c>
      <c r="Q79" s="199">
        <v>6.0000000000000001E-3</v>
      </c>
      <c r="R79" s="120">
        <v>0</v>
      </c>
      <c r="S79" s="120">
        <v>2.7000000000000001E-3</v>
      </c>
      <c r="T79" s="120">
        <v>0</v>
      </c>
      <c r="U79" s="120">
        <v>1.18E-2</v>
      </c>
      <c r="V79" s="119">
        <v>1.0000000000000001E-5</v>
      </c>
      <c r="W79" s="120">
        <v>2.9999999999999997E-4</v>
      </c>
      <c r="X79" s="105">
        <v>0</v>
      </c>
      <c r="Y79" s="105">
        <v>3.1E-2</v>
      </c>
      <c r="Z79" s="488">
        <v>5.2999999999999999E-2</v>
      </c>
      <c r="AA79" s="105">
        <f t="shared" si="1312"/>
        <v>0.1</v>
      </c>
      <c r="AB79" s="105">
        <f t="shared" si="1313"/>
        <v>0</v>
      </c>
      <c r="AC79" s="105">
        <f t="shared" si="1314"/>
        <v>0.9</v>
      </c>
      <c r="AD79" s="82">
        <f t="shared" si="1166"/>
        <v>0</v>
      </c>
      <c r="AE79" s="79">
        <f t="shared" si="1167"/>
        <v>0</v>
      </c>
      <c r="AF79" s="79">
        <f t="shared" si="1168"/>
        <v>0</v>
      </c>
      <c r="AG79" s="79">
        <f t="shared" si="1169"/>
        <v>0</v>
      </c>
      <c r="AH79" s="79">
        <f t="shared" si="1170"/>
        <v>0</v>
      </c>
      <c r="AI79" s="79">
        <f t="shared" si="1171"/>
        <v>0</v>
      </c>
      <c r="AJ79" s="138">
        <f t="shared" si="1103"/>
        <v>0</v>
      </c>
      <c r="AK79" s="79">
        <f t="shared" si="1104"/>
        <v>0.13563449999999999</v>
      </c>
      <c r="AL79" s="79">
        <f t="shared" si="1105"/>
        <v>0</v>
      </c>
      <c r="AM79" s="79">
        <f t="shared" si="1106"/>
        <v>0</v>
      </c>
      <c r="AN79" s="79">
        <f t="shared" si="1107"/>
        <v>0</v>
      </c>
      <c r="AO79" s="139">
        <f t="shared" si="1108"/>
        <v>0.10047</v>
      </c>
      <c r="AP79" s="79">
        <f t="shared" si="1172"/>
        <v>0</v>
      </c>
      <c r="AQ79" s="79">
        <f t="shared" si="1172"/>
        <v>0.13563449999999999</v>
      </c>
      <c r="AR79" s="79">
        <f t="shared" si="1172"/>
        <v>0</v>
      </c>
      <c r="AS79" s="79">
        <f t="shared" si="1172"/>
        <v>0</v>
      </c>
      <c r="AT79" s="79">
        <f t="shared" si="1172"/>
        <v>0</v>
      </c>
      <c r="AU79" s="104">
        <f t="shared" si="1172"/>
        <v>0.10047</v>
      </c>
      <c r="AV79" s="82">
        <f t="shared" si="1110"/>
        <v>0</v>
      </c>
      <c r="AW79" s="79">
        <f t="shared" si="1111"/>
        <v>0</v>
      </c>
      <c r="AX79" s="79">
        <f t="shared" si="1112"/>
        <v>0</v>
      </c>
      <c r="AY79" s="79">
        <f t="shared" si="1113"/>
        <v>0</v>
      </c>
      <c r="AZ79" s="79">
        <f t="shared" si="1114"/>
        <v>0</v>
      </c>
      <c r="BA79" s="79">
        <f t="shared" si="1115"/>
        <v>0</v>
      </c>
      <c r="BB79" s="138">
        <f t="shared" si="1116"/>
        <v>0</v>
      </c>
      <c r="BC79" s="79">
        <f t="shared" si="1117"/>
        <v>0</v>
      </c>
      <c r="BD79" s="79">
        <f t="shared" si="1118"/>
        <v>0</v>
      </c>
      <c r="BE79" s="79">
        <f t="shared" si="1119"/>
        <v>9.0423000000000003E-2</v>
      </c>
      <c r="BF79" s="79">
        <f t="shared" si="1120"/>
        <v>0</v>
      </c>
      <c r="BG79" s="79">
        <f t="shared" si="1121"/>
        <v>0.16745000000000002</v>
      </c>
      <c r="BH79" s="79">
        <f t="shared" si="1122"/>
        <v>0</v>
      </c>
      <c r="BI79" s="79">
        <f t="shared" si="1122"/>
        <v>0</v>
      </c>
      <c r="BJ79" s="79">
        <f t="shared" si="1122"/>
        <v>0</v>
      </c>
      <c r="BK79" s="79">
        <f t="shared" si="1122"/>
        <v>9.0423000000000003E-2</v>
      </c>
      <c r="BL79" s="79">
        <f t="shared" si="1122"/>
        <v>0</v>
      </c>
      <c r="BM79" s="79">
        <f t="shared" si="1122"/>
        <v>0.16745000000000002</v>
      </c>
      <c r="BN79" s="82">
        <f t="shared" si="1123"/>
        <v>0</v>
      </c>
      <c r="BO79" s="79">
        <f t="shared" si="1124"/>
        <v>0</v>
      </c>
      <c r="BP79" s="79">
        <f t="shared" si="1125"/>
        <v>0</v>
      </c>
      <c r="BQ79" s="79">
        <f t="shared" si="1126"/>
        <v>0</v>
      </c>
      <c r="BR79" s="79">
        <f t="shared" si="1127"/>
        <v>0</v>
      </c>
      <c r="BS79" s="79">
        <f t="shared" si="1128"/>
        <v>0</v>
      </c>
      <c r="BT79" s="138">
        <f t="shared" si="1129"/>
        <v>0</v>
      </c>
      <c r="BU79" s="79">
        <f t="shared" si="1130"/>
        <v>6.6980000000000013E-4</v>
      </c>
      <c r="BV79" s="79">
        <f t="shared" si="1131"/>
        <v>0</v>
      </c>
      <c r="BW79" s="79">
        <f t="shared" si="1132"/>
        <v>1.0047E-2</v>
      </c>
      <c r="BX79" s="79">
        <f t="shared" si="1133"/>
        <v>0</v>
      </c>
      <c r="BY79" s="79">
        <f t="shared" si="1134"/>
        <v>0.184195</v>
      </c>
      <c r="BZ79" s="138">
        <f t="shared" si="1135"/>
        <v>0</v>
      </c>
      <c r="CA79" s="79">
        <f t="shared" si="1135"/>
        <v>6.6980000000000013E-4</v>
      </c>
      <c r="CB79" s="79">
        <f t="shared" si="1135"/>
        <v>0</v>
      </c>
      <c r="CC79" s="79">
        <f t="shared" si="1135"/>
        <v>1.0047E-2</v>
      </c>
      <c r="CD79" s="79">
        <f t="shared" si="1135"/>
        <v>0</v>
      </c>
      <c r="CE79" s="535">
        <f t="shared" si="1135"/>
        <v>0.184195</v>
      </c>
      <c r="CF79" s="79">
        <f t="shared" si="1315"/>
        <v>0</v>
      </c>
      <c r="CG79" s="79">
        <f t="shared" si="1198"/>
        <v>3.9703300000000006</v>
      </c>
      <c r="CH79" s="79">
        <f t="shared" si="1316"/>
        <v>0</v>
      </c>
      <c r="CI79" s="79">
        <f t="shared" si="1199"/>
        <v>0</v>
      </c>
      <c r="CJ79" s="79">
        <f t="shared" si="1317"/>
        <v>0</v>
      </c>
      <c r="CK79" s="79">
        <f t="shared" si="1200"/>
        <v>35.732970000000009</v>
      </c>
      <c r="CL79" s="3"/>
      <c r="CM79" s="101">
        <f t="shared" si="1205"/>
        <v>0</v>
      </c>
      <c r="CN79" s="99">
        <f t="shared" si="1136"/>
        <v>0</v>
      </c>
      <c r="CO79" s="130">
        <f t="shared" si="1137"/>
        <v>0</v>
      </c>
      <c r="CP79" s="131">
        <f t="shared" si="1201"/>
        <v>0</v>
      </c>
      <c r="CQ79" s="99">
        <f t="shared" si="1202"/>
        <v>0</v>
      </c>
      <c r="CR79" s="98">
        <f t="shared" si="1202"/>
        <v>0</v>
      </c>
      <c r="CS79" s="44">
        <v>0</v>
      </c>
      <c r="CT79" s="45">
        <v>0</v>
      </c>
      <c r="CU79" s="45">
        <v>1</v>
      </c>
      <c r="CV79" s="100">
        <f t="shared" si="1203"/>
        <v>0</v>
      </c>
      <c r="CW79" s="40">
        <f t="shared" si="1178"/>
        <v>0</v>
      </c>
      <c r="CX79" s="41">
        <f t="shared" si="1179"/>
        <v>0</v>
      </c>
      <c r="CY79" s="79">
        <f t="shared" si="1180"/>
        <v>0</v>
      </c>
      <c r="CZ79" s="139">
        <f t="shared" si="1181"/>
        <v>0</v>
      </c>
      <c r="DA79" s="41">
        <f t="shared" si="1139"/>
        <v>0</v>
      </c>
      <c r="DB79" s="41">
        <f t="shared" si="1140"/>
        <v>0</v>
      </c>
      <c r="DC79" s="41">
        <f t="shared" si="1141"/>
        <v>0</v>
      </c>
      <c r="DD79" s="143">
        <f t="shared" si="1142"/>
        <v>0</v>
      </c>
      <c r="DE79" s="41">
        <f t="shared" si="1206"/>
        <v>0</v>
      </c>
      <c r="DF79" s="41">
        <f t="shared" si="1182"/>
        <v>0</v>
      </c>
      <c r="DG79" s="41">
        <f t="shared" si="1183"/>
        <v>0</v>
      </c>
      <c r="DH79" s="42">
        <f t="shared" si="1184"/>
        <v>0</v>
      </c>
      <c r="DJ79" s="498">
        <v>1</v>
      </c>
      <c r="DK79" s="498">
        <v>0.3</v>
      </c>
      <c r="DL79" s="41">
        <f t="shared" si="1143"/>
        <v>0</v>
      </c>
      <c r="DM79" s="41">
        <f t="shared" si="1144"/>
        <v>0</v>
      </c>
      <c r="DN79" s="41">
        <f t="shared" si="1084"/>
        <v>0</v>
      </c>
      <c r="DO79" s="42">
        <f t="shared" si="1085"/>
        <v>0</v>
      </c>
      <c r="DP79" s="44">
        <v>1</v>
      </c>
      <c r="DQ79" s="45">
        <v>0.1</v>
      </c>
      <c r="DR79" s="45">
        <v>0.5</v>
      </c>
      <c r="DS79" s="682">
        <f t="shared" si="1318"/>
        <v>0.1</v>
      </c>
      <c r="DT79" s="102">
        <f t="shared" si="1319"/>
        <v>1</v>
      </c>
      <c r="DU79" s="45">
        <v>0</v>
      </c>
      <c r="DV79" s="45">
        <v>1</v>
      </c>
      <c r="DW79" s="45">
        <v>0</v>
      </c>
      <c r="DX79" s="45">
        <v>0</v>
      </c>
      <c r="DY79" s="45">
        <v>1</v>
      </c>
      <c r="DZ79" s="45">
        <v>0</v>
      </c>
      <c r="EA79" s="103">
        <f t="shared" si="1320"/>
        <v>0</v>
      </c>
      <c r="EB79" s="79">
        <f t="shared" si="1185"/>
        <v>0</v>
      </c>
      <c r="EC79" s="79">
        <f t="shared" si="1321"/>
        <v>0</v>
      </c>
      <c r="ED79" s="79">
        <f t="shared" si="1186"/>
        <v>0</v>
      </c>
      <c r="EE79" s="79">
        <f t="shared" si="1322"/>
        <v>0</v>
      </c>
      <c r="EF79" s="79">
        <f t="shared" si="1187"/>
        <v>0</v>
      </c>
      <c r="EG79" s="138">
        <f t="shared" si="1145"/>
        <v>0</v>
      </c>
      <c r="EH79" s="79">
        <f t="shared" si="1146"/>
        <v>0</v>
      </c>
      <c r="EI79" s="79">
        <f t="shared" si="1147"/>
        <v>0</v>
      </c>
      <c r="EJ79" s="79">
        <f t="shared" si="1148"/>
        <v>0</v>
      </c>
      <c r="EK79" s="79">
        <f t="shared" si="1149"/>
        <v>0</v>
      </c>
      <c r="EL79" s="139">
        <f t="shared" si="1150"/>
        <v>0</v>
      </c>
      <c r="EM79" s="79">
        <f t="shared" si="1323"/>
        <v>0</v>
      </c>
      <c r="EN79" s="83">
        <f t="shared" si="1324"/>
        <v>0</v>
      </c>
      <c r="EP79" s="103">
        <f t="shared" si="1207"/>
        <v>0</v>
      </c>
      <c r="EQ79" s="79">
        <f t="shared" si="1151"/>
        <v>0</v>
      </c>
      <c r="ER79" s="79">
        <f t="shared" si="1208"/>
        <v>0</v>
      </c>
      <c r="ES79" s="79">
        <f t="shared" si="1152"/>
        <v>0</v>
      </c>
      <c r="ET79" s="79">
        <f t="shared" si="1209"/>
        <v>0</v>
      </c>
      <c r="EU79" s="79">
        <f t="shared" si="1153"/>
        <v>0</v>
      </c>
      <c r="EV79" s="138">
        <f t="shared" si="1086"/>
        <v>0</v>
      </c>
      <c r="EW79" s="79">
        <f t="shared" si="1087"/>
        <v>6.6980000000000013E-4</v>
      </c>
      <c r="EX79" s="79">
        <f t="shared" si="1088"/>
        <v>0</v>
      </c>
      <c r="EY79" s="79">
        <f t="shared" si="1089"/>
        <v>1.0047E-2</v>
      </c>
      <c r="EZ79" s="79">
        <f t="shared" si="1090"/>
        <v>0</v>
      </c>
      <c r="FA79" s="104">
        <f t="shared" si="1091"/>
        <v>0.184195</v>
      </c>
      <c r="FB79" s="40">
        <f t="shared" si="1188"/>
        <v>0</v>
      </c>
      <c r="FC79" s="41">
        <f t="shared" si="1189"/>
        <v>0</v>
      </c>
      <c r="FD79" s="41">
        <f t="shared" si="1154"/>
        <v>0</v>
      </c>
      <c r="FE79" s="41">
        <f t="shared" si="1155"/>
        <v>0</v>
      </c>
      <c r="FF79" s="40">
        <f t="shared" si="1210"/>
        <v>0</v>
      </c>
      <c r="FG79" s="41">
        <f t="shared" si="1156"/>
        <v>0</v>
      </c>
      <c r="FH79" s="41">
        <f t="shared" si="1157"/>
        <v>0</v>
      </c>
      <c r="FI79" s="41">
        <f t="shared" si="1158"/>
        <v>0</v>
      </c>
      <c r="FJ79" s="44">
        <v>1</v>
      </c>
      <c r="FK79" s="45">
        <v>0.2</v>
      </c>
      <c r="FL79" s="503">
        <v>0.8</v>
      </c>
      <c r="FM79" s="45">
        <v>0.1</v>
      </c>
      <c r="FN79" s="503">
        <v>0.5</v>
      </c>
      <c r="FO79" s="45">
        <f t="shared" si="1325"/>
        <v>0.1</v>
      </c>
      <c r="FP79" s="45">
        <f t="shared" si="1326"/>
        <v>1</v>
      </c>
      <c r="FQ79" s="45">
        <v>1</v>
      </c>
      <c r="FR79" s="45">
        <v>0</v>
      </c>
      <c r="FS79" s="108">
        <f t="shared" si="1327"/>
        <v>1E-3</v>
      </c>
      <c r="FT79" s="45">
        <f t="shared" si="1328"/>
        <v>0.05</v>
      </c>
      <c r="FU79" s="44">
        <v>0.05</v>
      </c>
      <c r="FV79" s="100">
        <f t="shared" si="1211"/>
        <v>2.4224999999999997E-2</v>
      </c>
      <c r="FW79" s="45">
        <v>0.1</v>
      </c>
      <c r="FX79" s="102">
        <f t="shared" si="1212"/>
        <v>9.0000000000000011E-2</v>
      </c>
      <c r="FY79" s="44">
        <v>0.45</v>
      </c>
      <c r="FZ79" s="100">
        <f t="shared" si="1329"/>
        <v>1.4025000000000001E-2</v>
      </c>
      <c r="GA79" s="45">
        <v>0.45</v>
      </c>
      <c r="GB79" s="102">
        <f t="shared" si="1330"/>
        <v>5.5000000000000007E-2</v>
      </c>
      <c r="GC79" s="103">
        <f t="shared" si="1213"/>
        <v>0</v>
      </c>
      <c r="GD79" s="79">
        <f t="shared" si="1159"/>
        <v>0</v>
      </c>
      <c r="GE79" s="79">
        <f t="shared" si="1214"/>
        <v>0</v>
      </c>
      <c r="GF79" s="79">
        <f t="shared" si="1160"/>
        <v>0</v>
      </c>
      <c r="GG79" s="79">
        <v>0</v>
      </c>
      <c r="GH79" s="139">
        <v>0</v>
      </c>
      <c r="GI79" s="79">
        <f t="shared" si="1094"/>
        <v>0</v>
      </c>
      <c r="GJ79" s="79">
        <f t="shared" si="1095"/>
        <v>6.6980000000000013E-4</v>
      </c>
      <c r="GK79" s="79">
        <f t="shared" si="1096"/>
        <v>0</v>
      </c>
      <c r="GL79" s="79">
        <f t="shared" si="1097"/>
        <v>1.0047E-2</v>
      </c>
      <c r="GM79" s="79">
        <f t="shared" si="1098"/>
        <v>0</v>
      </c>
      <c r="GN79" s="139">
        <f t="shared" si="1099"/>
        <v>0.14735600000000001</v>
      </c>
      <c r="GO79" s="79">
        <f t="shared" si="1331"/>
        <v>0</v>
      </c>
      <c r="GP79" s="104">
        <f t="shared" si="1332"/>
        <v>0.15807280000000001</v>
      </c>
      <c r="GQ79" s="41">
        <f t="shared" si="1333"/>
        <v>0</v>
      </c>
      <c r="GR79" s="41">
        <f t="shared" si="1334"/>
        <v>0</v>
      </c>
      <c r="GS79" s="79">
        <f t="shared" si="1031"/>
        <v>0</v>
      </c>
      <c r="GT79" s="79">
        <f t="shared" si="1032"/>
        <v>0</v>
      </c>
      <c r="GU79" s="79">
        <f t="shared" si="1033"/>
        <v>0</v>
      </c>
      <c r="GV79" s="139">
        <f t="shared" si="1034"/>
        <v>0</v>
      </c>
      <c r="GW79" s="41">
        <f t="shared" si="1162"/>
        <v>0</v>
      </c>
      <c r="GX79" s="41">
        <f t="shared" si="1163"/>
        <v>0</v>
      </c>
      <c r="GY79" s="41">
        <f t="shared" si="1192"/>
        <v>0</v>
      </c>
      <c r="GZ79" s="41">
        <f t="shared" si="1193"/>
        <v>0</v>
      </c>
      <c r="HA79" s="41">
        <f t="shared" si="1194"/>
        <v>0</v>
      </c>
      <c r="HB79" s="143">
        <f t="shared" si="1195"/>
        <v>0</v>
      </c>
      <c r="HC79" s="79">
        <f t="shared" si="1335"/>
        <v>0</v>
      </c>
      <c r="HD79" s="42">
        <f t="shared" si="1336"/>
        <v>0</v>
      </c>
      <c r="HE79" s="527"/>
      <c r="HF79" s="532">
        <f t="shared" si="1215"/>
        <v>0</v>
      </c>
      <c r="HG79" s="532">
        <f t="shared" si="1216"/>
        <v>0.13563449999999999</v>
      </c>
      <c r="HH79" s="532">
        <f t="shared" si="1217"/>
        <v>0</v>
      </c>
      <c r="HI79" s="532">
        <f t="shared" si="1218"/>
        <v>0</v>
      </c>
      <c r="HJ79" s="532">
        <f t="shared" si="1219"/>
        <v>0</v>
      </c>
      <c r="HK79" s="533">
        <f t="shared" si="1220"/>
        <v>0.10047</v>
      </c>
      <c r="HL79" s="532">
        <f t="shared" si="1221"/>
        <v>0</v>
      </c>
      <c r="HM79" s="532">
        <f t="shared" si="1222"/>
        <v>0</v>
      </c>
      <c r="HN79" s="532">
        <f t="shared" si="1223"/>
        <v>0</v>
      </c>
      <c r="HO79" s="532">
        <f t="shared" si="1224"/>
        <v>9.0423000000000003E-2</v>
      </c>
      <c r="HP79" s="532">
        <f t="shared" si="1225"/>
        <v>0</v>
      </c>
      <c r="HQ79" s="533">
        <f t="shared" si="1226"/>
        <v>0.16745000000000002</v>
      </c>
      <c r="HR79" s="532">
        <f t="shared" si="1337"/>
        <v>0</v>
      </c>
      <c r="HS79" s="532">
        <f t="shared" si="1227"/>
        <v>3.9709998000000004</v>
      </c>
      <c r="HT79" s="532">
        <f t="shared" si="1228"/>
        <v>0</v>
      </c>
      <c r="HU79" s="532">
        <f t="shared" si="1229"/>
        <v>1.0047E-2</v>
      </c>
      <c r="HV79" s="532">
        <f t="shared" si="1230"/>
        <v>0</v>
      </c>
      <c r="HW79" s="533">
        <f t="shared" si="1231"/>
        <v>35.880326000000011</v>
      </c>
      <c r="IG79" s="560"/>
      <c r="IH79" s="532">
        <f t="shared" si="1338"/>
        <v>0</v>
      </c>
      <c r="II79" s="532">
        <f t="shared" si="1339"/>
        <v>0</v>
      </c>
      <c r="IJ79" s="532">
        <f t="shared" si="1340"/>
        <v>0</v>
      </c>
      <c r="IK79" s="532">
        <f t="shared" si="1341"/>
        <v>0</v>
      </c>
      <c r="IL79" s="532">
        <f t="shared" si="1342"/>
        <v>0</v>
      </c>
      <c r="IM79" s="532">
        <f t="shared" si="1343"/>
        <v>0</v>
      </c>
      <c r="IN79" s="532">
        <f t="shared" si="1344"/>
        <v>0</v>
      </c>
      <c r="IO79" s="532">
        <f t="shared" si="1345"/>
        <v>4.4759385000000002E-3</v>
      </c>
      <c r="IP79" s="532">
        <f t="shared" si="1346"/>
        <v>5.5610144999999993E-3</v>
      </c>
      <c r="IQ79" s="532">
        <f t="shared" si="1347"/>
        <v>7.0529939999999999E-3</v>
      </c>
      <c r="IR79" s="532">
        <f t="shared" si="1348"/>
        <v>5.5610144999999993E-3</v>
      </c>
      <c r="IS79" s="532">
        <f t="shared" si="1349"/>
        <v>0.11488242149999998</v>
      </c>
      <c r="IT79" s="532">
        <f t="shared" si="1350"/>
        <v>1.3563449999999999E-3</v>
      </c>
      <c r="IU79" s="534">
        <f t="shared" si="1351"/>
        <v>1.3563449999999999E-3</v>
      </c>
      <c r="IV79" s="545">
        <f t="shared" si="1352"/>
        <v>0</v>
      </c>
      <c r="IW79" s="545">
        <f t="shared" si="1353"/>
        <v>0</v>
      </c>
      <c r="IX79" s="532">
        <f t="shared" si="1232"/>
        <v>0</v>
      </c>
      <c r="IY79" s="532">
        <f t="shared" si="1233"/>
        <v>0</v>
      </c>
      <c r="IZ79" s="532">
        <f t="shared" si="1234"/>
        <v>0</v>
      </c>
      <c r="JA79" s="532">
        <f t="shared" si="1235"/>
        <v>0</v>
      </c>
      <c r="JB79" s="532">
        <f t="shared" si="1236"/>
        <v>0</v>
      </c>
      <c r="JC79" s="532">
        <f t="shared" si="1354"/>
        <v>0</v>
      </c>
      <c r="JD79" s="532">
        <f t="shared" si="1355"/>
        <v>0</v>
      </c>
      <c r="JE79" s="532">
        <f t="shared" si="1237"/>
        <v>0</v>
      </c>
      <c r="JF79" s="532">
        <f t="shared" si="1238"/>
        <v>0</v>
      </c>
      <c r="JG79" s="532">
        <f t="shared" si="1239"/>
        <v>0</v>
      </c>
      <c r="JH79" s="532">
        <f t="shared" si="1240"/>
        <v>0</v>
      </c>
      <c r="JI79" s="553">
        <f t="shared" si="1241"/>
        <v>0</v>
      </c>
      <c r="JJ79" s="545">
        <f t="shared" si="1356"/>
        <v>0</v>
      </c>
      <c r="JK79" s="545">
        <f t="shared" si="1357"/>
        <v>0</v>
      </c>
      <c r="JL79" s="532">
        <f t="shared" si="1242"/>
        <v>0</v>
      </c>
      <c r="JM79" s="532">
        <f t="shared" si="1243"/>
        <v>0</v>
      </c>
      <c r="JN79" s="532">
        <f t="shared" si="1244"/>
        <v>0</v>
      </c>
      <c r="JO79" s="532">
        <f t="shared" si="1245"/>
        <v>0</v>
      </c>
      <c r="JP79" s="532">
        <f t="shared" si="1246"/>
        <v>0</v>
      </c>
      <c r="JQ79" s="532">
        <f t="shared" si="1358"/>
        <v>3.3155100000000002E-3</v>
      </c>
      <c r="JR79" s="532">
        <f t="shared" si="1359"/>
        <v>4.1192699999999995E-3</v>
      </c>
      <c r="JS79" s="545">
        <f t="shared" si="1247"/>
        <v>5.2244400000000003E-3</v>
      </c>
      <c r="JT79" s="545">
        <f t="shared" si="1248"/>
        <v>4.1192699999999995E-3</v>
      </c>
      <c r="JU79" s="545">
        <f t="shared" si="1249"/>
        <v>8.5098090000000001E-2</v>
      </c>
      <c r="JV79" s="545">
        <f t="shared" si="1250"/>
        <v>1.0047000000000001E-3</v>
      </c>
      <c r="JW79" s="554">
        <f t="shared" si="1251"/>
        <v>1.0047000000000001E-3</v>
      </c>
      <c r="JX79" s="545">
        <f t="shared" si="1360"/>
        <v>0</v>
      </c>
      <c r="JY79" s="545">
        <f t="shared" si="1361"/>
        <v>0</v>
      </c>
      <c r="JZ79" s="532">
        <f t="shared" si="1252"/>
        <v>0</v>
      </c>
      <c r="KA79" s="532">
        <f t="shared" si="1253"/>
        <v>0</v>
      </c>
      <c r="KB79" s="532">
        <f t="shared" si="1254"/>
        <v>0</v>
      </c>
      <c r="KC79" s="532">
        <f t="shared" si="1255"/>
        <v>0</v>
      </c>
      <c r="KD79" s="532">
        <f t="shared" si="1256"/>
        <v>0</v>
      </c>
      <c r="KE79" s="532">
        <f t="shared" si="1362"/>
        <v>0</v>
      </c>
      <c r="KF79" s="532">
        <f t="shared" si="1363"/>
        <v>0</v>
      </c>
      <c r="KG79" s="532">
        <f t="shared" si="1257"/>
        <v>0</v>
      </c>
      <c r="KH79" s="532">
        <f t="shared" si="1258"/>
        <v>0</v>
      </c>
      <c r="KI79" s="532">
        <f t="shared" si="1259"/>
        <v>0</v>
      </c>
      <c r="KJ79" s="532">
        <f t="shared" si="1260"/>
        <v>0</v>
      </c>
      <c r="KK79" s="534">
        <f t="shared" si="1261"/>
        <v>0</v>
      </c>
      <c r="KL79" s="545">
        <f t="shared" si="1364"/>
        <v>0</v>
      </c>
      <c r="KM79" s="545">
        <f t="shared" si="1365"/>
        <v>0</v>
      </c>
      <c r="KN79" s="532">
        <f t="shared" si="1262"/>
        <v>0</v>
      </c>
      <c r="KO79" s="532">
        <f t="shared" si="1263"/>
        <v>0</v>
      </c>
      <c r="KP79" s="532">
        <f t="shared" si="1264"/>
        <v>0</v>
      </c>
      <c r="KQ79" s="532">
        <f t="shared" si="1265"/>
        <v>0</v>
      </c>
      <c r="KR79" s="532">
        <f t="shared" si="1266"/>
        <v>0</v>
      </c>
      <c r="KS79" s="532">
        <f t="shared" si="1366"/>
        <v>2.9839590000000004E-3</v>
      </c>
      <c r="KT79" s="532">
        <f t="shared" si="1367"/>
        <v>3.7073429999999997E-3</v>
      </c>
      <c r="KU79" s="532">
        <f t="shared" si="1267"/>
        <v>4.7019960000000008E-3</v>
      </c>
      <c r="KV79" s="532">
        <f t="shared" si="1268"/>
        <v>3.7073429999999997E-3</v>
      </c>
      <c r="KW79" s="532">
        <f t="shared" si="1269"/>
        <v>7.6588280999999994E-2</v>
      </c>
      <c r="KX79" s="532">
        <f t="shared" si="1270"/>
        <v>9.0423000000000001E-4</v>
      </c>
      <c r="KY79" s="553">
        <f t="shared" si="1271"/>
        <v>9.0423000000000001E-4</v>
      </c>
      <c r="KZ79" s="545">
        <f t="shared" si="1368"/>
        <v>0</v>
      </c>
      <c r="LA79" s="545">
        <f t="shared" si="1369"/>
        <v>0</v>
      </c>
      <c r="LB79" s="532">
        <f t="shared" si="1272"/>
        <v>0</v>
      </c>
      <c r="LC79" s="532">
        <f t="shared" si="1273"/>
        <v>0</v>
      </c>
      <c r="LD79" s="532">
        <f t="shared" si="1274"/>
        <v>0</v>
      </c>
      <c r="LE79" s="532">
        <f t="shared" si="1275"/>
        <v>0</v>
      </c>
      <c r="LF79" s="532">
        <f t="shared" si="1276"/>
        <v>0</v>
      </c>
      <c r="LG79" s="532">
        <f t="shared" si="1370"/>
        <v>5.5258500000000006E-3</v>
      </c>
      <c r="LH79" s="532">
        <f t="shared" si="1371"/>
        <v>6.8654499999999995E-3</v>
      </c>
      <c r="LI79" s="545">
        <f t="shared" si="1277"/>
        <v>8.7074000000000023E-3</v>
      </c>
      <c r="LJ79" s="545">
        <f t="shared" si="1278"/>
        <v>6.8654499999999995E-3</v>
      </c>
      <c r="LK79" s="545">
        <f t="shared" si="1279"/>
        <v>0.14183015000000002</v>
      </c>
      <c r="LL79" s="545">
        <f t="shared" si="1280"/>
        <v>1.6745000000000002E-3</v>
      </c>
      <c r="LM79" s="554">
        <f t="shared" si="1281"/>
        <v>1.6745000000000002E-3</v>
      </c>
      <c r="LN79" s="545">
        <f t="shared" si="1372"/>
        <v>0</v>
      </c>
      <c r="LO79" s="545">
        <f t="shared" si="1373"/>
        <v>0</v>
      </c>
      <c r="LP79" s="532">
        <f t="shared" si="1282"/>
        <v>0</v>
      </c>
      <c r="LQ79" s="532">
        <f t="shared" si="1283"/>
        <v>0</v>
      </c>
      <c r="LR79" s="532">
        <f t="shared" si="1284"/>
        <v>0</v>
      </c>
      <c r="LS79" s="532">
        <f t="shared" si="1285"/>
        <v>0</v>
      </c>
      <c r="LT79" s="532">
        <f t="shared" si="1286"/>
        <v>0</v>
      </c>
      <c r="LU79" s="532">
        <f t="shared" si="1374"/>
        <v>0.23825998800000001</v>
      </c>
      <c r="LV79" s="532">
        <f t="shared" si="1375"/>
        <v>0.119129994</v>
      </c>
      <c r="LW79" s="532">
        <f t="shared" si="1287"/>
        <v>0.27796998600000006</v>
      </c>
      <c r="LX79" s="532">
        <f t="shared" si="1288"/>
        <v>0.23825998800000001</v>
      </c>
      <c r="LY79" s="532">
        <f t="shared" si="1289"/>
        <v>3.9273188022000007</v>
      </c>
      <c r="LZ79" s="532">
        <f t="shared" si="1290"/>
        <v>3.9709998000000003E-2</v>
      </c>
      <c r="MA79" s="558">
        <f t="shared" si="1291"/>
        <v>3.9709998000000003E-2</v>
      </c>
      <c r="MB79" s="545">
        <f t="shared" si="1376"/>
        <v>0</v>
      </c>
      <c r="MC79" s="545">
        <f t="shared" si="1377"/>
        <v>0</v>
      </c>
      <c r="MD79" s="532">
        <f t="shared" si="1292"/>
        <v>0</v>
      </c>
      <c r="ME79" s="532">
        <f t="shared" si="1293"/>
        <v>0</v>
      </c>
      <c r="MF79" s="532">
        <f t="shared" si="1294"/>
        <v>0</v>
      </c>
      <c r="MG79" s="532">
        <f t="shared" si="1295"/>
        <v>0</v>
      </c>
      <c r="MH79" s="532">
        <f t="shared" si="1296"/>
        <v>0</v>
      </c>
      <c r="MI79" s="532">
        <f t="shared" si="1378"/>
        <v>6.0282000000000001E-4</v>
      </c>
      <c r="MJ79" s="532">
        <f t="shared" si="1379"/>
        <v>3.0141E-4</v>
      </c>
      <c r="MK79" s="532">
        <f t="shared" si="1297"/>
        <v>7.0329000000000008E-4</v>
      </c>
      <c r="ML79" s="532">
        <f t="shared" si="1298"/>
        <v>6.0282000000000001E-4</v>
      </c>
      <c r="MM79" s="532">
        <f t="shared" si="1299"/>
        <v>9.9364830000000012E-3</v>
      </c>
      <c r="MN79" s="532">
        <f t="shared" si="1300"/>
        <v>1.0047000000000001E-4</v>
      </c>
      <c r="MO79" s="558">
        <f t="shared" si="1301"/>
        <v>1.0047000000000001E-4</v>
      </c>
      <c r="MP79" s="545">
        <f t="shared" si="1380"/>
        <v>0</v>
      </c>
      <c r="MQ79" s="545">
        <f t="shared" si="1381"/>
        <v>0</v>
      </c>
      <c r="MR79" s="532">
        <f t="shared" si="1302"/>
        <v>0</v>
      </c>
      <c r="MS79" s="532">
        <f t="shared" si="1303"/>
        <v>0</v>
      </c>
      <c r="MT79" s="532">
        <f t="shared" si="1304"/>
        <v>0</v>
      </c>
      <c r="MU79" s="532">
        <f t="shared" si="1305"/>
        <v>0</v>
      </c>
      <c r="MV79" s="532">
        <f t="shared" si="1306"/>
        <v>0</v>
      </c>
      <c r="MW79" s="532">
        <f t="shared" si="1382"/>
        <v>2.1528195600000006</v>
      </c>
      <c r="MX79" s="532">
        <f t="shared" si="1383"/>
        <v>1.0764097800000003</v>
      </c>
      <c r="MY79" s="545">
        <f t="shared" si="1307"/>
        <v>2.5116228200000008</v>
      </c>
      <c r="MZ79" s="545">
        <f t="shared" si="1308"/>
        <v>2.1528195600000006</v>
      </c>
      <c r="NA79" s="545">
        <f t="shared" si="1309"/>
        <v>35.485642414000012</v>
      </c>
      <c r="NB79" s="545">
        <f t="shared" si="1310"/>
        <v>0.35880326000000012</v>
      </c>
      <c r="NC79" s="554">
        <f t="shared" si="1311"/>
        <v>0.35880326000000012</v>
      </c>
      <c r="NL79" s="106"/>
    </row>
    <row r="80" spans="1:376" x14ac:dyDescent="0.25">
      <c r="A80" s="12">
        <v>2025</v>
      </c>
      <c r="B80" s="13">
        <v>0</v>
      </c>
      <c r="C80" s="14">
        <v>0</v>
      </c>
      <c r="D80" s="14">
        <v>0</v>
      </c>
      <c r="E80" s="658">
        <f t="shared" si="1196"/>
        <v>0</v>
      </c>
      <c r="F80" s="14">
        <f t="shared" si="1164"/>
        <v>0</v>
      </c>
      <c r="G80" s="14">
        <f t="shared" si="1165"/>
        <v>0</v>
      </c>
      <c r="H80" s="14">
        <f t="shared" si="1100"/>
        <v>0</v>
      </c>
      <c r="I80" s="14">
        <f t="shared" si="1101"/>
        <v>0</v>
      </c>
      <c r="J80" s="14">
        <v>0</v>
      </c>
      <c r="K80" s="917">
        <f t="shared" si="1197"/>
        <v>39.703300000000006</v>
      </c>
      <c r="L80" s="14">
        <f t="shared" si="1204"/>
        <v>0</v>
      </c>
      <c r="M80" s="17">
        <f t="shared" si="1102"/>
        <v>0</v>
      </c>
      <c r="N80" s="198">
        <v>2E-3</v>
      </c>
      <c r="O80" s="120">
        <v>0</v>
      </c>
      <c r="P80" s="120">
        <v>0</v>
      </c>
      <c r="Q80" s="199">
        <v>6.0000000000000001E-3</v>
      </c>
      <c r="R80" s="120">
        <v>0</v>
      </c>
      <c r="S80" s="120">
        <v>2.7000000000000001E-3</v>
      </c>
      <c r="T80" s="120">
        <v>0</v>
      </c>
      <c r="U80" s="120">
        <v>1.18E-2</v>
      </c>
      <c r="V80" s="119">
        <v>1.0000000000000001E-5</v>
      </c>
      <c r="W80" s="120">
        <v>2.9999999999999997E-4</v>
      </c>
      <c r="X80" s="105">
        <v>0</v>
      </c>
      <c r="Y80" s="105">
        <v>3.1E-2</v>
      </c>
      <c r="Z80" s="488">
        <v>5.2999999999999999E-2</v>
      </c>
      <c r="AA80" s="105">
        <f t="shared" si="1312"/>
        <v>0.1</v>
      </c>
      <c r="AB80" s="105">
        <f t="shared" si="1313"/>
        <v>0</v>
      </c>
      <c r="AC80" s="105">
        <f t="shared" si="1314"/>
        <v>0.9</v>
      </c>
      <c r="AD80" s="82">
        <f t="shared" si="1166"/>
        <v>0</v>
      </c>
      <c r="AE80" s="79">
        <f t="shared" si="1167"/>
        <v>0</v>
      </c>
      <c r="AF80" s="79">
        <f t="shared" si="1168"/>
        <v>0</v>
      </c>
      <c r="AG80" s="79">
        <f t="shared" si="1169"/>
        <v>0</v>
      </c>
      <c r="AH80" s="79">
        <f t="shared" si="1170"/>
        <v>0</v>
      </c>
      <c r="AI80" s="79">
        <f t="shared" si="1171"/>
        <v>0</v>
      </c>
      <c r="AJ80" s="138">
        <f t="shared" si="1103"/>
        <v>0</v>
      </c>
      <c r="AK80" s="79">
        <f t="shared" si="1104"/>
        <v>0</v>
      </c>
      <c r="AL80" s="79">
        <f t="shared" si="1105"/>
        <v>0</v>
      </c>
      <c r="AM80" s="79">
        <f t="shared" si="1106"/>
        <v>0</v>
      </c>
      <c r="AN80" s="79">
        <f t="shared" si="1107"/>
        <v>0</v>
      </c>
      <c r="AO80" s="139">
        <f t="shared" si="1108"/>
        <v>0</v>
      </c>
      <c r="AP80" s="79">
        <f t="shared" si="1172"/>
        <v>0</v>
      </c>
      <c r="AQ80" s="79">
        <f t="shared" si="1172"/>
        <v>0</v>
      </c>
      <c r="AR80" s="79">
        <f t="shared" si="1172"/>
        <v>0</v>
      </c>
      <c r="AS80" s="79">
        <f t="shared" si="1172"/>
        <v>0</v>
      </c>
      <c r="AT80" s="79">
        <f t="shared" si="1172"/>
        <v>0</v>
      </c>
      <c r="AU80" s="104">
        <f t="shared" si="1172"/>
        <v>0</v>
      </c>
      <c r="AV80" s="82">
        <f t="shared" si="1110"/>
        <v>0</v>
      </c>
      <c r="AW80" s="79">
        <f t="shared" si="1111"/>
        <v>0</v>
      </c>
      <c r="AX80" s="79">
        <f t="shared" si="1112"/>
        <v>0</v>
      </c>
      <c r="AY80" s="79">
        <f t="shared" si="1113"/>
        <v>0</v>
      </c>
      <c r="AZ80" s="79">
        <f t="shared" si="1114"/>
        <v>0</v>
      </c>
      <c r="BA80" s="79">
        <f t="shared" si="1115"/>
        <v>0</v>
      </c>
      <c r="BB80" s="138">
        <f t="shared" si="1116"/>
        <v>0</v>
      </c>
      <c r="BC80" s="79">
        <f t="shared" si="1117"/>
        <v>0</v>
      </c>
      <c r="BD80" s="79">
        <f t="shared" si="1118"/>
        <v>0</v>
      </c>
      <c r="BE80" s="79">
        <f t="shared" si="1119"/>
        <v>0</v>
      </c>
      <c r="BF80" s="79">
        <f t="shared" si="1120"/>
        <v>0</v>
      </c>
      <c r="BG80" s="79">
        <f t="shared" si="1121"/>
        <v>0</v>
      </c>
      <c r="BH80" s="79">
        <f t="shared" si="1122"/>
        <v>0</v>
      </c>
      <c r="BI80" s="79">
        <f t="shared" si="1122"/>
        <v>0</v>
      </c>
      <c r="BJ80" s="79">
        <f t="shared" si="1122"/>
        <v>0</v>
      </c>
      <c r="BK80" s="79">
        <f t="shared" si="1122"/>
        <v>0</v>
      </c>
      <c r="BL80" s="79">
        <f t="shared" si="1122"/>
        <v>0</v>
      </c>
      <c r="BM80" s="79">
        <f t="shared" si="1122"/>
        <v>0</v>
      </c>
      <c r="BN80" s="82">
        <f t="shared" si="1123"/>
        <v>0</v>
      </c>
      <c r="BO80" s="79">
        <f t="shared" si="1124"/>
        <v>0</v>
      </c>
      <c r="BP80" s="79">
        <f t="shared" si="1125"/>
        <v>0</v>
      </c>
      <c r="BQ80" s="79">
        <f t="shared" si="1126"/>
        <v>0</v>
      </c>
      <c r="BR80" s="79">
        <f t="shared" si="1127"/>
        <v>0</v>
      </c>
      <c r="BS80" s="79">
        <f t="shared" si="1128"/>
        <v>0</v>
      </c>
      <c r="BT80" s="138">
        <f t="shared" si="1129"/>
        <v>0</v>
      </c>
      <c r="BU80" s="79">
        <f t="shared" si="1130"/>
        <v>0</v>
      </c>
      <c r="BV80" s="79">
        <f t="shared" si="1131"/>
        <v>0</v>
      </c>
      <c r="BW80" s="79">
        <f t="shared" si="1132"/>
        <v>0</v>
      </c>
      <c r="BX80" s="79">
        <f t="shared" si="1133"/>
        <v>0</v>
      </c>
      <c r="BY80" s="79">
        <f t="shared" si="1134"/>
        <v>0</v>
      </c>
      <c r="BZ80" s="138">
        <f t="shared" si="1135"/>
        <v>0</v>
      </c>
      <c r="CA80" s="79">
        <f t="shared" si="1135"/>
        <v>0</v>
      </c>
      <c r="CB80" s="79">
        <f t="shared" si="1135"/>
        <v>0</v>
      </c>
      <c r="CC80" s="79">
        <f t="shared" si="1135"/>
        <v>0</v>
      </c>
      <c r="CD80" s="79">
        <f t="shared" si="1135"/>
        <v>0</v>
      </c>
      <c r="CE80" s="535">
        <f t="shared" si="1135"/>
        <v>0</v>
      </c>
      <c r="CF80" s="79">
        <f t="shared" si="1315"/>
        <v>0</v>
      </c>
      <c r="CG80" s="79">
        <f t="shared" si="1198"/>
        <v>3.9703300000000006</v>
      </c>
      <c r="CH80" s="79">
        <f t="shared" si="1316"/>
        <v>0</v>
      </c>
      <c r="CI80" s="79">
        <f t="shared" si="1199"/>
        <v>0</v>
      </c>
      <c r="CJ80" s="79">
        <f t="shared" si="1317"/>
        <v>0</v>
      </c>
      <c r="CK80" s="79">
        <f t="shared" si="1200"/>
        <v>35.732970000000009</v>
      </c>
      <c r="CL80" s="3"/>
      <c r="CM80" s="101">
        <f t="shared" si="1205"/>
        <v>0</v>
      </c>
      <c r="CN80" s="99">
        <f t="shared" si="1136"/>
        <v>0</v>
      </c>
      <c r="CO80" s="130">
        <f t="shared" si="1137"/>
        <v>0</v>
      </c>
      <c r="CP80" s="131">
        <f t="shared" si="1201"/>
        <v>0</v>
      </c>
      <c r="CQ80" s="99">
        <f t="shared" si="1202"/>
        <v>0</v>
      </c>
      <c r="CR80" s="98">
        <f t="shared" si="1202"/>
        <v>0</v>
      </c>
      <c r="CS80" s="44">
        <v>0</v>
      </c>
      <c r="CT80" s="45">
        <v>0</v>
      </c>
      <c r="CU80" s="45">
        <v>1</v>
      </c>
      <c r="CV80" s="100">
        <f t="shared" si="1203"/>
        <v>0</v>
      </c>
      <c r="CW80" s="40">
        <f t="shared" si="1178"/>
        <v>0</v>
      </c>
      <c r="CX80" s="41">
        <f t="shared" si="1179"/>
        <v>0</v>
      </c>
      <c r="CY80" s="79">
        <f t="shared" si="1180"/>
        <v>0</v>
      </c>
      <c r="CZ80" s="139">
        <f t="shared" si="1181"/>
        <v>0</v>
      </c>
      <c r="DA80" s="41">
        <f t="shared" si="1139"/>
        <v>0</v>
      </c>
      <c r="DB80" s="41">
        <f t="shared" si="1140"/>
        <v>0</v>
      </c>
      <c r="DC80" s="41">
        <f t="shared" si="1141"/>
        <v>0</v>
      </c>
      <c r="DD80" s="143">
        <f t="shared" si="1142"/>
        <v>0</v>
      </c>
      <c r="DE80" s="41">
        <f t="shared" si="1206"/>
        <v>0</v>
      </c>
      <c r="DF80" s="41">
        <f t="shared" si="1182"/>
        <v>0</v>
      </c>
      <c r="DG80" s="41">
        <f t="shared" si="1183"/>
        <v>0</v>
      </c>
      <c r="DH80" s="42">
        <f t="shared" si="1184"/>
        <v>0</v>
      </c>
      <c r="DJ80" s="498">
        <v>1</v>
      </c>
      <c r="DK80" s="498">
        <v>0.3</v>
      </c>
      <c r="DL80" s="41">
        <f t="shared" si="1143"/>
        <v>0</v>
      </c>
      <c r="DM80" s="41">
        <f t="shared" si="1144"/>
        <v>0</v>
      </c>
      <c r="DN80" s="41">
        <f t="shared" si="1084"/>
        <v>0</v>
      </c>
      <c r="DO80" s="42">
        <f t="shared" si="1085"/>
        <v>0</v>
      </c>
      <c r="DP80" s="44">
        <v>1</v>
      </c>
      <c r="DQ80" s="45">
        <v>0.1</v>
      </c>
      <c r="DR80" s="45">
        <v>0.5</v>
      </c>
      <c r="DS80" s="682">
        <f t="shared" si="1318"/>
        <v>0.1</v>
      </c>
      <c r="DT80" s="102">
        <f t="shared" si="1319"/>
        <v>1</v>
      </c>
      <c r="DU80" s="45">
        <v>0</v>
      </c>
      <c r="DV80" s="45">
        <v>1</v>
      </c>
      <c r="DW80" s="45">
        <v>0</v>
      </c>
      <c r="DX80" s="45">
        <v>0</v>
      </c>
      <c r="DY80" s="45">
        <v>1</v>
      </c>
      <c r="DZ80" s="45">
        <v>0</v>
      </c>
      <c r="EA80" s="103">
        <f t="shared" si="1320"/>
        <v>0</v>
      </c>
      <c r="EB80" s="79">
        <f t="shared" si="1185"/>
        <v>0</v>
      </c>
      <c r="EC80" s="79">
        <f t="shared" si="1321"/>
        <v>0</v>
      </c>
      <c r="ED80" s="79">
        <f t="shared" si="1186"/>
        <v>0</v>
      </c>
      <c r="EE80" s="79">
        <f t="shared" si="1322"/>
        <v>0</v>
      </c>
      <c r="EF80" s="79">
        <f t="shared" si="1187"/>
        <v>0</v>
      </c>
      <c r="EG80" s="138">
        <f t="shared" si="1145"/>
        <v>0</v>
      </c>
      <c r="EH80" s="79">
        <f t="shared" si="1146"/>
        <v>0</v>
      </c>
      <c r="EI80" s="79">
        <f t="shared" si="1147"/>
        <v>0</v>
      </c>
      <c r="EJ80" s="79">
        <f t="shared" si="1148"/>
        <v>0</v>
      </c>
      <c r="EK80" s="79">
        <f t="shared" si="1149"/>
        <v>0</v>
      </c>
      <c r="EL80" s="139">
        <f t="shared" si="1150"/>
        <v>0</v>
      </c>
      <c r="EM80" s="79">
        <f t="shared" si="1323"/>
        <v>0</v>
      </c>
      <c r="EN80" s="83">
        <f t="shared" si="1324"/>
        <v>0</v>
      </c>
      <c r="EP80" s="103">
        <f t="shared" si="1207"/>
        <v>0</v>
      </c>
      <c r="EQ80" s="79">
        <f t="shared" si="1151"/>
        <v>0</v>
      </c>
      <c r="ER80" s="79">
        <f t="shared" si="1208"/>
        <v>0</v>
      </c>
      <c r="ES80" s="79">
        <f t="shared" si="1152"/>
        <v>0</v>
      </c>
      <c r="ET80" s="79">
        <f t="shared" si="1209"/>
        <v>0</v>
      </c>
      <c r="EU80" s="79">
        <f t="shared" si="1153"/>
        <v>0</v>
      </c>
      <c r="EV80" s="138">
        <f t="shared" si="1086"/>
        <v>0</v>
      </c>
      <c r="EW80" s="79">
        <f t="shared" si="1087"/>
        <v>0</v>
      </c>
      <c r="EX80" s="79">
        <f t="shared" si="1088"/>
        <v>0</v>
      </c>
      <c r="EY80" s="79">
        <f t="shared" si="1089"/>
        <v>0</v>
      </c>
      <c r="EZ80" s="79">
        <f t="shared" si="1090"/>
        <v>0</v>
      </c>
      <c r="FA80" s="104">
        <f t="shared" si="1091"/>
        <v>0</v>
      </c>
      <c r="FB80" s="40">
        <f t="shared" si="1188"/>
        <v>0</v>
      </c>
      <c r="FC80" s="41">
        <f t="shared" si="1189"/>
        <v>0</v>
      </c>
      <c r="FD80" s="41">
        <f t="shared" si="1154"/>
        <v>0</v>
      </c>
      <c r="FE80" s="41">
        <f t="shared" si="1155"/>
        <v>0</v>
      </c>
      <c r="FF80" s="40">
        <f t="shared" si="1210"/>
        <v>0</v>
      </c>
      <c r="FG80" s="41">
        <f t="shared" si="1156"/>
        <v>0</v>
      </c>
      <c r="FH80" s="41">
        <f t="shared" si="1157"/>
        <v>0</v>
      </c>
      <c r="FI80" s="41">
        <f t="shared" si="1158"/>
        <v>0</v>
      </c>
      <c r="FJ80" s="44">
        <v>1</v>
      </c>
      <c r="FK80" s="45">
        <v>0.2</v>
      </c>
      <c r="FL80" s="503">
        <v>0.8</v>
      </c>
      <c r="FM80" s="45">
        <v>0.1</v>
      </c>
      <c r="FN80" s="503">
        <v>0.5</v>
      </c>
      <c r="FO80" s="45">
        <f t="shared" si="1325"/>
        <v>0.1</v>
      </c>
      <c r="FP80" s="45">
        <f t="shared" si="1326"/>
        <v>1</v>
      </c>
      <c r="FQ80" s="45">
        <v>1</v>
      </c>
      <c r="FR80" s="45">
        <v>0</v>
      </c>
      <c r="FS80" s="108">
        <f t="shared" si="1327"/>
        <v>1E-3</v>
      </c>
      <c r="FT80" s="45">
        <f t="shared" si="1328"/>
        <v>0.05</v>
      </c>
      <c r="FU80" s="44">
        <v>0.05</v>
      </c>
      <c r="FV80" s="100">
        <f t="shared" si="1211"/>
        <v>2.4224999999999997E-2</v>
      </c>
      <c r="FW80" s="45">
        <v>0.1</v>
      </c>
      <c r="FX80" s="102">
        <f t="shared" si="1212"/>
        <v>9.0000000000000011E-2</v>
      </c>
      <c r="FY80" s="44">
        <v>0.45</v>
      </c>
      <c r="FZ80" s="100">
        <f t="shared" si="1329"/>
        <v>1.4025000000000001E-2</v>
      </c>
      <c r="GA80" s="45">
        <v>0.45</v>
      </c>
      <c r="GB80" s="102">
        <f t="shared" si="1330"/>
        <v>5.5000000000000007E-2</v>
      </c>
      <c r="GC80" s="103">
        <f t="shared" si="1213"/>
        <v>0</v>
      </c>
      <c r="GD80" s="79">
        <f t="shared" si="1159"/>
        <v>0</v>
      </c>
      <c r="GE80" s="79">
        <f t="shared" si="1214"/>
        <v>0</v>
      </c>
      <c r="GF80" s="79">
        <f t="shared" si="1160"/>
        <v>0</v>
      </c>
      <c r="GG80" s="79">
        <v>0</v>
      </c>
      <c r="GH80" s="139">
        <v>0</v>
      </c>
      <c r="GI80" s="79">
        <f t="shared" si="1094"/>
        <v>0</v>
      </c>
      <c r="GJ80" s="79">
        <f t="shared" si="1095"/>
        <v>0</v>
      </c>
      <c r="GK80" s="79">
        <f t="shared" si="1096"/>
        <v>0</v>
      </c>
      <c r="GL80" s="79">
        <f t="shared" si="1097"/>
        <v>0</v>
      </c>
      <c r="GM80" s="79">
        <f t="shared" si="1098"/>
        <v>0</v>
      </c>
      <c r="GN80" s="139">
        <f t="shared" si="1099"/>
        <v>0</v>
      </c>
      <c r="GO80" s="79">
        <f t="shared" si="1331"/>
        <v>0</v>
      </c>
      <c r="GP80" s="104">
        <f t="shared" si="1332"/>
        <v>0</v>
      </c>
      <c r="GQ80" s="41">
        <f t="shared" si="1333"/>
        <v>0</v>
      </c>
      <c r="GR80" s="41">
        <f t="shared" si="1334"/>
        <v>0</v>
      </c>
      <c r="GS80" s="79">
        <f t="shared" si="1031"/>
        <v>0</v>
      </c>
      <c r="GT80" s="79">
        <f t="shared" si="1032"/>
        <v>0</v>
      </c>
      <c r="GU80" s="79">
        <f t="shared" si="1033"/>
        <v>0</v>
      </c>
      <c r="GV80" s="139">
        <f t="shared" si="1034"/>
        <v>0</v>
      </c>
      <c r="GW80" s="41">
        <f t="shared" si="1162"/>
        <v>0</v>
      </c>
      <c r="GX80" s="41">
        <f t="shared" si="1163"/>
        <v>0</v>
      </c>
      <c r="GY80" s="41">
        <f t="shared" si="1192"/>
        <v>0</v>
      </c>
      <c r="GZ80" s="41">
        <f t="shared" si="1193"/>
        <v>0</v>
      </c>
      <c r="HA80" s="41">
        <f t="shared" si="1194"/>
        <v>0</v>
      </c>
      <c r="HB80" s="143">
        <f t="shared" si="1195"/>
        <v>0</v>
      </c>
      <c r="HC80" s="79">
        <f t="shared" si="1335"/>
        <v>0</v>
      </c>
      <c r="HD80" s="42">
        <f t="shared" si="1336"/>
        <v>0</v>
      </c>
      <c r="HE80" s="527"/>
      <c r="HF80" s="532">
        <f t="shared" si="1215"/>
        <v>0</v>
      </c>
      <c r="HG80" s="532">
        <f t="shared" si="1216"/>
        <v>0</v>
      </c>
      <c r="HH80" s="532">
        <f t="shared" si="1217"/>
        <v>0</v>
      </c>
      <c r="HI80" s="532">
        <f t="shared" si="1218"/>
        <v>0</v>
      </c>
      <c r="HJ80" s="532">
        <f t="shared" si="1219"/>
        <v>0</v>
      </c>
      <c r="HK80" s="533">
        <f t="shared" si="1220"/>
        <v>0</v>
      </c>
      <c r="HL80" s="532">
        <f t="shared" si="1221"/>
        <v>0</v>
      </c>
      <c r="HM80" s="532">
        <f t="shared" si="1222"/>
        <v>0</v>
      </c>
      <c r="HN80" s="532">
        <f t="shared" si="1223"/>
        <v>0</v>
      </c>
      <c r="HO80" s="532">
        <f t="shared" si="1224"/>
        <v>0</v>
      </c>
      <c r="HP80" s="532">
        <f t="shared" si="1225"/>
        <v>0</v>
      </c>
      <c r="HQ80" s="533">
        <f t="shared" si="1226"/>
        <v>0</v>
      </c>
      <c r="HR80" s="532">
        <f t="shared" si="1337"/>
        <v>0</v>
      </c>
      <c r="HS80" s="532">
        <f t="shared" si="1227"/>
        <v>3.9703300000000006</v>
      </c>
      <c r="HT80" s="532">
        <f t="shared" si="1228"/>
        <v>0</v>
      </c>
      <c r="HU80" s="532">
        <f t="shared" si="1229"/>
        <v>0</v>
      </c>
      <c r="HV80" s="532">
        <f t="shared" si="1230"/>
        <v>0</v>
      </c>
      <c r="HW80" s="533">
        <f t="shared" si="1231"/>
        <v>35.732970000000009</v>
      </c>
      <c r="IG80" s="560"/>
      <c r="IH80" s="532">
        <f t="shared" si="1338"/>
        <v>0</v>
      </c>
      <c r="II80" s="532">
        <f t="shared" si="1339"/>
        <v>0</v>
      </c>
      <c r="IJ80" s="532">
        <f t="shared" si="1340"/>
        <v>0</v>
      </c>
      <c r="IK80" s="532">
        <f t="shared" si="1341"/>
        <v>0</v>
      </c>
      <c r="IL80" s="532">
        <f t="shared" si="1342"/>
        <v>0</v>
      </c>
      <c r="IM80" s="532">
        <f t="shared" si="1343"/>
        <v>0</v>
      </c>
      <c r="IN80" s="532">
        <f t="shared" si="1344"/>
        <v>0</v>
      </c>
      <c r="IO80" s="532">
        <f t="shared" si="1345"/>
        <v>0</v>
      </c>
      <c r="IP80" s="532">
        <f t="shared" si="1346"/>
        <v>0</v>
      </c>
      <c r="IQ80" s="532">
        <f t="shared" si="1347"/>
        <v>0</v>
      </c>
      <c r="IR80" s="532">
        <f t="shared" si="1348"/>
        <v>0</v>
      </c>
      <c r="IS80" s="532">
        <f t="shared" si="1349"/>
        <v>0</v>
      </c>
      <c r="IT80" s="532">
        <f t="shared" si="1350"/>
        <v>0</v>
      </c>
      <c r="IU80" s="534">
        <f t="shared" si="1351"/>
        <v>0</v>
      </c>
      <c r="IV80" s="545">
        <f t="shared" si="1352"/>
        <v>0</v>
      </c>
      <c r="IW80" s="545">
        <f t="shared" si="1353"/>
        <v>0</v>
      </c>
      <c r="IX80" s="532">
        <f t="shared" si="1232"/>
        <v>0</v>
      </c>
      <c r="IY80" s="532">
        <f t="shared" si="1233"/>
        <v>0</v>
      </c>
      <c r="IZ80" s="532">
        <f t="shared" si="1234"/>
        <v>0</v>
      </c>
      <c r="JA80" s="532">
        <f t="shared" si="1235"/>
        <v>0</v>
      </c>
      <c r="JB80" s="532">
        <f t="shared" si="1236"/>
        <v>0</v>
      </c>
      <c r="JC80" s="532">
        <f t="shared" si="1354"/>
        <v>0</v>
      </c>
      <c r="JD80" s="532">
        <f t="shared" si="1355"/>
        <v>0</v>
      </c>
      <c r="JE80" s="532">
        <f t="shared" si="1237"/>
        <v>0</v>
      </c>
      <c r="JF80" s="532">
        <f t="shared" si="1238"/>
        <v>0</v>
      </c>
      <c r="JG80" s="532">
        <f t="shared" si="1239"/>
        <v>0</v>
      </c>
      <c r="JH80" s="532">
        <f t="shared" si="1240"/>
        <v>0</v>
      </c>
      <c r="JI80" s="553">
        <f t="shared" si="1241"/>
        <v>0</v>
      </c>
      <c r="JJ80" s="545">
        <f t="shared" si="1356"/>
        <v>0</v>
      </c>
      <c r="JK80" s="545">
        <f t="shared" si="1357"/>
        <v>0</v>
      </c>
      <c r="JL80" s="532">
        <f t="shared" si="1242"/>
        <v>0</v>
      </c>
      <c r="JM80" s="532">
        <f t="shared" si="1243"/>
        <v>0</v>
      </c>
      <c r="JN80" s="532">
        <f t="shared" si="1244"/>
        <v>0</v>
      </c>
      <c r="JO80" s="532">
        <f t="shared" si="1245"/>
        <v>0</v>
      </c>
      <c r="JP80" s="532">
        <f t="shared" si="1246"/>
        <v>0</v>
      </c>
      <c r="JQ80" s="532">
        <f t="shared" si="1358"/>
        <v>0</v>
      </c>
      <c r="JR80" s="532">
        <f t="shared" si="1359"/>
        <v>0</v>
      </c>
      <c r="JS80" s="545">
        <f t="shared" si="1247"/>
        <v>0</v>
      </c>
      <c r="JT80" s="545">
        <f t="shared" si="1248"/>
        <v>0</v>
      </c>
      <c r="JU80" s="545">
        <f t="shared" si="1249"/>
        <v>0</v>
      </c>
      <c r="JV80" s="545">
        <f t="shared" si="1250"/>
        <v>0</v>
      </c>
      <c r="JW80" s="554">
        <f t="shared" si="1251"/>
        <v>0</v>
      </c>
      <c r="JX80" s="545">
        <f t="shared" si="1360"/>
        <v>0</v>
      </c>
      <c r="JY80" s="545">
        <f t="shared" si="1361"/>
        <v>0</v>
      </c>
      <c r="JZ80" s="532">
        <f t="shared" si="1252"/>
        <v>0</v>
      </c>
      <c r="KA80" s="532">
        <f t="shared" si="1253"/>
        <v>0</v>
      </c>
      <c r="KB80" s="532">
        <f t="shared" si="1254"/>
        <v>0</v>
      </c>
      <c r="KC80" s="532">
        <f t="shared" si="1255"/>
        <v>0</v>
      </c>
      <c r="KD80" s="532">
        <f t="shared" si="1256"/>
        <v>0</v>
      </c>
      <c r="KE80" s="532">
        <f t="shared" si="1362"/>
        <v>0</v>
      </c>
      <c r="KF80" s="532">
        <f t="shared" si="1363"/>
        <v>0</v>
      </c>
      <c r="KG80" s="532">
        <f t="shared" si="1257"/>
        <v>0</v>
      </c>
      <c r="KH80" s="532">
        <f t="shared" si="1258"/>
        <v>0</v>
      </c>
      <c r="KI80" s="532">
        <f t="shared" si="1259"/>
        <v>0</v>
      </c>
      <c r="KJ80" s="532">
        <f t="shared" si="1260"/>
        <v>0</v>
      </c>
      <c r="KK80" s="534">
        <f t="shared" si="1261"/>
        <v>0</v>
      </c>
      <c r="KL80" s="545">
        <f t="shared" si="1364"/>
        <v>0</v>
      </c>
      <c r="KM80" s="545">
        <f t="shared" si="1365"/>
        <v>0</v>
      </c>
      <c r="KN80" s="532">
        <f t="shared" si="1262"/>
        <v>0</v>
      </c>
      <c r="KO80" s="532">
        <f t="shared" si="1263"/>
        <v>0</v>
      </c>
      <c r="KP80" s="532">
        <f t="shared" si="1264"/>
        <v>0</v>
      </c>
      <c r="KQ80" s="532">
        <f t="shared" si="1265"/>
        <v>0</v>
      </c>
      <c r="KR80" s="532">
        <f t="shared" si="1266"/>
        <v>0</v>
      </c>
      <c r="KS80" s="532">
        <f t="shared" si="1366"/>
        <v>0</v>
      </c>
      <c r="KT80" s="532">
        <f t="shared" si="1367"/>
        <v>0</v>
      </c>
      <c r="KU80" s="532">
        <f t="shared" si="1267"/>
        <v>0</v>
      </c>
      <c r="KV80" s="532">
        <f t="shared" si="1268"/>
        <v>0</v>
      </c>
      <c r="KW80" s="532">
        <f t="shared" si="1269"/>
        <v>0</v>
      </c>
      <c r="KX80" s="532">
        <f t="shared" si="1270"/>
        <v>0</v>
      </c>
      <c r="KY80" s="553">
        <f t="shared" si="1271"/>
        <v>0</v>
      </c>
      <c r="KZ80" s="545">
        <f t="shared" si="1368"/>
        <v>0</v>
      </c>
      <c r="LA80" s="545">
        <f t="shared" si="1369"/>
        <v>0</v>
      </c>
      <c r="LB80" s="532">
        <f t="shared" si="1272"/>
        <v>0</v>
      </c>
      <c r="LC80" s="532">
        <f t="shared" si="1273"/>
        <v>0</v>
      </c>
      <c r="LD80" s="532">
        <f t="shared" si="1274"/>
        <v>0</v>
      </c>
      <c r="LE80" s="532">
        <f t="shared" si="1275"/>
        <v>0</v>
      </c>
      <c r="LF80" s="532">
        <f t="shared" si="1276"/>
        <v>0</v>
      </c>
      <c r="LG80" s="532">
        <f t="shared" si="1370"/>
        <v>0</v>
      </c>
      <c r="LH80" s="532">
        <f t="shared" si="1371"/>
        <v>0</v>
      </c>
      <c r="LI80" s="545">
        <f t="shared" si="1277"/>
        <v>0</v>
      </c>
      <c r="LJ80" s="545">
        <f t="shared" si="1278"/>
        <v>0</v>
      </c>
      <c r="LK80" s="545">
        <f t="shared" si="1279"/>
        <v>0</v>
      </c>
      <c r="LL80" s="545">
        <f t="shared" si="1280"/>
        <v>0</v>
      </c>
      <c r="LM80" s="554">
        <f t="shared" si="1281"/>
        <v>0</v>
      </c>
      <c r="LN80" s="545">
        <f t="shared" si="1372"/>
        <v>0</v>
      </c>
      <c r="LO80" s="545">
        <f t="shared" si="1373"/>
        <v>0</v>
      </c>
      <c r="LP80" s="532">
        <f t="shared" si="1282"/>
        <v>0</v>
      </c>
      <c r="LQ80" s="532">
        <f t="shared" si="1283"/>
        <v>0</v>
      </c>
      <c r="LR80" s="532">
        <f t="shared" si="1284"/>
        <v>0</v>
      </c>
      <c r="LS80" s="532">
        <f t="shared" si="1285"/>
        <v>0</v>
      </c>
      <c r="LT80" s="532">
        <f t="shared" si="1286"/>
        <v>0</v>
      </c>
      <c r="LU80" s="532">
        <f t="shared" si="1374"/>
        <v>0.23821980000000004</v>
      </c>
      <c r="LV80" s="532">
        <f t="shared" si="1375"/>
        <v>0.11910990000000002</v>
      </c>
      <c r="LW80" s="532">
        <f t="shared" si="1287"/>
        <v>0.27792310000000009</v>
      </c>
      <c r="LX80" s="532">
        <f t="shared" si="1288"/>
        <v>0.23821980000000004</v>
      </c>
      <c r="LY80" s="532">
        <f t="shared" si="1289"/>
        <v>3.9266563700000008</v>
      </c>
      <c r="LZ80" s="532">
        <f t="shared" si="1290"/>
        <v>3.9703300000000004E-2</v>
      </c>
      <c r="MA80" s="558">
        <f t="shared" si="1291"/>
        <v>3.9703300000000004E-2</v>
      </c>
      <c r="MB80" s="545">
        <f t="shared" si="1376"/>
        <v>0</v>
      </c>
      <c r="MC80" s="545">
        <f t="shared" si="1377"/>
        <v>0</v>
      </c>
      <c r="MD80" s="532">
        <f t="shared" si="1292"/>
        <v>0</v>
      </c>
      <c r="ME80" s="532">
        <f t="shared" si="1293"/>
        <v>0</v>
      </c>
      <c r="MF80" s="532">
        <f t="shared" si="1294"/>
        <v>0</v>
      </c>
      <c r="MG80" s="532">
        <f t="shared" si="1295"/>
        <v>0</v>
      </c>
      <c r="MH80" s="532">
        <f t="shared" si="1296"/>
        <v>0</v>
      </c>
      <c r="MI80" s="532">
        <f t="shared" si="1378"/>
        <v>0</v>
      </c>
      <c r="MJ80" s="532">
        <f t="shared" si="1379"/>
        <v>0</v>
      </c>
      <c r="MK80" s="532">
        <f t="shared" si="1297"/>
        <v>0</v>
      </c>
      <c r="ML80" s="532">
        <f t="shared" si="1298"/>
        <v>0</v>
      </c>
      <c r="MM80" s="532">
        <f t="shared" si="1299"/>
        <v>0</v>
      </c>
      <c r="MN80" s="532">
        <f t="shared" si="1300"/>
        <v>0</v>
      </c>
      <c r="MO80" s="558">
        <f t="shared" si="1301"/>
        <v>0</v>
      </c>
      <c r="MP80" s="545">
        <f t="shared" si="1380"/>
        <v>0</v>
      </c>
      <c r="MQ80" s="545">
        <f t="shared" si="1381"/>
        <v>0</v>
      </c>
      <c r="MR80" s="532">
        <f t="shared" si="1302"/>
        <v>0</v>
      </c>
      <c r="MS80" s="532">
        <f t="shared" si="1303"/>
        <v>0</v>
      </c>
      <c r="MT80" s="532">
        <f t="shared" si="1304"/>
        <v>0</v>
      </c>
      <c r="MU80" s="532">
        <f t="shared" si="1305"/>
        <v>0</v>
      </c>
      <c r="MV80" s="532">
        <f t="shared" si="1306"/>
        <v>0</v>
      </c>
      <c r="MW80" s="532">
        <f t="shared" si="1382"/>
        <v>2.1439782000000003</v>
      </c>
      <c r="MX80" s="532">
        <f t="shared" si="1383"/>
        <v>1.0719891000000001</v>
      </c>
      <c r="MY80" s="545">
        <f t="shared" si="1307"/>
        <v>2.5013079000000009</v>
      </c>
      <c r="MZ80" s="545">
        <f t="shared" si="1308"/>
        <v>2.1439782000000003</v>
      </c>
      <c r="NA80" s="545">
        <f t="shared" si="1309"/>
        <v>35.33990733000001</v>
      </c>
      <c r="NB80" s="545">
        <f t="shared" si="1310"/>
        <v>0.35732970000000008</v>
      </c>
      <c r="NC80" s="554">
        <f t="shared" si="1311"/>
        <v>0.35732970000000008</v>
      </c>
      <c r="NL80" s="106"/>
    </row>
    <row r="81" spans="1:376" x14ac:dyDescent="0.25">
      <c r="A81" s="12">
        <v>2026</v>
      </c>
      <c r="B81" s="13">
        <v>0</v>
      </c>
      <c r="C81" s="14">
        <v>0</v>
      </c>
      <c r="D81" s="14">
        <v>0</v>
      </c>
      <c r="E81" s="658">
        <v>0</v>
      </c>
      <c r="F81" s="14">
        <f t="shared" si="1164"/>
        <v>0</v>
      </c>
      <c r="G81" s="14">
        <f t="shared" si="1165"/>
        <v>0</v>
      </c>
      <c r="H81" s="14">
        <f t="shared" si="1100"/>
        <v>0</v>
      </c>
      <c r="I81" s="14">
        <f t="shared" si="1101"/>
        <v>0</v>
      </c>
      <c r="J81" s="14">
        <v>0</v>
      </c>
      <c r="K81" s="917">
        <f t="shared" si="1197"/>
        <v>39.703300000000006</v>
      </c>
      <c r="L81" s="14">
        <f t="shared" si="1204"/>
        <v>0</v>
      </c>
      <c r="M81" s="17">
        <f t="shared" si="1102"/>
        <v>0</v>
      </c>
      <c r="N81" s="198">
        <v>2E-3</v>
      </c>
      <c r="O81" s="120">
        <v>0</v>
      </c>
      <c r="P81" s="120">
        <v>0</v>
      </c>
      <c r="Q81" s="199">
        <v>6.0000000000000001E-3</v>
      </c>
      <c r="R81" s="120">
        <v>0</v>
      </c>
      <c r="S81" s="120">
        <v>2.7000000000000001E-3</v>
      </c>
      <c r="T81" s="120">
        <v>0</v>
      </c>
      <c r="U81" s="120">
        <v>1.18E-2</v>
      </c>
      <c r="V81" s="119">
        <v>1.0000000000000001E-5</v>
      </c>
      <c r="W81" s="120">
        <v>2.9999999999999997E-4</v>
      </c>
      <c r="X81" s="105">
        <v>0</v>
      </c>
      <c r="Y81" s="105">
        <v>3.1E-2</v>
      </c>
      <c r="Z81" s="488">
        <v>5.2999999999999999E-2</v>
      </c>
      <c r="AA81" s="105">
        <f t="shared" si="1312"/>
        <v>0.1</v>
      </c>
      <c r="AB81" s="105">
        <f t="shared" si="1313"/>
        <v>0</v>
      </c>
      <c r="AC81" s="105">
        <f t="shared" si="1314"/>
        <v>0.9</v>
      </c>
      <c r="AD81" s="82">
        <f t="shared" si="1166"/>
        <v>0</v>
      </c>
      <c r="AE81" s="79">
        <f t="shared" si="1167"/>
        <v>0</v>
      </c>
      <c r="AF81" s="79">
        <f t="shared" si="1168"/>
        <v>0</v>
      </c>
      <c r="AG81" s="79">
        <f t="shared" si="1169"/>
        <v>0</v>
      </c>
      <c r="AH81" s="79">
        <f t="shared" si="1170"/>
        <v>0</v>
      </c>
      <c r="AI81" s="79">
        <f t="shared" si="1171"/>
        <v>0</v>
      </c>
      <c r="AJ81" s="138">
        <f t="shared" si="1103"/>
        <v>0</v>
      </c>
      <c r="AK81" s="79">
        <f t="shared" si="1104"/>
        <v>0</v>
      </c>
      <c r="AL81" s="79">
        <f t="shared" si="1105"/>
        <v>0</v>
      </c>
      <c r="AM81" s="79">
        <f t="shared" si="1106"/>
        <v>0</v>
      </c>
      <c r="AN81" s="79">
        <f t="shared" si="1107"/>
        <v>0</v>
      </c>
      <c r="AO81" s="139">
        <f t="shared" si="1108"/>
        <v>0</v>
      </c>
      <c r="AP81" s="79">
        <f t="shared" si="1172"/>
        <v>0</v>
      </c>
      <c r="AQ81" s="79">
        <f t="shared" si="1172"/>
        <v>0</v>
      </c>
      <c r="AR81" s="79">
        <f t="shared" si="1172"/>
        <v>0</v>
      </c>
      <c r="AS81" s="79">
        <f t="shared" si="1172"/>
        <v>0</v>
      </c>
      <c r="AT81" s="79">
        <f t="shared" si="1172"/>
        <v>0</v>
      </c>
      <c r="AU81" s="104">
        <f t="shared" si="1172"/>
        <v>0</v>
      </c>
      <c r="AV81" s="82">
        <f t="shared" si="1110"/>
        <v>0</v>
      </c>
      <c r="AW81" s="79">
        <f t="shared" si="1111"/>
        <v>0</v>
      </c>
      <c r="AX81" s="79">
        <f t="shared" si="1112"/>
        <v>0</v>
      </c>
      <c r="AY81" s="79">
        <f t="shared" si="1113"/>
        <v>0</v>
      </c>
      <c r="AZ81" s="79">
        <f t="shared" si="1114"/>
        <v>0</v>
      </c>
      <c r="BA81" s="79">
        <f t="shared" si="1115"/>
        <v>0</v>
      </c>
      <c r="BB81" s="138">
        <f t="shared" si="1116"/>
        <v>0</v>
      </c>
      <c r="BC81" s="79">
        <f t="shared" si="1117"/>
        <v>0</v>
      </c>
      <c r="BD81" s="79">
        <f t="shared" si="1118"/>
        <v>0</v>
      </c>
      <c r="BE81" s="79">
        <f t="shared" si="1119"/>
        <v>0</v>
      </c>
      <c r="BF81" s="79">
        <f t="shared" si="1120"/>
        <v>0</v>
      </c>
      <c r="BG81" s="79">
        <f t="shared" si="1121"/>
        <v>0</v>
      </c>
      <c r="BH81" s="79">
        <f t="shared" si="1122"/>
        <v>0</v>
      </c>
      <c r="BI81" s="79">
        <f t="shared" si="1122"/>
        <v>0</v>
      </c>
      <c r="BJ81" s="79">
        <f t="shared" si="1122"/>
        <v>0</v>
      </c>
      <c r="BK81" s="79">
        <f t="shared" si="1122"/>
        <v>0</v>
      </c>
      <c r="BL81" s="79">
        <f t="shared" si="1122"/>
        <v>0</v>
      </c>
      <c r="BM81" s="79">
        <f t="shared" si="1122"/>
        <v>0</v>
      </c>
      <c r="BN81" s="82">
        <f t="shared" si="1123"/>
        <v>0</v>
      </c>
      <c r="BO81" s="79">
        <f t="shared" si="1124"/>
        <v>0</v>
      </c>
      <c r="BP81" s="79">
        <f t="shared" si="1125"/>
        <v>0</v>
      </c>
      <c r="BQ81" s="79">
        <f t="shared" si="1126"/>
        <v>0</v>
      </c>
      <c r="BR81" s="79">
        <f t="shared" si="1127"/>
        <v>0</v>
      </c>
      <c r="BS81" s="79">
        <f t="shared" si="1128"/>
        <v>0</v>
      </c>
      <c r="BT81" s="138">
        <f t="shared" si="1129"/>
        <v>0</v>
      </c>
      <c r="BU81" s="79">
        <f t="shared" si="1130"/>
        <v>0</v>
      </c>
      <c r="BV81" s="79">
        <f t="shared" si="1131"/>
        <v>0</v>
      </c>
      <c r="BW81" s="79">
        <f t="shared" si="1132"/>
        <v>0</v>
      </c>
      <c r="BX81" s="79">
        <f t="shared" si="1133"/>
        <v>0</v>
      </c>
      <c r="BY81" s="79">
        <f t="shared" si="1134"/>
        <v>0</v>
      </c>
      <c r="BZ81" s="138">
        <f t="shared" si="1135"/>
        <v>0</v>
      </c>
      <c r="CA81" s="79">
        <f t="shared" si="1135"/>
        <v>0</v>
      </c>
      <c r="CB81" s="79">
        <f t="shared" si="1135"/>
        <v>0</v>
      </c>
      <c r="CC81" s="79">
        <f t="shared" si="1135"/>
        <v>0</v>
      </c>
      <c r="CD81" s="79">
        <f t="shared" si="1135"/>
        <v>0</v>
      </c>
      <c r="CE81" s="535">
        <f t="shared" si="1135"/>
        <v>0</v>
      </c>
      <c r="CF81" s="79">
        <f t="shared" si="1315"/>
        <v>0</v>
      </c>
      <c r="CG81" s="79">
        <f t="shared" si="1198"/>
        <v>3.9703300000000006</v>
      </c>
      <c r="CH81" s="79">
        <f t="shared" si="1316"/>
        <v>0</v>
      </c>
      <c r="CI81" s="79">
        <f t="shared" si="1199"/>
        <v>0</v>
      </c>
      <c r="CJ81" s="79">
        <f t="shared" si="1317"/>
        <v>0</v>
      </c>
      <c r="CK81" s="79">
        <f t="shared" si="1200"/>
        <v>35.732970000000009</v>
      </c>
      <c r="CL81" s="3"/>
      <c r="CM81" s="101">
        <f t="shared" si="1205"/>
        <v>0</v>
      </c>
      <c r="CN81" s="99">
        <f t="shared" si="1136"/>
        <v>0</v>
      </c>
      <c r="CO81" s="130">
        <f t="shared" si="1137"/>
        <v>0</v>
      </c>
      <c r="CP81" s="131">
        <f t="shared" si="1201"/>
        <v>0</v>
      </c>
      <c r="CQ81" s="99">
        <f t="shared" si="1202"/>
        <v>0</v>
      </c>
      <c r="CR81" s="98">
        <f t="shared" si="1202"/>
        <v>0</v>
      </c>
      <c r="CS81" s="44">
        <v>0</v>
      </c>
      <c r="CT81" s="45">
        <v>0</v>
      </c>
      <c r="CU81" s="45">
        <v>1</v>
      </c>
      <c r="CV81" s="100">
        <f t="shared" si="1203"/>
        <v>0</v>
      </c>
      <c r="CW81" s="40">
        <f t="shared" si="1178"/>
        <v>0</v>
      </c>
      <c r="CX81" s="41">
        <f t="shared" si="1179"/>
        <v>0</v>
      </c>
      <c r="CY81" s="79">
        <f t="shared" si="1180"/>
        <v>0</v>
      </c>
      <c r="CZ81" s="139">
        <f t="shared" si="1181"/>
        <v>0</v>
      </c>
      <c r="DA81" s="41">
        <f t="shared" si="1139"/>
        <v>0</v>
      </c>
      <c r="DB81" s="41">
        <f t="shared" si="1140"/>
        <v>0</v>
      </c>
      <c r="DC81" s="41">
        <f t="shared" si="1141"/>
        <v>0</v>
      </c>
      <c r="DD81" s="143">
        <f t="shared" si="1142"/>
        <v>0</v>
      </c>
      <c r="DE81" s="41">
        <f t="shared" si="1206"/>
        <v>0</v>
      </c>
      <c r="DF81" s="41">
        <f t="shared" si="1182"/>
        <v>0</v>
      </c>
      <c r="DG81" s="41">
        <f t="shared" si="1183"/>
        <v>0</v>
      </c>
      <c r="DH81" s="42">
        <f t="shared" si="1184"/>
        <v>0</v>
      </c>
      <c r="DJ81" s="498">
        <v>1</v>
      </c>
      <c r="DK81" s="498">
        <v>0.3</v>
      </c>
      <c r="DL81" s="41">
        <f t="shared" si="1143"/>
        <v>0</v>
      </c>
      <c r="DM81" s="41">
        <f t="shared" si="1144"/>
        <v>0</v>
      </c>
      <c r="DN81" s="41">
        <f t="shared" si="1084"/>
        <v>0</v>
      </c>
      <c r="DO81" s="42">
        <f t="shared" si="1085"/>
        <v>0</v>
      </c>
      <c r="DP81" s="44">
        <v>1</v>
      </c>
      <c r="DQ81" s="45">
        <v>0.1</v>
      </c>
      <c r="DR81" s="45">
        <v>0.5</v>
      </c>
      <c r="DS81" s="682">
        <f t="shared" si="1318"/>
        <v>0.1</v>
      </c>
      <c r="DT81" s="102">
        <f t="shared" si="1319"/>
        <v>1</v>
      </c>
      <c r="DU81" s="45">
        <v>0</v>
      </c>
      <c r="DV81" s="45">
        <v>1</v>
      </c>
      <c r="DW81" s="45">
        <v>0</v>
      </c>
      <c r="DX81" s="45">
        <v>0</v>
      </c>
      <c r="DY81" s="45">
        <v>1</v>
      </c>
      <c r="DZ81" s="45">
        <v>0</v>
      </c>
      <c r="EA81" s="103">
        <f t="shared" si="1320"/>
        <v>0</v>
      </c>
      <c r="EB81" s="79">
        <f t="shared" si="1185"/>
        <v>0</v>
      </c>
      <c r="EC81" s="79">
        <f t="shared" si="1321"/>
        <v>0</v>
      </c>
      <c r="ED81" s="79">
        <f t="shared" si="1186"/>
        <v>0</v>
      </c>
      <c r="EE81" s="79">
        <f t="shared" si="1322"/>
        <v>0</v>
      </c>
      <c r="EF81" s="79">
        <f t="shared" si="1187"/>
        <v>0</v>
      </c>
      <c r="EG81" s="138">
        <f t="shared" si="1145"/>
        <v>0</v>
      </c>
      <c r="EH81" s="79">
        <f t="shared" si="1146"/>
        <v>0</v>
      </c>
      <c r="EI81" s="79">
        <f t="shared" si="1147"/>
        <v>0</v>
      </c>
      <c r="EJ81" s="79">
        <f t="shared" si="1148"/>
        <v>0</v>
      </c>
      <c r="EK81" s="79">
        <f t="shared" si="1149"/>
        <v>0</v>
      </c>
      <c r="EL81" s="139">
        <f t="shared" si="1150"/>
        <v>0</v>
      </c>
      <c r="EM81" s="79">
        <f t="shared" si="1323"/>
        <v>0</v>
      </c>
      <c r="EN81" s="83">
        <f t="shared" si="1324"/>
        <v>0</v>
      </c>
      <c r="EP81" s="103">
        <f t="shared" si="1207"/>
        <v>0</v>
      </c>
      <c r="EQ81" s="79">
        <f t="shared" si="1151"/>
        <v>0</v>
      </c>
      <c r="ER81" s="79">
        <f t="shared" si="1208"/>
        <v>0</v>
      </c>
      <c r="ES81" s="79">
        <f t="shared" si="1152"/>
        <v>0</v>
      </c>
      <c r="ET81" s="79">
        <f t="shared" si="1209"/>
        <v>0</v>
      </c>
      <c r="EU81" s="79">
        <f t="shared" si="1153"/>
        <v>0</v>
      </c>
      <c r="EV81" s="138">
        <f t="shared" si="1086"/>
        <v>0</v>
      </c>
      <c r="EW81" s="79">
        <f t="shared" si="1087"/>
        <v>0</v>
      </c>
      <c r="EX81" s="79">
        <f t="shared" si="1088"/>
        <v>0</v>
      </c>
      <c r="EY81" s="79">
        <f t="shared" si="1089"/>
        <v>0</v>
      </c>
      <c r="EZ81" s="79">
        <f t="shared" si="1090"/>
        <v>0</v>
      </c>
      <c r="FA81" s="104">
        <f t="shared" si="1091"/>
        <v>0</v>
      </c>
      <c r="FB81" s="40">
        <f t="shared" si="1188"/>
        <v>0</v>
      </c>
      <c r="FC81" s="41">
        <f t="shared" si="1189"/>
        <v>0</v>
      </c>
      <c r="FD81" s="41">
        <f t="shared" si="1154"/>
        <v>0</v>
      </c>
      <c r="FE81" s="41">
        <f t="shared" si="1155"/>
        <v>0</v>
      </c>
      <c r="FF81" s="40">
        <f t="shared" si="1210"/>
        <v>0</v>
      </c>
      <c r="FG81" s="41">
        <f t="shared" si="1156"/>
        <v>0</v>
      </c>
      <c r="FH81" s="41">
        <f t="shared" si="1157"/>
        <v>0</v>
      </c>
      <c r="FI81" s="41">
        <f t="shared" si="1158"/>
        <v>0</v>
      </c>
      <c r="FJ81" s="44">
        <v>1</v>
      </c>
      <c r="FK81" s="45">
        <v>0.2</v>
      </c>
      <c r="FL81" s="503">
        <v>0.8</v>
      </c>
      <c r="FM81" s="45">
        <v>0.1</v>
      </c>
      <c r="FN81" s="503">
        <v>0.5</v>
      </c>
      <c r="FO81" s="45">
        <f t="shared" si="1325"/>
        <v>0.1</v>
      </c>
      <c r="FP81" s="45">
        <f t="shared" si="1326"/>
        <v>1</v>
      </c>
      <c r="FQ81" s="45">
        <v>1</v>
      </c>
      <c r="FR81" s="45">
        <v>0</v>
      </c>
      <c r="FS81" s="108">
        <f t="shared" si="1327"/>
        <v>1E-3</v>
      </c>
      <c r="FT81" s="45">
        <f t="shared" si="1328"/>
        <v>0.05</v>
      </c>
      <c r="FU81" s="44">
        <v>0.05</v>
      </c>
      <c r="FV81" s="100">
        <f t="shared" si="1211"/>
        <v>2.4224999999999997E-2</v>
      </c>
      <c r="FW81" s="45">
        <v>0.1</v>
      </c>
      <c r="FX81" s="102">
        <f t="shared" si="1212"/>
        <v>9.0000000000000011E-2</v>
      </c>
      <c r="FY81" s="44">
        <v>0.45</v>
      </c>
      <c r="FZ81" s="100">
        <f t="shared" si="1329"/>
        <v>1.4025000000000001E-2</v>
      </c>
      <c r="GA81" s="45">
        <v>0.45</v>
      </c>
      <c r="GB81" s="102">
        <f t="shared" si="1330"/>
        <v>5.5000000000000007E-2</v>
      </c>
      <c r="GC81" s="103">
        <f t="shared" si="1213"/>
        <v>0</v>
      </c>
      <c r="GD81" s="79">
        <f t="shared" si="1159"/>
        <v>0</v>
      </c>
      <c r="GE81" s="79">
        <f t="shared" si="1214"/>
        <v>0</v>
      </c>
      <c r="GF81" s="79">
        <f t="shared" si="1160"/>
        <v>0</v>
      </c>
      <c r="GG81" s="79">
        <v>0</v>
      </c>
      <c r="GH81" s="139">
        <v>0</v>
      </c>
      <c r="GI81" s="79">
        <f t="shared" si="1094"/>
        <v>0</v>
      </c>
      <c r="GJ81" s="79">
        <f t="shared" si="1095"/>
        <v>0</v>
      </c>
      <c r="GK81" s="79">
        <f t="shared" si="1096"/>
        <v>0</v>
      </c>
      <c r="GL81" s="79">
        <f t="shared" si="1097"/>
        <v>0</v>
      </c>
      <c r="GM81" s="79">
        <f t="shared" si="1098"/>
        <v>0</v>
      </c>
      <c r="GN81" s="139">
        <f t="shared" si="1099"/>
        <v>0</v>
      </c>
      <c r="GO81" s="79">
        <f t="shared" si="1331"/>
        <v>0</v>
      </c>
      <c r="GP81" s="104">
        <f t="shared" si="1332"/>
        <v>0</v>
      </c>
      <c r="GQ81" s="41">
        <f t="shared" si="1333"/>
        <v>0</v>
      </c>
      <c r="GR81" s="41">
        <f t="shared" si="1334"/>
        <v>0</v>
      </c>
      <c r="GS81" s="79">
        <f t="shared" si="1031"/>
        <v>0</v>
      </c>
      <c r="GT81" s="79">
        <f t="shared" si="1032"/>
        <v>0</v>
      </c>
      <c r="GU81" s="79">
        <f t="shared" si="1033"/>
        <v>0</v>
      </c>
      <c r="GV81" s="139">
        <f t="shared" si="1034"/>
        <v>0</v>
      </c>
      <c r="GW81" s="41">
        <f t="shared" si="1162"/>
        <v>0</v>
      </c>
      <c r="GX81" s="41">
        <f t="shared" si="1163"/>
        <v>0</v>
      </c>
      <c r="GY81" s="41">
        <f t="shared" si="1192"/>
        <v>0</v>
      </c>
      <c r="GZ81" s="41">
        <f t="shared" si="1193"/>
        <v>0</v>
      </c>
      <c r="HA81" s="41">
        <f t="shared" si="1194"/>
        <v>0</v>
      </c>
      <c r="HB81" s="143">
        <f t="shared" si="1195"/>
        <v>0</v>
      </c>
      <c r="HC81" s="79">
        <f t="shared" si="1335"/>
        <v>0</v>
      </c>
      <c r="HD81" s="42">
        <f t="shared" si="1336"/>
        <v>0</v>
      </c>
      <c r="HE81" s="527"/>
      <c r="HF81" s="532">
        <f t="shared" si="1215"/>
        <v>0</v>
      </c>
      <c r="HG81" s="532">
        <f t="shared" si="1216"/>
        <v>0</v>
      </c>
      <c r="HH81" s="532">
        <f t="shared" si="1217"/>
        <v>0</v>
      </c>
      <c r="HI81" s="532">
        <f t="shared" si="1218"/>
        <v>0</v>
      </c>
      <c r="HJ81" s="532">
        <f t="shared" si="1219"/>
        <v>0</v>
      </c>
      <c r="HK81" s="533">
        <f t="shared" si="1220"/>
        <v>0</v>
      </c>
      <c r="HL81" s="532">
        <f t="shared" si="1221"/>
        <v>0</v>
      </c>
      <c r="HM81" s="532">
        <f t="shared" si="1222"/>
        <v>0</v>
      </c>
      <c r="HN81" s="532">
        <f t="shared" si="1223"/>
        <v>0</v>
      </c>
      <c r="HO81" s="532">
        <f t="shared" si="1224"/>
        <v>0</v>
      </c>
      <c r="HP81" s="532">
        <f t="shared" si="1225"/>
        <v>0</v>
      </c>
      <c r="HQ81" s="533">
        <f t="shared" si="1226"/>
        <v>0</v>
      </c>
      <c r="HR81" s="532">
        <f t="shared" si="1337"/>
        <v>0</v>
      </c>
      <c r="HS81" s="532">
        <f t="shared" si="1227"/>
        <v>3.9703300000000006</v>
      </c>
      <c r="HT81" s="532">
        <f t="shared" si="1228"/>
        <v>0</v>
      </c>
      <c r="HU81" s="532">
        <f t="shared" si="1229"/>
        <v>0</v>
      </c>
      <c r="HV81" s="532">
        <f t="shared" si="1230"/>
        <v>0</v>
      </c>
      <c r="HW81" s="533">
        <f t="shared" si="1231"/>
        <v>35.732970000000009</v>
      </c>
      <c r="IG81" s="560"/>
      <c r="IH81" s="532">
        <f t="shared" si="1338"/>
        <v>0</v>
      </c>
      <c r="II81" s="532">
        <f t="shared" si="1339"/>
        <v>0</v>
      </c>
      <c r="IJ81" s="532">
        <f t="shared" si="1340"/>
        <v>0</v>
      </c>
      <c r="IK81" s="532">
        <f t="shared" si="1341"/>
        <v>0</v>
      </c>
      <c r="IL81" s="532">
        <f t="shared" si="1342"/>
        <v>0</v>
      </c>
      <c r="IM81" s="532">
        <f t="shared" si="1343"/>
        <v>0</v>
      </c>
      <c r="IN81" s="532">
        <f t="shared" si="1344"/>
        <v>0</v>
      </c>
      <c r="IO81" s="532">
        <f t="shared" si="1345"/>
        <v>0</v>
      </c>
      <c r="IP81" s="532">
        <f t="shared" si="1346"/>
        <v>0</v>
      </c>
      <c r="IQ81" s="532">
        <f t="shared" si="1347"/>
        <v>0</v>
      </c>
      <c r="IR81" s="532">
        <f t="shared" si="1348"/>
        <v>0</v>
      </c>
      <c r="IS81" s="532">
        <f t="shared" si="1349"/>
        <v>0</v>
      </c>
      <c r="IT81" s="532">
        <f t="shared" si="1350"/>
        <v>0</v>
      </c>
      <c r="IU81" s="534">
        <f t="shared" si="1351"/>
        <v>0</v>
      </c>
      <c r="IV81" s="545">
        <f t="shared" si="1352"/>
        <v>0</v>
      </c>
      <c r="IW81" s="545">
        <f t="shared" si="1353"/>
        <v>0</v>
      </c>
      <c r="IX81" s="532">
        <f t="shared" si="1232"/>
        <v>0</v>
      </c>
      <c r="IY81" s="532">
        <f t="shared" si="1233"/>
        <v>0</v>
      </c>
      <c r="IZ81" s="532">
        <f t="shared" si="1234"/>
        <v>0</v>
      </c>
      <c r="JA81" s="532">
        <f t="shared" si="1235"/>
        <v>0</v>
      </c>
      <c r="JB81" s="532">
        <f t="shared" si="1236"/>
        <v>0</v>
      </c>
      <c r="JC81" s="532">
        <f t="shared" si="1354"/>
        <v>0</v>
      </c>
      <c r="JD81" s="532">
        <f t="shared" si="1355"/>
        <v>0</v>
      </c>
      <c r="JE81" s="532">
        <f t="shared" si="1237"/>
        <v>0</v>
      </c>
      <c r="JF81" s="532">
        <f t="shared" si="1238"/>
        <v>0</v>
      </c>
      <c r="JG81" s="532">
        <f t="shared" si="1239"/>
        <v>0</v>
      </c>
      <c r="JH81" s="532">
        <f t="shared" si="1240"/>
        <v>0</v>
      </c>
      <c r="JI81" s="553">
        <f t="shared" si="1241"/>
        <v>0</v>
      </c>
      <c r="JJ81" s="545">
        <f t="shared" si="1356"/>
        <v>0</v>
      </c>
      <c r="JK81" s="545">
        <f t="shared" si="1357"/>
        <v>0</v>
      </c>
      <c r="JL81" s="532">
        <f t="shared" si="1242"/>
        <v>0</v>
      </c>
      <c r="JM81" s="532">
        <f t="shared" si="1243"/>
        <v>0</v>
      </c>
      <c r="JN81" s="532">
        <f t="shared" si="1244"/>
        <v>0</v>
      </c>
      <c r="JO81" s="532">
        <f t="shared" si="1245"/>
        <v>0</v>
      </c>
      <c r="JP81" s="532">
        <f t="shared" si="1246"/>
        <v>0</v>
      </c>
      <c r="JQ81" s="532">
        <f t="shared" si="1358"/>
        <v>0</v>
      </c>
      <c r="JR81" s="532">
        <f t="shared" si="1359"/>
        <v>0</v>
      </c>
      <c r="JS81" s="545">
        <f t="shared" si="1247"/>
        <v>0</v>
      </c>
      <c r="JT81" s="545">
        <f t="shared" si="1248"/>
        <v>0</v>
      </c>
      <c r="JU81" s="545">
        <f t="shared" si="1249"/>
        <v>0</v>
      </c>
      <c r="JV81" s="545">
        <f t="shared" si="1250"/>
        <v>0</v>
      </c>
      <c r="JW81" s="554">
        <f t="shared" si="1251"/>
        <v>0</v>
      </c>
      <c r="JX81" s="545">
        <f t="shared" si="1360"/>
        <v>0</v>
      </c>
      <c r="JY81" s="545">
        <f t="shared" si="1361"/>
        <v>0</v>
      </c>
      <c r="JZ81" s="532">
        <f t="shared" si="1252"/>
        <v>0</v>
      </c>
      <c r="KA81" s="532">
        <f t="shared" si="1253"/>
        <v>0</v>
      </c>
      <c r="KB81" s="532">
        <f t="shared" si="1254"/>
        <v>0</v>
      </c>
      <c r="KC81" s="532">
        <f t="shared" si="1255"/>
        <v>0</v>
      </c>
      <c r="KD81" s="532">
        <f t="shared" si="1256"/>
        <v>0</v>
      </c>
      <c r="KE81" s="532">
        <f t="shared" si="1362"/>
        <v>0</v>
      </c>
      <c r="KF81" s="532">
        <f t="shared" si="1363"/>
        <v>0</v>
      </c>
      <c r="KG81" s="532">
        <f t="shared" si="1257"/>
        <v>0</v>
      </c>
      <c r="KH81" s="532">
        <f t="shared" si="1258"/>
        <v>0</v>
      </c>
      <c r="KI81" s="532">
        <f t="shared" si="1259"/>
        <v>0</v>
      </c>
      <c r="KJ81" s="532">
        <f t="shared" si="1260"/>
        <v>0</v>
      </c>
      <c r="KK81" s="534">
        <f t="shared" si="1261"/>
        <v>0</v>
      </c>
      <c r="KL81" s="545">
        <f t="shared" si="1364"/>
        <v>0</v>
      </c>
      <c r="KM81" s="545">
        <f t="shared" si="1365"/>
        <v>0</v>
      </c>
      <c r="KN81" s="532">
        <f t="shared" si="1262"/>
        <v>0</v>
      </c>
      <c r="KO81" s="532">
        <f t="shared" si="1263"/>
        <v>0</v>
      </c>
      <c r="KP81" s="532">
        <f t="shared" si="1264"/>
        <v>0</v>
      </c>
      <c r="KQ81" s="532">
        <f t="shared" si="1265"/>
        <v>0</v>
      </c>
      <c r="KR81" s="532">
        <f t="shared" si="1266"/>
        <v>0</v>
      </c>
      <c r="KS81" s="532">
        <f t="shared" si="1366"/>
        <v>0</v>
      </c>
      <c r="KT81" s="532">
        <f t="shared" si="1367"/>
        <v>0</v>
      </c>
      <c r="KU81" s="532">
        <f t="shared" si="1267"/>
        <v>0</v>
      </c>
      <c r="KV81" s="532">
        <f t="shared" si="1268"/>
        <v>0</v>
      </c>
      <c r="KW81" s="532">
        <f t="shared" si="1269"/>
        <v>0</v>
      </c>
      <c r="KX81" s="532">
        <f t="shared" si="1270"/>
        <v>0</v>
      </c>
      <c r="KY81" s="553">
        <f t="shared" si="1271"/>
        <v>0</v>
      </c>
      <c r="KZ81" s="545">
        <f t="shared" si="1368"/>
        <v>0</v>
      </c>
      <c r="LA81" s="545">
        <f t="shared" si="1369"/>
        <v>0</v>
      </c>
      <c r="LB81" s="532">
        <f t="shared" si="1272"/>
        <v>0</v>
      </c>
      <c r="LC81" s="532">
        <f t="shared" si="1273"/>
        <v>0</v>
      </c>
      <c r="LD81" s="532">
        <f t="shared" si="1274"/>
        <v>0</v>
      </c>
      <c r="LE81" s="532">
        <f t="shared" si="1275"/>
        <v>0</v>
      </c>
      <c r="LF81" s="532">
        <f t="shared" si="1276"/>
        <v>0</v>
      </c>
      <c r="LG81" s="532">
        <f t="shared" si="1370"/>
        <v>0</v>
      </c>
      <c r="LH81" s="532">
        <f t="shared" si="1371"/>
        <v>0</v>
      </c>
      <c r="LI81" s="545">
        <f t="shared" si="1277"/>
        <v>0</v>
      </c>
      <c r="LJ81" s="545">
        <f t="shared" si="1278"/>
        <v>0</v>
      </c>
      <c r="LK81" s="545">
        <f t="shared" si="1279"/>
        <v>0</v>
      </c>
      <c r="LL81" s="545">
        <f t="shared" si="1280"/>
        <v>0</v>
      </c>
      <c r="LM81" s="554">
        <f t="shared" si="1281"/>
        <v>0</v>
      </c>
      <c r="LN81" s="545">
        <f t="shared" si="1372"/>
        <v>0</v>
      </c>
      <c r="LO81" s="545">
        <f t="shared" si="1373"/>
        <v>0</v>
      </c>
      <c r="LP81" s="532">
        <f t="shared" si="1282"/>
        <v>0</v>
      </c>
      <c r="LQ81" s="532">
        <f t="shared" si="1283"/>
        <v>0</v>
      </c>
      <c r="LR81" s="532">
        <f t="shared" si="1284"/>
        <v>0</v>
      </c>
      <c r="LS81" s="532">
        <f t="shared" si="1285"/>
        <v>0</v>
      </c>
      <c r="LT81" s="532">
        <f t="shared" si="1286"/>
        <v>0</v>
      </c>
      <c r="LU81" s="532">
        <f t="shared" si="1374"/>
        <v>0.23821980000000004</v>
      </c>
      <c r="LV81" s="532">
        <f t="shared" si="1375"/>
        <v>0.11910990000000002</v>
      </c>
      <c r="LW81" s="532">
        <f t="shared" si="1287"/>
        <v>0.27792310000000009</v>
      </c>
      <c r="LX81" s="532">
        <f t="shared" si="1288"/>
        <v>0.23821980000000004</v>
      </c>
      <c r="LY81" s="532">
        <f t="shared" si="1289"/>
        <v>3.9266563700000008</v>
      </c>
      <c r="LZ81" s="532">
        <f t="shared" si="1290"/>
        <v>3.9703300000000004E-2</v>
      </c>
      <c r="MA81" s="558">
        <f t="shared" si="1291"/>
        <v>3.9703300000000004E-2</v>
      </c>
      <c r="MB81" s="545">
        <f t="shared" si="1376"/>
        <v>0</v>
      </c>
      <c r="MC81" s="545">
        <f t="shared" si="1377"/>
        <v>0</v>
      </c>
      <c r="MD81" s="532">
        <f t="shared" si="1292"/>
        <v>0</v>
      </c>
      <c r="ME81" s="532">
        <f t="shared" si="1293"/>
        <v>0</v>
      </c>
      <c r="MF81" s="532">
        <f t="shared" si="1294"/>
        <v>0</v>
      </c>
      <c r="MG81" s="532">
        <f t="shared" si="1295"/>
        <v>0</v>
      </c>
      <c r="MH81" s="532">
        <f t="shared" si="1296"/>
        <v>0</v>
      </c>
      <c r="MI81" s="532">
        <f t="shared" si="1378"/>
        <v>0</v>
      </c>
      <c r="MJ81" s="532">
        <f t="shared" si="1379"/>
        <v>0</v>
      </c>
      <c r="MK81" s="532">
        <f t="shared" si="1297"/>
        <v>0</v>
      </c>
      <c r="ML81" s="532">
        <f t="shared" si="1298"/>
        <v>0</v>
      </c>
      <c r="MM81" s="532">
        <f t="shared" si="1299"/>
        <v>0</v>
      </c>
      <c r="MN81" s="532">
        <f t="shared" si="1300"/>
        <v>0</v>
      </c>
      <c r="MO81" s="558">
        <f t="shared" si="1301"/>
        <v>0</v>
      </c>
      <c r="MP81" s="545">
        <f t="shared" si="1380"/>
        <v>0</v>
      </c>
      <c r="MQ81" s="545">
        <f t="shared" si="1381"/>
        <v>0</v>
      </c>
      <c r="MR81" s="532">
        <f t="shared" si="1302"/>
        <v>0</v>
      </c>
      <c r="MS81" s="532">
        <f t="shared" si="1303"/>
        <v>0</v>
      </c>
      <c r="MT81" s="532">
        <f t="shared" si="1304"/>
        <v>0</v>
      </c>
      <c r="MU81" s="532">
        <f t="shared" si="1305"/>
        <v>0</v>
      </c>
      <c r="MV81" s="532">
        <f t="shared" si="1306"/>
        <v>0</v>
      </c>
      <c r="MW81" s="532">
        <f t="shared" si="1382"/>
        <v>2.1439782000000003</v>
      </c>
      <c r="MX81" s="532">
        <f t="shared" si="1383"/>
        <v>1.0719891000000001</v>
      </c>
      <c r="MY81" s="545">
        <f t="shared" si="1307"/>
        <v>2.5013079000000009</v>
      </c>
      <c r="MZ81" s="545">
        <f t="shared" si="1308"/>
        <v>2.1439782000000003</v>
      </c>
      <c r="NA81" s="545">
        <f t="shared" si="1309"/>
        <v>35.33990733000001</v>
      </c>
      <c r="NB81" s="545">
        <f t="shared" si="1310"/>
        <v>0.35732970000000008</v>
      </c>
      <c r="NC81" s="554">
        <f t="shared" si="1311"/>
        <v>0.35732970000000008</v>
      </c>
      <c r="NL81" s="106"/>
    </row>
    <row r="82" spans="1:376" x14ac:dyDescent="0.25">
      <c r="A82" s="12">
        <v>2027</v>
      </c>
      <c r="B82" s="13">
        <v>0</v>
      </c>
      <c r="C82" s="14">
        <v>0</v>
      </c>
      <c r="D82" s="14">
        <v>0</v>
      </c>
      <c r="E82" s="658">
        <v>0</v>
      </c>
      <c r="F82" s="14">
        <f t="shared" si="1164"/>
        <v>0</v>
      </c>
      <c r="G82" s="14">
        <f t="shared" si="1165"/>
        <v>0</v>
      </c>
      <c r="H82" s="14">
        <f t="shared" si="1100"/>
        <v>0</v>
      </c>
      <c r="I82" s="14">
        <f t="shared" si="1101"/>
        <v>0</v>
      </c>
      <c r="J82" s="14">
        <v>0</v>
      </c>
      <c r="K82" s="917">
        <f t="shared" si="1197"/>
        <v>39.703300000000006</v>
      </c>
      <c r="L82" s="14">
        <f t="shared" si="1204"/>
        <v>0</v>
      </c>
      <c r="M82" s="17">
        <f t="shared" si="1102"/>
        <v>0</v>
      </c>
      <c r="N82" s="198">
        <v>2E-3</v>
      </c>
      <c r="O82" s="120">
        <v>0</v>
      </c>
      <c r="P82" s="120">
        <v>0</v>
      </c>
      <c r="Q82" s="199">
        <v>6.0000000000000001E-3</v>
      </c>
      <c r="R82" s="120">
        <v>0</v>
      </c>
      <c r="S82" s="120">
        <v>2.7000000000000001E-3</v>
      </c>
      <c r="T82" s="120">
        <v>0</v>
      </c>
      <c r="U82" s="120">
        <v>1.18E-2</v>
      </c>
      <c r="V82" s="119">
        <v>1.0000000000000001E-5</v>
      </c>
      <c r="W82" s="120">
        <v>2.9999999999999997E-4</v>
      </c>
      <c r="X82" s="105">
        <v>0</v>
      </c>
      <c r="Y82" s="105">
        <v>3.1E-2</v>
      </c>
      <c r="Z82" s="488">
        <v>5.2999999999999999E-2</v>
      </c>
      <c r="AA82" s="105">
        <f t="shared" si="1312"/>
        <v>0.1</v>
      </c>
      <c r="AB82" s="105">
        <f t="shared" si="1313"/>
        <v>0</v>
      </c>
      <c r="AC82" s="105">
        <f t="shared" si="1314"/>
        <v>0.9</v>
      </c>
      <c r="AD82" s="82">
        <f t="shared" si="1166"/>
        <v>0</v>
      </c>
      <c r="AE82" s="79">
        <f t="shared" si="1167"/>
        <v>0</v>
      </c>
      <c r="AF82" s="79">
        <f t="shared" si="1168"/>
        <v>0</v>
      </c>
      <c r="AG82" s="79">
        <f t="shared" si="1169"/>
        <v>0</v>
      </c>
      <c r="AH82" s="79">
        <f t="shared" si="1170"/>
        <v>0</v>
      </c>
      <c r="AI82" s="79">
        <f t="shared" si="1171"/>
        <v>0</v>
      </c>
      <c r="AJ82" s="138">
        <f t="shared" si="1103"/>
        <v>0</v>
      </c>
      <c r="AK82" s="79">
        <f t="shared" si="1104"/>
        <v>0</v>
      </c>
      <c r="AL82" s="79">
        <f t="shared" si="1105"/>
        <v>0</v>
      </c>
      <c r="AM82" s="79">
        <f t="shared" si="1106"/>
        <v>0</v>
      </c>
      <c r="AN82" s="79">
        <f t="shared" si="1107"/>
        <v>0</v>
      </c>
      <c r="AO82" s="139">
        <f t="shared" si="1108"/>
        <v>0</v>
      </c>
      <c r="AP82" s="79">
        <f t="shared" si="1172"/>
        <v>0</v>
      </c>
      <c r="AQ82" s="79">
        <f t="shared" si="1172"/>
        <v>0</v>
      </c>
      <c r="AR82" s="79">
        <f t="shared" si="1172"/>
        <v>0</v>
      </c>
      <c r="AS82" s="79">
        <f t="shared" si="1172"/>
        <v>0</v>
      </c>
      <c r="AT82" s="79">
        <f t="shared" si="1172"/>
        <v>0</v>
      </c>
      <c r="AU82" s="104">
        <f t="shared" si="1172"/>
        <v>0</v>
      </c>
      <c r="AV82" s="82">
        <f t="shared" si="1110"/>
        <v>0</v>
      </c>
      <c r="AW82" s="79">
        <f t="shared" si="1111"/>
        <v>0</v>
      </c>
      <c r="AX82" s="79">
        <f t="shared" si="1112"/>
        <v>0</v>
      </c>
      <c r="AY82" s="79">
        <f t="shared" si="1113"/>
        <v>0</v>
      </c>
      <c r="AZ82" s="79">
        <f t="shared" si="1114"/>
        <v>0</v>
      </c>
      <c r="BA82" s="79">
        <f t="shared" si="1115"/>
        <v>0</v>
      </c>
      <c r="BB82" s="138">
        <f t="shared" si="1116"/>
        <v>0</v>
      </c>
      <c r="BC82" s="79">
        <f t="shared" si="1117"/>
        <v>0</v>
      </c>
      <c r="BD82" s="79">
        <f t="shared" si="1118"/>
        <v>0</v>
      </c>
      <c r="BE82" s="79">
        <f t="shared" si="1119"/>
        <v>0</v>
      </c>
      <c r="BF82" s="79">
        <f t="shared" si="1120"/>
        <v>0</v>
      </c>
      <c r="BG82" s="79">
        <f t="shared" si="1121"/>
        <v>0</v>
      </c>
      <c r="BH82" s="79">
        <f t="shared" si="1122"/>
        <v>0</v>
      </c>
      <c r="BI82" s="79">
        <f t="shared" si="1122"/>
        <v>0</v>
      </c>
      <c r="BJ82" s="79">
        <f t="shared" si="1122"/>
        <v>0</v>
      </c>
      <c r="BK82" s="79">
        <f t="shared" si="1122"/>
        <v>0</v>
      </c>
      <c r="BL82" s="79">
        <f t="shared" si="1122"/>
        <v>0</v>
      </c>
      <c r="BM82" s="79">
        <f t="shared" si="1122"/>
        <v>0</v>
      </c>
      <c r="BN82" s="82">
        <f t="shared" si="1123"/>
        <v>0</v>
      </c>
      <c r="BO82" s="79">
        <f t="shared" si="1124"/>
        <v>0</v>
      </c>
      <c r="BP82" s="79">
        <f t="shared" si="1125"/>
        <v>0</v>
      </c>
      <c r="BQ82" s="79">
        <f t="shared" si="1126"/>
        <v>0</v>
      </c>
      <c r="BR82" s="79">
        <f t="shared" si="1127"/>
        <v>0</v>
      </c>
      <c r="BS82" s="79">
        <f t="shared" si="1128"/>
        <v>0</v>
      </c>
      <c r="BT82" s="138">
        <f t="shared" si="1129"/>
        <v>0</v>
      </c>
      <c r="BU82" s="79">
        <f t="shared" si="1130"/>
        <v>0</v>
      </c>
      <c r="BV82" s="79">
        <f t="shared" si="1131"/>
        <v>0</v>
      </c>
      <c r="BW82" s="79">
        <f t="shared" si="1132"/>
        <v>0</v>
      </c>
      <c r="BX82" s="79">
        <f t="shared" si="1133"/>
        <v>0</v>
      </c>
      <c r="BY82" s="79">
        <f t="shared" si="1134"/>
        <v>0</v>
      </c>
      <c r="BZ82" s="138">
        <f t="shared" si="1135"/>
        <v>0</v>
      </c>
      <c r="CA82" s="79">
        <f t="shared" si="1135"/>
        <v>0</v>
      </c>
      <c r="CB82" s="79">
        <f t="shared" si="1135"/>
        <v>0</v>
      </c>
      <c r="CC82" s="79">
        <f t="shared" si="1135"/>
        <v>0</v>
      </c>
      <c r="CD82" s="79">
        <f t="shared" si="1135"/>
        <v>0</v>
      </c>
      <c r="CE82" s="535">
        <f t="shared" si="1135"/>
        <v>0</v>
      </c>
      <c r="CF82" s="79">
        <f t="shared" si="1315"/>
        <v>0</v>
      </c>
      <c r="CG82" s="79">
        <f t="shared" si="1198"/>
        <v>3.9703300000000006</v>
      </c>
      <c r="CH82" s="79">
        <f t="shared" si="1316"/>
        <v>0</v>
      </c>
      <c r="CI82" s="79">
        <f t="shared" si="1199"/>
        <v>0</v>
      </c>
      <c r="CJ82" s="79">
        <f t="shared" si="1317"/>
        <v>0</v>
      </c>
      <c r="CK82" s="79">
        <f t="shared" si="1200"/>
        <v>35.732970000000009</v>
      </c>
      <c r="CL82" s="3"/>
      <c r="CM82" s="101">
        <f t="shared" si="1205"/>
        <v>0</v>
      </c>
      <c r="CN82" s="99">
        <f t="shared" si="1136"/>
        <v>0</v>
      </c>
      <c r="CO82" s="130">
        <f t="shared" si="1137"/>
        <v>0</v>
      </c>
      <c r="CP82" s="131">
        <f t="shared" si="1201"/>
        <v>0</v>
      </c>
      <c r="CQ82" s="99">
        <f t="shared" si="1202"/>
        <v>0</v>
      </c>
      <c r="CR82" s="98">
        <f t="shared" si="1202"/>
        <v>0</v>
      </c>
      <c r="CS82" s="44">
        <v>0</v>
      </c>
      <c r="CT82" s="45">
        <v>0</v>
      </c>
      <c r="CU82" s="45">
        <v>1</v>
      </c>
      <c r="CV82" s="100">
        <f t="shared" si="1203"/>
        <v>0</v>
      </c>
      <c r="CW82" s="40">
        <f t="shared" si="1178"/>
        <v>0</v>
      </c>
      <c r="CX82" s="41">
        <f t="shared" si="1179"/>
        <v>0</v>
      </c>
      <c r="CY82" s="79">
        <f t="shared" si="1180"/>
        <v>0</v>
      </c>
      <c r="CZ82" s="139">
        <f t="shared" si="1181"/>
        <v>0</v>
      </c>
      <c r="DA82" s="41">
        <f t="shared" si="1139"/>
        <v>0</v>
      </c>
      <c r="DB82" s="41">
        <f t="shared" si="1140"/>
        <v>0</v>
      </c>
      <c r="DC82" s="41">
        <f t="shared" si="1141"/>
        <v>0</v>
      </c>
      <c r="DD82" s="143">
        <f t="shared" si="1142"/>
        <v>0</v>
      </c>
      <c r="DE82" s="41">
        <f t="shared" si="1206"/>
        <v>0</v>
      </c>
      <c r="DF82" s="41">
        <f t="shared" si="1182"/>
        <v>0</v>
      </c>
      <c r="DG82" s="41">
        <f t="shared" si="1183"/>
        <v>0</v>
      </c>
      <c r="DH82" s="42">
        <f t="shared" si="1184"/>
        <v>0</v>
      </c>
      <c r="DJ82" s="498">
        <v>1</v>
      </c>
      <c r="DK82" s="498">
        <v>0.3</v>
      </c>
      <c r="DL82" s="41">
        <f t="shared" si="1143"/>
        <v>0</v>
      </c>
      <c r="DM82" s="41">
        <f t="shared" si="1144"/>
        <v>0</v>
      </c>
      <c r="DN82" s="41">
        <f t="shared" si="1084"/>
        <v>0</v>
      </c>
      <c r="DO82" s="42">
        <f t="shared" si="1085"/>
        <v>0</v>
      </c>
      <c r="DP82" s="44">
        <v>1</v>
      </c>
      <c r="DQ82" s="45">
        <v>0.1</v>
      </c>
      <c r="DR82" s="45">
        <v>0.5</v>
      </c>
      <c r="DS82" s="682">
        <f t="shared" si="1318"/>
        <v>0.1</v>
      </c>
      <c r="DT82" s="102">
        <f t="shared" si="1319"/>
        <v>1</v>
      </c>
      <c r="DU82" s="45">
        <v>0</v>
      </c>
      <c r="DV82" s="45">
        <v>1</v>
      </c>
      <c r="DW82" s="45">
        <v>0</v>
      </c>
      <c r="DX82" s="45">
        <v>0</v>
      </c>
      <c r="DY82" s="45">
        <v>1</v>
      </c>
      <c r="DZ82" s="45">
        <v>0</v>
      </c>
      <c r="EA82" s="103">
        <f t="shared" si="1320"/>
        <v>0</v>
      </c>
      <c r="EB82" s="79">
        <f t="shared" si="1185"/>
        <v>0</v>
      </c>
      <c r="EC82" s="79">
        <f t="shared" si="1321"/>
        <v>0</v>
      </c>
      <c r="ED82" s="79">
        <f t="shared" si="1186"/>
        <v>0</v>
      </c>
      <c r="EE82" s="79">
        <f t="shared" si="1322"/>
        <v>0</v>
      </c>
      <c r="EF82" s="79">
        <f t="shared" si="1187"/>
        <v>0</v>
      </c>
      <c r="EG82" s="138">
        <f t="shared" si="1145"/>
        <v>0</v>
      </c>
      <c r="EH82" s="79">
        <f t="shared" si="1146"/>
        <v>0</v>
      </c>
      <c r="EI82" s="79">
        <f t="shared" si="1147"/>
        <v>0</v>
      </c>
      <c r="EJ82" s="79">
        <f t="shared" si="1148"/>
        <v>0</v>
      </c>
      <c r="EK82" s="79">
        <f t="shared" si="1149"/>
        <v>0</v>
      </c>
      <c r="EL82" s="139">
        <f t="shared" si="1150"/>
        <v>0</v>
      </c>
      <c r="EM82" s="79">
        <f t="shared" si="1323"/>
        <v>0</v>
      </c>
      <c r="EN82" s="83">
        <f t="shared" si="1324"/>
        <v>0</v>
      </c>
      <c r="EP82" s="103">
        <f t="shared" si="1207"/>
        <v>0</v>
      </c>
      <c r="EQ82" s="79">
        <f t="shared" si="1151"/>
        <v>0</v>
      </c>
      <c r="ER82" s="79">
        <f t="shared" si="1208"/>
        <v>0</v>
      </c>
      <c r="ES82" s="79">
        <f t="shared" si="1152"/>
        <v>0</v>
      </c>
      <c r="ET82" s="79">
        <f t="shared" si="1209"/>
        <v>0</v>
      </c>
      <c r="EU82" s="79">
        <f t="shared" si="1153"/>
        <v>0</v>
      </c>
      <c r="EV82" s="138">
        <f t="shared" si="1086"/>
        <v>0</v>
      </c>
      <c r="EW82" s="79">
        <f t="shared" si="1087"/>
        <v>0</v>
      </c>
      <c r="EX82" s="79">
        <f t="shared" si="1088"/>
        <v>0</v>
      </c>
      <c r="EY82" s="79">
        <f t="shared" si="1089"/>
        <v>0</v>
      </c>
      <c r="EZ82" s="79">
        <f t="shared" si="1090"/>
        <v>0</v>
      </c>
      <c r="FA82" s="104">
        <f t="shared" si="1091"/>
        <v>0</v>
      </c>
      <c r="FB82" s="40">
        <f t="shared" si="1188"/>
        <v>0</v>
      </c>
      <c r="FC82" s="41">
        <f t="shared" si="1189"/>
        <v>0</v>
      </c>
      <c r="FD82" s="41">
        <f t="shared" si="1154"/>
        <v>0</v>
      </c>
      <c r="FE82" s="41">
        <f t="shared" si="1155"/>
        <v>0</v>
      </c>
      <c r="FF82" s="40">
        <f t="shared" si="1210"/>
        <v>0</v>
      </c>
      <c r="FG82" s="41">
        <f t="shared" si="1156"/>
        <v>0</v>
      </c>
      <c r="FH82" s="41">
        <f t="shared" si="1157"/>
        <v>0</v>
      </c>
      <c r="FI82" s="41">
        <f t="shared" si="1158"/>
        <v>0</v>
      </c>
      <c r="FJ82" s="44">
        <v>1</v>
      </c>
      <c r="FK82" s="45">
        <v>0.2</v>
      </c>
      <c r="FL82" s="503">
        <v>0.8</v>
      </c>
      <c r="FM82" s="45">
        <v>0.1</v>
      </c>
      <c r="FN82" s="503">
        <v>0.5</v>
      </c>
      <c r="FO82" s="45">
        <f t="shared" si="1325"/>
        <v>0.1</v>
      </c>
      <c r="FP82" s="45">
        <f t="shared" si="1326"/>
        <v>1</v>
      </c>
      <c r="FQ82" s="45">
        <v>1</v>
      </c>
      <c r="FR82" s="45">
        <v>0</v>
      </c>
      <c r="FS82" s="108">
        <f t="shared" si="1327"/>
        <v>1E-3</v>
      </c>
      <c r="FT82" s="45">
        <f t="shared" si="1328"/>
        <v>0.05</v>
      </c>
      <c r="FU82" s="44">
        <v>0.05</v>
      </c>
      <c r="FV82" s="100">
        <f t="shared" si="1211"/>
        <v>2.4224999999999997E-2</v>
      </c>
      <c r="FW82" s="45">
        <v>0.1</v>
      </c>
      <c r="FX82" s="102">
        <f t="shared" si="1212"/>
        <v>9.0000000000000011E-2</v>
      </c>
      <c r="FY82" s="44">
        <v>0.45</v>
      </c>
      <c r="FZ82" s="100">
        <f t="shared" si="1329"/>
        <v>1.4025000000000001E-2</v>
      </c>
      <c r="GA82" s="45">
        <v>0.45</v>
      </c>
      <c r="GB82" s="102">
        <f t="shared" si="1330"/>
        <v>5.5000000000000007E-2</v>
      </c>
      <c r="GC82" s="103">
        <f t="shared" si="1213"/>
        <v>0</v>
      </c>
      <c r="GD82" s="79">
        <f t="shared" si="1159"/>
        <v>0</v>
      </c>
      <c r="GE82" s="79">
        <f t="shared" si="1214"/>
        <v>0</v>
      </c>
      <c r="GF82" s="79">
        <f t="shared" si="1160"/>
        <v>0</v>
      </c>
      <c r="GG82" s="79">
        <v>0</v>
      </c>
      <c r="GH82" s="139">
        <v>0</v>
      </c>
      <c r="GI82" s="79">
        <f t="shared" si="1094"/>
        <v>0</v>
      </c>
      <c r="GJ82" s="79">
        <f t="shared" si="1095"/>
        <v>0</v>
      </c>
      <c r="GK82" s="79">
        <f t="shared" si="1096"/>
        <v>0</v>
      </c>
      <c r="GL82" s="79">
        <f t="shared" si="1097"/>
        <v>0</v>
      </c>
      <c r="GM82" s="79">
        <f t="shared" si="1098"/>
        <v>0</v>
      </c>
      <c r="GN82" s="139">
        <f t="shared" si="1099"/>
        <v>0</v>
      </c>
      <c r="GO82" s="79">
        <f t="shared" si="1331"/>
        <v>0</v>
      </c>
      <c r="GP82" s="104">
        <f t="shared" si="1332"/>
        <v>0</v>
      </c>
      <c r="GQ82" s="41">
        <f t="shared" si="1333"/>
        <v>0</v>
      </c>
      <c r="GR82" s="41">
        <f t="shared" si="1334"/>
        <v>0</v>
      </c>
      <c r="GS82" s="79">
        <f t="shared" si="1031"/>
        <v>0</v>
      </c>
      <c r="GT82" s="79">
        <f t="shared" si="1032"/>
        <v>0</v>
      </c>
      <c r="GU82" s="79">
        <f t="shared" si="1033"/>
        <v>0</v>
      </c>
      <c r="GV82" s="139">
        <f t="shared" si="1034"/>
        <v>0</v>
      </c>
      <c r="GW82" s="41">
        <f t="shared" si="1162"/>
        <v>0</v>
      </c>
      <c r="GX82" s="41">
        <f t="shared" si="1163"/>
        <v>0</v>
      </c>
      <c r="GY82" s="41">
        <f t="shared" si="1192"/>
        <v>0</v>
      </c>
      <c r="GZ82" s="41">
        <f t="shared" si="1193"/>
        <v>0</v>
      </c>
      <c r="HA82" s="41">
        <f t="shared" si="1194"/>
        <v>0</v>
      </c>
      <c r="HB82" s="143">
        <f t="shared" si="1195"/>
        <v>0</v>
      </c>
      <c r="HC82" s="79">
        <f t="shared" si="1335"/>
        <v>0</v>
      </c>
      <c r="HD82" s="42">
        <f t="shared" si="1336"/>
        <v>0</v>
      </c>
      <c r="HE82" s="527"/>
      <c r="HF82" s="532">
        <f t="shared" si="1215"/>
        <v>0</v>
      </c>
      <c r="HG82" s="532">
        <f t="shared" si="1216"/>
        <v>0</v>
      </c>
      <c r="HH82" s="532">
        <f t="shared" si="1217"/>
        <v>0</v>
      </c>
      <c r="HI82" s="532">
        <f t="shared" si="1218"/>
        <v>0</v>
      </c>
      <c r="HJ82" s="532">
        <f t="shared" si="1219"/>
        <v>0</v>
      </c>
      <c r="HK82" s="533">
        <f t="shared" si="1220"/>
        <v>0</v>
      </c>
      <c r="HL82" s="532">
        <f t="shared" si="1221"/>
        <v>0</v>
      </c>
      <c r="HM82" s="532">
        <f t="shared" si="1222"/>
        <v>0</v>
      </c>
      <c r="HN82" s="532">
        <f t="shared" si="1223"/>
        <v>0</v>
      </c>
      <c r="HO82" s="532">
        <f t="shared" si="1224"/>
        <v>0</v>
      </c>
      <c r="HP82" s="532">
        <f t="shared" si="1225"/>
        <v>0</v>
      </c>
      <c r="HQ82" s="533">
        <f t="shared" si="1226"/>
        <v>0</v>
      </c>
      <c r="HR82" s="532">
        <f t="shared" si="1337"/>
        <v>0</v>
      </c>
      <c r="HS82" s="532">
        <f t="shared" si="1227"/>
        <v>3.9703300000000006</v>
      </c>
      <c r="HT82" s="532">
        <f t="shared" si="1228"/>
        <v>0</v>
      </c>
      <c r="HU82" s="532">
        <f t="shared" si="1229"/>
        <v>0</v>
      </c>
      <c r="HV82" s="532">
        <f t="shared" si="1230"/>
        <v>0</v>
      </c>
      <c r="HW82" s="533">
        <f t="shared" si="1231"/>
        <v>35.732970000000009</v>
      </c>
      <c r="IG82" s="560"/>
      <c r="IH82" s="532">
        <f t="shared" si="1338"/>
        <v>0</v>
      </c>
      <c r="II82" s="532">
        <f t="shared" si="1339"/>
        <v>0</v>
      </c>
      <c r="IJ82" s="532">
        <f t="shared" si="1340"/>
        <v>0</v>
      </c>
      <c r="IK82" s="532">
        <f t="shared" si="1341"/>
        <v>0</v>
      </c>
      <c r="IL82" s="532">
        <f t="shared" si="1342"/>
        <v>0</v>
      </c>
      <c r="IM82" s="532">
        <f t="shared" si="1343"/>
        <v>0</v>
      </c>
      <c r="IN82" s="532">
        <f t="shared" si="1344"/>
        <v>0</v>
      </c>
      <c r="IO82" s="532">
        <f t="shared" si="1345"/>
        <v>0</v>
      </c>
      <c r="IP82" s="532">
        <f t="shared" si="1346"/>
        <v>0</v>
      </c>
      <c r="IQ82" s="532">
        <f t="shared" si="1347"/>
        <v>0</v>
      </c>
      <c r="IR82" s="532">
        <f t="shared" si="1348"/>
        <v>0</v>
      </c>
      <c r="IS82" s="532">
        <f t="shared" si="1349"/>
        <v>0</v>
      </c>
      <c r="IT82" s="532">
        <f t="shared" si="1350"/>
        <v>0</v>
      </c>
      <c r="IU82" s="534">
        <f t="shared" si="1351"/>
        <v>0</v>
      </c>
      <c r="IV82" s="545">
        <f t="shared" si="1352"/>
        <v>0</v>
      </c>
      <c r="IW82" s="545">
        <f t="shared" si="1353"/>
        <v>0</v>
      </c>
      <c r="IX82" s="532">
        <f t="shared" si="1232"/>
        <v>0</v>
      </c>
      <c r="IY82" s="532">
        <f t="shared" si="1233"/>
        <v>0</v>
      </c>
      <c r="IZ82" s="532">
        <f t="shared" si="1234"/>
        <v>0</v>
      </c>
      <c r="JA82" s="532">
        <f t="shared" si="1235"/>
        <v>0</v>
      </c>
      <c r="JB82" s="532">
        <f t="shared" si="1236"/>
        <v>0</v>
      </c>
      <c r="JC82" s="532">
        <f t="shared" si="1354"/>
        <v>0</v>
      </c>
      <c r="JD82" s="532">
        <f t="shared" si="1355"/>
        <v>0</v>
      </c>
      <c r="JE82" s="532">
        <f t="shared" si="1237"/>
        <v>0</v>
      </c>
      <c r="JF82" s="532">
        <f t="shared" si="1238"/>
        <v>0</v>
      </c>
      <c r="JG82" s="532">
        <f t="shared" si="1239"/>
        <v>0</v>
      </c>
      <c r="JH82" s="532">
        <f t="shared" si="1240"/>
        <v>0</v>
      </c>
      <c r="JI82" s="553">
        <f t="shared" si="1241"/>
        <v>0</v>
      </c>
      <c r="JJ82" s="545">
        <f t="shared" si="1356"/>
        <v>0</v>
      </c>
      <c r="JK82" s="545">
        <f t="shared" si="1357"/>
        <v>0</v>
      </c>
      <c r="JL82" s="532">
        <f t="shared" si="1242"/>
        <v>0</v>
      </c>
      <c r="JM82" s="532">
        <f t="shared" si="1243"/>
        <v>0</v>
      </c>
      <c r="JN82" s="532">
        <f t="shared" si="1244"/>
        <v>0</v>
      </c>
      <c r="JO82" s="532">
        <f t="shared" si="1245"/>
        <v>0</v>
      </c>
      <c r="JP82" s="532">
        <f t="shared" si="1246"/>
        <v>0</v>
      </c>
      <c r="JQ82" s="532">
        <f t="shared" si="1358"/>
        <v>0</v>
      </c>
      <c r="JR82" s="532">
        <f t="shared" si="1359"/>
        <v>0</v>
      </c>
      <c r="JS82" s="545">
        <f t="shared" si="1247"/>
        <v>0</v>
      </c>
      <c r="JT82" s="545">
        <f t="shared" si="1248"/>
        <v>0</v>
      </c>
      <c r="JU82" s="545">
        <f t="shared" si="1249"/>
        <v>0</v>
      </c>
      <c r="JV82" s="545">
        <f t="shared" si="1250"/>
        <v>0</v>
      </c>
      <c r="JW82" s="554">
        <f t="shared" si="1251"/>
        <v>0</v>
      </c>
      <c r="JX82" s="545">
        <f t="shared" si="1360"/>
        <v>0</v>
      </c>
      <c r="JY82" s="545">
        <f t="shared" si="1361"/>
        <v>0</v>
      </c>
      <c r="JZ82" s="532">
        <f t="shared" si="1252"/>
        <v>0</v>
      </c>
      <c r="KA82" s="532">
        <f t="shared" si="1253"/>
        <v>0</v>
      </c>
      <c r="KB82" s="532">
        <f t="shared" si="1254"/>
        <v>0</v>
      </c>
      <c r="KC82" s="532">
        <f t="shared" si="1255"/>
        <v>0</v>
      </c>
      <c r="KD82" s="532">
        <f t="shared" si="1256"/>
        <v>0</v>
      </c>
      <c r="KE82" s="532">
        <f t="shared" si="1362"/>
        <v>0</v>
      </c>
      <c r="KF82" s="532">
        <f t="shared" si="1363"/>
        <v>0</v>
      </c>
      <c r="KG82" s="532">
        <f t="shared" si="1257"/>
        <v>0</v>
      </c>
      <c r="KH82" s="532">
        <f t="shared" si="1258"/>
        <v>0</v>
      </c>
      <c r="KI82" s="532">
        <f t="shared" si="1259"/>
        <v>0</v>
      </c>
      <c r="KJ82" s="532">
        <f t="shared" si="1260"/>
        <v>0</v>
      </c>
      <c r="KK82" s="534">
        <f t="shared" si="1261"/>
        <v>0</v>
      </c>
      <c r="KL82" s="545">
        <f t="shared" si="1364"/>
        <v>0</v>
      </c>
      <c r="KM82" s="545">
        <f t="shared" si="1365"/>
        <v>0</v>
      </c>
      <c r="KN82" s="532">
        <f t="shared" si="1262"/>
        <v>0</v>
      </c>
      <c r="KO82" s="532">
        <f t="shared" si="1263"/>
        <v>0</v>
      </c>
      <c r="KP82" s="532">
        <f t="shared" si="1264"/>
        <v>0</v>
      </c>
      <c r="KQ82" s="532">
        <f t="shared" si="1265"/>
        <v>0</v>
      </c>
      <c r="KR82" s="532">
        <f t="shared" si="1266"/>
        <v>0</v>
      </c>
      <c r="KS82" s="532">
        <f t="shared" si="1366"/>
        <v>0</v>
      </c>
      <c r="KT82" s="532">
        <f t="shared" si="1367"/>
        <v>0</v>
      </c>
      <c r="KU82" s="532">
        <f t="shared" si="1267"/>
        <v>0</v>
      </c>
      <c r="KV82" s="532">
        <f t="shared" si="1268"/>
        <v>0</v>
      </c>
      <c r="KW82" s="532">
        <f t="shared" si="1269"/>
        <v>0</v>
      </c>
      <c r="KX82" s="532">
        <f t="shared" si="1270"/>
        <v>0</v>
      </c>
      <c r="KY82" s="553">
        <f t="shared" si="1271"/>
        <v>0</v>
      </c>
      <c r="KZ82" s="545">
        <f t="shared" si="1368"/>
        <v>0</v>
      </c>
      <c r="LA82" s="545">
        <f t="shared" si="1369"/>
        <v>0</v>
      </c>
      <c r="LB82" s="532">
        <f t="shared" si="1272"/>
        <v>0</v>
      </c>
      <c r="LC82" s="532">
        <f t="shared" si="1273"/>
        <v>0</v>
      </c>
      <c r="LD82" s="532">
        <f t="shared" si="1274"/>
        <v>0</v>
      </c>
      <c r="LE82" s="532">
        <f t="shared" si="1275"/>
        <v>0</v>
      </c>
      <c r="LF82" s="532">
        <f t="shared" si="1276"/>
        <v>0</v>
      </c>
      <c r="LG82" s="532">
        <f t="shared" si="1370"/>
        <v>0</v>
      </c>
      <c r="LH82" s="532">
        <f t="shared" si="1371"/>
        <v>0</v>
      </c>
      <c r="LI82" s="545">
        <f t="shared" si="1277"/>
        <v>0</v>
      </c>
      <c r="LJ82" s="545">
        <f t="shared" si="1278"/>
        <v>0</v>
      </c>
      <c r="LK82" s="545">
        <f t="shared" si="1279"/>
        <v>0</v>
      </c>
      <c r="LL82" s="545">
        <f t="shared" si="1280"/>
        <v>0</v>
      </c>
      <c r="LM82" s="554">
        <f t="shared" si="1281"/>
        <v>0</v>
      </c>
      <c r="LN82" s="545">
        <f t="shared" si="1372"/>
        <v>0</v>
      </c>
      <c r="LO82" s="545">
        <f t="shared" si="1373"/>
        <v>0</v>
      </c>
      <c r="LP82" s="532">
        <f t="shared" si="1282"/>
        <v>0</v>
      </c>
      <c r="LQ82" s="532">
        <f t="shared" si="1283"/>
        <v>0</v>
      </c>
      <c r="LR82" s="532">
        <f t="shared" si="1284"/>
        <v>0</v>
      </c>
      <c r="LS82" s="532">
        <f t="shared" si="1285"/>
        <v>0</v>
      </c>
      <c r="LT82" s="532">
        <f t="shared" si="1286"/>
        <v>0</v>
      </c>
      <c r="LU82" s="532">
        <f t="shared" si="1374"/>
        <v>0.23821980000000004</v>
      </c>
      <c r="LV82" s="532">
        <f t="shared" si="1375"/>
        <v>0.11910990000000002</v>
      </c>
      <c r="LW82" s="532">
        <f t="shared" si="1287"/>
        <v>0.27792310000000009</v>
      </c>
      <c r="LX82" s="532">
        <f t="shared" si="1288"/>
        <v>0.23821980000000004</v>
      </c>
      <c r="LY82" s="532">
        <f t="shared" si="1289"/>
        <v>3.9266563700000008</v>
      </c>
      <c r="LZ82" s="532">
        <f t="shared" si="1290"/>
        <v>3.9703300000000004E-2</v>
      </c>
      <c r="MA82" s="558">
        <f t="shared" si="1291"/>
        <v>3.9703300000000004E-2</v>
      </c>
      <c r="MB82" s="545">
        <f t="shared" si="1376"/>
        <v>0</v>
      </c>
      <c r="MC82" s="545">
        <f t="shared" si="1377"/>
        <v>0</v>
      </c>
      <c r="MD82" s="532">
        <f t="shared" si="1292"/>
        <v>0</v>
      </c>
      <c r="ME82" s="532">
        <f t="shared" si="1293"/>
        <v>0</v>
      </c>
      <c r="MF82" s="532">
        <f t="shared" si="1294"/>
        <v>0</v>
      </c>
      <c r="MG82" s="532">
        <f t="shared" si="1295"/>
        <v>0</v>
      </c>
      <c r="MH82" s="532">
        <f t="shared" si="1296"/>
        <v>0</v>
      </c>
      <c r="MI82" s="532">
        <f t="shared" si="1378"/>
        <v>0</v>
      </c>
      <c r="MJ82" s="532">
        <f t="shared" si="1379"/>
        <v>0</v>
      </c>
      <c r="MK82" s="532">
        <f t="shared" si="1297"/>
        <v>0</v>
      </c>
      <c r="ML82" s="532">
        <f t="shared" si="1298"/>
        <v>0</v>
      </c>
      <c r="MM82" s="532">
        <f t="shared" si="1299"/>
        <v>0</v>
      </c>
      <c r="MN82" s="532">
        <f t="shared" si="1300"/>
        <v>0</v>
      </c>
      <c r="MO82" s="558">
        <f t="shared" si="1301"/>
        <v>0</v>
      </c>
      <c r="MP82" s="545">
        <f t="shared" si="1380"/>
        <v>0</v>
      </c>
      <c r="MQ82" s="545">
        <f t="shared" si="1381"/>
        <v>0</v>
      </c>
      <c r="MR82" s="532">
        <f t="shared" si="1302"/>
        <v>0</v>
      </c>
      <c r="MS82" s="532">
        <f t="shared" si="1303"/>
        <v>0</v>
      </c>
      <c r="MT82" s="532">
        <f t="shared" si="1304"/>
        <v>0</v>
      </c>
      <c r="MU82" s="532">
        <f t="shared" si="1305"/>
        <v>0</v>
      </c>
      <c r="MV82" s="532">
        <f t="shared" si="1306"/>
        <v>0</v>
      </c>
      <c r="MW82" s="532">
        <f t="shared" si="1382"/>
        <v>2.1439782000000003</v>
      </c>
      <c r="MX82" s="532">
        <f t="shared" si="1383"/>
        <v>1.0719891000000001</v>
      </c>
      <c r="MY82" s="545">
        <f t="shared" si="1307"/>
        <v>2.5013079000000009</v>
      </c>
      <c r="MZ82" s="545">
        <f t="shared" si="1308"/>
        <v>2.1439782000000003</v>
      </c>
      <c r="NA82" s="545">
        <f t="shared" si="1309"/>
        <v>35.33990733000001</v>
      </c>
      <c r="NB82" s="545">
        <f t="shared" si="1310"/>
        <v>0.35732970000000008</v>
      </c>
      <c r="NC82" s="554">
        <f t="shared" si="1311"/>
        <v>0.35732970000000008</v>
      </c>
      <c r="NL82" s="106"/>
    </row>
    <row r="83" spans="1:376" x14ac:dyDescent="0.25">
      <c r="A83" s="12">
        <v>2028</v>
      </c>
      <c r="B83" s="13">
        <v>0</v>
      </c>
      <c r="C83" s="14">
        <v>0</v>
      </c>
      <c r="D83" s="14">
        <v>0</v>
      </c>
      <c r="E83" s="658">
        <v>0</v>
      </c>
      <c r="F83" s="14">
        <f t="shared" si="1164"/>
        <v>0</v>
      </c>
      <c r="G83" s="14">
        <f t="shared" si="1165"/>
        <v>0</v>
      </c>
      <c r="H83" s="14">
        <f t="shared" si="1100"/>
        <v>0</v>
      </c>
      <c r="I83" s="14">
        <f t="shared" si="1101"/>
        <v>0</v>
      </c>
      <c r="J83" s="14">
        <v>0</v>
      </c>
      <c r="K83" s="917">
        <f t="shared" si="1197"/>
        <v>39.703300000000006</v>
      </c>
      <c r="L83" s="14">
        <f t="shared" si="1204"/>
        <v>0</v>
      </c>
      <c r="M83" s="17">
        <f t="shared" si="1102"/>
        <v>0</v>
      </c>
      <c r="N83" s="198">
        <v>2E-3</v>
      </c>
      <c r="O83" s="120">
        <v>0</v>
      </c>
      <c r="P83" s="120">
        <v>0</v>
      </c>
      <c r="Q83" s="199">
        <v>6.0000000000000001E-3</v>
      </c>
      <c r="R83" s="120">
        <v>0</v>
      </c>
      <c r="S83" s="120">
        <v>2.7000000000000001E-3</v>
      </c>
      <c r="T83" s="120">
        <v>0</v>
      </c>
      <c r="U83" s="120">
        <v>1.18E-2</v>
      </c>
      <c r="V83" s="119">
        <v>1.0000000000000001E-5</v>
      </c>
      <c r="W83" s="120">
        <v>2.9999999999999997E-4</v>
      </c>
      <c r="X83" s="105">
        <v>0</v>
      </c>
      <c r="Y83" s="105">
        <v>3.1E-2</v>
      </c>
      <c r="Z83" s="488">
        <v>5.2999999999999999E-2</v>
      </c>
      <c r="AA83" s="105">
        <f t="shared" si="1312"/>
        <v>0.1</v>
      </c>
      <c r="AB83" s="105">
        <f t="shared" si="1313"/>
        <v>0</v>
      </c>
      <c r="AC83" s="105">
        <f t="shared" si="1314"/>
        <v>0.9</v>
      </c>
      <c r="AD83" s="82">
        <f t="shared" si="1166"/>
        <v>0</v>
      </c>
      <c r="AE83" s="79">
        <f t="shared" si="1167"/>
        <v>0</v>
      </c>
      <c r="AF83" s="79">
        <f t="shared" si="1168"/>
        <v>0</v>
      </c>
      <c r="AG83" s="79">
        <f t="shared" si="1169"/>
        <v>0</v>
      </c>
      <c r="AH83" s="79">
        <f t="shared" si="1170"/>
        <v>0</v>
      </c>
      <c r="AI83" s="79">
        <f t="shared" si="1171"/>
        <v>0</v>
      </c>
      <c r="AJ83" s="138">
        <f t="shared" si="1103"/>
        <v>0</v>
      </c>
      <c r="AK83" s="79">
        <f t="shared" si="1104"/>
        <v>0</v>
      </c>
      <c r="AL83" s="79">
        <f t="shared" si="1105"/>
        <v>0</v>
      </c>
      <c r="AM83" s="79">
        <f t="shared" si="1106"/>
        <v>0</v>
      </c>
      <c r="AN83" s="79">
        <f t="shared" si="1107"/>
        <v>0</v>
      </c>
      <c r="AO83" s="139">
        <f t="shared" si="1108"/>
        <v>0</v>
      </c>
      <c r="AP83" s="79">
        <f t="shared" si="1172"/>
        <v>0</v>
      </c>
      <c r="AQ83" s="79">
        <f t="shared" si="1172"/>
        <v>0</v>
      </c>
      <c r="AR83" s="79">
        <f t="shared" si="1172"/>
        <v>0</v>
      </c>
      <c r="AS83" s="79">
        <f t="shared" si="1172"/>
        <v>0</v>
      </c>
      <c r="AT83" s="79">
        <f t="shared" si="1172"/>
        <v>0</v>
      </c>
      <c r="AU83" s="104">
        <f t="shared" si="1172"/>
        <v>0</v>
      </c>
      <c r="AV83" s="82">
        <f t="shared" si="1110"/>
        <v>0</v>
      </c>
      <c r="AW83" s="79">
        <f t="shared" si="1111"/>
        <v>0</v>
      </c>
      <c r="AX83" s="79">
        <f t="shared" si="1112"/>
        <v>0</v>
      </c>
      <c r="AY83" s="79">
        <f t="shared" si="1113"/>
        <v>0</v>
      </c>
      <c r="AZ83" s="79">
        <f t="shared" si="1114"/>
        <v>0</v>
      </c>
      <c r="BA83" s="79">
        <f t="shared" si="1115"/>
        <v>0</v>
      </c>
      <c r="BB83" s="138">
        <f t="shared" si="1116"/>
        <v>0</v>
      </c>
      <c r="BC83" s="79">
        <f t="shared" si="1117"/>
        <v>0</v>
      </c>
      <c r="BD83" s="79">
        <f t="shared" si="1118"/>
        <v>0</v>
      </c>
      <c r="BE83" s="79">
        <f t="shared" si="1119"/>
        <v>0</v>
      </c>
      <c r="BF83" s="79">
        <f t="shared" si="1120"/>
        <v>0</v>
      </c>
      <c r="BG83" s="79">
        <f t="shared" si="1121"/>
        <v>0</v>
      </c>
      <c r="BH83" s="79">
        <f t="shared" si="1122"/>
        <v>0</v>
      </c>
      <c r="BI83" s="79">
        <f t="shared" si="1122"/>
        <v>0</v>
      </c>
      <c r="BJ83" s="79">
        <f t="shared" si="1122"/>
        <v>0</v>
      </c>
      <c r="BK83" s="79">
        <f t="shared" si="1122"/>
        <v>0</v>
      </c>
      <c r="BL83" s="79">
        <f t="shared" si="1122"/>
        <v>0</v>
      </c>
      <c r="BM83" s="79">
        <f t="shared" si="1122"/>
        <v>0</v>
      </c>
      <c r="BN83" s="82">
        <f t="shared" si="1123"/>
        <v>0</v>
      </c>
      <c r="BO83" s="79">
        <f t="shared" si="1124"/>
        <v>0</v>
      </c>
      <c r="BP83" s="79">
        <f t="shared" si="1125"/>
        <v>0</v>
      </c>
      <c r="BQ83" s="79">
        <f t="shared" si="1126"/>
        <v>0</v>
      </c>
      <c r="BR83" s="79">
        <f t="shared" si="1127"/>
        <v>0</v>
      </c>
      <c r="BS83" s="79">
        <f t="shared" si="1128"/>
        <v>0</v>
      </c>
      <c r="BT83" s="138">
        <f t="shared" si="1129"/>
        <v>0</v>
      </c>
      <c r="BU83" s="79">
        <f t="shared" si="1130"/>
        <v>0</v>
      </c>
      <c r="BV83" s="79">
        <f t="shared" si="1131"/>
        <v>0</v>
      </c>
      <c r="BW83" s="79">
        <f t="shared" si="1132"/>
        <v>0</v>
      </c>
      <c r="BX83" s="79">
        <f t="shared" si="1133"/>
        <v>0</v>
      </c>
      <c r="BY83" s="79">
        <f t="shared" si="1134"/>
        <v>0</v>
      </c>
      <c r="BZ83" s="138">
        <f t="shared" si="1135"/>
        <v>0</v>
      </c>
      <c r="CA83" s="79">
        <f t="shared" si="1135"/>
        <v>0</v>
      </c>
      <c r="CB83" s="79">
        <f t="shared" si="1135"/>
        <v>0</v>
      </c>
      <c r="CC83" s="79">
        <f t="shared" si="1135"/>
        <v>0</v>
      </c>
      <c r="CD83" s="79">
        <f t="shared" si="1135"/>
        <v>0</v>
      </c>
      <c r="CE83" s="535">
        <f t="shared" si="1135"/>
        <v>0</v>
      </c>
      <c r="CF83" s="79">
        <f t="shared" si="1315"/>
        <v>0</v>
      </c>
      <c r="CG83" s="79">
        <f t="shared" si="1198"/>
        <v>3.9703300000000006</v>
      </c>
      <c r="CH83" s="79">
        <f t="shared" si="1316"/>
        <v>0</v>
      </c>
      <c r="CI83" s="79">
        <f t="shared" si="1199"/>
        <v>0</v>
      </c>
      <c r="CJ83" s="79">
        <f t="shared" si="1317"/>
        <v>0</v>
      </c>
      <c r="CK83" s="79">
        <f t="shared" si="1200"/>
        <v>35.732970000000009</v>
      </c>
      <c r="CL83" s="3"/>
      <c r="CM83" s="101">
        <f t="shared" si="1205"/>
        <v>0</v>
      </c>
      <c r="CN83" s="99">
        <f t="shared" si="1136"/>
        <v>0</v>
      </c>
      <c r="CO83" s="130">
        <f t="shared" si="1137"/>
        <v>0</v>
      </c>
      <c r="CP83" s="131">
        <f t="shared" si="1201"/>
        <v>0</v>
      </c>
      <c r="CQ83" s="99">
        <f t="shared" si="1202"/>
        <v>0</v>
      </c>
      <c r="CR83" s="98">
        <f t="shared" si="1202"/>
        <v>0</v>
      </c>
      <c r="CS83" s="44">
        <v>0</v>
      </c>
      <c r="CT83" s="45">
        <v>0</v>
      </c>
      <c r="CU83" s="45">
        <v>1</v>
      </c>
      <c r="CV83" s="100">
        <f t="shared" si="1203"/>
        <v>0</v>
      </c>
      <c r="CW83" s="40">
        <f t="shared" si="1178"/>
        <v>0</v>
      </c>
      <c r="CX83" s="41">
        <f t="shared" si="1179"/>
        <v>0</v>
      </c>
      <c r="CY83" s="79">
        <f t="shared" si="1180"/>
        <v>0</v>
      </c>
      <c r="CZ83" s="139">
        <f t="shared" si="1181"/>
        <v>0</v>
      </c>
      <c r="DA83" s="41">
        <f t="shared" si="1139"/>
        <v>0</v>
      </c>
      <c r="DB83" s="41">
        <f t="shared" si="1140"/>
        <v>0</v>
      </c>
      <c r="DC83" s="41">
        <f t="shared" si="1141"/>
        <v>0</v>
      </c>
      <c r="DD83" s="143">
        <f t="shared" si="1142"/>
        <v>0</v>
      </c>
      <c r="DE83" s="41">
        <f t="shared" si="1206"/>
        <v>0</v>
      </c>
      <c r="DF83" s="41">
        <f t="shared" si="1182"/>
        <v>0</v>
      </c>
      <c r="DG83" s="41">
        <f t="shared" si="1183"/>
        <v>0</v>
      </c>
      <c r="DH83" s="42">
        <f t="shared" si="1184"/>
        <v>0</v>
      </c>
      <c r="DJ83" s="498">
        <v>1</v>
      </c>
      <c r="DK83" s="498">
        <v>0.3</v>
      </c>
      <c r="DL83" s="41">
        <f t="shared" si="1143"/>
        <v>0</v>
      </c>
      <c r="DM83" s="41">
        <f t="shared" si="1144"/>
        <v>0</v>
      </c>
      <c r="DN83" s="41">
        <f t="shared" si="1084"/>
        <v>0</v>
      </c>
      <c r="DO83" s="42">
        <f t="shared" si="1085"/>
        <v>0</v>
      </c>
      <c r="DP83" s="44">
        <v>1</v>
      </c>
      <c r="DQ83" s="45">
        <v>0.1</v>
      </c>
      <c r="DR83" s="45">
        <v>0.5</v>
      </c>
      <c r="DS83" s="682">
        <f t="shared" si="1318"/>
        <v>0.1</v>
      </c>
      <c r="DT83" s="102">
        <f t="shared" si="1319"/>
        <v>1</v>
      </c>
      <c r="DU83" s="45">
        <v>0</v>
      </c>
      <c r="DV83" s="45">
        <v>1</v>
      </c>
      <c r="DW83" s="45">
        <v>0</v>
      </c>
      <c r="DX83" s="45">
        <v>0</v>
      </c>
      <c r="DY83" s="45">
        <v>1</v>
      </c>
      <c r="DZ83" s="45">
        <v>0</v>
      </c>
      <c r="EA83" s="103">
        <f t="shared" si="1320"/>
        <v>0</v>
      </c>
      <c r="EB83" s="79">
        <f t="shared" si="1185"/>
        <v>0</v>
      </c>
      <c r="EC83" s="79">
        <f t="shared" si="1321"/>
        <v>0</v>
      </c>
      <c r="ED83" s="79">
        <f t="shared" si="1186"/>
        <v>0</v>
      </c>
      <c r="EE83" s="79">
        <f t="shared" si="1322"/>
        <v>0</v>
      </c>
      <c r="EF83" s="79">
        <f t="shared" si="1187"/>
        <v>0</v>
      </c>
      <c r="EG83" s="138">
        <f t="shared" si="1145"/>
        <v>0</v>
      </c>
      <c r="EH83" s="79">
        <f t="shared" si="1146"/>
        <v>0</v>
      </c>
      <c r="EI83" s="79">
        <f t="shared" si="1147"/>
        <v>0</v>
      </c>
      <c r="EJ83" s="79">
        <f t="shared" si="1148"/>
        <v>0</v>
      </c>
      <c r="EK83" s="79">
        <f t="shared" si="1149"/>
        <v>0</v>
      </c>
      <c r="EL83" s="139">
        <f t="shared" si="1150"/>
        <v>0</v>
      </c>
      <c r="EM83" s="79">
        <f t="shared" si="1323"/>
        <v>0</v>
      </c>
      <c r="EN83" s="83">
        <f t="shared" si="1324"/>
        <v>0</v>
      </c>
      <c r="EP83" s="103">
        <f t="shared" si="1207"/>
        <v>0</v>
      </c>
      <c r="EQ83" s="79">
        <f t="shared" si="1151"/>
        <v>0</v>
      </c>
      <c r="ER83" s="79">
        <f t="shared" si="1208"/>
        <v>0</v>
      </c>
      <c r="ES83" s="79">
        <f t="shared" si="1152"/>
        <v>0</v>
      </c>
      <c r="ET83" s="79">
        <f t="shared" si="1209"/>
        <v>0</v>
      </c>
      <c r="EU83" s="79">
        <f t="shared" si="1153"/>
        <v>0</v>
      </c>
      <c r="EV83" s="138">
        <f t="shared" si="1086"/>
        <v>0</v>
      </c>
      <c r="EW83" s="79">
        <f t="shared" si="1087"/>
        <v>0</v>
      </c>
      <c r="EX83" s="79">
        <f t="shared" si="1088"/>
        <v>0</v>
      </c>
      <c r="EY83" s="79">
        <f t="shared" si="1089"/>
        <v>0</v>
      </c>
      <c r="EZ83" s="79">
        <f t="shared" si="1090"/>
        <v>0</v>
      </c>
      <c r="FA83" s="104">
        <f t="shared" si="1091"/>
        <v>0</v>
      </c>
      <c r="FB83" s="40">
        <f t="shared" si="1188"/>
        <v>0</v>
      </c>
      <c r="FC83" s="41">
        <f t="shared" si="1189"/>
        <v>0</v>
      </c>
      <c r="FD83" s="41">
        <f t="shared" si="1154"/>
        <v>0</v>
      </c>
      <c r="FE83" s="41">
        <f t="shared" si="1155"/>
        <v>0</v>
      </c>
      <c r="FF83" s="40">
        <f t="shared" si="1210"/>
        <v>0</v>
      </c>
      <c r="FG83" s="41">
        <f t="shared" si="1156"/>
        <v>0</v>
      </c>
      <c r="FH83" s="41">
        <f t="shared" si="1157"/>
        <v>0</v>
      </c>
      <c r="FI83" s="41">
        <f t="shared" si="1158"/>
        <v>0</v>
      </c>
      <c r="FJ83" s="44">
        <v>1</v>
      </c>
      <c r="FK83" s="45">
        <v>0.2</v>
      </c>
      <c r="FL83" s="503">
        <v>0.8</v>
      </c>
      <c r="FM83" s="45">
        <v>0.1</v>
      </c>
      <c r="FN83" s="503">
        <v>0.5</v>
      </c>
      <c r="FO83" s="45">
        <f t="shared" si="1325"/>
        <v>0.1</v>
      </c>
      <c r="FP83" s="45">
        <f t="shared" si="1326"/>
        <v>1</v>
      </c>
      <c r="FQ83" s="45">
        <v>1</v>
      </c>
      <c r="FR83" s="45">
        <v>0</v>
      </c>
      <c r="FS83" s="108">
        <f t="shared" si="1327"/>
        <v>1E-3</v>
      </c>
      <c r="FT83" s="45">
        <f t="shared" si="1328"/>
        <v>0.05</v>
      </c>
      <c r="FU83" s="44">
        <v>0.05</v>
      </c>
      <c r="FV83" s="100">
        <f t="shared" si="1211"/>
        <v>2.4224999999999997E-2</v>
      </c>
      <c r="FW83" s="45">
        <v>0.1</v>
      </c>
      <c r="FX83" s="102">
        <f t="shared" si="1212"/>
        <v>9.0000000000000011E-2</v>
      </c>
      <c r="FY83" s="44">
        <v>0.45</v>
      </c>
      <c r="FZ83" s="100">
        <f t="shared" si="1329"/>
        <v>1.4025000000000001E-2</v>
      </c>
      <c r="GA83" s="45">
        <v>0.45</v>
      </c>
      <c r="GB83" s="102">
        <f t="shared" si="1330"/>
        <v>5.5000000000000007E-2</v>
      </c>
      <c r="GC83" s="103">
        <f t="shared" si="1213"/>
        <v>0</v>
      </c>
      <c r="GD83" s="79">
        <f t="shared" si="1159"/>
        <v>0</v>
      </c>
      <c r="GE83" s="79">
        <f t="shared" si="1214"/>
        <v>0</v>
      </c>
      <c r="GF83" s="79">
        <f t="shared" si="1160"/>
        <v>0</v>
      </c>
      <c r="GG83" s="79">
        <v>0</v>
      </c>
      <c r="GH83" s="139">
        <v>0</v>
      </c>
      <c r="GI83" s="79">
        <f t="shared" si="1094"/>
        <v>0</v>
      </c>
      <c r="GJ83" s="79">
        <f t="shared" si="1095"/>
        <v>0</v>
      </c>
      <c r="GK83" s="79">
        <f t="shared" si="1096"/>
        <v>0</v>
      </c>
      <c r="GL83" s="79">
        <f t="shared" si="1097"/>
        <v>0</v>
      </c>
      <c r="GM83" s="79">
        <f t="shared" si="1098"/>
        <v>0</v>
      </c>
      <c r="GN83" s="139">
        <f t="shared" si="1099"/>
        <v>0</v>
      </c>
      <c r="GO83" s="79">
        <f t="shared" si="1331"/>
        <v>0</v>
      </c>
      <c r="GP83" s="104">
        <f t="shared" si="1332"/>
        <v>0</v>
      </c>
      <c r="GQ83" s="41">
        <f t="shared" si="1333"/>
        <v>0</v>
      </c>
      <c r="GR83" s="41">
        <f t="shared" si="1334"/>
        <v>0</v>
      </c>
      <c r="GS83" s="79">
        <f t="shared" si="1031"/>
        <v>0</v>
      </c>
      <c r="GT83" s="79">
        <f t="shared" si="1032"/>
        <v>0</v>
      </c>
      <c r="GU83" s="79">
        <f t="shared" si="1033"/>
        <v>0</v>
      </c>
      <c r="GV83" s="139">
        <f t="shared" si="1034"/>
        <v>0</v>
      </c>
      <c r="GW83" s="41">
        <f t="shared" si="1162"/>
        <v>0</v>
      </c>
      <c r="GX83" s="41">
        <f t="shared" si="1163"/>
        <v>0</v>
      </c>
      <c r="GY83" s="41">
        <f t="shared" si="1192"/>
        <v>0</v>
      </c>
      <c r="GZ83" s="41">
        <f t="shared" si="1193"/>
        <v>0</v>
      </c>
      <c r="HA83" s="41">
        <f t="shared" si="1194"/>
        <v>0</v>
      </c>
      <c r="HB83" s="143">
        <f t="shared" si="1195"/>
        <v>0</v>
      </c>
      <c r="HC83" s="79">
        <f t="shared" si="1335"/>
        <v>0</v>
      </c>
      <c r="HD83" s="42">
        <f t="shared" si="1336"/>
        <v>0</v>
      </c>
      <c r="HE83" s="527"/>
      <c r="HF83" s="532">
        <f t="shared" si="1215"/>
        <v>0</v>
      </c>
      <c r="HG83" s="532">
        <f t="shared" si="1216"/>
        <v>0</v>
      </c>
      <c r="HH83" s="532">
        <f t="shared" si="1217"/>
        <v>0</v>
      </c>
      <c r="HI83" s="532">
        <f t="shared" si="1218"/>
        <v>0</v>
      </c>
      <c r="HJ83" s="532">
        <f t="shared" si="1219"/>
        <v>0</v>
      </c>
      <c r="HK83" s="533">
        <f t="shared" si="1220"/>
        <v>0</v>
      </c>
      <c r="HL83" s="532">
        <f t="shared" si="1221"/>
        <v>0</v>
      </c>
      <c r="HM83" s="532">
        <f t="shared" si="1222"/>
        <v>0</v>
      </c>
      <c r="HN83" s="532">
        <f t="shared" si="1223"/>
        <v>0</v>
      </c>
      <c r="HO83" s="532">
        <f t="shared" si="1224"/>
        <v>0</v>
      </c>
      <c r="HP83" s="532">
        <f t="shared" si="1225"/>
        <v>0</v>
      </c>
      <c r="HQ83" s="533">
        <f t="shared" si="1226"/>
        <v>0</v>
      </c>
      <c r="HR83" s="532">
        <f t="shared" si="1337"/>
        <v>0</v>
      </c>
      <c r="HS83" s="532">
        <f t="shared" si="1227"/>
        <v>3.9703300000000006</v>
      </c>
      <c r="HT83" s="532">
        <f t="shared" si="1228"/>
        <v>0</v>
      </c>
      <c r="HU83" s="532">
        <f t="shared" si="1229"/>
        <v>0</v>
      </c>
      <c r="HV83" s="532">
        <f t="shared" si="1230"/>
        <v>0</v>
      </c>
      <c r="HW83" s="533">
        <f t="shared" si="1231"/>
        <v>35.732970000000009</v>
      </c>
      <c r="IG83" s="560"/>
      <c r="IH83" s="532">
        <f t="shared" si="1338"/>
        <v>0</v>
      </c>
      <c r="II83" s="532">
        <f t="shared" si="1339"/>
        <v>0</v>
      </c>
      <c r="IJ83" s="532">
        <f t="shared" si="1340"/>
        <v>0</v>
      </c>
      <c r="IK83" s="532">
        <f t="shared" si="1341"/>
        <v>0</v>
      </c>
      <c r="IL83" s="532">
        <f t="shared" si="1342"/>
        <v>0</v>
      </c>
      <c r="IM83" s="532">
        <f t="shared" si="1343"/>
        <v>0</v>
      </c>
      <c r="IN83" s="532">
        <f t="shared" si="1344"/>
        <v>0</v>
      </c>
      <c r="IO83" s="532">
        <f t="shared" si="1345"/>
        <v>0</v>
      </c>
      <c r="IP83" s="532">
        <f t="shared" si="1346"/>
        <v>0</v>
      </c>
      <c r="IQ83" s="532">
        <f t="shared" si="1347"/>
        <v>0</v>
      </c>
      <c r="IR83" s="532">
        <f t="shared" si="1348"/>
        <v>0</v>
      </c>
      <c r="IS83" s="532">
        <f t="shared" si="1349"/>
        <v>0</v>
      </c>
      <c r="IT83" s="532">
        <f t="shared" si="1350"/>
        <v>0</v>
      </c>
      <c r="IU83" s="534">
        <f t="shared" si="1351"/>
        <v>0</v>
      </c>
      <c r="IV83" s="545">
        <f t="shared" si="1352"/>
        <v>0</v>
      </c>
      <c r="IW83" s="545">
        <f t="shared" si="1353"/>
        <v>0</v>
      </c>
      <c r="IX83" s="532">
        <f t="shared" si="1232"/>
        <v>0</v>
      </c>
      <c r="IY83" s="532">
        <f t="shared" si="1233"/>
        <v>0</v>
      </c>
      <c r="IZ83" s="532">
        <f t="shared" si="1234"/>
        <v>0</v>
      </c>
      <c r="JA83" s="532">
        <f t="shared" si="1235"/>
        <v>0</v>
      </c>
      <c r="JB83" s="532">
        <f t="shared" si="1236"/>
        <v>0</v>
      </c>
      <c r="JC83" s="532">
        <f t="shared" si="1354"/>
        <v>0</v>
      </c>
      <c r="JD83" s="532">
        <f t="shared" si="1355"/>
        <v>0</v>
      </c>
      <c r="JE83" s="532">
        <f t="shared" si="1237"/>
        <v>0</v>
      </c>
      <c r="JF83" s="532">
        <f t="shared" si="1238"/>
        <v>0</v>
      </c>
      <c r="JG83" s="532">
        <f t="shared" si="1239"/>
        <v>0</v>
      </c>
      <c r="JH83" s="532">
        <f t="shared" si="1240"/>
        <v>0</v>
      </c>
      <c r="JI83" s="553">
        <f t="shared" si="1241"/>
        <v>0</v>
      </c>
      <c r="JJ83" s="545">
        <f t="shared" si="1356"/>
        <v>0</v>
      </c>
      <c r="JK83" s="545">
        <f t="shared" si="1357"/>
        <v>0</v>
      </c>
      <c r="JL83" s="532">
        <f t="shared" si="1242"/>
        <v>0</v>
      </c>
      <c r="JM83" s="532">
        <f t="shared" si="1243"/>
        <v>0</v>
      </c>
      <c r="JN83" s="532">
        <f t="shared" si="1244"/>
        <v>0</v>
      </c>
      <c r="JO83" s="532">
        <f t="shared" si="1245"/>
        <v>0</v>
      </c>
      <c r="JP83" s="532">
        <f t="shared" si="1246"/>
        <v>0</v>
      </c>
      <c r="JQ83" s="532">
        <f t="shared" si="1358"/>
        <v>0</v>
      </c>
      <c r="JR83" s="532">
        <f t="shared" si="1359"/>
        <v>0</v>
      </c>
      <c r="JS83" s="545">
        <f t="shared" si="1247"/>
        <v>0</v>
      </c>
      <c r="JT83" s="545">
        <f t="shared" si="1248"/>
        <v>0</v>
      </c>
      <c r="JU83" s="545">
        <f t="shared" si="1249"/>
        <v>0</v>
      </c>
      <c r="JV83" s="545">
        <f t="shared" si="1250"/>
        <v>0</v>
      </c>
      <c r="JW83" s="554">
        <f t="shared" si="1251"/>
        <v>0</v>
      </c>
      <c r="JX83" s="545">
        <f t="shared" si="1360"/>
        <v>0</v>
      </c>
      <c r="JY83" s="545">
        <f t="shared" si="1361"/>
        <v>0</v>
      </c>
      <c r="JZ83" s="532">
        <f t="shared" si="1252"/>
        <v>0</v>
      </c>
      <c r="KA83" s="532">
        <f t="shared" si="1253"/>
        <v>0</v>
      </c>
      <c r="KB83" s="532">
        <f t="shared" si="1254"/>
        <v>0</v>
      </c>
      <c r="KC83" s="532">
        <f t="shared" si="1255"/>
        <v>0</v>
      </c>
      <c r="KD83" s="532">
        <f t="shared" si="1256"/>
        <v>0</v>
      </c>
      <c r="KE83" s="532">
        <f t="shared" si="1362"/>
        <v>0</v>
      </c>
      <c r="KF83" s="532">
        <f t="shared" si="1363"/>
        <v>0</v>
      </c>
      <c r="KG83" s="532">
        <f t="shared" si="1257"/>
        <v>0</v>
      </c>
      <c r="KH83" s="532">
        <f t="shared" si="1258"/>
        <v>0</v>
      </c>
      <c r="KI83" s="532">
        <f t="shared" si="1259"/>
        <v>0</v>
      </c>
      <c r="KJ83" s="532">
        <f t="shared" si="1260"/>
        <v>0</v>
      </c>
      <c r="KK83" s="534">
        <f t="shared" si="1261"/>
        <v>0</v>
      </c>
      <c r="KL83" s="545">
        <f t="shared" si="1364"/>
        <v>0</v>
      </c>
      <c r="KM83" s="545">
        <f t="shared" si="1365"/>
        <v>0</v>
      </c>
      <c r="KN83" s="532">
        <f t="shared" si="1262"/>
        <v>0</v>
      </c>
      <c r="KO83" s="532">
        <f t="shared" si="1263"/>
        <v>0</v>
      </c>
      <c r="KP83" s="532">
        <f t="shared" si="1264"/>
        <v>0</v>
      </c>
      <c r="KQ83" s="532">
        <f t="shared" si="1265"/>
        <v>0</v>
      </c>
      <c r="KR83" s="532">
        <f t="shared" si="1266"/>
        <v>0</v>
      </c>
      <c r="KS83" s="532">
        <f t="shared" si="1366"/>
        <v>0</v>
      </c>
      <c r="KT83" s="532">
        <f t="shared" si="1367"/>
        <v>0</v>
      </c>
      <c r="KU83" s="532">
        <f t="shared" si="1267"/>
        <v>0</v>
      </c>
      <c r="KV83" s="532">
        <f t="shared" si="1268"/>
        <v>0</v>
      </c>
      <c r="KW83" s="532">
        <f t="shared" si="1269"/>
        <v>0</v>
      </c>
      <c r="KX83" s="532">
        <f t="shared" si="1270"/>
        <v>0</v>
      </c>
      <c r="KY83" s="553">
        <f t="shared" si="1271"/>
        <v>0</v>
      </c>
      <c r="KZ83" s="545">
        <f t="shared" si="1368"/>
        <v>0</v>
      </c>
      <c r="LA83" s="545">
        <f t="shared" si="1369"/>
        <v>0</v>
      </c>
      <c r="LB83" s="532">
        <f t="shared" si="1272"/>
        <v>0</v>
      </c>
      <c r="LC83" s="532">
        <f t="shared" si="1273"/>
        <v>0</v>
      </c>
      <c r="LD83" s="532">
        <f t="shared" si="1274"/>
        <v>0</v>
      </c>
      <c r="LE83" s="532">
        <f t="shared" si="1275"/>
        <v>0</v>
      </c>
      <c r="LF83" s="532">
        <f t="shared" si="1276"/>
        <v>0</v>
      </c>
      <c r="LG83" s="532">
        <f t="shared" si="1370"/>
        <v>0</v>
      </c>
      <c r="LH83" s="532">
        <f t="shared" si="1371"/>
        <v>0</v>
      </c>
      <c r="LI83" s="545">
        <f t="shared" si="1277"/>
        <v>0</v>
      </c>
      <c r="LJ83" s="545">
        <f t="shared" si="1278"/>
        <v>0</v>
      </c>
      <c r="LK83" s="545">
        <f t="shared" si="1279"/>
        <v>0</v>
      </c>
      <c r="LL83" s="545">
        <f t="shared" si="1280"/>
        <v>0</v>
      </c>
      <c r="LM83" s="554">
        <f t="shared" si="1281"/>
        <v>0</v>
      </c>
      <c r="LN83" s="545">
        <f t="shared" si="1372"/>
        <v>0</v>
      </c>
      <c r="LO83" s="545">
        <f t="shared" si="1373"/>
        <v>0</v>
      </c>
      <c r="LP83" s="532">
        <f t="shared" si="1282"/>
        <v>0</v>
      </c>
      <c r="LQ83" s="532">
        <f t="shared" si="1283"/>
        <v>0</v>
      </c>
      <c r="LR83" s="532">
        <f t="shared" si="1284"/>
        <v>0</v>
      </c>
      <c r="LS83" s="532">
        <f t="shared" si="1285"/>
        <v>0</v>
      </c>
      <c r="LT83" s="532">
        <f t="shared" si="1286"/>
        <v>0</v>
      </c>
      <c r="LU83" s="532">
        <f t="shared" si="1374"/>
        <v>0.23821980000000004</v>
      </c>
      <c r="LV83" s="532">
        <f t="shared" si="1375"/>
        <v>0.11910990000000002</v>
      </c>
      <c r="LW83" s="532">
        <f t="shared" si="1287"/>
        <v>0.27792310000000009</v>
      </c>
      <c r="LX83" s="532">
        <f t="shared" si="1288"/>
        <v>0.23821980000000004</v>
      </c>
      <c r="LY83" s="532">
        <f t="shared" si="1289"/>
        <v>3.9266563700000008</v>
      </c>
      <c r="LZ83" s="532">
        <f t="shared" si="1290"/>
        <v>3.9703300000000004E-2</v>
      </c>
      <c r="MA83" s="558">
        <f t="shared" si="1291"/>
        <v>3.9703300000000004E-2</v>
      </c>
      <c r="MB83" s="545">
        <f t="shared" si="1376"/>
        <v>0</v>
      </c>
      <c r="MC83" s="545">
        <f t="shared" si="1377"/>
        <v>0</v>
      </c>
      <c r="MD83" s="532">
        <f t="shared" si="1292"/>
        <v>0</v>
      </c>
      <c r="ME83" s="532">
        <f t="shared" si="1293"/>
        <v>0</v>
      </c>
      <c r="MF83" s="532">
        <f t="shared" si="1294"/>
        <v>0</v>
      </c>
      <c r="MG83" s="532">
        <f t="shared" si="1295"/>
        <v>0</v>
      </c>
      <c r="MH83" s="532">
        <f t="shared" si="1296"/>
        <v>0</v>
      </c>
      <c r="MI83" s="532">
        <f t="shared" si="1378"/>
        <v>0</v>
      </c>
      <c r="MJ83" s="532">
        <f t="shared" si="1379"/>
        <v>0</v>
      </c>
      <c r="MK83" s="532">
        <f t="shared" si="1297"/>
        <v>0</v>
      </c>
      <c r="ML83" s="532">
        <f t="shared" si="1298"/>
        <v>0</v>
      </c>
      <c r="MM83" s="532">
        <f t="shared" si="1299"/>
        <v>0</v>
      </c>
      <c r="MN83" s="532">
        <f t="shared" si="1300"/>
        <v>0</v>
      </c>
      <c r="MO83" s="558">
        <f t="shared" si="1301"/>
        <v>0</v>
      </c>
      <c r="MP83" s="545">
        <f t="shared" si="1380"/>
        <v>0</v>
      </c>
      <c r="MQ83" s="545">
        <f t="shared" si="1381"/>
        <v>0</v>
      </c>
      <c r="MR83" s="532">
        <f t="shared" si="1302"/>
        <v>0</v>
      </c>
      <c r="MS83" s="532">
        <f t="shared" si="1303"/>
        <v>0</v>
      </c>
      <c r="MT83" s="532">
        <f t="shared" si="1304"/>
        <v>0</v>
      </c>
      <c r="MU83" s="532">
        <f t="shared" si="1305"/>
        <v>0</v>
      </c>
      <c r="MV83" s="532">
        <f t="shared" si="1306"/>
        <v>0</v>
      </c>
      <c r="MW83" s="532">
        <f t="shared" si="1382"/>
        <v>2.1439782000000003</v>
      </c>
      <c r="MX83" s="532">
        <f t="shared" si="1383"/>
        <v>1.0719891000000001</v>
      </c>
      <c r="MY83" s="545">
        <f t="shared" si="1307"/>
        <v>2.5013079000000009</v>
      </c>
      <c r="MZ83" s="545">
        <f t="shared" si="1308"/>
        <v>2.1439782000000003</v>
      </c>
      <c r="NA83" s="545">
        <f t="shared" si="1309"/>
        <v>35.33990733000001</v>
      </c>
      <c r="NB83" s="545">
        <f t="shared" si="1310"/>
        <v>0.35732970000000008</v>
      </c>
      <c r="NC83" s="554">
        <f t="shared" si="1311"/>
        <v>0.35732970000000008</v>
      </c>
      <c r="NL83" s="106"/>
    </row>
    <row r="84" spans="1:376" x14ac:dyDescent="0.25">
      <c r="A84" s="12">
        <v>2029</v>
      </c>
      <c r="B84" s="13">
        <v>0</v>
      </c>
      <c r="C84" s="14">
        <v>0</v>
      </c>
      <c r="D84" s="14">
        <v>0</v>
      </c>
      <c r="E84" s="658">
        <v>0</v>
      </c>
      <c r="F84" s="14">
        <f t="shared" si="1164"/>
        <v>0</v>
      </c>
      <c r="G84" s="14">
        <f t="shared" si="1165"/>
        <v>0</v>
      </c>
      <c r="H84" s="14">
        <f t="shared" si="1100"/>
        <v>0</v>
      </c>
      <c r="I84" s="14">
        <f t="shared" si="1101"/>
        <v>0</v>
      </c>
      <c r="J84" s="14">
        <v>0</v>
      </c>
      <c r="K84" s="917">
        <f t="shared" si="1197"/>
        <v>39.703300000000006</v>
      </c>
      <c r="L84" s="14">
        <f t="shared" si="1204"/>
        <v>0</v>
      </c>
      <c r="M84" s="17">
        <f t="shared" si="1102"/>
        <v>0</v>
      </c>
      <c r="N84" s="198">
        <v>2E-3</v>
      </c>
      <c r="O84" s="120">
        <v>0</v>
      </c>
      <c r="P84" s="120">
        <v>0</v>
      </c>
      <c r="Q84" s="199">
        <v>6.0000000000000001E-3</v>
      </c>
      <c r="R84" s="120">
        <v>0</v>
      </c>
      <c r="S84" s="120">
        <v>2.7000000000000001E-3</v>
      </c>
      <c r="T84" s="120">
        <v>0</v>
      </c>
      <c r="U84" s="120">
        <v>1.18E-2</v>
      </c>
      <c r="V84" s="119">
        <v>1.0000000000000001E-5</v>
      </c>
      <c r="W84" s="120">
        <v>2.9999999999999997E-4</v>
      </c>
      <c r="X84" s="105">
        <v>0</v>
      </c>
      <c r="Y84" s="105">
        <v>3.1E-2</v>
      </c>
      <c r="Z84" s="488">
        <v>5.2999999999999999E-2</v>
      </c>
      <c r="AA84" s="105">
        <f t="shared" si="1312"/>
        <v>0.1</v>
      </c>
      <c r="AB84" s="105">
        <f t="shared" si="1313"/>
        <v>0</v>
      </c>
      <c r="AC84" s="105">
        <f t="shared" si="1314"/>
        <v>0.9</v>
      </c>
      <c r="AD84" s="82">
        <f t="shared" si="1166"/>
        <v>0</v>
      </c>
      <c r="AE84" s="79">
        <f t="shared" si="1167"/>
        <v>0</v>
      </c>
      <c r="AF84" s="79">
        <f t="shared" si="1168"/>
        <v>0</v>
      </c>
      <c r="AG84" s="79">
        <f t="shared" si="1169"/>
        <v>0</v>
      </c>
      <c r="AH84" s="79">
        <f t="shared" si="1170"/>
        <v>0</v>
      </c>
      <c r="AI84" s="79">
        <f t="shared" si="1171"/>
        <v>0</v>
      </c>
      <c r="AJ84" s="138">
        <f t="shared" si="1103"/>
        <v>0</v>
      </c>
      <c r="AK84" s="79">
        <f t="shared" si="1104"/>
        <v>0</v>
      </c>
      <c r="AL84" s="79">
        <f t="shared" si="1105"/>
        <v>0</v>
      </c>
      <c r="AM84" s="79">
        <f t="shared" si="1106"/>
        <v>0</v>
      </c>
      <c r="AN84" s="79">
        <f t="shared" si="1107"/>
        <v>0</v>
      </c>
      <c r="AO84" s="139">
        <f t="shared" si="1108"/>
        <v>0</v>
      </c>
      <c r="AP84" s="79">
        <f t="shared" si="1172"/>
        <v>0</v>
      </c>
      <c r="AQ84" s="79">
        <f t="shared" si="1172"/>
        <v>0</v>
      </c>
      <c r="AR84" s="79">
        <f t="shared" si="1172"/>
        <v>0</v>
      </c>
      <c r="AS84" s="79">
        <f t="shared" si="1172"/>
        <v>0</v>
      </c>
      <c r="AT84" s="79">
        <f t="shared" si="1172"/>
        <v>0</v>
      </c>
      <c r="AU84" s="104">
        <f t="shared" si="1172"/>
        <v>0</v>
      </c>
      <c r="AV84" s="82">
        <f t="shared" si="1110"/>
        <v>0</v>
      </c>
      <c r="AW84" s="79">
        <f t="shared" si="1111"/>
        <v>0</v>
      </c>
      <c r="AX84" s="79">
        <f t="shared" si="1112"/>
        <v>0</v>
      </c>
      <c r="AY84" s="79">
        <f t="shared" si="1113"/>
        <v>0</v>
      </c>
      <c r="AZ84" s="79">
        <f t="shared" si="1114"/>
        <v>0</v>
      </c>
      <c r="BA84" s="79">
        <f t="shared" si="1115"/>
        <v>0</v>
      </c>
      <c r="BB84" s="138">
        <f t="shared" si="1116"/>
        <v>0</v>
      </c>
      <c r="BC84" s="79">
        <f t="shared" si="1117"/>
        <v>0</v>
      </c>
      <c r="BD84" s="79">
        <f t="shared" si="1118"/>
        <v>0</v>
      </c>
      <c r="BE84" s="79">
        <f t="shared" si="1119"/>
        <v>0</v>
      </c>
      <c r="BF84" s="79">
        <f t="shared" si="1120"/>
        <v>0</v>
      </c>
      <c r="BG84" s="79">
        <f t="shared" si="1121"/>
        <v>0</v>
      </c>
      <c r="BH84" s="79">
        <f t="shared" si="1122"/>
        <v>0</v>
      </c>
      <c r="BI84" s="79">
        <f t="shared" si="1122"/>
        <v>0</v>
      </c>
      <c r="BJ84" s="79">
        <f t="shared" si="1122"/>
        <v>0</v>
      </c>
      <c r="BK84" s="79">
        <f t="shared" si="1122"/>
        <v>0</v>
      </c>
      <c r="BL84" s="79">
        <f t="shared" si="1122"/>
        <v>0</v>
      </c>
      <c r="BM84" s="79">
        <f t="shared" si="1122"/>
        <v>0</v>
      </c>
      <c r="BN84" s="82">
        <f t="shared" si="1123"/>
        <v>0</v>
      </c>
      <c r="BO84" s="79">
        <f t="shared" si="1124"/>
        <v>0</v>
      </c>
      <c r="BP84" s="79">
        <f t="shared" si="1125"/>
        <v>0</v>
      </c>
      <c r="BQ84" s="79">
        <f t="shared" si="1126"/>
        <v>0</v>
      </c>
      <c r="BR84" s="79">
        <f t="shared" si="1127"/>
        <v>0</v>
      </c>
      <c r="BS84" s="79">
        <f t="shared" si="1128"/>
        <v>0</v>
      </c>
      <c r="BT84" s="138">
        <f t="shared" si="1129"/>
        <v>0</v>
      </c>
      <c r="BU84" s="79">
        <f t="shared" si="1130"/>
        <v>0</v>
      </c>
      <c r="BV84" s="79">
        <f t="shared" si="1131"/>
        <v>0</v>
      </c>
      <c r="BW84" s="79">
        <f t="shared" si="1132"/>
        <v>0</v>
      </c>
      <c r="BX84" s="79">
        <f t="shared" si="1133"/>
        <v>0</v>
      </c>
      <c r="BY84" s="79">
        <f t="shared" si="1134"/>
        <v>0</v>
      </c>
      <c r="BZ84" s="138">
        <f t="shared" si="1135"/>
        <v>0</v>
      </c>
      <c r="CA84" s="79">
        <f t="shared" si="1135"/>
        <v>0</v>
      </c>
      <c r="CB84" s="79">
        <f t="shared" si="1135"/>
        <v>0</v>
      </c>
      <c r="CC84" s="79">
        <f t="shared" si="1135"/>
        <v>0</v>
      </c>
      <c r="CD84" s="79">
        <f t="shared" si="1135"/>
        <v>0</v>
      </c>
      <c r="CE84" s="535">
        <f t="shared" si="1135"/>
        <v>0</v>
      </c>
      <c r="CF84" s="79">
        <f t="shared" si="1315"/>
        <v>0</v>
      </c>
      <c r="CG84" s="79">
        <f t="shared" si="1198"/>
        <v>3.9703300000000006</v>
      </c>
      <c r="CH84" s="79">
        <f t="shared" si="1316"/>
        <v>0</v>
      </c>
      <c r="CI84" s="79">
        <f t="shared" si="1199"/>
        <v>0</v>
      </c>
      <c r="CJ84" s="79">
        <f t="shared" si="1317"/>
        <v>0</v>
      </c>
      <c r="CK84" s="79">
        <f t="shared" si="1200"/>
        <v>35.732970000000009</v>
      </c>
      <c r="CL84" s="3"/>
      <c r="CM84" s="101">
        <f t="shared" si="1205"/>
        <v>0</v>
      </c>
      <c r="CN84" s="99">
        <f t="shared" si="1136"/>
        <v>0</v>
      </c>
      <c r="CO84" s="130">
        <f t="shared" si="1137"/>
        <v>0</v>
      </c>
      <c r="CP84" s="131">
        <f t="shared" si="1201"/>
        <v>0</v>
      </c>
      <c r="CQ84" s="99">
        <f t="shared" si="1202"/>
        <v>0</v>
      </c>
      <c r="CR84" s="98">
        <f t="shared" si="1202"/>
        <v>0</v>
      </c>
      <c r="CS84" s="44">
        <v>0</v>
      </c>
      <c r="CT84" s="45">
        <v>0</v>
      </c>
      <c r="CU84" s="45">
        <v>1</v>
      </c>
      <c r="CV84" s="100">
        <f t="shared" si="1203"/>
        <v>0</v>
      </c>
      <c r="CW84" s="40">
        <f t="shared" si="1178"/>
        <v>0</v>
      </c>
      <c r="CX84" s="41">
        <f t="shared" si="1179"/>
        <v>0</v>
      </c>
      <c r="CY84" s="79">
        <f t="shared" si="1180"/>
        <v>0</v>
      </c>
      <c r="CZ84" s="139">
        <f t="shared" si="1181"/>
        <v>0</v>
      </c>
      <c r="DA84" s="41">
        <f t="shared" si="1139"/>
        <v>0</v>
      </c>
      <c r="DB84" s="41">
        <f t="shared" si="1140"/>
        <v>0</v>
      </c>
      <c r="DC84" s="41">
        <f t="shared" si="1141"/>
        <v>0</v>
      </c>
      <c r="DD84" s="143">
        <f t="shared" si="1142"/>
        <v>0</v>
      </c>
      <c r="DE84" s="41">
        <f t="shared" si="1206"/>
        <v>0</v>
      </c>
      <c r="DF84" s="41">
        <f t="shared" si="1182"/>
        <v>0</v>
      </c>
      <c r="DG84" s="41">
        <f t="shared" si="1183"/>
        <v>0</v>
      </c>
      <c r="DH84" s="42">
        <f t="shared" si="1184"/>
        <v>0</v>
      </c>
      <c r="DJ84" s="498">
        <v>1</v>
      </c>
      <c r="DK84" s="498">
        <v>0.3</v>
      </c>
      <c r="DL84" s="41">
        <f t="shared" si="1143"/>
        <v>0</v>
      </c>
      <c r="DM84" s="41">
        <f t="shared" si="1144"/>
        <v>0</v>
      </c>
      <c r="DN84" s="41">
        <f t="shared" si="1084"/>
        <v>0</v>
      </c>
      <c r="DO84" s="42">
        <f t="shared" si="1085"/>
        <v>0</v>
      </c>
      <c r="DP84" s="44">
        <v>1</v>
      </c>
      <c r="DQ84" s="45">
        <v>0.1</v>
      </c>
      <c r="DR84" s="45">
        <v>0.5</v>
      </c>
      <c r="DS84" s="682">
        <f t="shared" si="1318"/>
        <v>0.1</v>
      </c>
      <c r="DT84" s="102">
        <f t="shared" si="1319"/>
        <v>1</v>
      </c>
      <c r="DU84" s="45">
        <v>0</v>
      </c>
      <c r="DV84" s="45">
        <v>1</v>
      </c>
      <c r="DW84" s="45">
        <v>0</v>
      </c>
      <c r="DX84" s="45">
        <v>0</v>
      </c>
      <c r="DY84" s="45">
        <v>1</v>
      </c>
      <c r="DZ84" s="45">
        <v>0</v>
      </c>
      <c r="EA84" s="103">
        <f t="shared" si="1320"/>
        <v>0</v>
      </c>
      <c r="EB84" s="79">
        <f t="shared" si="1185"/>
        <v>0</v>
      </c>
      <c r="EC84" s="79">
        <f t="shared" si="1321"/>
        <v>0</v>
      </c>
      <c r="ED84" s="79">
        <f t="shared" si="1186"/>
        <v>0</v>
      </c>
      <c r="EE84" s="79">
        <f t="shared" si="1322"/>
        <v>0</v>
      </c>
      <c r="EF84" s="79">
        <f t="shared" si="1187"/>
        <v>0</v>
      </c>
      <c r="EG84" s="138">
        <f t="shared" si="1145"/>
        <v>0</v>
      </c>
      <c r="EH84" s="79">
        <f t="shared" si="1146"/>
        <v>0</v>
      </c>
      <c r="EI84" s="79">
        <f t="shared" si="1147"/>
        <v>0</v>
      </c>
      <c r="EJ84" s="79">
        <f t="shared" si="1148"/>
        <v>0</v>
      </c>
      <c r="EK84" s="79">
        <f t="shared" si="1149"/>
        <v>0</v>
      </c>
      <c r="EL84" s="139">
        <f t="shared" si="1150"/>
        <v>0</v>
      </c>
      <c r="EM84" s="79">
        <f t="shared" si="1323"/>
        <v>0</v>
      </c>
      <c r="EN84" s="83">
        <f t="shared" si="1324"/>
        <v>0</v>
      </c>
      <c r="EP84" s="103">
        <f t="shared" si="1207"/>
        <v>0</v>
      </c>
      <c r="EQ84" s="79">
        <f t="shared" si="1151"/>
        <v>0</v>
      </c>
      <c r="ER84" s="79">
        <f t="shared" si="1208"/>
        <v>0</v>
      </c>
      <c r="ES84" s="79">
        <f t="shared" si="1152"/>
        <v>0</v>
      </c>
      <c r="ET84" s="79">
        <f t="shared" si="1209"/>
        <v>0</v>
      </c>
      <c r="EU84" s="79">
        <f t="shared" si="1153"/>
        <v>0</v>
      </c>
      <c r="EV84" s="138">
        <f t="shared" si="1086"/>
        <v>0</v>
      </c>
      <c r="EW84" s="79">
        <f t="shared" si="1087"/>
        <v>0</v>
      </c>
      <c r="EX84" s="79">
        <f t="shared" si="1088"/>
        <v>0</v>
      </c>
      <c r="EY84" s="79">
        <f t="shared" si="1089"/>
        <v>0</v>
      </c>
      <c r="EZ84" s="79">
        <f t="shared" si="1090"/>
        <v>0</v>
      </c>
      <c r="FA84" s="104">
        <f t="shared" si="1091"/>
        <v>0</v>
      </c>
      <c r="FB84" s="40">
        <f t="shared" si="1188"/>
        <v>0</v>
      </c>
      <c r="FC84" s="41">
        <f t="shared" si="1189"/>
        <v>0</v>
      </c>
      <c r="FD84" s="41">
        <f t="shared" si="1154"/>
        <v>0</v>
      </c>
      <c r="FE84" s="41">
        <f t="shared" si="1155"/>
        <v>0</v>
      </c>
      <c r="FF84" s="40">
        <f t="shared" si="1210"/>
        <v>0</v>
      </c>
      <c r="FG84" s="41">
        <f t="shared" si="1156"/>
        <v>0</v>
      </c>
      <c r="FH84" s="41">
        <f t="shared" si="1157"/>
        <v>0</v>
      </c>
      <c r="FI84" s="41">
        <f t="shared" si="1158"/>
        <v>0</v>
      </c>
      <c r="FJ84" s="44">
        <v>1</v>
      </c>
      <c r="FK84" s="45">
        <v>0.2</v>
      </c>
      <c r="FL84" s="503">
        <v>0.8</v>
      </c>
      <c r="FM84" s="45">
        <v>0.1</v>
      </c>
      <c r="FN84" s="503">
        <v>0.5</v>
      </c>
      <c r="FO84" s="45">
        <f t="shared" si="1325"/>
        <v>0.1</v>
      </c>
      <c r="FP84" s="45">
        <f t="shared" si="1326"/>
        <v>1</v>
      </c>
      <c r="FQ84" s="45">
        <v>1</v>
      </c>
      <c r="FR84" s="45">
        <v>0</v>
      </c>
      <c r="FS84" s="108">
        <f t="shared" si="1327"/>
        <v>1E-3</v>
      </c>
      <c r="FT84" s="45">
        <f t="shared" si="1328"/>
        <v>0.05</v>
      </c>
      <c r="FU84" s="44">
        <v>0.05</v>
      </c>
      <c r="FV84" s="100">
        <f t="shared" si="1211"/>
        <v>2.4224999999999997E-2</v>
      </c>
      <c r="FW84" s="45">
        <v>0.1</v>
      </c>
      <c r="FX84" s="102">
        <f t="shared" si="1212"/>
        <v>9.0000000000000011E-2</v>
      </c>
      <c r="FY84" s="44">
        <v>0.45</v>
      </c>
      <c r="FZ84" s="100">
        <f t="shared" si="1329"/>
        <v>1.4025000000000001E-2</v>
      </c>
      <c r="GA84" s="45">
        <v>0.45</v>
      </c>
      <c r="GB84" s="102">
        <f t="shared" si="1330"/>
        <v>5.5000000000000007E-2</v>
      </c>
      <c r="GC84" s="103">
        <f t="shared" si="1213"/>
        <v>0</v>
      </c>
      <c r="GD84" s="79">
        <f t="shared" si="1159"/>
        <v>0</v>
      </c>
      <c r="GE84" s="79">
        <f t="shared" si="1214"/>
        <v>0</v>
      </c>
      <c r="GF84" s="79">
        <f t="shared" si="1160"/>
        <v>0</v>
      </c>
      <c r="GG84" s="79">
        <v>0</v>
      </c>
      <c r="GH84" s="139">
        <v>0</v>
      </c>
      <c r="GI84" s="79">
        <f t="shared" si="1094"/>
        <v>0</v>
      </c>
      <c r="GJ84" s="79">
        <f t="shared" si="1095"/>
        <v>0</v>
      </c>
      <c r="GK84" s="79">
        <f t="shared" si="1096"/>
        <v>0</v>
      </c>
      <c r="GL84" s="79">
        <f t="shared" si="1097"/>
        <v>0</v>
      </c>
      <c r="GM84" s="79">
        <f t="shared" si="1098"/>
        <v>0</v>
      </c>
      <c r="GN84" s="139">
        <f t="shared" si="1099"/>
        <v>0</v>
      </c>
      <c r="GO84" s="79">
        <f t="shared" si="1331"/>
        <v>0</v>
      </c>
      <c r="GP84" s="104">
        <f t="shared" si="1332"/>
        <v>0</v>
      </c>
      <c r="GQ84" s="41">
        <f t="shared" si="1333"/>
        <v>0</v>
      </c>
      <c r="GR84" s="41">
        <f t="shared" si="1334"/>
        <v>0</v>
      </c>
      <c r="GS84" s="79">
        <f t="shared" si="1031"/>
        <v>0</v>
      </c>
      <c r="GT84" s="79">
        <f t="shared" si="1032"/>
        <v>0</v>
      </c>
      <c r="GU84" s="79">
        <f t="shared" si="1033"/>
        <v>0</v>
      </c>
      <c r="GV84" s="139">
        <f t="shared" si="1034"/>
        <v>0</v>
      </c>
      <c r="GW84" s="41">
        <f t="shared" si="1162"/>
        <v>0</v>
      </c>
      <c r="GX84" s="41">
        <f t="shared" si="1163"/>
        <v>0</v>
      </c>
      <c r="GY84" s="41">
        <f t="shared" si="1192"/>
        <v>0</v>
      </c>
      <c r="GZ84" s="41">
        <f t="shared" si="1193"/>
        <v>0</v>
      </c>
      <c r="HA84" s="41">
        <f t="shared" si="1194"/>
        <v>0</v>
      </c>
      <c r="HB84" s="143">
        <f t="shared" si="1195"/>
        <v>0</v>
      </c>
      <c r="HC84" s="79">
        <f t="shared" si="1335"/>
        <v>0</v>
      </c>
      <c r="HD84" s="42">
        <f t="shared" si="1336"/>
        <v>0</v>
      </c>
      <c r="HE84" s="527"/>
      <c r="HF84" s="532">
        <f t="shared" si="1215"/>
        <v>0</v>
      </c>
      <c r="HG84" s="532">
        <f t="shared" si="1216"/>
        <v>0</v>
      </c>
      <c r="HH84" s="532">
        <f t="shared" si="1217"/>
        <v>0</v>
      </c>
      <c r="HI84" s="532">
        <f t="shared" si="1218"/>
        <v>0</v>
      </c>
      <c r="HJ84" s="532">
        <f t="shared" si="1219"/>
        <v>0</v>
      </c>
      <c r="HK84" s="533">
        <f t="shared" si="1220"/>
        <v>0</v>
      </c>
      <c r="HL84" s="532">
        <f t="shared" si="1221"/>
        <v>0</v>
      </c>
      <c r="HM84" s="532">
        <f t="shared" si="1222"/>
        <v>0</v>
      </c>
      <c r="HN84" s="532">
        <f t="shared" si="1223"/>
        <v>0</v>
      </c>
      <c r="HO84" s="532">
        <f t="shared" si="1224"/>
        <v>0</v>
      </c>
      <c r="HP84" s="532">
        <f t="shared" si="1225"/>
        <v>0</v>
      </c>
      <c r="HQ84" s="533">
        <f t="shared" si="1226"/>
        <v>0</v>
      </c>
      <c r="HR84" s="532">
        <f t="shared" si="1337"/>
        <v>0</v>
      </c>
      <c r="HS84" s="532">
        <f t="shared" si="1227"/>
        <v>3.9703300000000006</v>
      </c>
      <c r="HT84" s="532">
        <f t="shared" si="1228"/>
        <v>0</v>
      </c>
      <c r="HU84" s="532">
        <f t="shared" si="1229"/>
        <v>0</v>
      </c>
      <c r="HV84" s="532">
        <f t="shared" si="1230"/>
        <v>0</v>
      </c>
      <c r="HW84" s="533">
        <f t="shared" si="1231"/>
        <v>35.732970000000009</v>
      </c>
      <c r="IG84" s="560"/>
      <c r="IH84" s="532">
        <f t="shared" si="1338"/>
        <v>0</v>
      </c>
      <c r="II84" s="532">
        <f t="shared" si="1339"/>
        <v>0</v>
      </c>
      <c r="IJ84" s="532">
        <f t="shared" si="1340"/>
        <v>0</v>
      </c>
      <c r="IK84" s="532">
        <f t="shared" si="1341"/>
        <v>0</v>
      </c>
      <c r="IL84" s="532">
        <f t="shared" si="1342"/>
        <v>0</v>
      </c>
      <c r="IM84" s="532">
        <f t="shared" si="1343"/>
        <v>0</v>
      </c>
      <c r="IN84" s="532">
        <f t="shared" si="1344"/>
        <v>0</v>
      </c>
      <c r="IO84" s="532">
        <f t="shared" si="1345"/>
        <v>0</v>
      </c>
      <c r="IP84" s="532">
        <f t="shared" si="1346"/>
        <v>0</v>
      </c>
      <c r="IQ84" s="532">
        <f t="shared" si="1347"/>
        <v>0</v>
      </c>
      <c r="IR84" s="532">
        <f t="shared" si="1348"/>
        <v>0</v>
      </c>
      <c r="IS84" s="532">
        <f t="shared" si="1349"/>
        <v>0</v>
      </c>
      <c r="IT84" s="532">
        <f t="shared" si="1350"/>
        <v>0</v>
      </c>
      <c r="IU84" s="534">
        <f t="shared" si="1351"/>
        <v>0</v>
      </c>
      <c r="IV84" s="545">
        <f t="shared" si="1352"/>
        <v>0</v>
      </c>
      <c r="IW84" s="545">
        <f t="shared" si="1353"/>
        <v>0</v>
      </c>
      <c r="IX84" s="532">
        <f t="shared" si="1232"/>
        <v>0</v>
      </c>
      <c r="IY84" s="532">
        <f t="shared" si="1233"/>
        <v>0</v>
      </c>
      <c r="IZ84" s="532">
        <f t="shared" si="1234"/>
        <v>0</v>
      </c>
      <c r="JA84" s="532">
        <f t="shared" si="1235"/>
        <v>0</v>
      </c>
      <c r="JB84" s="532">
        <f t="shared" si="1236"/>
        <v>0</v>
      </c>
      <c r="JC84" s="532">
        <f t="shared" si="1354"/>
        <v>0</v>
      </c>
      <c r="JD84" s="532">
        <f t="shared" si="1355"/>
        <v>0</v>
      </c>
      <c r="JE84" s="532">
        <f t="shared" si="1237"/>
        <v>0</v>
      </c>
      <c r="JF84" s="532">
        <f t="shared" si="1238"/>
        <v>0</v>
      </c>
      <c r="JG84" s="532">
        <f t="shared" si="1239"/>
        <v>0</v>
      </c>
      <c r="JH84" s="532">
        <f t="shared" si="1240"/>
        <v>0</v>
      </c>
      <c r="JI84" s="553">
        <f t="shared" si="1241"/>
        <v>0</v>
      </c>
      <c r="JJ84" s="545">
        <f t="shared" si="1356"/>
        <v>0</v>
      </c>
      <c r="JK84" s="545">
        <f t="shared" si="1357"/>
        <v>0</v>
      </c>
      <c r="JL84" s="532">
        <f t="shared" si="1242"/>
        <v>0</v>
      </c>
      <c r="JM84" s="532">
        <f t="shared" si="1243"/>
        <v>0</v>
      </c>
      <c r="JN84" s="532">
        <f t="shared" si="1244"/>
        <v>0</v>
      </c>
      <c r="JO84" s="532">
        <f t="shared" si="1245"/>
        <v>0</v>
      </c>
      <c r="JP84" s="532">
        <f t="shared" si="1246"/>
        <v>0</v>
      </c>
      <c r="JQ84" s="532">
        <f t="shared" si="1358"/>
        <v>0</v>
      </c>
      <c r="JR84" s="532">
        <f t="shared" si="1359"/>
        <v>0</v>
      </c>
      <c r="JS84" s="545">
        <f t="shared" si="1247"/>
        <v>0</v>
      </c>
      <c r="JT84" s="545">
        <f t="shared" si="1248"/>
        <v>0</v>
      </c>
      <c r="JU84" s="545">
        <f t="shared" si="1249"/>
        <v>0</v>
      </c>
      <c r="JV84" s="545">
        <f t="shared" si="1250"/>
        <v>0</v>
      </c>
      <c r="JW84" s="554">
        <f t="shared" si="1251"/>
        <v>0</v>
      </c>
      <c r="JX84" s="545">
        <f t="shared" si="1360"/>
        <v>0</v>
      </c>
      <c r="JY84" s="545">
        <f t="shared" si="1361"/>
        <v>0</v>
      </c>
      <c r="JZ84" s="532">
        <f t="shared" si="1252"/>
        <v>0</v>
      </c>
      <c r="KA84" s="532">
        <f t="shared" si="1253"/>
        <v>0</v>
      </c>
      <c r="KB84" s="532">
        <f t="shared" si="1254"/>
        <v>0</v>
      </c>
      <c r="KC84" s="532">
        <f t="shared" si="1255"/>
        <v>0</v>
      </c>
      <c r="KD84" s="532">
        <f t="shared" si="1256"/>
        <v>0</v>
      </c>
      <c r="KE84" s="532">
        <f t="shared" si="1362"/>
        <v>0</v>
      </c>
      <c r="KF84" s="532">
        <f t="shared" si="1363"/>
        <v>0</v>
      </c>
      <c r="KG84" s="532">
        <f t="shared" si="1257"/>
        <v>0</v>
      </c>
      <c r="KH84" s="532">
        <f t="shared" si="1258"/>
        <v>0</v>
      </c>
      <c r="KI84" s="532">
        <f t="shared" si="1259"/>
        <v>0</v>
      </c>
      <c r="KJ84" s="532">
        <f t="shared" si="1260"/>
        <v>0</v>
      </c>
      <c r="KK84" s="534">
        <f t="shared" si="1261"/>
        <v>0</v>
      </c>
      <c r="KL84" s="545">
        <f t="shared" si="1364"/>
        <v>0</v>
      </c>
      <c r="KM84" s="545">
        <f t="shared" si="1365"/>
        <v>0</v>
      </c>
      <c r="KN84" s="532">
        <f t="shared" si="1262"/>
        <v>0</v>
      </c>
      <c r="KO84" s="532">
        <f t="shared" si="1263"/>
        <v>0</v>
      </c>
      <c r="KP84" s="532">
        <f t="shared" si="1264"/>
        <v>0</v>
      </c>
      <c r="KQ84" s="532">
        <f t="shared" si="1265"/>
        <v>0</v>
      </c>
      <c r="KR84" s="532">
        <f t="shared" si="1266"/>
        <v>0</v>
      </c>
      <c r="KS84" s="532">
        <f t="shared" si="1366"/>
        <v>0</v>
      </c>
      <c r="KT84" s="532">
        <f t="shared" si="1367"/>
        <v>0</v>
      </c>
      <c r="KU84" s="532">
        <f t="shared" si="1267"/>
        <v>0</v>
      </c>
      <c r="KV84" s="532">
        <f t="shared" si="1268"/>
        <v>0</v>
      </c>
      <c r="KW84" s="532">
        <f t="shared" si="1269"/>
        <v>0</v>
      </c>
      <c r="KX84" s="532">
        <f t="shared" si="1270"/>
        <v>0</v>
      </c>
      <c r="KY84" s="553">
        <f t="shared" si="1271"/>
        <v>0</v>
      </c>
      <c r="KZ84" s="545">
        <f t="shared" si="1368"/>
        <v>0</v>
      </c>
      <c r="LA84" s="545">
        <f t="shared" si="1369"/>
        <v>0</v>
      </c>
      <c r="LB84" s="532">
        <f t="shared" si="1272"/>
        <v>0</v>
      </c>
      <c r="LC84" s="532">
        <f t="shared" si="1273"/>
        <v>0</v>
      </c>
      <c r="LD84" s="532">
        <f t="shared" si="1274"/>
        <v>0</v>
      </c>
      <c r="LE84" s="532">
        <f t="shared" si="1275"/>
        <v>0</v>
      </c>
      <c r="LF84" s="532">
        <f t="shared" si="1276"/>
        <v>0</v>
      </c>
      <c r="LG84" s="532">
        <f t="shared" si="1370"/>
        <v>0</v>
      </c>
      <c r="LH84" s="532">
        <f t="shared" si="1371"/>
        <v>0</v>
      </c>
      <c r="LI84" s="545">
        <f t="shared" si="1277"/>
        <v>0</v>
      </c>
      <c r="LJ84" s="545">
        <f t="shared" si="1278"/>
        <v>0</v>
      </c>
      <c r="LK84" s="545">
        <f t="shared" si="1279"/>
        <v>0</v>
      </c>
      <c r="LL84" s="545">
        <f t="shared" si="1280"/>
        <v>0</v>
      </c>
      <c r="LM84" s="554">
        <f t="shared" si="1281"/>
        <v>0</v>
      </c>
      <c r="LN84" s="545">
        <f t="shared" si="1372"/>
        <v>0</v>
      </c>
      <c r="LO84" s="545">
        <f t="shared" si="1373"/>
        <v>0</v>
      </c>
      <c r="LP84" s="532">
        <f t="shared" si="1282"/>
        <v>0</v>
      </c>
      <c r="LQ84" s="532">
        <f t="shared" si="1283"/>
        <v>0</v>
      </c>
      <c r="LR84" s="532">
        <f t="shared" si="1284"/>
        <v>0</v>
      </c>
      <c r="LS84" s="532">
        <f t="shared" si="1285"/>
        <v>0</v>
      </c>
      <c r="LT84" s="532">
        <f t="shared" si="1286"/>
        <v>0</v>
      </c>
      <c r="LU84" s="532">
        <f t="shared" si="1374"/>
        <v>0.23821980000000004</v>
      </c>
      <c r="LV84" s="532">
        <f t="shared" si="1375"/>
        <v>0.11910990000000002</v>
      </c>
      <c r="LW84" s="532">
        <f t="shared" si="1287"/>
        <v>0.27792310000000009</v>
      </c>
      <c r="LX84" s="532">
        <f t="shared" si="1288"/>
        <v>0.23821980000000004</v>
      </c>
      <c r="LY84" s="532">
        <f t="shared" si="1289"/>
        <v>3.9266563700000008</v>
      </c>
      <c r="LZ84" s="532">
        <f t="shared" si="1290"/>
        <v>3.9703300000000004E-2</v>
      </c>
      <c r="MA84" s="558">
        <f t="shared" si="1291"/>
        <v>3.9703300000000004E-2</v>
      </c>
      <c r="MB84" s="545">
        <f t="shared" si="1376"/>
        <v>0</v>
      </c>
      <c r="MC84" s="545">
        <f t="shared" si="1377"/>
        <v>0</v>
      </c>
      <c r="MD84" s="532">
        <f t="shared" si="1292"/>
        <v>0</v>
      </c>
      <c r="ME84" s="532">
        <f t="shared" si="1293"/>
        <v>0</v>
      </c>
      <c r="MF84" s="532">
        <f t="shared" si="1294"/>
        <v>0</v>
      </c>
      <c r="MG84" s="532">
        <f t="shared" si="1295"/>
        <v>0</v>
      </c>
      <c r="MH84" s="532">
        <f t="shared" si="1296"/>
        <v>0</v>
      </c>
      <c r="MI84" s="532">
        <f t="shared" si="1378"/>
        <v>0</v>
      </c>
      <c r="MJ84" s="532">
        <f t="shared" si="1379"/>
        <v>0</v>
      </c>
      <c r="MK84" s="532">
        <f t="shared" si="1297"/>
        <v>0</v>
      </c>
      <c r="ML84" s="532">
        <f t="shared" si="1298"/>
        <v>0</v>
      </c>
      <c r="MM84" s="532">
        <f t="shared" si="1299"/>
        <v>0</v>
      </c>
      <c r="MN84" s="532">
        <f t="shared" si="1300"/>
        <v>0</v>
      </c>
      <c r="MO84" s="558">
        <f t="shared" si="1301"/>
        <v>0</v>
      </c>
      <c r="MP84" s="545">
        <f t="shared" si="1380"/>
        <v>0</v>
      </c>
      <c r="MQ84" s="545">
        <f t="shared" si="1381"/>
        <v>0</v>
      </c>
      <c r="MR84" s="532">
        <f t="shared" si="1302"/>
        <v>0</v>
      </c>
      <c r="MS84" s="532">
        <f t="shared" si="1303"/>
        <v>0</v>
      </c>
      <c r="MT84" s="532">
        <f t="shared" si="1304"/>
        <v>0</v>
      </c>
      <c r="MU84" s="532">
        <f t="shared" si="1305"/>
        <v>0</v>
      </c>
      <c r="MV84" s="532">
        <f t="shared" si="1306"/>
        <v>0</v>
      </c>
      <c r="MW84" s="532">
        <f t="shared" si="1382"/>
        <v>2.1439782000000003</v>
      </c>
      <c r="MX84" s="532">
        <f t="shared" si="1383"/>
        <v>1.0719891000000001</v>
      </c>
      <c r="MY84" s="545">
        <f t="shared" si="1307"/>
        <v>2.5013079000000009</v>
      </c>
      <c r="MZ84" s="545">
        <f t="shared" si="1308"/>
        <v>2.1439782000000003</v>
      </c>
      <c r="NA84" s="545">
        <f t="shared" si="1309"/>
        <v>35.33990733000001</v>
      </c>
      <c r="NB84" s="545">
        <f t="shared" si="1310"/>
        <v>0.35732970000000008</v>
      </c>
      <c r="NC84" s="554">
        <f t="shared" si="1311"/>
        <v>0.35732970000000008</v>
      </c>
      <c r="NL84" s="106"/>
    </row>
    <row r="85" spans="1:376" x14ac:dyDescent="0.25">
      <c r="A85" s="12">
        <v>2030</v>
      </c>
      <c r="B85" s="13">
        <v>0</v>
      </c>
      <c r="C85" s="14">
        <v>0</v>
      </c>
      <c r="D85" s="14">
        <v>0</v>
      </c>
      <c r="E85" s="658">
        <v>0</v>
      </c>
      <c r="F85" s="14">
        <f t="shared" si="1164"/>
        <v>0</v>
      </c>
      <c r="G85" s="14">
        <f t="shared" si="1165"/>
        <v>0</v>
      </c>
      <c r="H85" s="14">
        <f t="shared" si="1100"/>
        <v>0</v>
      </c>
      <c r="I85" s="14">
        <f t="shared" si="1101"/>
        <v>0</v>
      </c>
      <c r="J85" s="640">
        <v>0</v>
      </c>
      <c r="K85" s="917">
        <f t="shared" si="1197"/>
        <v>39.703300000000006</v>
      </c>
      <c r="L85" s="14">
        <f t="shared" si="1204"/>
        <v>0</v>
      </c>
      <c r="M85" s="17">
        <f t="shared" si="1102"/>
        <v>0</v>
      </c>
      <c r="N85" s="198">
        <v>2E-3</v>
      </c>
      <c r="O85" s="120">
        <v>0</v>
      </c>
      <c r="P85" s="120">
        <v>0</v>
      </c>
      <c r="Q85" s="199">
        <v>6.0000000000000001E-3</v>
      </c>
      <c r="R85" s="120">
        <v>0</v>
      </c>
      <c r="S85" s="120">
        <v>2.7000000000000001E-3</v>
      </c>
      <c r="T85" s="120">
        <v>0</v>
      </c>
      <c r="U85" s="120">
        <v>1.18E-2</v>
      </c>
      <c r="V85" s="119">
        <v>1.0000000000000001E-5</v>
      </c>
      <c r="W85" s="120">
        <v>2.9999999999999997E-4</v>
      </c>
      <c r="X85" s="105">
        <v>0</v>
      </c>
      <c r="Y85" s="105">
        <v>3.1E-2</v>
      </c>
      <c r="Z85" s="488">
        <v>5.2999999999999999E-2</v>
      </c>
      <c r="AA85" s="105">
        <f t="shared" si="1312"/>
        <v>0.1</v>
      </c>
      <c r="AB85" s="105">
        <f t="shared" si="1313"/>
        <v>0</v>
      </c>
      <c r="AC85" s="105">
        <f t="shared" si="1314"/>
        <v>0.9</v>
      </c>
      <c r="AD85" s="82">
        <f t="shared" si="1166"/>
        <v>0</v>
      </c>
      <c r="AE85" s="79">
        <f t="shared" si="1167"/>
        <v>0</v>
      </c>
      <c r="AF85" s="79">
        <f t="shared" si="1168"/>
        <v>0</v>
      </c>
      <c r="AG85" s="79">
        <f t="shared" si="1169"/>
        <v>0</v>
      </c>
      <c r="AH85" s="79">
        <f t="shared" si="1170"/>
        <v>0</v>
      </c>
      <c r="AI85" s="79">
        <f t="shared" si="1171"/>
        <v>0</v>
      </c>
      <c r="AJ85" s="138">
        <f t="shared" si="1103"/>
        <v>0</v>
      </c>
      <c r="AK85" s="79">
        <f t="shared" si="1104"/>
        <v>0</v>
      </c>
      <c r="AL85" s="79">
        <f t="shared" si="1105"/>
        <v>0</v>
      </c>
      <c r="AM85" s="79">
        <f t="shared" si="1106"/>
        <v>0</v>
      </c>
      <c r="AN85" s="79">
        <f t="shared" si="1107"/>
        <v>0</v>
      </c>
      <c r="AO85" s="139">
        <f t="shared" si="1108"/>
        <v>0</v>
      </c>
      <c r="AP85" s="79">
        <f t="shared" si="1172"/>
        <v>0</v>
      </c>
      <c r="AQ85" s="79">
        <f t="shared" si="1172"/>
        <v>0</v>
      </c>
      <c r="AR85" s="79">
        <f t="shared" si="1172"/>
        <v>0</v>
      </c>
      <c r="AS85" s="79">
        <f t="shared" si="1172"/>
        <v>0</v>
      </c>
      <c r="AT85" s="79">
        <f t="shared" si="1172"/>
        <v>0</v>
      </c>
      <c r="AU85" s="104">
        <f t="shared" si="1172"/>
        <v>0</v>
      </c>
      <c r="AV85" s="82">
        <f t="shared" si="1110"/>
        <v>0</v>
      </c>
      <c r="AW85" s="79">
        <f t="shared" si="1111"/>
        <v>0</v>
      </c>
      <c r="AX85" s="79">
        <f t="shared" si="1112"/>
        <v>0</v>
      </c>
      <c r="AY85" s="79">
        <f t="shared" si="1113"/>
        <v>0</v>
      </c>
      <c r="AZ85" s="79">
        <f t="shared" si="1114"/>
        <v>0</v>
      </c>
      <c r="BA85" s="79">
        <f t="shared" si="1115"/>
        <v>0</v>
      </c>
      <c r="BB85" s="138">
        <f t="shared" si="1116"/>
        <v>0</v>
      </c>
      <c r="BC85" s="79">
        <f t="shared" si="1117"/>
        <v>0</v>
      </c>
      <c r="BD85" s="79">
        <f t="shared" si="1118"/>
        <v>0</v>
      </c>
      <c r="BE85" s="79">
        <f t="shared" si="1119"/>
        <v>0</v>
      </c>
      <c r="BF85" s="79">
        <f t="shared" si="1120"/>
        <v>0</v>
      </c>
      <c r="BG85" s="79">
        <f t="shared" si="1121"/>
        <v>0</v>
      </c>
      <c r="BH85" s="79">
        <f t="shared" si="1122"/>
        <v>0</v>
      </c>
      <c r="BI85" s="79">
        <f t="shared" si="1122"/>
        <v>0</v>
      </c>
      <c r="BJ85" s="79">
        <f t="shared" si="1122"/>
        <v>0</v>
      </c>
      <c r="BK85" s="79">
        <f t="shared" si="1122"/>
        <v>0</v>
      </c>
      <c r="BL85" s="79">
        <f t="shared" si="1122"/>
        <v>0</v>
      </c>
      <c r="BM85" s="79">
        <f t="shared" si="1122"/>
        <v>0</v>
      </c>
      <c r="BN85" s="82">
        <f t="shared" si="1123"/>
        <v>0</v>
      </c>
      <c r="BO85" s="79">
        <f t="shared" si="1124"/>
        <v>0</v>
      </c>
      <c r="BP85" s="79">
        <f t="shared" si="1125"/>
        <v>0</v>
      </c>
      <c r="BQ85" s="79">
        <f t="shared" si="1126"/>
        <v>0</v>
      </c>
      <c r="BR85" s="79">
        <f t="shared" si="1127"/>
        <v>0</v>
      </c>
      <c r="BS85" s="79">
        <f t="shared" si="1128"/>
        <v>0</v>
      </c>
      <c r="BT85" s="138">
        <f t="shared" si="1129"/>
        <v>0</v>
      </c>
      <c r="BU85" s="79">
        <f t="shared" si="1130"/>
        <v>0</v>
      </c>
      <c r="BV85" s="79">
        <f t="shared" si="1131"/>
        <v>0</v>
      </c>
      <c r="BW85" s="79">
        <f t="shared" si="1132"/>
        <v>0</v>
      </c>
      <c r="BX85" s="79">
        <f t="shared" si="1133"/>
        <v>0</v>
      </c>
      <c r="BY85" s="79">
        <f t="shared" si="1134"/>
        <v>0</v>
      </c>
      <c r="BZ85" s="138">
        <f t="shared" si="1135"/>
        <v>0</v>
      </c>
      <c r="CA85" s="79">
        <f t="shared" si="1135"/>
        <v>0</v>
      </c>
      <c r="CB85" s="79">
        <f t="shared" si="1135"/>
        <v>0</v>
      </c>
      <c r="CC85" s="79">
        <f t="shared" si="1135"/>
        <v>0</v>
      </c>
      <c r="CD85" s="79">
        <f t="shared" si="1135"/>
        <v>0</v>
      </c>
      <c r="CE85" s="535">
        <f t="shared" si="1135"/>
        <v>0</v>
      </c>
      <c r="CF85" s="79">
        <f t="shared" si="1315"/>
        <v>0</v>
      </c>
      <c r="CG85" s="79">
        <f t="shared" si="1198"/>
        <v>3.9703300000000006</v>
      </c>
      <c r="CH85" s="79">
        <f t="shared" si="1316"/>
        <v>0</v>
      </c>
      <c r="CI85" s="79">
        <f t="shared" si="1199"/>
        <v>0</v>
      </c>
      <c r="CJ85" s="79">
        <f t="shared" si="1317"/>
        <v>0</v>
      </c>
      <c r="CK85" s="79">
        <f t="shared" si="1200"/>
        <v>35.732970000000009</v>
      </c>
      <c r="CL85" s="3"/>
      <c r="CM85" s="101">
        <f t="shared" si="1205"/>
        <v>0</v>
      </c>
      <c r="CN85" s="99">
        <f t="shared" si="1136"/>
        <v>0</v>
      </c>
      <c r="CO85" s="130">
        <f t="shared" si="1137"/>
        <v>0</v>
      </c>
      <c r="CP85" s="131">
        <f t="shared" si="1201"/>
        <v>0</v>
      </c>
      <c r="CQ85" s="99">
        <f t="shared" si="1202"/>
        <v>0</v>
      </c>
      <c r="CR85" s="98">
        <f t="shared" si="1202"/>
        <v>0</v>
      </c>
      <c r="CS85" s="44">
        <v>0</v>
      </c>
      <c r="CT85" s="45">
        <v>0</v>
      </c>
      <c r="CU85" s="45">
        <v>1</v>
      </c>
      <c r="CV85" s="100">
        <f t="shared" si="1203"/>
        <v>0</v>
      </c>
      <c r="CW85" s="40">
        <f t="shared" si="1178"/>
        <v>0</v>
      </c>
      <c r="CX85" s="41">
        <f t="shared" si="1179"/>
        <v>0</v>
      </c>
      <c r="CY85" s="79">
        <f t="shared" si="1180"/>
        <v>0</v>
      </c>
      <c r="CZ85" s="139">
        <f t="shared" si="1181"/>
        <v>0</v>
      </c>
      <c r="DA85" s="41">
        <f t="shared" si="1139"/>
        <v>0</v>
      </c>
      <c r="DB85" s="41">
        <f t="shared" si="1140"/>
        <v>0</v>
      </c>
      <c r="DC85" s="41">
        <f t="shared" si="1141"/>
        <v>0</v>
      </c>
      <c r="DD85" s="143">
        <f t="shared" si="1142"/>
        <v>0</v>
      </c>
      <c r="DE85" s="41">
        <f t="shared" si="1206"/>
        <v>0</v>
      </c>
      <c r="DF85" s="41">
        <f t="shared" si="1182"/>
        <v>0</v>
      </c>
      <c r="DG85" s="41">
        <f t="shared" si="1183"/>
        <v>0</v>
      </c>
      <c r="DH85" s="42">
        <f t="shared" si="1184"/>
        <v>0</v>
      </c>
      <c r="DJ85" s="498">
        <v>1</v>
      </c>
      <c r="DK85" s="498">
        <v>0.3</v>
      </c>
      <c r="DL85" s="41">
        <f t="shared" si="1143"/>
        <v>0</v>
      </c>
      <c r="DM85" s="41">
        <f t="shared" si="1144"/>
        <v>0</v>
      </c>
      <c r="DN85" s="41">
        <f t="shared" si="1084"/>
        <v>0</v>
      </c>
      <c r="DO85" s="42">
        <f t="shared" si="1085"/>
        <v>0</v>
      </c>
      <c r="DP85" s="44">
        <v>1</v>
      </c>
      <c r="DQ85" s="45">
        <v>0.1</v>
      </c>
      <c r="DR85" s="45">
        <v>0.5</v>
      </c>
      <c r="DS85" s="682">
        <f t="shared" si="1318"/>
        <v>0.1</v>
      </c>
      <c r="DT85" s="102">
        <f t="shared" si="1319"/>
        <v>1</v>
      </c>
      <c r="DU85" s="45">
        <v>0</v>
      </c>
      <c r="DV85" s="45">
        <v>1</v>
      </c>
      <c r="DW85" s="45">
        <v>0</v>
      </c>
      <c r="DX85" s="45">
        <v>0</v>
      </c>
      <c r="DY85" s="45">
        <v>1</v>
      </c>
      <c r="DZ85" s="45">
        <v>0</v>
      </c>
      <c r="EA85" s="103">
        <f t="shared" si="1320"/>
        <v>0</v>
      </c>
      <c r="EB85" s="79">
        <f t="shared" si="1185"/>
        <v>0</v>
      </c>
      <c r="EC85" s="79">
        <f t="shared" si="1321"/>
        <v>0</v>
      </c>
      <c r="ED85" s="79">
        <f t="shared" si="1186"/>
        <v>0</v>
      </c>
      <c r="EE85" s="79">
        <f t="shared" si="1322"/>
        <v>0</v>
      </c>
      <c r="EF85" s="79">
        <f t="shared" si="1187"/>
        <v>0</v>
      </c>
      <c r="EG85" s="138">
        <f t="shared" si="1145"/>
        <v>0</v>
      </c>
      <c r="EH85" s="79">
        <f t="shared" si="1146"/>
        <v>0</v>
      </c>
      <c r="EI85" s="79">
        <f t="shared" si="1147"/>
        <v>0</v>
      </c>
      <c r="EJ85" s="79">
        <f t="shared" si="1148"/>
        <v>0</v>
      </c>
      <c r="EK85" s="79">
        <f t="shared" si="1149"/>
        <v>0</v>
      </c>
      <c r="EL85" s="139">
        <f t="shared" si="1150"/>
        <v>0</v>
      </c>
      <c r="EM85" s="79">
        <f t="shared" si="1323"/>
        <v>0</v>
      </c>
      <c r="EN85" s="83">
        <f t="shared" si="1324"/>
        <v>0</v>
      </c>
      <c r="EP85" s="103">
        <f t="shared" si="1207"/>
        <v>0</v>
      </c>
      <c r="EQ85" s="79">
        <f t="shared" si="1151"/>
        <v>0</v>
      </c>
      <c r="ER85" s="79">
        <f t="shared" si="1208"/>
        <v>0</v>
      </c>
      <c r="ES85" s="79">
        <f t="shared" si="1152"/>
        <v>0</v>
      </c>
      <c r="ET85" s="79">
        <f t="shared" si="1209"/>
        <v>0</v>
      </c>
      <c r="EU85" s="79">
        <f t="shared" si="1153"/>
        <v>0</v>
      </c>
      <c r="EV85" s="138">
        <f t="shared" si="1086"/>
        <v>0</v>
      </c>
      <c r="EW85" s="79">
        <f t="shared" si="1087"/>
        <v>0</v>
      </c>
      <c r="EX85" s="79">
        <f t="shared" si="1088"/>
        <v>0</v>
      </c>
      <c r="EY85" s="79">
        <f t="shared" si="1089"/>
        <v>0</v>
      </c>
      <c r="EZ85" s="79">
        <f t="shared" si="1090"/>
        <v>0</v>
      </c>
      <c r="FA85" s="104">
        <f t="shared" si="1091"/>
        <v>0</v>
      </c>
      <c r="FB85" s="40">
        <f t="shared" si="1188"/>
        <v>0</v>
      </c>
      <c r="FC85" s="41">
        <f t="shared" si="1189"/>
        <v>0</v>
      </c>
      <c r="FD85" s="41">
        <f t="shared" si="1154"/>
        <v>0</v>
      </c>
      <c r="FE85" s="41">
        <f t="shared" si="1155"/>
        <v>0</v>
      </c>
      <c r="FF85" s="40">
        <f t="shared" si="1210"/>
        <v>0</v>
      </c>
      <c r="FG85" s="41">
        <f t="shared" si="1156"/>
        <v>0</v>
      </c>
      <c r="FH85" s="41">
        <f t="shared" si="1157"/>
        <v>0</v>
      </c>
      <c r="FI85" s="41">
        <f t="shared" si="1158"/>
        <v>0</v>
      </c>
      <c r="FJ85" s="44">
        <v>1</v>
      </c>
      <c r="FK85" s="45">
        <v>0.2</v>
      </c>
      <c r="FL85" s="511">
        <v>0.8</v>
      </c>
      <c r="FM85" s="45">
        <v>0.1</v>
      </c>
      <c r="FN85" s="511">
        <v>0.5</v>
      </c>
      <c r="FO85" s="45">
        <f t="shared" si="1325"/>
        <v>0.1</v>
      </c>
      <c r="FP85" s="45">
        <f t="shared" si="1326"/>
        <v>1</v>
      </c>
      <c r="FQ85" s="45">
        <v>1</v>
      </c>
      <c r="FR85" s="45">
        <v>0</v>
      </c>
      <c r="FS85" s="108">
        <f t="shared" si="1327"/>
        <v>1E-3</v>
      </c>
      <c r="FT85" s="45">
        <f t="shared" si="1328"/>
        <v>0.05</v>
      </c>
      <c r="FU85" s="44">
        <v>0.05</v>
      </c>
      <c r="FV85" s="100">
        <f t="shared" si="1211"/>
        <v>2.4224999999999997E-2</v>
      </c>
      <c r="FW85" s="45">
        <v>0.1</v>
      </c>
      <c r="FX85" s="102">
        <f t="shared" si="1212"/>
        <v>9.0000000000000011E-2</v>
      </c>
      <c r="FY85" s="44">
        <v>0.45</v>
      </c>
      <c r="FZ85" s="100">
        <f t="shared" si="1329"/>
        <v>1.4025000000000001E-2</v>
      </c>
      <c r="GA85" s="45">
        <v>0.45</v>
      </c>
      <c r="GB85" s="102">
        <f t="shared" si="1330"/>
        <v>5.5000000000000007E-2</v>
      </c>
      <c r="GC85" s="103">
        <f t="shared" si="1213"/>
        <v>0</v>
      </c>
      <c r="GD85" s="79">
        <f t="shared" si="1159"/>
        <v>0</v>
      </c>
      <c r="GE85" s="215">
        <f t="shared" si="1214"/>
        <v>0</v>
      </c>
      <c r="GF85" s="215">
        <f t="shared" si="1160"/>
        <v>0</v>
      </c>
      <c r="GG85" s="79">
        <v>0</v>
      </c>
      <c r="GH85" s="139">
        <v>0</v>
      </c>
      <c r="GI85" s="79">
        <f t="shared" si="1094"/>
        <v>0</v>
      </c>
      <c r="GJ85" s="79">
        <f t="shared" si="1095"/>
        <v>0</v>
      </c>
      <c r="GK85" s="79">
        <f t="shared" si="1096"/>
        <v>0</v>
      </c>
      <c r="GL85" s="79">
        <f t="shared" si="1097"/>
        <v>0</v>
      </c>
      <c r="GM85" s="79">
        <f t="shared" si="1098"/>
        <v>0</v>
      </c>
      <c r="GN85" s="517">
        <f t="shared" si="1099"/>
        <v>0</v>
      </c>
      <c r="GO85" s="79">
        <f t="shared" si="1331"/>
        <v>0</v>
      </c>
      <c r="GP85" s="216">
        <f t="shared" si="1332"/>
        <v>0</v>
      </c>
      <c r="GQ85" s="41">
        <f t="shared" si="1333"/>
        <v>0</v>
      </c>
      <c r="GR85" s="41">
        <f t="shared" si="1334"/>
        <v>0</v>
      </c>
      <c r="GS85" s="79">
        <f t="shared" si="1031"/>
        <v>0</v>
      </c>
      <c r="GT85" s="79">
        <f t="shared" si="1032"/>
        <v>0</v>
      </c>
      <c r="GU85" s="79">
        <f t="shared" si="1033"/>
        <v>0</v>
      </c>
      <c r="GV85" s="139">
        <f t="shared" si="1034"/>
        <v>0</v>
      </c>
      <c r="GW85" s="41">
        <f t="shared" si="1162"/>
        <v>0</v>
      </c>
      <c r="GX85" s="41">
        <f t="shared" si="1163"/>
        <v>0</v>
      </c>
      <c r="GY85" s="41">
        <f t="shared" si="1192"/>
        <v>0</v>
      </c>
      <c r="GZ85" s="41">
        <f t="shared" si="1193"/>
        <v>0</v>
      </c>
      <c r="HA85" s="41">
        <f t="shared" si="1194"/>
        <v>0</v>
      </c>
      <c r="HB85" s="512">
        <f t="shared" si="1195"/>
        <v>0</v>
      </c>
      <c r="HC85" s="79">
        <f t="shared" si="1335"/>
        <v>0</v>
      </c>
      <c r="HD85" s="42">
        <f t="shared" si="1336"/>
        <v>0</v>
      </c>
      <c r="HE85" s="527"/>
      <c r="HF85" s="532">
        <f t="shared" si="1215"/>
        <v>0</v>
      </c>
      <c r="HG85" s="532">
        <f t="shared" si="1216"/>
        <v>0</v>
      </c>
      <c r="HH85" s="532">
        <f t="shared" si="1217"/>
        <v>0</v>
      </c>
      <c r="HI85" s="532">
        <f t="shared" si="1218"/>
        <v>0</v>
      </c>
      <c r="HJ85" s="532">
        <f t="shared" si="1219"/>
        <v>0</v>
      </c>
      <c r="HK85" s="533">
        <f t="shared" si="1220"/>
        <v>0</v>
      </c>
      <c r="HL85" s="532">
        <f t="shared" si="1221"/>
        <v>0</v>
      </c>
      <c r="HM85" s="532">
        <f t="shared" si="1222"/>
        <v>0</v>
      </c>
      <c r="HN85" s="532">
        <f t="shared" si="1223"/>
        <v>0</v>
      </c>
      <c r="HO85" s="532">
        <f t="shared" si="1224"/>
        <v>0</v>
      </c>
      <c r="HP85" s="532">
        <f t="shared" si="1225"/>
        <v>0</v>
      </c>
      <c r="HQ85" s="533">
        <f t="shared" si="1226"/>
        <v>0</v>
      </c>
      <c r="HR85" s="532">
        <f t="shared" si="1337"/>
        <v>0</v>
      </c>
      <c r="HS85" s="532">
        <f t="shared" si="1227"/>
        <v>3.9703300000000006</v>
      </c>
      <c r="HT85" s="532">
        <f t="shared" si="1228"/>
        <v>0</v>
      </c>
      <c r="HU85" s="532">
        <f t="shared" si="1229"/>
        <v>0</v>
      </c>
      <c r="HV85" s="532">
        <f t="shared" si="1230"/>
        <v>0</v>
      </c>
      <c r="HW85" s="533">
        <f t="shared" si="1231"/>
        <v>35.732970000000009</v>
      </c>
      <c r="IG85" s="560"/>
      <c r="IH85" s="532">
        <f t="shared" si="1338"/>
        <v>0</v>
      </c>
      <c r="II85" s="532">
        <f t="shared" si="1339"/>
        <v>0</v>
      </c>
      <c r="IJ85" s="532">
        <f t="shared" si="1340"/>
        <v>0</v>
      </c>
      <c r="IK85" s="532">
        <f t="shared" si="1341"/>
        <v>0</v>
      </c>
      <c r="IL85" s="532">
        <f t="shared" si="1342"/>
        <v>0</v>
      </c>
      <c r="IM85" s="532">
        <f t="shared" si="1343"/>
        <v>0</v>
      </c>
      <c r="IN85" s="532">
        <f t="shared" si="1344"/>
        <v>0</v>
      </c>
      <c r="IO85" s="532">
        <f t="shared" si="1345"/>
        <v>0</v>
      </c>
      <c r="IP85" s="532">
        <f t="shared" si="1346"/>
        <v>0</v>
      </c>
      <c r="IQ85" s="532">
        <f t="shared" si="1347"/>
        <v>0</v>
      </c>
      <c r="IR85" s="532">
        <f t="shared" si="1348"/>
        <v>0</v>
      </c>
      <c r="IS85" s="532">
        <f t="shared" si="1349"/>
        <v>0</v>
      </c>
      <c r="IT85" s="532">
        <f t="shared" si="1350"/>
        <v>0</v>
      </c>
      <c r="IU85" s="534">
        <f t="shared" si="1351"/>
        <v>0</v>
      </c>
      <c r="IV85" s="545">
        <f t="shared" si="1352"/>
        <v>0</v>
      </c>
      <c r="IW85" s="545">
        <f t="shared" si="1353"/>
        <v>0</v>
      </c>
      <c r="IX85" s="532">
        <f t="shared" si="1232"/>
        <v>0</v>
      </c>
      <c r="IY85" s="532">
        <f t="shared" si="1233"/>
        <v>0</v>
      </c>
      <c r="IZ85" s="532">
        <f t="shared" si="1234"/>
        <v>0</v>
      </c>
      <c r="JA85" s="532">
        <f t="shared" si="1235"/>
        <v>0</v>
      </c>
      <c r="JB85" s="532">
        <f t="shared" si="1236"/>
        <v>0</v>
      </c>
      <c r="JC85" s="532">
        <f t="shared" si="1354"/>
        <v>0</v>
      </c>
      <c r="JD85" s="532">
        <f t="shared" si="1355"/>
        <v>0</v>
      </c>
      <c r="JE85" s="532">
        <f t="shared" si="1237"/>
        <v>0</v>
      </c>
      <c r="JF85" s="532">
        <f t="shared" si="1238"/>
        <v>0</v>
      </c>
      <c r="JG85" s="532">
        <f t="shared" si="1239"/>
        <v>0</v>
      </c>
      <c r="JH85" s="532">
        <f t="shared" si="1240"/>
        <v>0</v>
      </c>
      <c r="JI85" s="553">
        <f t="shared" si="1241"/>
        <v>0</v>
      </c>
      <c r="JJ85" s="545">
        <f t="shared" si="1356"/>
        <v>0</v>
      </c>
      <c r="JK85" s="545">
        <f t="shared" si="1357"/>
        <v>0</v>
      </c>
      <c r="JL85" s="532">
        <f t="shared" si="1242"/>
        <v>0</v>
      </c>
      <c r="JM85" s="532">
        <f t="shared" si="1243"/>
        <v>0</v>
      </c>
      <c r="JN85" s="532">
        <f t="shared" si="1244"/>
        <v>0</v>
      </c>
      <c r="JO85" s="532">
        <f t="shared" si="1245"/>
        <v>0</v>
      </c>
      <c r="JP85" s="532">
        <f t="shared" si="1246"/>
        <v>0</v>
      </c>
      <c r="JQ85" s="532">
        <f t="shared" si="1358"/>
        <v>0</v>
      </c>
      <c r="JR85" s="532">
        <f t="shared" si="1359"/>
        <v>0</v>
      </c>
      <c r="JS85" s="546">
        <f t="shared" si="1247"/>
        <v>0</v>
      </c>
      <c r="JT85" s="545">
        <f t="shared" si="1248"/>
        <v>0</v>
      </c>
      <c r="JU85" s="545">
        <f t="shared" si="1249"/>
        <v>0</v>
      </c>
      <c r="JV85" s="545">
        <f t="shared" si="1250"/>
        <v>0</v>
      </c>
      <c r="JW85" s="555">
        <f t="shared" si="1251"/>
        <v>0</v>
      </c>
      <c r="JX85" s="545">
        <f t="shared" si="1360"/>
        <v>0</v>
      </c>
      <c r="JY85" s="545">
        <f t="shared" si="1361"/>
        <v>0</v>
      </c>
      <c r="JZ85" s="532">
        <f t="shared" si="1252"/>
        <v>0</v>
      </c>
      <c r="KA85" s="532">
        <f t="shared" si="1253"/>
        <v>0</v>
      </c>
      <c r="KB85" s="532">
        <f t="shared" si="1254"/>
        <v>0</v>
      </c>
      <c r="KC85" s="532">
        <f t="shared" si="1255"/>
        <v>0</v>
      </c>
      <c r="KD85" s="532">
        <f t="shared" si="1256"/>
        <v>0</v>
      </c>
      <c r="KE85" s="532">
        <f t="shared" si="1362"/>
        <v>0</v>
      </c>
      <c r="KF85" s="532">
        <f t="shared" si="1363"/>
        <v>0</v>
      </c>
      <c r="KG85" s="532">
        <f t="shared" si="1257"/>
        <v>0</v>
      </c>
      <c r="KH85" s="532">
        <f t="shared" si="1258"/>
        <v>0</v>
      </c>
      <c r="KI85" s="532">
        <f t="shared" si="1259"/>
        <v>0</v>
      </c>
      <c r="KJ85" s="532">
        <f t="shared" si="1260"/>
        <v>0</v>
      </c>
      <c r="KK85" s="534">
        <f t="shared" si="1261"/>
        <v>0</v>
      </c>
      <c r="KL85" s="545">
        <f t="shared" si="1364"/>
        <v>0</v>
      </c>
      <c r="KM85" s="545">
        <f t="shared" si="1365"/>
        <v>0</v>
      </c>
      <c r="KN85" s="532">
        <f t="shared" si="1262"/>
        <v>0</v>
      </c>
      <c r="KO85" s="532">
        <f t="shared" si="1263"/>
        <v>0</v>
      </c>
      <c r="KP85" s="532">
        <f t="shared" si="1264"/>
        <v>0</v>
      </c>
      <c r="KQ85" s="532">
        <f t="shared" si="1265"/>
        <v>0</v>
      </c>
      <c r="KR85" s="532">
        <f t="shared" si="1266"/>
        <v>0</v>
      </c>
      <c r="KS85" s="532">
        <f t="shared" si="1366"/>
        <v>0</v>
      </c>
      <c r="KT85" s="532">
        <f t="shared" si="1367"/>
        <v>0</v>
      </c>
      <c r="KU85" s="532">
        <f t="shared" si="1267"/>
        <v>0</v>
      </c>
      <c r="KV85" s="532">
        <f t="shared" si="1268"/>
        <v>0</v>
      </c>
      <c r="KW85" s="532">
        <f t="shared" si="1269"/>
        <v>0</v>
      </c>
      <c r="KX85" s="532">
        <f t="shared" si="1270"/>
        <v>0</v>
      </c>
      <c r="KY85" s="553">
        <f t="shared" si="1271"/>
        <v>0</v>
      </c>
      <c r="KZ85" s="545">
        <f t="shared" si="1368"/>
        <v>0</v>
      </c>
      <c r="LA85" s="545">
        <f t="shared" si="1369"/>
        <v>0</v>
      </c>
      <c r="LB85" s="532">
        <f t="shared" si="1272"/>
        <v>0</v>
      </c>
      <c r="LC85" s="532">
        <f t="shared" si="1273"/>
        <v>0</v>
      </c>
      <c r="LD85" s="532">
        <f t="shared" si="1274"/>
        <v>0</v>
      </c>
      <c r="LE85" s="532">
        <f t="shared" si="1275"/>
        <v>0</v>
      </c>
      <c r="LF85" s="532">
        <f t="shared" si="1276"/>
        <v>0</v>
      </c>
      <c r="LG85" s="532">
        <f t="shared" si="1370"/>
        <v>0</v>
      </c>
      <c r="LH85" s="532">
        <f t="shared" si="1371"/>
        <v>0</v>
      </c>
      <c r="LI85" s="546">
        <f t="shared" si="1277"/>
        <v>0</v>
      </c>
      <c r="LJ85" s="545">
        <f t="shared" si="1278"/>
        <v>0</v>
      </c>
      <c r="LK85" s="545">
        <f t="shared" si="1279"/>
        <v>0</v>
      </c>
      <c r="LL85" s="545">
        <f t="shared" si="1280"/>
        <v>0</v>
      </c>
      <c r="LM85" s="555">
        <f t="shared" si="1281"/>
        <v>0</v>
      </c>
      <c r="LN85" s="545">
        <f t="shared" si="1372"/>
        <v>0</v>
      </c>
      <c r="LO85" s="545">
        <f t="shared" si="1373"/>
        <v>0</v>
      </c>
      <c r="LP85" s="532">
        <f t="shared" si="1282"/>
        <v>0</v>
      </c>
      <c r="LQ85" s="532">
        <f t="shared" si="1283"/>
        <v>0</v>
      </c>
      <c r="LR85" s="532">
        <f t="shared" si="1284"/>
        <v>0</v>
      </c>
      <c r="LS85" s="532">
        <f t="shared" si="1285"/>
        <v>0</v>
      </c>
      <c r="LT85" s="532">
        <f t="shared" si="1286"/>
        <v>0</v>
      </c>
      <c r="LU85" s="532">
        <f t="shared" si="1374"/>
        <v>0.23821980000000004</v>
      </c>
      <c r="LV85" s="532">
        <f t="shared" si="1375"/>
        <v>0.11910990000000002</v>
      </c>
      <c r="LW85" s="532">
        <f t="shared" si="1287"/>
        <v>0.27792310000000009</v>
      </c>
      <c r="LX85" s="532">
        <f t="shared" si="1288"/>
        <v>0.23821980000000004</v>
      </c>
      <c r="LY85" s="532">
        <f t="shared" si="1289"/>
        <v>3.9266563700000008</v>
      </c>
      <c r="LZ85" s="532">
        <f t="shared" si="1290"/>
        <v>3.9703300000000004E-2</v>
      </c>
      <c r="MA85" s="558">
        <f t="shared" si="1291"/>
        <v>3.9703300000000004E-2</v>
      </c>
      <c r="MB85" s="545">
        <f t="shared" si="1376"/>
        <v>0</v>
      </c>
      <c r="MC85" s="545">
        <f t="shared" si="1377"/>
        <v>0</v>
      </c>
      <c r="MD85" s="532">
        <f t="shared" si="1292"/>
        <v>0</v>
      </c>
      <c r="ME85" s="532">
        <f t="shared" si="1293"/>
        <v>0</v>
      </c>
      <c r="MF85" s="532">
        <f t="shared" si="1294"/>
        <v>0</v>
      </c>
      <c r="MG85" s="532">
        <f t="shared" si="1295"/>
        <v>0</v>
      </c>
      <c r="MH85" s="532">
        <f t="shared" si="1296"/>
        <v>0</v>
      </c>
      <c r="MI85" s="532">
        <f t="shared" si="1378"/>
        <v>0</v>
      </c>
      <c r="MJ85" s="532">
        <f t="shared" si="1379"/>
        <v>0</v>
      </c>
      <c r="MK85" s="532">
        <f t="shared" si="1297"/>
        <v>0</v>
      </c>
      <c r="ML85" s="532">
        <f t="shared" si="1298"/>
        <v>0</v>
      </c>
      <c r="MM85" s="532">
        <f t="shared" si="1299"/>
        <v>0</v>
      </c>
      <c r="MN85" s="532">
        <f t="shared" si="1300"/>
        <v>0</v>
      </c>
      <c r="MO85" s="558">
        <f t="shared" si="1301"/>
        <v>0</v>
      </c>
      <c r="MP85" s="545">
        <f t="shared" si="1380"/>
        <v>0</v>
      </c>
      <c r="MQ85" s="545">
        <f t="shared" si="1381"/>
        <v>0</v>
      </c>
      <c r="MR85" s="532">
        <f t="shared" si="1302"/>
        <v>0</v>
      </c>
      <c r="MS85" s="532">
        <f t="shared" si="1303"/>
        <v>0</v>
      </c>
      <c r="MT85" s="532">
        <f t="shared" si="1304"/>
        <v>0</v>
      </c>
      <c r="MU85" s="532">
        <f t="shared" si="1305"/>
        <v>0</v>
      </c>
      <c r="MV85" s="532">
        <f t="shared" si="1306"/>
        <v>0</v>
      </c>
      <c r="MW85" s="532">
        <f t="shared" si="1382"/>
        <v>2.1439782000000003</v>
      </c>
      <c r="MX85" s="532">
        <f t="shared" si="1383"/>
        <v>1.0719891000000001</v>
      </c>
      <c r="MY85" s="546">
        <f t="shared" si="1307"/>
        <v>2.5013079000000009</v>
      </c>
      <c r="MZ85" s="545">
        <f t="shared" si="1308"/>
        <v>2.1439782000000003</v>
      </c>
      <c r="NA85" s="545">
        <f t="shared" si="1309"/>
        <v>35.33990733000001</v>
      </c>
      <c r="NB85" s="545">
        <f t="shared" si="1310"/>
        <v>0.35732970000000008</v>
      </c>
      <c r="NC85" s="554">
        <f t="shared" si="1311"/>
        <v>0.35732970000000008</v>
      </c>
      <c r="NL85" s="106"/>
    </row>
    <row r="86" spans="1:376" x14ac:dyDescent="0.25">
      <c r="A86" s="561" t="s">
        <v>1498</v>
      </c>
      <c r="B86" s="714">
        <f t="shared" ref="B86:L86" si="1384">SUM(B13:B57)</f>
        <v>65780</v>
      </c>
      <c r="C86" s="714">
        <f>SUM(B13:B57)</f>
        <v>65780</v>
      </c>
      <c r="D86" s="714">
        <f t="shared" si="1384"/>
        <v>30</v>
      </c>
      <c r="E86" s="714">
        <f>SUM(D13:D57)</f>
        <v>30</v>
      </c>
      <c r="F86" s="714">
        <f t="shared" si="1384"/>
        <v>64793.30000000001</v>
      </c>
      <c r="G86" s="714">
        <f>SUM(F13:F57)</f>
        <v>64793.30000000001</v>
      </c>
      <c r="H86" s="714">
        <f t="shared" si="1384"/>
        <v>29.55</v>
      </c>
      <c r="I86" s="714">
        <f>SUM(H13:H57)</f>
        <v>29.55</v>
      </c>
      <c r="J86" s="714">
        <f t="shared" si="1384"/>
        <v>137.5</v>
      </c>
      <c r="K86" s="714">
        <f>SUM(J13:J57)</f>
        <v>137.5</v>
      </c>
      <c r="L86" s="714">
        <f t="shared" si="1384"/>
        <v>64822.850000000013</v>
      </c>
      <c r="M86" s="714">
        <f>SUM(L13:L57)</f>
        <v>64822.850000000013</v>
      </c>
      <c r="N86" s="374"/>
      <c r="O86" s="364"/>
      <c r="P86" s="364"/>
      <c r="Q86" s="377"/>
      <c r="R86" s="364"/>
      <c r="S86" s="364"/>
      <c r="T86" s="364"/>
      <c r="U86" s="364"/>
      <c r="V86" s="376"/>
      <c r="W86" s="364"/>
      <c r="X86" s="364"/>
      <c r="Y86" s="364"/>
      <c r="Z86" s="377"/>
      <c r="AA86" s="364"/>
      <c r="AB86" s="364"/>
      <c r="AC86" s="364"/>
      <c r="AD86" s="714">
        <f t="shared" ref="AD86:CK86" si="1385">SUM(AD13:AD57)</f>
        <v>452.75377249999985</v>
      </c>
      <c r="AE86" s="714">
        <f t="shared" si="1385"/>
        <v>452.75377249999985</v>
      </c>
      <c r="AF86" s="714">
        <f t="shared" si="1385"/>
        <v>0</v>
      </c>
      <c r="AG86" s="714">
        <f t="shared" si="1385"/>
        <v>0</v>
      </c>
      <c r="AH86" s="714">
        <f t="shared" si="1385"/>
        <v>317.86934999999994</v>
      </c>
      <c r="AI86" s="714">
        <f t="shared" si="1385"/>
        <v>317.86934999999994</v>
      </c>
      <c r="AJ86" s="714">
        <f t="shared" si="1385"/>
        <v>0.23935499999999998</v>
      </c>
      <c r="AK86" s="714">
        <f t="shared" si="1385"/>
        <v>0.23935499999999998</v>
      </c>
      <c r="AL86" s="714">
        <f t="shared" si="1385"/>
        <v>0</v>
      </c>
      <c r="AM86" s="714">
        <f t="shared" si="1385"/>
        <v>0</v>
      </c>
      <c r="AN86" s="714">
        <f t="shared" si="1385"/>
        <v>0.17730000000000001</v>
      </c>
      <c r="AO86" s="714">
        <f t="shared" si="1385"/>
        <v>0.17730000000000001</v>
      </c>
      <c r="AP86" s="714">
        <f t="shared" si="1385"/>
        <v>452.9931274999999</v>
      </c>
      <c r="AQ86" s="714">
        <f t="shared" si="1385"/>
        <v>452.9931274999999</v>
      </c>
      <c r="AR86" s="714">
        <f t="shared" si="1385"/>
        <v>0</v>
      </c>
      <c r="AS86" s="714">
        <f t="shared" si="1385"/>
        <v>0</v>
      </c>
      <c r="AT86" s="714">
        <f t="shared" si="1385"/>
        <v>318.04664999999994</v>
      </c>
      <c r="AU86" s="714">
        <f t="shared" si="1385"/>
        <v>318.04664999999994</v>
      </c>
      <c r="AV86" s="714">
        <f t="shared" si="1385"/>
        <v>0</v>
      </c>
      <c r="AW86" s="714">
        <f t="shared" si="1385"/>
        <v>0</v>
      </c>
      <c r="AX86" s="714">
        <f t="shared" si="1385"/>
        <v>317.98311749999999</v>
      </c>
      <c r="AY86" s="714">
        <f t="shared" si="1385"/>
        <v>317.98311749999999</v>
      </c>
      <c r="AZ86" s="714">
        <f t="shared" si="1385"/>
        <v>529.78224999999986</v>
      </c>
      <c r="BA86" s="714">
        <f t="shared" si="1385"/>
        <v>529.78224999999986</v>
      </c>
      <c r="BB86" s="714">
        <f t="shared" si="1385"/>
        <v>0</v>
      </c>
      <c r="BC86" s="714">
        <f t="shared" si="1385"/>
        <v>0</v>
      </c>
      <c r="BD86" s="714">
        <f t="shared" si="1385"/>
        <v>0.15957000000000002</v>
      </c>
      <c r="BE86" s="714">
        <f t="shared" si="1385"/>
        <v>0.15957000000000002</v>
      </c>
      <c r="BF86" s="714">
        <f t="shared" si="1385"/>
        <v>0.29550000000000004</v>
      </c>
      <c r="BG86" s="714">
        <f t="shared" si="1385"/>
        <v>0.29550000000000004</v>
      </c>
      <c r="BH86" s="714">
        <f t="shared" si="1385"/>
        <v>0</v>
      </c>
      <c r="BI86" s="714">
        <f t="shared" si="1385"/>
        <v>0</v>
      </c>
      <c r="BJ86" s="714">
        <f t="shared" si="1385"/>
        <v>318.14268749999997</v>
      </c>
      <c r="BK86" s="714">
        <f t="shared" si="1385"/>
        <v>318.14268749999997</v>
      </c>
      <c r="BL86" s="714">
        <f t="shared" si="1385"/>
        <v>530.07774999999981</v>
      </c>
      <c r="BM86" s="714">
        <f t="shared" si="1385"/>
        <v>530.07774999999981</v>
      </c>
      <c r="BN86" s="714">
        <f t="shared" si="1385"/>
        <v>2.2372797499999999</v>
      </c>
      <c r="BO86" s="714">
        <f t="shared" si="1385"/>
        <v>2.2372797499999999</v>
      </c>
      <c r="BP86" s="714">
        <f t="shared" si="1385"/>
        <v>35.331457500000006</v>
      </c>
      <c r="BQ86" s="714">
        <f t="shared" si="1385"/>
        <v>35.331457500000006</v>
      </c>
      <c r="BR86" s="714">
        <f t="shared" si="1385"/>
        <v>582.76047499999981</v>
      </c>
      <c r="BS86" s="714">
        <f t="shared" si="1385"/>
        <v>582.76047499999981</v>
      </c>
      <c r="BT86" s="714">
        <f t="shared" si="1385"/>
        <v>1.1820000000000001E-3</v>
      </c>
      <c r="BU86" s="714">
        <f t="shared" si="1385"/>
        <v>1.1820000000000001E-3</v>
      </c>
      <c r="BV86" s="714">
        <f t="shared" si="1385"/>
        <v>1.7729999999999999E-2</v>
      </c>
      <c r="BW86" s="714">
        <f t="shared" si="1385"/>
        <v>1.7729999999999999E-2</v>
      </c>
      <c r="BX86" s="714">
        <f t="shared" si="1385"/>
        <v>0.32505000000000001</v>
      </c>
      <c r="BY86" s="714">
        <f t="shared" si="1385"/>
        <v>0.32505000000000001</v>
      </c>
      <c r="BZ86" s="714">
        <f t="shared" si="1385"/>
        <v>2.2384617499999999</v>
      </c>
      <c r="CA86" s="714">
        <f t="shared" si="1385"/>
        <v>2.2384617499999999</v>
      </c>
      <c r="CB86" s="714">
        <f t="shared" si="1385"/>
        <v>35.349187500000006</v>
      </c>
      <c r="CC86" s="714">
        <f t="shared" si="1385"/>
        <v>35.349187500000006</v>
      </c>
      <c r="CD86" s="714">
        <f t="shared" si="1385"/>
        <v>583.08552499999985</v>
      </c>
      <c r="CE86" s="714">
        <f t="shared" si="1385"/>
        <v>583.08552499999985</v>
      </c>
      <c r="CF86" s="714">
        <f t="shared" si="1385"/>
        <v>13.75</v>
      </c>
      <c r="CG86" s="714">
        <f t="shared" si="1385"/>
        <v>13.75</v>
      </c>
      <c r="CH86" s="714">
        <f t="shared" si="1385"/>
        <v>0</v>
      </c>
      <c r="CI86" s="714">
        <f t="shared" si="1385"/>
        <v>0</v>
      </c>
      <c r="CJ86" s="714">
        <f t="shared" si="1385"/>
        <v>123.75</v>
      </c>
      <c r="CK86" s="714">
        <f t="shared" si="1385"/>
        <v>123.75</v>
      </c>
      <c r="CL86" s="43"/>
      <c r="CM86" s="714">
        <f t="shared" ref="CM86:CQ86" si="1386">SUM(CM13:CM57)</f>
        <v>60716.972849999984</v>
      </c>
      <c r="CN86" s="714">
        <f>SUM(CM13:CM57)</f>
        <v>60716.972849999984</v>
      </c>
      <c r="CO86" s="714">
        <f t="shared" si="1386"/>
        <v>2.9838500000000003</v>
      </c>
      <c r="CP86" s="714">
        <f t="shared" si="1386"/>
        <v>2.9838500000000003</v>
      </c>
      <c r="CQ86" s="714">
        <f t="shared" si="1386"/>
        <v>60719.956699999981</v>
      </c>
      <c r="CR86" s="714">
        <f>SUM(CQ13:CQ57)</f>
        <v>60719.956699999981</v>
      </c>
      <c r="CS86" s="65"/>
      <c r="CT86" s="66"/>
      <c r="CU86" s="66"/>
      <c r="CV86" s="67"/>
      <c r="CW86" s="714">
        <f t="shared" ref="CW86:DH86" si="1387">SUM(CW13:CW57)</f>
        <v>26063.471593912498</v>
      </c>
      <c r="CX86" s="714">
        <f>SUM(CW13:CW57)</f>
        <v>26063.471593912498</v>
      </c>
      <c r="CY86" s="714">
        <f t="shared" si="1387"/>
        <v>31617.65261358751</v>
      </c>
      <c r="CZ86" s="714">
        <f>SUM(CY13:CY57)</f>
        <v>31617.65261358751</v>
      </c>
      <c r="DA86" s="714">
        <f t="shared" si="1387"/>
        <v>1.3054343750000001</v>
      </c>
      <c r="DB86" s="714">
        <f t="shared" si="1387"/>
        <v>1.3054343750000001</v>
      </c>
      <c r="DC86" s="714">
        <f t="shared" si="1387"/>
        <v>1.3054343750000001</v>
      </c>
      <c r="DD86" s="714">
        <f t="shared" si="1387"/>
        <v>1.3054343750000001</v>
      </c>
      <c r="DE86" s="714">
        <f t="shared" si="1387"/>
        <v>26064.777028287499</v>
      </c>
      <c r="DF86" s="714">
        <f>SUM(DE13:DE57)</f>
        <v>26064.777028287499</v>
      </c>
      <c r="DG86" s="714">
        <f t="shared" si="1387"/>
        <v>31584.236857062508</v>
      </c>
      <c r="DH86" s="714">
        <f t="shared" si="1387"/>
        <v>31618.958047962507</v>
      </c>
      <c r="DJ86" s="364"/>
      <c r="DK86" s="364"/>
      <c r="DL86" s="714">
        <f t="shared" ref="DL86:DO86" si="1388">SUM(DL13:DL57)</f>
        <v>3219.7635747500003</v>
      </c>
      <c r="DM86" s="714">
        <f>SUM(DL13:DL57)</f>
        <v>3219.7635747500003</v>
      </c>
      <c r="DN86" s="714">
        <f t="shared" si="1388"/>
        <v>0.37298125000000004</v>
      </c>
      <c r="DO86" s="714">
        <f t="shared" si="1388"/>
        <v>0.37298125000000004</v>
      </c>
      <c r="DP86" s="374"/>
      <c r="DQ86" s="364"/>
      <c r="DR86" s="648"/>
      <c r="DS86" s="650"/>
      <c r="DT86" s="649"/>
      <c r="DU86" s="364"/>
      <c r="DV86" s="364"/>
      <c r="DW86" s="377"/>
      <c r="DX86" s="364"/>
      <c r="DY86" s="364"/>
      <c r="DZ86" s="364"/>
      <c r="EA86" s="714">
        <f t="shared" ref="EA86:EN86" si="1389">SUM(EA13:EA57)</f>
        <v>0</v>
      </c>
      <c r="EB86" s="714">
        <f t="shared" si="1389"/>
        <v>0</v>
      </c>
      <c r="EC86" s="714">
        <f t="shared" si="1389"/>
        <v>316.97635747499999</v>
      </c>
      <c r="ED86" s="714">
        <f t="shared" si="1389"/>
        <v>3169.7635747500003</v>
      </c>
      <c r="EE86" s="714">
        <f t="shared" si="1389"/>
        <v>0</v>
      </c>
      <c r="EF86" s="714">
        <f t="shared" si="1389"/>
        <v>0</v>
      </c>
      <c r="EG86" s="714">
        <f t="shared" si="1389"/>
        <v>0</v>
      </c>
      <c r="EH86" s="714">
        <f t="shared" si="1389"/>
        <v>0</v>
      </c>
      <c r="EI86" s="714">
        <f t="shared" si="1389"/>
        <v>1.8649062500000004E-2</v>
      </c>
      <c r="EJ86" s="714">
        <f t="shared" si="1389"/>
        <v>0.18649062500000002</v>
      </c>
      <c r="EK86" s="714">
        <f t="shared" si="1389"/>
        <v>0</v>
      </c>
      <c r="EL86" s="714">
        <f t="shared" si="1389"/>
        <v>0</v>
      </c>
      <c r="EM86" s="714">
        <f t="shared" si="1389"/>
        <v>316.99500653749999</v>
      </c>
      <c r="EN86" s="714">
        <f t="shared" si="1389"/>
        <v>3169.9500653750001</v>
      </c>
      <c r="EP86" s="714">
        <f t="shared" ref="EP86:FI86" si="1390">SUM(EP13:EP57)</f>
        <v>2.2372797499999999</v>
      </c>
      <c r="EQ86" s="714">
        <f>SUM(EP13:EP57)</f>
        <v>2.2372797499999999</v>
      </c>
      <c r="ER86" s="714">
        <f t="shared" si="1390"/>
        <v>35.331457500000006</v>
      </c>
      <c r="ES86" s="714">
        <f>SUM(ER13:ER57)</f>
        <v>35.331457500000006</v>
      </c>
      <c r="ET86" s="714">
        <f t="shared" si="1390"/>
        <v>582.76047499999981</v>
      </c>
      <c r="EU86" s="714">
        <f>SUM(ET13:ET57)</f>
        <v>582.76047499999981</v>
      </c>
      <c r="EV86" s="714">
        <f t="shared" si="1390"/>
        <v>1.1820000000000001E-3</v>
      </c>
      <c r="EW86" s="714">
        <f t="shared" si="1390"/>
        <v>1.1820000000000001E-3</v>
      </c>
      <c r="EX86" s="714">
        <f t="shared" si="1390"/>
        <v>1.7729999999999999E-2</v>
      </c>
      <c r="EY86" s="714">
        <f t="shared" si="1390"/>
        <v>1.7729999999999999E-2</v>
      </c>
      <c r="EZ86" s="714">
        <f t="shared" si="1390"/>
        <v>0.32505000000000001</v>
      </c>
      <c r="FA86" s="714">
        <f t="shared" si="1390"/>
        <v>0.32505000000000001</v>
      </c>
      <c r="FB86" s="714">
        <f t="shared" si="1390"/>
        <v>26063.471593912498</v>
      </c>
      <c r="FC86" s="714">
        <f t="shared" si="1390"/>
        <v>26063.471593912498</v>
      </c>
      <c r="FD86" s="714">
        <f t="shared" si="1390"/>
        <v>1.3054343750000001</v>
      </c>
      <c r="FE86" s="714">
        <f t="shared" si="1390"/>
        <v>1.3054343750000001</v>
      </c>
      <c r="FF86" s="714">
        <f t="shared" si="1390"/>
        <v>31617.65261358751</v>
      </c>
      <c r="FG86" s="714">
        <f t="shared" si="1390"/>
        <v>31617.65261358751</v>
      </c>
      <c r="FH86" s="714">
        <f t="shared" si="1390"/>
        <v>1.3054343750000001</v>
      </c>
      <c r="FI86" s="714">
        <f t="shared" si="1390"/>
        <v>1.3054343750000001</v>
      </c>
      <c r="FJ86" s="374"/>
      <c r="FK86" s="364"/>
      <c r="FL86" s="364"/>
      <c r="FM86" s="364"/>
      <c r="FN86" s="364"/>
      <c r="FO86" s="648"/>
      <c r="FP86" s="648"/>
      <c r="FQ86" s="364"/>
      <c r="FR86" s="364"/>
      <c r="FS86" s="374"/>
      <c r="FT86" s="364"/>
      <c r="FU86" s="374"/>
      <c r="FV86" s="384"/>
      <c r="FW86" s="364"/>
      <c r="FX86" s="365"/>
      <c r="FY86" s="723"/>
      <c r="FZ86" s="723"/>
      <c r="GA86" s="723"/>
      <c r="GB86" s="723"/>
      <c r="GC86" s="714">
        <f t="shared" ref="GC86:GN86" si="1391">SUM(GC13:GC57)</f>
        <v>2.2372797499999999</v>
      </c>
      <c r="GD86" s="714">
        <f t="shared" si="1391"/>
        <v>2.2372797499999999</v>
      </c>
      <c r="GE86" s="714">
        <f t="shared" si="1391"/>
        <v>35.331457500000006</v>
      </c>
      <c r="GF86" s="714">
        <f t="shared" si="1391"/>
        <v>35.331457500000006</v>
      </c>
      <c r="GG86" s="714">
        <f t="shared" si="1391"/>
        <v>116.55209499999998</v>
      </c>
      <c r="GH86" s="714">
        <f t="shared" si="1391"/>
        <v>466.20837999999992</v>
      </c>
      <c r="GI86" s="714">
        <f t="shared" si="1391"/>
        <v>1.1820000000000001E-3</v>
      </c>
      <c r="GJ86" s="714">
        <f t="shared" si="1391"/>
        <v>1.1820000000000001E-3</v>
      </c>
      <c r="GK86" s="714">
        <f t="shared" si="1391"/>
        <v>1.7729999999999999E-2</v>
      </c>
      <c r="GL86" s="714">
        <f t="shared" si="1391"/>
        <v>1.7729999999999999E-2</v>
      </c>
      <c r="GM86" s="714">
        <f t="shared" si="1391"/>
        <v>6.5009999999999998E-2</v>
      </c>
      <c r="GN86" s="714">
        <f t="shared" si="1391"/>
        <v>0.26003999999999999</v>
      </c>
      <c r="GO86" s="714">
        <f>SUM(GO13:GO57)</f>
        <v>154.20475425000004</v>
      </c>
      <c r="GP86" s="714">
        <f t="shared" ref="GP86:HD86" si="1392">SUM(GP13:GP57)</f>
        <v>504.05606925000006</v>
      </c>
      <c r="GQ86" s="714">
        <f t="shared" si="1392"/>
        <v>193.05883767029081</v>
      </c>
      <c r="GR86" s="714">
        <f t="shared" si="1392"/>
        <v>4941.8900851943754</v>
      </c>
      <c r="GS86" s="714">
        <f t="shared" si="1392"/>
        <v>2.6445894116237501</v>
      </c>
      <c r="GT86" s="714">
        <f t="shared" si="1392"/>
        <v>1322.2947058118752</v>
      </c>
      <c r="GU86" s="714">
        <f t="shared" si="1392"/>
        <v>0</v>
      </c>
      <c r="GV86" s="714">
        <f t="shared" si="1392"/>
        <v>0</v>
      </c>
      <c r="GW86" s="714">
        <f t="shared" si="1392"/>
        <v>4.8447933242187508E-3</v>
      </c>
      <c r="GX86" s="714">
        <f t="shared" si="1392"/>
        <v>0.12401626562500001</v>
      </c>
      <c r="GY86" s="714">
        <f t="shared" si="1392"/>
        <v>1.3054343750000004E-5</v>
      </c>
      <c r="GZ86" s="714">
        <f t="shared" si="1392"/>
        <v>6.5271718750000013E-3</v>
      </c>
      <c r="HA86" s="714">
        <f t="shared" si="1392"/>
        <v>0</v>
      </c>
      <c r="HB86" s="714">
        <f t="shared" si="1392"/>
        <v>0</v>
      </c>
      <c r="HC86" s="714">
        <f t="shared" si="1392"/>
        <v>195.70828492958248</v>
      </c>
      <c r="HD86" s="714">
        <f t="shared" si="1392"/>
        <v>6264.3153344437505</v>
      </c>
      <c r="HE86" s="527"/>
      <c r="HF86" s="714">
        <f t="shared" ref="HF86:HW86" si="1393">SUM(HF13:HF57)</f>
        <v>452.9931274999999</v>
      </c>
      <c r="HG86" s="714">
        <f t="shared" si="1393"/>
        <v>452.9931274999999</v>
      </c>
      <c r="HH86" s="714">
        <f t="shared" si="1393"/>
        <v>0</v>
      </c>
      <c r="HI86" s="714">
        <f t="shared" si="1393"/>
        <v>0</v>
      </c>
      <c r="HJ86" s="714">
        <f t="shared" si="1393"/>
        <v>318.04664999999994</v>
      </c>
      <c r="HK86" s="714">
        <f t="shared" si="1393"/>
        <v>318.04664999999994</v>
      </c>
      <c r="HL86" s="714">
        <f t="shared" si="1393"/>
        <v>0</v>
      </c>
      <c r="HM86" s="714">
        <f t="shared" si="1393"/>
        <v>0</v>
      </c>
      <c r="HN86" s="714">
        <f t="shared" si="1393"/>
        <v>635.13769403750018</v>
      </c>
      <c r="HO86" s="714">
        <f t="shared" si="1393"/>
        <v>3488.0927528750003</v>
      </c>
      <c r="HP86" s="714">
        <f t="shared" si="1393"/>
        <v>530.07774999999981</v>
      </c>
      <c r="HQ86" s="714">
        <f t="shared" si="1393"/>
        <v>530.07774999999981</v>
      </c>
      <c r="HR86" s="714">
        <f t="shared" si="1393"/>
        <v>211.69673362523881</v>
      </c>
      <c r="HS86" s="714">
        <f t="shared" si="1393"/>
        <v>6280.3037961937507</v>
      </c>
      <c r="HT86" s="714">
        <f t="shared" si="1393"/>
        <v>35.349187500000006</v>
      </c>
      <c r="HU86" s="714">
        <f t="shared" si="1393"/>
        <v>35.349187500000006</v>
      </c>
      <c r="HV86" s="714">
        <f t="shared" si="1393"/>
        <v>240.36710500000001</v>
      </c>
      <c r="HW86" s="714">
        <f t="shared" si="1393"/>
        <v>590.21841999999992</v>
      </c>
      <c r="IG86" s="560"/>
      <c r="IH86" s="887">
        <f t="shared" ref="IH86" si="1394">SUM(IH13:IH57)</f>
        <v>4.982924402500001</v>
      </c>
      <c r="II86" s="887">
        <f t="shared" ref="II86:KT86" si="1395">SUM(II13:II57)</f>
        <v>4.0769381475000017</v>
      </c>
      <c r="IJ86" s="887">
        <f t="shared" si="1395"/>
        <v>8.1538762950000034</v>
      </c>
      <c r="IK86" s="887">
        <f t="shared" si="1395"/>
        <v>4.0769381475000017</v>
      </c>
      <c r="IL86" s="887">
        <f t="shared" si="1395"/>
        <v>382.7791927374999</v>
      </c>
      <c r="IM86" s="887">
        <f t="shared" si="1395"/>
        <v>0.45299312749999981</v>
      </c>
      <c r="IN86" s="887">
        <f t="shared" si="1395"/>
        <v>0.45299312749999981</v>
      </c>
      <c r="IO86" s="887">
        <f t="shared" si="1395"/>
        <v>14.948773207499999</v>
      </c>
      <c r="IP86" s="887">
        <f t="shared" si="1395"/>
        <v>18.572718227500005</v>
      </c>
      <c r="IQ86" s="887">
        <f t="shared" si="1395"/>
        <v>23.555642630000005</v>
      </c>
      <c r="IR86" s="887">
        <f t="shared" si="1395"/>
        <v>18.572718227500005</v>
      </c>
      <c r="IS86" s="887">
        <f t="shared" si="1395"/>
        <v>383.68517899249997</v>
      </c>
      <c r="IT86" s="887">
        <f t="shared" si="1395"/>
        <v>4.529931275</v>
      </c>
      <c r="IU86" s="887">
        <f t="shared" si="1395"/>
        <v>4.529931275</v>
      </c>
      <c r="IV86" s="887">
        <f t="shared" si="1395"/>
        <v>0</v>
      </c>
      <c r="IW86" s="887">
        <f t="shared" si="1395"/>
        <v>0</v>
      </c>
      <c r="IX86" s="887">
        <f t="shared" si="1395"/>
        <v>0</v>
      </c>
      <c r="IY86" s="887">
        <f t="shared" si="1395"/>
        <v>0</v>
      </c>
      <c r="IZ86" s="887">
        <f t="shared" si="1395"/>
        <v>0</v>
      </c>
      <c r="JA86" s="887">
        <f t="shared" si="1395"/>
        <v>0</v>
      </c>
      <c r="JB86" s="887">
        <f t="shared" si="1395"/>
        <v>0</v>
      </c>
      <c r="JC86" s="887">
        <f t="shared" si="1395"/>
        <v>0</v>
      </c>
      <c r="JD86" s="887">
        <f t="shared" si="1395"/>
        <v>0</v>
      </c>
      <c r="JE86" s="887">
        <f t="shared" si="1395"/>
        <v>0</v>
      </c>
      <c r="JF86" s="887">
        <f t="shared" si="1395"/>
        <v>0</v>
      </c>
      <c r="JG86" s="887">
        <f t="shared" si="1395"/>
        <v>0</v>
      </c>
      <c r="JH86" s="887">
        <f t="shared" si="1395"/>
        <v>0</v>
      </c>
      <c r="JI86" s="887">
        <f t="shared" si="1395"/>
        <v>0</v>
      </c>
      <c r="JJ86" s="887">
        <f t="shared" si="1395"/>
        <v>3.4985131500000017</v>
      </c>
      <c r="JK86" s="887">
        <f t="shared" si="1395"/>
        <v>2.8624198500000011</v>
      </c>
      <c r="JL86" s="887">
        <f t="shared" si="1395"/>
        <v>5.7248397000000022</v>
      </c>
      <c r="JM86" s="887">
        <f t="shared" si="1395"/>
        <v>2.8624198500000011</v>
      </c>
      <c r="JN86" s="887">
        <f t="shared" si="1395"/>
        <v>268.74941925000002</v>
      </c>
      <c r="JO86" s="887">
        <f t="shared" si="1395"/>
        <v>0.31804664999999999</v>
      </c>
      <c r="JP86" s="887">
        <f t="shared" si="1395"/>
        <v>0.31804664999999999</v>
      </c>
      <c r="JQ86" s="887">
        <f t="shared" si="1395"/>
        <v>10.495539450000003</v>
      </c>
      <c r="JR86" s="887">
        <f t="shared" si="1395"/>
        <v>13.039912649999996</v>
      </c>
      <c r="JS86" s="887">
        <f t="shared" si="1395"/>
        <v>16.538425800000002</v>
      </c>
      <c r="JT86" s="887">
        <f t="shared" si="1395"/>
        <v>13.039912649999996</v>
      </c>
      <c r="JU86" s="887">
        <f t="shared" si="1395"/>
        <v>269.38551254999999</v>
      </c>
      <c r="JV86" s="887">
        <f t="shared" si="1395"/>
        <v>3.1804665000000014</v>
      </c>
      <c r="JW86" s="887">
        <f t="shared" si="1395"/>
        <v>3.1804665000000014</v>
      </c>
      <c r="JX86" s="887">
        <f t="shared" si="1395"/>
        <v>0</v>
      </c>
      <c r="JY86" s="887">
        <f t="shared" si="1395"/>
        <v>0</v>
      </c>
      <c r="JZ86" s="887">
        <f t="shared" si="1395"/>
        <v>0</v>
      </c>
      <c r="KA86" s="887">
        <f t="shared" si="1395"/>
        <v>0</v>
      </c>
      <c r="KB86" s="887">
        <f t="shared" si="1395"/>
        <v>0</v>
      </c>
      <c r="KC86" s="887">
        <f t="shared" si="1395"/>
        <v>0</v>
      </c>
      <c r="KD86" s="887">
        <f t="shared" si="1395"/>
        <v>0</v>
      </c>
      <c r="KE86" s="887">
        <f t="shared" si="1395"/>
        <v>0</v>
      </c>
      <c r="KF86" s="887">
        <f t="shared" si="1395"/>
        <v>0</v>
      </c>
      <c r="KG86" s="887">
        <f t="shared" si="1395"/>
        <v>0</v>
      </c>
      <c r="KH86" s="887">
        <f t="shared" si="1395"/>
        <v>0</v>
      </c>
      <c r="KI86" s="887">
        <f t="shared" si="1395"/>
        <v>0</v>
      </c>
      <c r="KJ86" s="887">
        <f t="shared" si="1395"/>
        <v>0</v>
      </c>
      <c r="KK86" s="887">
        <f t="shared" si="1395"/>
        <v>0</v>
      </c>
      <c r="KL86" s="887">
        <f t="shared" si="1395"/>
        <v>6.9865146344125009</v>
      </c>
      <c r="KM86" s="887">
        <f t="shared" si="1395"/>
        <v>5.7162392463375005</v>
      </c>
      <c r="KN86" s="887">
        <f t="shared" si="1395"/>
        <v>11.432478492675001</v>
      </c>
      <c r="KO86" s="887">
        <f t="shared" si="1395"/>
        <v>5.7162392463375005</v>
      </c>
      <c r="KP86" s="887">
        <f t="shared" si="1395"/>
        <v>536.69135146168753</v>
      </c>
      <c r="KQ86" s="887">
        <f t="shared" si="1395"/>
        <v>0.63513769403750009</v>
      </c>
      <c r="KR86" s="887">
        <f t="shared" si="1395"/>
        <v>0.63513769403750009</v>
      </c>
      <c r="KS86" s="887">
        <f t="shared" si="1395"/>
        <v>115.10706084487501</v>
      </c>
      <c r="KT86" s="887">
        <f t="shared" si="1395"/>
        <v>143.01180286787502</v>
      </c>
      <c r="KU86" s="887">
        <f t="shared" ref="KU86:NC86" si="1396">SUM(KU13:KU57)</f>
        <v>181.38082314950003</v>
      </c>
      <c r="KV86" s="887">
        <f t="shared" si="1396"/>
        <v>143.01180286787502</v>
      </c>
      <c r="KW86" s="887">
        <f t="shared" si="1396"/>
        <v>2954.4145616851256</v>
      </c>
      <c r="KX86" s="887">
        <f t="shared" si="1396"/>
        <v>34.880927528750007</v>
      </c>
      <c r="KY86" s="887">
        <f t="shared" si="1396"/>
        <v>34.880927528750007</v>
      </c>
      <c r="KZ86" s="887">
        <f t="shared" si="1396"/>
        <v>5.8308552500000008</v>
      </c>
      <c r="LA86" s="887">
        <f t="shared" si="1396"/>
        <v>4.7706997500000021</v>
      </c>
      <c r="LB86" s="887">
        <f t="shared" si="1396"/>
        <v>9.5413995000000043</v>
      </c>
      <c r="LC86" s="887">
        <f t="shared" si="1396"/>
        <v>4.7706997500000021</v>
      </c>
      <c r="LD86" s="887">
        <f t="shared" si="1396"/>
        <v>447.91569874999999</v>
      </c>
      <c r="LE86" s="887">
        <f t="shared" si="1396"/>
        <v>0.5300777499999999</v>
      </c>
      <c r="LF86" s="887">
        <f t="shared" si="1396"/>
        <v>0.5300777499999999</v>
      </c>
      <c r="LG86" s="887">
        <f t="shared" si="1396"/>
        <v>17.492565750000001</v>
      </c>
      <c r="LH86" s="887">
        <f t="shared" si="1396"/>
        <v>21.733187750000003</v>
      </c>
      <c r="LI86" s="887">
        <f t="shared" si="1396"/>
        <v>27.564043000000009</v>
      </c>
      <c r="LJ86" s="887">
        <f t="shared" si="1396"/>
        <v>21.733187750000003</v>
      </c>
      <c r="LK86" s="887">
        <f t="shared" si="1396"/>
        <v>448.97585424999994</v>
      </c>
      <c r="LL86" s="887">
        <f t="shared" si="1396"/>
        <v>5.3007775000000006</v>
      </c>
      <c r="LM86" s="887">
        <f t="shared" si="1396"/>
        <v>5.3007775000000006</v>
      </c>
      <c r="LN86" s="887">
        <f t="shared" si="1396"/>
        <v>0.23286640698776262</v>
      </c>
      <c r="LO86" s="887">
        <f t="shared" si="1396"/>
        <v>6.350902008757163E-2</v>
      </c>
      <c r="LP86" s="887">
        <f t="shared" si="1396"/>
        <v>1.0796533414887179</v>
      </c>
      <c r="LQ86" s="887">
        <f t="shared" si="1396"/>
        <v>1.7359132157269574</v>
      </c>
      <c r="LR86" s="887">
        <f t="shared" si="1396"/>
        <v>169.35738690019102</v>
      </c>
      <c r="LS86" s="887">
        <f t="shared" si="1396"/>
        <v>1.841761582539577</v>
      </c>
      <c r="LT86" s="887">
        <f t="shared" si="1396"/>
        <v>0.21169673362523878</v>
      </c>
      <c r="LU86" s="887">
        <f t="shared" si="1396"/>
        <v>376.818227771625</v>
      </c>
      <c r="LV86" s="887">
        <f t="shared" si="1396"/>
        <v>188.4091138858125</v>
      </c>
      <c r="LW86" s="887">
        <f t="shared" si="1396"/>
        <v>439.6212657335625</v>
      </c>
      <c r="LX86" s="887">
        <f t="shared" si="1396"/>
        <v>376.818227771625</v>
      </c>
      <c r="LY86" s="887">
        <f t="shared" si="1396"/>
        <v>6211.22045443562</v>
      </c>
      <c r="LZ86" s="887">
        <f t="shared" si="1396"/>
        <v>62.803037961937505</v>
      </c>
      <c r="MA86" s="887">
        <f t="shared" si="1396"/>
        <v>62.803037961937505</v>
      </c>
      <c r="MB86" s="887">
        <f t="shared" si="1396"/>
        <v>3.8884106249999995E-2</v>
      </c>
      <c r="MC86" s="887">
        <f t="shared" si="1396"/>
        <v>1.0604756249999998E-2</v>
      </c>
      <c r="MD86" s="887">
        <f t="shared" si="1396"/>
        <v>0.18028085624999998</v>
      </c>
      <c r="ME86" s="887">
        <f t="shared" si="1396"/>
        <v>0.28986333749999993</v>
      </c>
      <c r="MF86" s="887">
        <f t="shared" si="1396"/>
        <v>28.279350000000001</v>
      </c>
      <c r="MG86" s="887">
        <f t="shared" si="1396"/>
        <v>0.3075379312499999</v>
      </c>
      <c r="MH86" s="887">
        <f t="shared" si="1396"/>
        <v>3.5349187500000011E-2</v>
      </c>
      <c r="MI86" s="887">
        <f t="shared" si="1396"/>
        <v>2.1209512499999992</v>
      </c>
      <c r="MJ86" s="887">
        <f t="shared" si="1396"/>
        <v>1.0604756249999996</v>
      </c>
      <c r="MK86" s="887">
        <f t="shared" si="1396"/>
        <v>2.4744431250000005</v>
      </c>
      <c r="ML86" s="887">
        <f t="shared" si="1396"/>
        <v>2.1209512499999992</v>
      </c>
      <c r="MM86" s="887">
        <f t="shared" si="1396"/>
        <v>34.9603464375</v>
      </c>
      <c r="MN86" s="887">
        <f t="shared" si="1396"/>
        <v>0.35349187499999996</v>
      </c>
      <c r="MO86" s="887">
        <f t="shared" si="1396"/>
        <v>0.35349187499999996</v>
      </c>
      <c r="MP86" s="887">
        <f t="shared" si="1396"/>
        <v>0.26440381549999997</v>
      </c>
      <c r="MQ86" s="887">
        <f t="shared" si="1396"/>
        <v>7.2110131499999994E-2</v>
      </c>
      <c r="MR86" s="887">
        <f t="shared" si="1396"/>
        <v>1.2258722355</v>
      </c>
      <c r="MS86" s="887">
        <f t="shared" si="1396"/>
        <v>1.971010261</v>
      </c>
      <c r="MT86" s="887">
        <f t="shared" si="1396"/>
        <v>192.29368399999998</v>
      </c>
      <c r="MU86" s="887">
        <f t="shared" si="1396"/>
        <v>2.0911938134999999</v>
      </c>
      <c r="MV86" s="887">
        <f t="shared" si="1396"/>
        <v>0.24036710500000003</v>
      </c>
      <c r="MW86" s="887">
        <f t="shared" si="1396"/>
        <v>35.41310519999999</v>
      </c>
      <c r="MX86" s="887">
        <f t="shared" si="1396"/>
        <v>17.706552599999995</v>
      </c>
      <c r="MY86" s="887">
        <f t="shared" si="1396"/>
        <v>41.31528939999999</v>
      </c>
      <c r="MZ86" s="887">
        <f t="shared" si="1396"/>
        <v>35.41310519999999</v>
      </c>
      <c r="NA86" s="887">
        <f t="shared" si="1396"/>
        <v>583.72601737999992</v>
      </c>
      <c r="NB86" s="887">
        <f t="shared" si="1396"/>
        <v>5.9021841999999998</v>
      </c>
      <c r="NC86" s="887">
        <f t="shared" si="1396"/>
        <v>5.9021841999999998</v>
      </c>
    </row>
    <row r="87" spans="1:376" x14ac:dyDescent="0.25">
      <c r="A87" s="562" t="s">
        <v>5</v>
      </c>
      <c r="B87" s="49">
        <f t="shared" ref="B87:M87" si="1397">SUM(B58:B70)</f>
        <v>248</v>
      </c>
      <c r="C87" s="49">
        <f t="shared" si="1397"/>
        <v>632</v>
      </c>
      <c r="D87" s="49">
        <f t="shared" si="1397"/>
        <v>2050</v>
      </c>
      <c r="E87" s="49">
        <f t="shared" si="1397"/>
        <v>2050</v>
      </c>
      <c r="F87" s="49">
        <f t="shared" si="1397"/>
        <v>244.28</v>
      </c>
      <c r="G87" s="49">
        <f t="shared" si="1397"/>
        <v>622.52</v>
      </c>
      <c r="H87" s="49">
        <f t="shared" si="1397"/>
        <v>2019.25</v>
      </c>
      <c r="I87" s="49">
        <f t="shared" si="1397"/>
        <v>2019.25</v>
      </c>
      <c r="J87" s="49">
        <f t="shared" si="1397"/>
        <v>421.83519999999999</v>
      </c>
      <c r="K87" s="49">
        <f t="shared" si="1397"/>
        <v>421.83519999999999</v>
      </c>
      <c r="L87" s="49">
        <f t="shared" si="1397"/>
        <v>2263.5299999999997</v>
      </c>
      <c r="M87" s="49">
        <f t="shared" si="1397"/>
        <v>2641.7699999999995</v>
      </c>
      <c r="N87" s="22"/>
      <c r="O87" s="23"/>
      <c r="P87" s="23"/>
      <c r="Q87" s="113"/>
      <c r="R87" s="23"/>
      <c r="S87" s="23"/>
      <c r="T87" s="23"/>
      <c r="U87" s="23"/>
      <c r="V87" s="112"/>
      <c r="W87" s="23"/>
      <c r="X87" s="23"/>
      <c r="Y87" s="23"/>
      <c r="Z87" s="113"/>
      <c r="AA87" s="23"/>
      <c r="AB87" s="23"/>
      <c r="AC87" s="23"/>
      <c r="AD87" s="49">
        <f t="shared" ref="AD87:CK87" si="1398">SUM(AD58:AD70)</f>
        <v>0.48855999999999999</v>
      </c>
      <c r="AE87" s="49">
        <f t="shared" si="1398"/>
        <v>1.2450399999999999</v>
      </c>
      <c r="AF87" s="49">
        <f t="shared" si="1398"/>
        <v>0</v>
      </c>
      <c r="AG87" s="49">
        <f t="shared" si="1398"/>
        <v>0</v>
      </c>
      <c r="AH87" s="49">
        <f t="shared" si="1398"/>
        <v>0</v>
      </c>
      <c r="AI87" s="49">
        <f t="shared" si="1398"/>
        <v>0</v>
      </c>
      <c r="AJ87" s="49">
        <f t="shared" si="1398"/>
        <v>16.355924999999999</v>
      </c>
      <c r="AK87" s="49">
        <f t="shared" si="1398"/>
        <v>16.355924999999999</v>
      </c>
      <c r="AL87" s="49">
        <f t="shared" si="1398"/>
        <v>0</v>
      </c>
      <c r="AM87" s="49">
        <f t="shared" si="1398"/>
        <v>0</v>
      </c>
      <c r="AN87" s="49">
        <f t="shared" si="1398"/>
        <v>12.115499999999999</v>
      </c>
      <c r="AO87" s="49">
        <f t="shared" si="1398"/>
        <v>12.115499999999999</v>
      </c>
      <c r="AP87" s="49">
        <f t="shared" si="1398"/>
        <v>16.844484999999999</v>
      </c>
      <c r="AQ87" s="49">
        <f t="shared" si="1398"/>
        <v>17.600965000000002</v>
      </c>
      <c r="AR87" s="49">
        <f t="shared" si="1398"/>
        <v>0</v>
      </c>
      <c r="AS87" s="49">
        <f t="shared" si="1398"/>
        <v>0</v>
      </c>
      <c r="AT87" s="49">
        <f t="shared" si="1398"/>
        <v>12.115499999999999</v>
      </c>
      <c r="AU87" s="49">
        <f t="shared" si="1398"/>
        <v>12.115499999999999</v>
      </c>
      <c r="AV87" s="49">
        <f t="shared" si="1398"/>
        <v>0</v>
      </c>
      <c r="AW87" s="49">
        <f t="shared" si="1398"/>
        <v>0</v>
      </c>
      <c r="AX87" s="49">
        <f t="shared" si="1398"/>
        <v>0.65955600000000003</v>
      </c>
      <c r="AY87" s="49">
        <f t="shared" si="1398"/>
        <v>1.6808040000000002</v>
      </c>
      <c r="AZ87" s="49">
        <f t="shared" si="1398"/>
        <v>0</v>
      </c>
      <c r="BA87" s="49">
        <f t="shared" si="1398"/>
        <v>0</v>
      </c>
      <c r="BB87" s="49">
        <f t="shared" si="1398"/>
        <v>0</v>
      </c>
      <c r="BC87" s="49">
        <f t="shared" si="1398"/>
        <v>0</v>
      </c>
      <c r="BD87" s="49">
        <f t="shared" si="1398"/>
        <v>10.90395</v>
      </c>
      <c r="BE87" s="49">
        <f t="shared" si="1398"/>
        <v>10.90395</v>
      </c>
      <c r="BF87" s="49">
        <f t="shared" si="1398"/>
        <v>20.192499999999995</v>
      </c>
      <c r="BG87" s="49">
        <f t="shared" si="1398"/>
        <v>20.192499999999995</v>
      </c>
      <c r="BH87" s="49">
        <f t="shared" si="1398"/>
        <v>0</v>
      </c>
      <c r="BI87" s="49">
        <f t="shared" si="1398"/>
        <v>0</v>
      </c>
      <c r="BJ87" s="49">
        <f t="shared" si="1398"/>
        <v>11.563506000000002</v>
      </c>
      <c r="BK87" s="49">
        <f t="shared" si="1398"/>
        <v>12.584754000000002</v>
      </c>
      <c r="BL87" s="49">
        <f t="shared" si="1398"/>
        <v>20.192499999999995</v>
      </c>
      <c r="BM87" s="49">
        <f t="shared" si="1398"/>
        <v>20.192499999999995</v>
      </c>
      <c r="BN87" s="49">
        <f t="shared" si="1398"/>
        <v>2.4427999999999997E-3</v>
      </c>
      <c r="BO87" s="49">
        <f t="shared" si="1398"/>
        <v>6.2252000000000002E-3</v>
      </c>
      <c r="BP87" s="49">
        <f t="shared" si="1398"/>
        <v>7.3284000000000002E-2</v>
      </c>
      <c r="BQ87" s="49">
        <f t="shared" si="1398"/>
        <v>0.18675599999999998</v>
      </c>
      <c r="BR87" s="49">
        <f t="shared" si="1398"/>
        <v>0</v>
      </c>
      <c r="BS87" s="49">
        <f t="shared" si="1398"/>
        <v>0</v>
      </c>
      <c r="BT87" s="49">
        <f t="shared" si="1398"/>
        <v>8.0769999999999995E-2</v>
      </c>
      <c r="BU87" s="49">
        <f t="shared" si="1398"/>
        <v>8.0769999999999995E-2</v>
      </c>
      <c r="BV87" s="49">
        <f t="shared" si="1398"/>
        <v>1.2115499999999999</v>
      </c>
      <c r="BW87" s="49">
        <f t="shared" si="1398"/>
        <v>1.2115499999999999</v>
      </c>
      <c r="BX87" s="49">
        <f t="shared" si="1398"/>
        <v>22.211750000000002</v>
      </c>
      <c r="BY87" s="49">
        <f t="shared" si="1398"/>
        <v>22.211750000000002</v>
      </c>
      <c r="BZ87" s="49">
        <f t="shared" si="1398"/>
        <v>8.321279999999999E-2</v>
      </c>
      <c r="CA87" s="49">
        <f t="shared" si="1398"/>
        <v>8.6995199999999995E-2</v>
      </c>
      <c r="CB87" s="49">
        <f t="shared" si="1398"/>
        <v>1.284834</v>
      </c>
      <c r="CC87" s="49">
        <f t="shared" si="1398"/>
        <v>1.398306</v>
      </c>
      <c r="CD87" s="49">
        <f t="shared" si="1398"/>
        <v>22.211750000000002</v>
      </c>
      <c r="CE87" s="49">
        <f t="shared" si="1398"/>
        <v>22.211750000000002</v>
      </c>
      <c r="CF87" s="49">
        <f t="shared" si="1398"/>
        <v>42.183520000000001</v>
      </c>
      <c r="CG87" s="49">
        <f t="shared" si="1398"/>
        <v>42.183520000000001</v>
      </c>
      <c r="CH87" s="49">
        <f t="shared" si="1398"/>
        <v>0</v>
      </c>
      <c r="CI87" s="49">
        <f t="shared" si="1398"/>
        <v>0</v>
      </c>
      <c r="CJ87" s="49">
        <f t="shared" si="1398"/>
        <v>379.65168000000006</v>
      </c>
      <c r="CK87" s="49">
        <f t="shared" si="1398"/>
        <v>379.65168000000006</v>
      </c>
      <c r="CL87" s="123"/>
      <c r="CM87" s="49">
        <f t="shared" ref="CM87:CR87" si="1399">SUM(CM58:CM70)</f>
        <v>231.33315999999999</v>
      </c>
      <c r="CN87" s="49">
        <f t="shared" si="1399"/>
        <v>589.52643999999998</v>
      </c>
      <c r="CO87" s="49">
        <f t="shared" si="1399"/>
        <v>1490.39455</v>
      </c>
      <c r="CP87" s="49">
        <f t="shared" si="1399"/>
        <v>1490.39455</v>
      </c>
      <c r="CQ87" s="49">
        <f t="shared" si="1399"/>
        <v>1721.7277100000001</v>
      </c>
      <c r="CR87" s="49">
        <f t="shared" si="1399"/>
        <v>2079.9209900000001</v>
      </c>
      <c r="CS87" s="68"/>
      <c r="CT87" s="69"/>
      <c r="CU87" s="69"/>
      <c r="CV87" s="70"/>
      <c r="CW87" s="49">
        <f t="shared" ref="CW87:DH87" si="1400">SUM(CW58:CW70)</f>
        <v>0</v>
      </c>
      <c r="CX87" s="49">
        <f t="shared" si="1400"/>
        <v>0</v>
      </c>
      <c r="CY87" s="49">
        <f t="shared" si="1400"/>
        <v>0</v>
      </c>
      <c r="CZ87" s="49">
        <f t="shared" si="1400"/>
        <v>0</v>
      </c>
      <c r="DA87" s="49">
        <f t="shared" si="1400"/>
        <v>828.38931437499991</v>
      </c>
      <c r="DB87" s="49">
        <f t="shared" si="1400"/>
        <v>828.38931437499991</v>
      </c>
      <c r="DC87" s="49">
        <f t="shared" si="1400"/>
        <v>358.14478437499992</v>
      </c>
      <c r="DD87" s="49">
        <f t="shared" si="1400"/>
        <v>358.14478437499992</v>
      </c>
      <c r="DE87" s="49">
        <f t="shared" si="1400"/>
        <v>828.38931437499991</v>
      </c>
      <c r="DF87" s="49">
        <f t="shared" si="1400"/>
        <v>828.38931437499991</v>
      </c>
      <c r="DG87" s="49">
        <f t="shared" si="1400"/>
        <v>358.14478437499992</v>
      </c>
      <c r="DH87" s="49">
        <f t="shared" si="1400"/>
        <v>358.14478437499992</v>
      </c>
      <c r="DJ87" s="49"/>
      <c r="DK87" s="49"/>
      <c r="DL87" s="49">
        <f t="shared" ref="DL87:DO87" si="1401">SUM(DL58:DL70)</f>
        <v>231.33315999999999</v>
      </c>
      <c r="DM87" s="49">
        <f t="shared" si="1401"/>
        <v>589.52643999999998</v>
      </c>
      <c r="DN87" s="49">
        <f t="shared" si="1401"/>
        <v>303.86045124999998</v>
      </c>
      <c r="DO87" s="49">
        <f t="shared" si="1401"/>
        <v>303.86045124999998</v>
      </c>
      <c r="DP87" s="22"/>
      <c r="DQ87" s="23"/>
      <c r="DR87" s="651"/>
      <c r="DS87" s="112"/>
      <c r="DT87" s="28"/>
      <c r="DU87" s="23"/>
      <c r="DV87" s="23"/>
      <c r="DW87" s="113"/>
      <c r="DX87" s="23"/>
      <c r="DY87" s="23"/>
      <c r="DZ87" s="23"/>
      <c r="EA87" s="49">
        <f t="shared" ref="EA87:EN87" si="1402">SUM(EA58:EA70)</f>
        <v>0</v>
      </c>
      <c r="EB87" s="49">
        <f t="shared" si="1402"/>
        <v>0</v>
      </c>
      <c r="EC87" s="49">
        <f t="shared" si="1402"/>
        <v>28.133316000000001</v>
      </c>
      <c r="ED87" s="49">
        <f t="shared" si="1402"/>
        <v>456.93181874999999</v>
      </c>
      <c r="EE87" s="49">
        <f t="shared" si="1402"/>
        <v>0</v>
      </c>
      <c r="EF87" s="49">
        <f t="shared" si="1402"/>
        <v>0</v>
      </c>
      <c r="EG87" s="49">
        <f t="shared" si="1402"/>
        <v>0</v>
      </c>
      <c r="EH87" s="49">
        <f t="shared" si="1402"/>
        <v>0</v>
      </c>
      <c r="EI87" s="49">
        <f t="shared" si="1402"/>
        <v>28.621616437499998</v>
      </c>
      <c r="EJ87" s="49">
        <f t="shared" si="1402"/>
        <v>286.21616437499995</v>
      </c>
      <c r="EK87" s="49">
        <f t="shared" si="1402"/>
        <v>0</v>
      </c>
      <c r="EL87" s="49">
        <f t="shared" si="1402"/>
        <v>0</v>
      </c>
      <c r="EM87" s="49">
        <f t="shared" si="1402"/>
        <v>56.754932437500003</v>
      </c>
      <c r="EN87" s="49">
        <f t="shared" si="1402"/>
        <v>743.14798312499977</v>
      </c>
      <c r="EP87" s="49">
        <f t="shared" ref="EP87:FI87" si="1403">SUM(EP58:EP70)</f>
        <v>2.4427999999999997E-3</v>
      </c>
      <c r="EQ87" s="49">
        <f t="shared" si="1403"/>
        <v>6.2252000000000002E-3</v>
      </c>
      <c r="ER87" s="49">
        <f t="shared" si="1403"/>
        <v>7.3284000000000002E-2</v>
      </c>
      <c r="ES87" s="49">
        <f t="shared" si="1403"/>
        <v>0.18675599999999998</v>
      </c>
      <c r="ET87" s="49">
        <f t="shared" si="1403"/>
        <v>0</v>
      </c>
      <c r="EU87" s="49">
        <f t="shared" si="1403"/>
        <v>0</v>
      </c>
      <c r="EV87" s="49">
        <f t="shared" si="1403"/>
        <v>8.0769999999999995E-2</v>
      </c>
      <c r="EW87" s="49">
        <f t="shared" si="1403"/>
        <v>8.0769999999999995E-2</v>
      </c>
      <c r="EX87" s="49">
        <f t="shared" si="1403"/>
        <v>1.2115499999999999</v>
      </c>
      <c r="EY87" s="49">
        <f t="shared" si="1403"/>
        <v>1.2115499999999999</v>
      </c>
      <c r="EZ87" s="49">
        <f t="shared" si="1403"/>
        <v>22.211750000000002</v>
      </c>
      <c r="FA87" s="49">
        <f t="shared" si="1403"/>
        <v>22.211750000000002</v>
      </c>
      <c r="FB87" s="49">
        <f t="shared" si="1403"/>
        <v>0</v>
      </c>
      <c r="FC87" s="49">
        <f t="shared" si="1403"/>
        <v>0</v>
      </c>
      <c r="FD87" s="49">
        <f t="shared" si="1403"/>
        <v>828.38931437499991</v>
      </c>
      <c r="FE87" s="49">
        <f t="shared" si="1403"/>
        <v>828.38931437499991</v>
      </c>
      <c r="FF87" s="49">
        <f t="shared" si="1403"/>
        <v>0</v>
      </c>
      <c r="FG87" s="49">
        <f t="shared" si="1403"/>
        <v>0</v>
      </c>
      <c r="FH87" s="49">
        <f t="shared" si="1403"/>
        <v>358.14478437499992</v>
      </c>
      <c r="FI87" s="49">
        <f t="shared" si="1403"/>
        <v>358.14478437499992</v>
      </c>
      <c r="FJ87" s="22"/>
      <c r="FK87" s="23"/>
      <c r="FL87" s="23"/>
      <c r="FM87" s="23"/>
      <c r="FN87" s="23"/>
      <c r="FO87" s="651"/>
      <c r="FP87" s="651"/>
      <c r="FQ87" s="23"/>
      <c r="FR87" s="23"/>
      <c r="FS87" s="22"/>
      <c r="FT87" s="23"/>
      <c r="FU87" s="22"/>
      <c r="FV87" s="26"/>
      <c r="FW87" s="23"/>
      <c r="FX87" s="28"/>
      <c r="FY87" s="651"/>
      <c r="FZ87" s="651"/>
      <c r="GA87" s="651"/>
      <c r="GB87" s="651"/>
      <c r="GC87" s="49">
        <f t="shared" ref="GC87:GN87" si="1404">SUM(GC58:GC70)</f>
        <v>2.4427999999999997E-3</v>
      </c>
      <c r="GD87" s="49">
        <f t="shared" si="1404"/>
        <v>6.2252000000000002E-3</v>
      </c>
      <c r="GE87" s="49">
        <f t="shared" si="1404"/>
        <v>7.3284000000000002E-2</v>
      </c>
      <c r="GF87" s="49">
        <f t="shared" si="1404"/>
        <v>0.18675599999999998</v>
      </c>
      <c r="GG87" s="49">
        <f t="shared" si="1404"/>
        <v>0</v>
      </c>
      <c r="GH87" s="49">
        <f t="shared" si="1404"/>
        <v>0</v>
      </c>
      <c r="GI87" s="49">
        <f t="shared" si="1404"/>
        <v>8.0769999999999995E-2</v>
      </c>
      <c r="GJ87" s="49">
        <f t="shared" si="1404"/>
        <v>8.0769999999999995E-2</v>
      </c>
      <c r="GK87" s="49">
        <f t="shared" si="1404"/>
        <v>1.2115499999999999</v>
      </c>
      <c r="GL87" s="49">
        <f t="shared" si="1404"/>
        <v>1.2115499999999999</v>
      </c>
      <c r="GM87" s="49">
        <f t="shared" si="1404"/>
        <v>4.4423499999999994</v>
      </c>
      <c r="GN87" s="49">
        <f t="shared" si="1404"/>
        <v>17.769399999999997</v>
      </c>
      <c r="GO87" s="49">
        <f>SUM(GO58:GO70)</f>
        <v>5.8103967999999995</v>
      </c>
      <c r="GP87" s="49">
        <f t="shared" ref="GP87:HD87" si="1405">SUM(GP58:GP70)</f>
        <v>19.254701200000003</v>
      </c>
      <c r="GQ87" s="49">
        <f t="shared" si="1405"/>
        <v>0.39728023552474989</v>
      </c>
      <c r="GR87" s="49">
        <f t="shared" si="1405"/>
        <v>10.169517648999998</v>
      </c>
      <c r="GS87" s="49">
        <f t="shared" si="1405"/>
        <v>0.51717584973500008</v>
      </c>
      <c r="GT87" s="49">
        <f t="shared" si="1405"/>
        <v>258.58792486750008</v>
      </c>
      <c r="GU87" s="49">
        <f t="shared" si="1405"/>
        <v>0</v>
      </c>
      <c r="GV87" s="49">
        <f t="shared" si="1405"/>
        <v>0</v>
      </c>
      <c r="GW87" s="49">
        <f t="shared" si="1405"/>
        <v>13.972076074080467</v>
      </c>
      <c r="GX87" s="49">
        <f t="shared" si="1405"/>
        <v>166.76216220781248</v>
      </c>
      <c r="GY87" s="49">
        <f t="shared" si="1405"/>
        <v>3.3269295937500006E-2</v>
      </c>
      <c r="GZ87" s="49">
        <f t="shared" si="1405"/>
        <v>16.634647968750002</v>
      </c>
      <c r="HA87" s="49">
        <f t="shared" si="1405"/>
        <v>0</v>
      </c>
      <c r="HB87" s="49">
        <f t="shared" si="1405"/>
        <v>0</v>
      </c>
      <c r="HC87" s="49">
        <f t="shared" si="1405"/>
        <v>14.919801455277719</v>
      </c>
      <c r="HD87" s="49">
        <f t="shared" si="1405"/>
        <v>452.15425269306257</v>
      </c>
      <c r="HE87" s="527"/>
      <c r="HF87" s="49">
        <f t="shared" ref="HF87:HW87" si="1406">SUM(HF58:HF70)</f>
        <v>16.844484999999999</v>
      </c>
      <c r="HG87" s="49">
        <f t="shared" si="1406"/>
        <v>17.600965000000002</v>
      </c>
      <c r="HH87" s="49">
        <f t="shared" si="1406"/>
        <v>0</v>
      </c>
      <c r="HI87" s="49">
        <f t="shared" si="1406"/>
        <v>0</v>
      </c>
      <c r="HJ87" s="49">
        <f t="shared" si="1406"/>
        <v>12.115499999999999</v>
      </c>
      <c r="HK87" s="49">
        <f t="shared" si="1406"/>
        <v>12.115499999999999</v>
      </c>
      <c r="HL87" s="49">
        <f t="shared" si="1406"/>
        <v>0</v>
      </c>
      <c r="HM87" s="49">
        <f t="shared" si="1406"/>
        <v>0</v>
      </c>
      <c r="HN87" s="49">
        <f t="shared" si="1406"/>
        <v>68.318438437499992</v>
      </c>
      <c r="HO87" s="49">
        <f t="shared" si="1406"/>
        <v>755.73273712499986</v>
      </c>
      <c r="HP87" s="49">
        <f t="shared" si="1406"/>
        <v>20.192499999999995</v>
      </c>
      <c r="HQ87" s="49">
        <f t="shared" si="1406"/>
        <v>20.192499999999995</v>
      </c>
      <c r="HR87" s="49">
        <f t="shared" si="1406"/>
        <v>57.15326495934022</v>
      </c>
      <c r="HS87" s="49">
        <f t="shared" si="1406"/>
        <v>494.42476789306249</v>
      </c>
      <c r="HT87" s="49">
        <f t="shared" si="1406"/>
        <v>1.284834</v>
      </c>
      <c r="HU87" s="49">
        <f t="shared" si="1406"/>
        <v>1.398306</v>
      </c>
      <c r="HV87" s="49">
        <f t="shared" si="1406"/>
        <v>384.09402999999998</v>
      </c>
      <c r="HW87" s="49">
        <f t="shared" si="1406"/>
        <v>397.42107999999996</v>
      </c>
      <c r="IG87" s="560"/>
      <c r="IH87" s="49">
        <f t="shared" ref="IH87" si="1407">SUM(IH58:IH70)</f>
        <v>0.18528933500000005</v>
      </c>
      <c r="II87" s="49">
        <f t="shared" ref="II87:KT87" si="1408">SUM(II58:II70)</f>
        <v>0.15160036499999999</v>
      </c>
      <c r="IJ87" s="49">
        <f t="shared" si="1408"/>
        <v>0.30320072999999997</v>
      </c>
      <c r="IK87" s="49">
        <f t="shared" si="1408"/>
        <v>0.15160036499999999</v>
      </c>
      <c r="IL87" s="49">
        <f t="shared" si="1408"/>
        <v>14.233589824999997</v>
      </c>
      <c r="IM87" s="49">
        <f t="shared" si="1408"/>
        <v>1.6844484999999996E-2</v>
      </c>
      <c r="IN87" s="49">
        <f t="shared" si="1408"/>
        <v>1.6844484999999996E-2</v>
      </c>
      <c r="IO87" s="49">
        <f t="shared" si="1408"/>
        <v>0.58083184500000007</v>
      </c>
      <c r="IP87" s="49">
        <f t="shared" si="1408"/>
        <v>0.72163956499999982</v>
      </c>
      <c r="IQ87" s="49">
        <f t="shared" si="1408"/>
        <v>0.91525018000000014</v>
      </c>
      <c r="IR87" s="49">
        <f t="shared" si="1408"/>
        <v>0.72163956499999982</v>
      </c>
      <c r="IS87" s="49">
        <f t="shared" si="1408"/>
        <v>14.908017354999998</v>
      </c>
      <c r="IT87" s="49">
        <f t="shared" si="1408"/>
        <v>0.17600964999999999</v>
      </c>
      <c r="IU87" s="49">
        <f t="shared" si="1408"/>
        <v>0.17600964999999999</v>
      </c>
      <c r="IV87" s="49">
        <f t="shared" si="1408"/>
        <v>0</v>
      </c>
      <c r="IW87" s="49">
        <f t="shared" si="1408"/>
        <v>0</v>
      </c>
      <c r="IX87" s="49">
        <f t="shared" si="1408"/>
        <v>0</v>
      </c>
      <c r="IY87" s="49">
        <f t="shared" si="1408"/>
        <v>0</v>
      </c>
      <c r="IZ87" s="49">
        <f t="shared" si="1408"/>
        <v>0</v>
      </c>
      <c r="JA87" s="49">
        <f t="shared" si="1408"/>
        <v>0</v>
      </c>
      <c r="JB87" s="49">
        <f t="shared" si="1408"/>
        <v>0</v>
      </c>
      <c r="JC87" s="49">
        <f t="shared" si="1408"/>
        <v>0</v>
      </c>
      <c r="JD87" s="49">
        <f t="shared" si="1408"/>
        <v>0</v>
      </c>
      <c r="JE87" s="49">
        <f t="shared" si="1408"/>
        <v>0</v>
      </c>
      <c r="JF87" s="49">
        <f t="shared" si="1408"/>
        <v>0</v>
      </c>
      <c r="JG87" s="49">
        <f t="shared" si="1408"/>
        <v>0</v>
      </c>
      <c r="JH87" s="49">
        <f t="shared" si="1408"/>
        <v>0</v>
      </c>
      <c r="JI87" s="49">
        <f t="shared" si="1408"/>
        <v>0</v>
      </c>
      <c r="JJ87" s="49">
        <f t="shared" si="1408"/>
        <v>0.13327049999999999</v>
      </c>
      <c r="JK87" s="49">
        <f t="shared" si="1408"/>
        <v>0.10903950000000001</v>
      </c>
      <c r="JL87" s="49">
        <f t="shared" si="1408"/>
        <v>0.21807900000000002</v>
      </c>
      <c r="JM87" s="49">
        <f t="shared" si="1408"/>
        <v>0.10903950000000001</v>
      </c>
      <c r="JN87" s="49">
        <f t="shared" si="1408"/>
        <v>10.237597499999998</v>
      </c>
      <c r="JO87" s="49">
        <f t="shared" si="1408"/>
        <v>1.2115500000000001E-2</v>
      </c>
      <c r="JP87" s="49">
        <f t="shared" si="1408"/>
        <v>1.2115500000000001E-2</v>
      </c>
      <c r="JQ87" s="49">
        <f t="shared" si="1408"/>
        <v>0.39981149999999999</v>
      </c>
      <c r="JR87" s="49">
        <f t="shared" si="1408"/>
        <v>0.49673549999999989</v>
      </c>
      <c r="JS87" s="49">
        <f t="shared" si="1408"/>
        <v>0.63000600000000007</v>
      </c>
      <c r="JT87" s="49">
        <f t="shared" si="1408"/>
        <v>0.49673549999999989</v>
      </c>
      <c r="JU87" s="49">
        <f t="shared" si="1408"/>
        <v>10.261828499999998</v>
      </c>
      <c r="JV87" s="49">
        <f t="shared" si="1408"/>
        <v>0.12115499999999997</v>
      </c>
      <c r="JW87" s="49">
        <f t="shared" si="1408"/>
        <v>0.12115499999999997</v>
      </c>
      <c r="JX87" s="49">
        <f t="shared" si="1408"/>
        <v>0</v>
      </c>
      <c r="JY87" s="49">
        <f t="shared" si="1408"/>
        <v>0</v>
      </c>
      <c r="JZ87" s="49">
        <f t="shared" si="1408"/>
        <v>0</v>
      </c>
      <c r="KA87" s="49">
        <f t="shared" si="1408"/>
        <v>0</v>
      </c>
      <c r="KB87" s="49">
        <f t="shared" si="1408"/>
        <v>0</v>
      </c>
      <c r="KC87" s="49">
        <f t="shared" si="1408"/>
        <v>0</v>
      </c>
      <c r="KD87" s="49">
        <f t="shared" si="1408"/>
        <v>0</v>
      </c>
      <c r="KE87" s="49">
        <f t="shared" si="1408"/>
        <v>0</v>
      </c>
      <c r="KF87" s="49">
        <f t="shared" si="1408"/>
        <v>0</v>
      </c>
      <c r="KG87" s="49">
        <f t="shared" si="1408"/>
        <v>0</v>
      </c>
      <c r="KH87" s="49">
        <f t="shared" si="1408"/>
        <v>0</v>
      </c>
      <c r="KI87" s="49">
        <f t="shared" si="1408"/>
        <v>0</v>
      </c>
      <c r="KJ87" s="49">
        <f t="shared" si="1408"/>
        <v>0</v>
      </c>
      <c r="KK87" s="49">
        <f t="shared" si="1408"/>
        <v>0</v>
      </c>
      <c r="KL87" s="49">
        <f t="shared" si="1408"/>
        <v>0.75150282281250003</v>
      </c>
      <c r="KM87" s="49">
        <f t="shared" si="1408"/>
        <v>0.6148659459375001</v>
      </c>
      <c r="KN87" s="49">
        <f t="shared" si="1408"/>
        <v>1.2297318918750002</v>
      </c>
      <c r="KO87" s="49">
        <f t="shared" si="1408"/>
        <v>0.6148659459375001</v>
      </c>
      <c r="KP87" s="49">
        <f t="shared" si="1408"/>
        <v>57.729080479687497</v>
      </c>
      <c r="KQ87" s="49">
        <f t="shared" si="1408"/>
        <v>6.8318438437500004E-2</v>
      </c>
      <c r="KR87" s="49">
        <f t="shared" si="1408"/>
        <v>6.8318438437500004E-2</v>
      </c>
      <c r="KS87" s="49">
        <f t="shared" si="1408"/>
        <v>24.939180325125001</v>
      </c>
      <c r="KT87" s="49">
        <f t="shared" si="1408"/>
        <v>30.985042222124996</v>
      </c>
      <c r="KU87" s="49">
        <f t="shared" ref="KU87:NC87" si="1409">SUM(KU58:KU70)</f>
        <v>39.298102330500001</v>
      </c>
      <c r="KV87" s="49">
        <f t="shared" si="1409"/>
        <v>30.985042222124996</v>
      </c>
      <c r="KW87" s="49">
        <f t="shared" si="1409"/>
        <v>640.10562834487496</v>
      </c>
      <c r="KX87" s="49">
        <f t="shared" si="1409"/>
        <v>7.5573273712500013</v>
      </c>
      <c r="KY87" s="49">
        <f t="shared" si="1409"/>
        <v>7.5573273712500013</v>
      </c>
      <c r="KZ87" s="49">
        <f t="shared" si="1409"/>
        <v>0.22211750000000005</v>
      </c>
      <c r="LA87" s="49">
        <f t="shared" si="1409"/>
        <v>0.18173249999999996</v>
      </c>
      <c r="LB87" s="49">
        <f t="shared" si="1409"/>
        <v>0.36346499999999993</v>
      </c>
      <c r="LC87" s="49">
        <f t="shared" si="1409"/>
        <v>0.18173249999999996</v>
      </c>
      <c r="LD87" s="49">
        <f t="shared" si="1409"/>
        <v>17.062662500000002</v>
      </c>
      <c r="LE87" s="49">
        <f t="shared" si="1409"/>
        <v>2.0192499999999999E-2</v>
      </c>
      <c r="LF87" s="49">
        <f t="shared" si="1409"/>
        <v>2.0192499999999999E-2</v>
      </c>
      <c r="LG87" s="49">
        <f t="shared" si="1409"/>
        <v>0.66635250000000013</v>
      </c>
      <c r="LH87" s="49">
        <f t="shared" si="1409"/>
        <v>0.82789249999999959</v>
      </c>
      <c r="LI87" s="49">
        <f t="shared" si="1409"/>
        <v>1.0500100000000001</v>
      </c>
      <c r="LJ87" s="49">
        <f t="shared" si="1409"/>
        <v>0.82789249999999959</v>
      </c>
      <c r="LK87" s="49">
        <f t="shared" si="1409"/>
        <v>17.103047500000002</v>
      </c>
      <c r="LL87" s="49">
        <f t="shared" si="1409"/>
        <v>0.20192500000000008</v>
      </c>
      <c r="LM87" s="49">
        <f t="shared" si="1409"/>
        <v>0.20192500000000008</v>
      </c>
      <c r="LN87" s="49">
        <f t="shared" si="1409"/>
        <v>6.2868591455274236E-2</v>
      </c>
      <c r="LO87" s="49">
        <f t="shared" si="1409"/>
        <v>1.7145979487802065E-2</v>
      </c>
      <c r="LP87" s="49">
        <f t="shared" si="1409"/>
        <v>0.2914816512926352</v>
      </c>
      <c r="LQ87" s="49">
        <f t="shared" si="1409"/>
        <v>0.46865677266658973</v>
      </c>
      <c r="LR87" s="49">
        <f t="shared" si="1409"/>
        <v>45.722611967472176</v>
      </c>
      <c r="LS87" s="49">
        <f t="shared" si="1409"/>
        <v>0.49723340514625985</v>
      </c>
      <c r="LT87" s="49">
        <f t="shared" si="1409"/>
        <v>5.7153264959340221E-2</v>
      </c>
      <c r="LU87" s="49">
        <f t="shared" si="1409"/>
        <v>29.66548607358375</v>
      </c>
      <c r="LV87" s="49">
        <f t="shared" si="1409"/>
        <v>14.832743036791875</v>
      </c>
      <c r="LW87" s="49">
        <f t="shared" si="1409"/>
        <v>34.609733752514373</v>
      </c>
      <c r="LX87" s="49">
        <f t="shared" si="1409"/>
        <v>29.66548607358375</v>
      </c>
      <c r="LY87" s="49">
        <f t="shared" si="1409"/>
        <v>488.98609544623901</v>
      </c>
      <c r="LZ87" s="49">
        <f t="shared" si="1409"/>
        <v>4.9442476789306253</v>
      </c>
      <c r="MA87" s="49">
        <f t="shared" si="1409"/>
        <v>4.9442476789306253</v>
      </c>
      <c r="MB87" s="49">
        <f t="shared" si="1409"/>
        <v>1.4133174000000002E-3</v>
      </c>
      <c r="MC87" s="49">
        <f t="shared" si="1409"/>
        <v>3.8545019999999992E-4</v>
      </c>
      <c r="MD87" s="49">
        <f t="shared" si="1409"/>
        <v>6.5526534000000004E-3</v>
      </c>
      <c r="ME87" s="49">
        <f t="shared" si="1409"/>
        <v>1.05356388E-2</v>
      </c>
      <c r="MF87" s="49">
        <f t="shared" si="1409"/>
        <v>1.0278671999999998</v>
      </c>
      <c r="MG87" s="49">
        <f t="shared" si="1409"/>
        <v>1.11780558E-2</v>
      </c>
      <c r="MH87" s="49">
        <f t="shared" si="1409"/>
        <v>1.2848340000000001E-3</v>
      </c>
      <c r="MI87" s="49">
        <f t="shared" si="1409"/>
        <v>8.3898359999999991E-2</v>
      </c>
      <c r="MJ87" s="49">
        <f t="shared" si="1409"/>
        <v>4.1949179999999996E-2</v>
      </c>
      <c r="MK87" s="49">
        <f t="shared" si="1409"/>
        <v>9.7881419999999997E-2</v>
      </c>
      <c r="ML87" s="49">
        <f t="shared" si="1409"/>
        <v>8.3898359999999991E-2</v>
      </c>
      <c r="MM87" s="49">
        <f t="shared" si="1409"/>
        <v>1.3829246340000003</v>
      </c>
      <c r="MN87" s="49">
        <f t="shared" si="1409"/>
        <v>1.3983059999999999E-2</v>
      </c>
      <c r="MO87" s="49">
        <f t="shared" si="1409"/>
        <v>1.3983059999999999E-2</v>
      </c>
      <c r="MP87" s="49">
        <f t="shared" si="1409"/>
        <v>0.42250343300000009</v>
      </c>
      <c r="MQ87" s="49">
        <f t="shared" si="1409"/>
        <v>0.11522820899999997</v>
      </c>
      <c r="MR87" s="49">
        <f t="shared" si="1409"/>
        <v>1.9588795530000003</v>
      </c>
      <c r="MS87" s="49">
        <f t="shared" si="1409"/>
        <v>3.1495710459999997</v>
      </c>
      <c r="MT87" s="49">
        <f t="shared" si="1409"/>
        <v>307.27522399999998</v>
      </c>
      <c r="MU87" s="49">
        <f t="shared" si="1409"/>
        <v>3.3416180610000001</v>
      </c>
      <c r="MV87" s="49">
        <f t="shared" si="1409"/>
        <v>0.38409403000000003</v>
      </c>
      <c r="MW87" s="49">
        <f t="shared" si="1409"/>
        <v>23.845264800000002</v>
      </c>
      <c r="MX87" s="49">
        <f t="shared" si="1409"/>
        <v>11.922632400000001</v>
      </c>
      <c r="MY87" s="49">
        <f t="shared" si="1409"/>
        <v>27.819475600000004</v>
      </c>
      <c r="MZ87" s="49">
        <f t="shared" si="1409"/>
        <v>23.845264800000002</v>
      </c>
      <c r="NA87" s="49">
        <f t="shared" si="1409"/>
        <v>393.04944812000002</v>
      </c>
      <c r="NB87" s="49">
        <f t="shared" si="1409"/>
        <v>3.9742108000000003</v>
      </c>
      <c r="NC87" s="49">
        <f t="shared" si="1409"/>
        <v>3.9742108000000003</v>
      </c>
    </row>
    <row r="88" spans="1:376" x14ac:dyDescent="0.25">
      <c r="A88" s="562" t="s">
        <v>43</v>
      </c>
      <c r="B88" s="80">
        <f t="shared" ref="B88:M88" si="1410">SUM(B71:B85)</f>
        <v>0</v>
      </c>
      <c r="C88" s="80">
        <f t="shared" si="1410"/>
        <v>0</v>
      </c>
      <c r="D88" s="80">
        <f t="shared" si="1410"/>
        <v>170.00000000000003</v>
      </c>
      <c r="E88" s="80">
        <f t="shared" si="1410"/>
        <v>765</v>
      </c>
      <c r="F88" s="80">
        <f t="shared" si="1410"/>
        <v>0</v>
      </c>
      <c r="G88" s="80">
        <f t="shared" si="1410"/>
        <v>0</v>
      </c>
      <c r="H88" s="80">
        <f t="shared" si="1410"/>
        <v>167.45000000000002</v>
      </c>
      <c r="I88" s="80">
        <f t="shared" si="1410"/>
        <v>753.52500000000009</v>
      </c>
      <c r="J88" s="80">
        <f t="shared" si="1410"/>
        <v>0</v>
      </c>
      <c r="K88" s="80">
        <f t="shared" si="1410"/>
        <v>595.54950000000008</v>
      </c>
      <c r="L88" s="80">
        <f t="shared" si="1410"/>
        <v>167.45000000000002</v>
      </c>
      <c r="M88" s="80">
        <f t="shared" si="1410"/>
        <v>753.52500000000009</v>
      </c>
      <c r="N88" s="22"/>
      <c r="O88" s="23"/>
      <c r="P88" s="23"/>
      <c r="Q88" s="113"/>
      <c r="R88" s="23"/>
      <c r="S88" s="23"/>
      <c r="T88" s="23"/>
      <c r="U88" s="23"/>
      <c r="V88" s="112"/>
      <c r="W88" s="23"/>
      <c r="X88" s="23"/>
      <c r="Y88" s="23"/>
      <c r="Z88" s="113"/>
      <c r="AA88" s="23"/>
      <c r="AB88" s="23"/>
      <c r="AC88" s="23"/>
      <c r="AD88" s="80">
        <f t="shared" ref="AD88:CK88" si="1411">SUM(AD71:AD85)</f>
        <v>0</v>
      </c>
      <c r="AE88" s="80">
        <f t="shared" si="1411"/>
        <v>0</v>
      </c>
      <c r="AF88" s="80">
        <f t="shared" si="1411"/>
        <v>0</v>
      </c>
      <c r="AG88" s="80">
        <f t="shared" si="1411"/>
        <v>0</v>
      </c>
      <c r="AH88" s="80">
        <f t="shared" si="1411"/>
        <v>0</v>
      </c>
      <c r="AI88" s="80">
        <f t="shared" si="1411"/>
        <v>0</v>
      </c>
      <c r="AJ88" s="80">
        <f t="shared" si="1411"/>
        <v>1.3563450000000001</v>
      </c>
      <c r="AK88" s="80">
        <f t="shared" si="1411"/>
        <v>6.1035524999999993</v>
      </c>
      <c r="AL88" s="80">
        <f t="shared" si="1411"/>
        <v>0</v>
      </c>
      <c r="AM88" s="80">
        <f t="shared" si="1411"/>
        <v>0</v>
      </c>
      <c r="AN88" s="80">
        <f t="shared" si="1411"/>
        <v>1.0047000000000001</v>
      </c>
      <c r="AO88" s="80">
        <f t="shared" si="1411"/>
        <v>4.5211499999999996</v>
      </c>
      <c r="AP88" s="80">
        <f t="shared" si="1411"/>
        <v>1.3563450000000001</v>
      </c>
      <c r="AQ88" s="80">
        <f t="shared" si="1411"/>
        <v>6.1035524999999993</v>
      </c>
      <c r="AR88" s="80">
        <f t="shared" si="1411"/>
        <v>0</v>
      </c>
      <c r="AS88" s="80">
        <f t="shared" si="1411"/>
        <v>0</v>
      </c>
      <c r="AT88" s="80">
        <f t="shared" si="1411"/>
        <v>1.0047000000000001</v>
      </c>
      <c r="AU88" s="80">
        <f t="shared" si="1411"/>
        <v>4.5211499999999996</v>
      </c>
      <c r="AV88" s="80">
        <f t="shared" si="1411"/>
        <v>0</v>
      </c>
      <c r="AW88" s="80">
        <f t="shared" si="1411"/>
        <v>0</v>
      </c>
      <c r="AX88" s="80">
        <f t="shared" si="1411"/>
        <v>0</v>
      </c>
      <c r="AY88" s="80">
        <f t="shared" si="1411"/>
        <v>0</v>
      </c>
      <c r="AZ88" s="80">
        <f t="shared" si="1411"/>
        <v>0</v>
      </c>
      <c r="BA88" s="80">
        <f t="shared" si="1411"/>
        <v>0</v>
      </c>
      <c r="BB88" s="80">
        <f t="shared" si="1411"/>
        <v>0</v>
      </c>
      <c r="BC88" s="80">
        <f t="shared" si="1411"/>
        <v>0</v>
      </c>
      <c r="BD88" s="80">
        <f t="shared" si="1411"/>
        <v>0.90423000000000009</v>
      </c>
      <c r="BE88" s="80">
        <f t="shared" si="1411"/>
        <v>4.0690350000000004</v>
      </c>
      <c r="BF88" s="80">
        <f t="shared" si="1411"/>
        <v>1.6745000000000001</v>
      </c>
      <c r="BG88" s="80">
        <f t="shared" si="1411"/>
        <v>7.5352499999999996</v>
      </c>
      <c r="BH88" s="80">
        <f t="shared" si="1411"/>
        <v>0</v>
      </c>
      <c r="BI88" s="80">
        <f t="shared" si="1411"/>
        <v>0</v>
      </c>
      <c r="BJ88" s="80">
        <f t="shared" si="1411"/>
        <v>0.90423000000000009</v>
      </c>
      <c r="BK88" s="80">
        <f t="shared" si="1411"/>
        <v>4.0690350000000004</v>
      </c>
      <c r="BL88" s="80">
        <f t="shared" si="1411"/>
        <v>1.6745000000000001</v>
      </c>
      <c r="BM88" s="80">
        <f t="shared" si="1411"/>
        <v>7.5352499999999996</v>
      </c>
      <c r="BN88" s="80">
        <f t="shared" si="1411"/>
        <v>0</v>
      </c>
      <c r="BO88" s="80">
        <f t="shared" si="1411"/>
        <v>0</v>
      </c>
      <c r="BP88" s="80">
        <f t="shared" si="1411"/>
        <v>0</v>
      </c>
      <c r="BQ88" s="80">
        <f t="shared" si="1411"/>
        <v>0</v>
      </c>
      <c r="BR88" s="80">
        <f t="shared" si="1411"/>
        <v>0</v>
      </c>
      <c r="BS88" s="80">
        <f t="shared" si="1411"/>
        <v>0</v>
      </c>
      <c r="BT88" s="80">
        <f t="shared" si="1411"/>
        <v>6.6980000000000008E-3</v>
      </c>
      <c r="BU88" s="80">
        <f t="shared" si="1411"/>
        <v>3.0141000000000005E-2</v>
      </c>
      <c r="BV88" s="80">
        <f t="shared" si="1411"/>
        <v>0.10047</v>
      </c>
      <c r="BW88" s="80">
        <f t="shared" si="1411"/>
        <v>0.45211499999999993</v>
      </c>
      <c r="BX88" s="80">
        <f t="shared" si="1411"/>
        <v>1.8419500000000002</v>
      </c>
      <c r="BY88" s="80">
        <f t="shared" si="1411"/>
        <v>8.2887750000000011</v>
      </c>
      <c r="BZ88" s="80">
        <f t="shared" si="1411"/>
        <v>6.6980000000000008E-3</v>
      </c>
      <c r="CA88" s="80">
        <f t="shared" si="1411"/>
        <v>3.0141000000000005E-2</v>
      </c>
      <c r="CB88" s="80">
        <f t="shared" si="1411"/>
        <v>0.10047</v>
      </c>
      <c r="CC88" s="80">
        <f t="shared" si="1411"/>
        <v>0.45211499999999993</v>
      </c>
      <c r="CD88" s="80">
        <f t="shared" si="1411"/>
        <v>1.8419500000000002</v>
      </c>
      <c r="CE88" s="80">
        <f t="shared" si="1411"/>
        <v>8.2887750000000011</v>
      </c>
      <c r="CF88" s="80">
        <f t="shared" si="1411"/>
        <v>0</v>
      </c>
      <c r="CG88" s="80">
        <f t="shared" si="1411"/>
        <v>59.554950000000034</v>
      </c>
      <c r="CH88" s="80">
        <f t="shared" si="1411"/>
        <v>0</v>
      </c>
      <c r="CI88" s="80">
        <f t="shared" si="1411"/>
        <v>0</v>
      </c>
      <c r="CJ88" s="80">
        <f t="shared" si="1411"/>
        <v>0</v>
      </c>
      <c r="CK88" s="80">
        <f t="shared" si="1411"/>
        <v>535.99455000000023</v>
      </c>
      <c r="CL88" s="43"/>
      <c r="CM88" s="80">
        <f t="shared" ref="CM88:CR88" si="1412">SUM(CM71:CM85)</f>
        <v>0</v>
      </c>
      <c r="CN88" s="80">
        <f t="shared" si="1412"/>
        <v>0</v>
      </c>
      <c r="CO88" s="80">
        <f t="shared" si="1412"/>
        <v>158.57515000000001</v>
      </c>
      <c r="CP88" s="80">
        <f t="shared" si="1412"/>
        <v>388.09252999999995</v>
      </c>
      <c r="CQ88" s="80">
        <f t="shared" si="1412"/>
        <v>158.57515000000001</v>
      </c>
      <c r="CR88" s="80">
        <f t="shared" si="1412"/>
        <v>388.09252999999995</v>
      </c>
      <c r="CS88" s="68"/>
      <c r="CT88" s="69"/>
      <c r="CU88" s="69"/>
      <c r="CV88" s="70"/>
      <c r="CW88" s="80">
        <f t="shared" ref="CW88:DH88" si="1413">SUM(CW71:CW85)</f>
        <v>0</v>
      </c>
      <c r="CX88" s="80">
        <f t="shared" si="1413"/>
        <v>0</v>
      </c>
      <c r="CY88" s="80">
        <f t="shared" si="1413"/>
        <v>0</v>
      </c>
      <c r="CZ88" s="80">
        <f t="shared" si="1413"/>
        <v>0</v>
      </c>
      <c r="DA88" s="80">
        <f t="shared" si="1413"/>
        <v>111.00260499999999</v>
      </c>
      <c r="DB88" s="80">
        <f t="shared" si="1413"/>
        <v>271.66477099999992</v>
      </c>
      <c r="DC88" s="80">
        <f t="shared" si="1413"/>
        <v>0</v>
      </c>
      <c r="DD88" s="80">
        <f t="shared" si="1413"/>
        <v>0</v>
      </c>
      <c r="DE88" s="80">
        <f t="shared" si="1413"/>
        <v>111.00260499999999</v>
      </c>
      <c r="DF88" s="80">
        <f t="shared" si="1413"/>
        <v>271.66477099999992</v>
      </c>
      <c r="DG88" s="80">
        <f t="shared" si="1413"/>
        <v>0</v>
      </c>
      <c r="DH88" s="80">
        <f t="shared" si="1413"/>
        <v>0</v>
      </c>
      <c r="DJ88" s="23"/>
      <c r="DK88" s="23"/>
      <c r="DL88" s="80">
        <f t="shared" ref="DL88:DO88" si="1414">SUM(DL71:DL85)</f>
        <v>0</v>
      </c>
      <c r="DM88" s="80">
        <f t="shared" si="1414"/>
        <v>0</v>
      </c>
      <c r="DN88" s="80">
        <f t="shared" si="1414"/>
        <v>47.572545000000005</v>
      </c>
      <c r="DO88" s="80">
        <f t="shared" si="1414"/>
        <v>116.42775899999998</v>
      </c>
      <c r="DP88" s="22"/>
      <c r="DQ88" s="23"/>
      <c r="DR88" s="651"/>
      <c r="DS88" s="112"/>
      <c r="DT88" s="28"/>
      <c r="DU88" s="23"/>
      <c r="DV88" s="23"/>
      <c r="DW88" s="113"/>
      <c r="DX88" s="23"/>
      <c r="DY88" s="23"/>
      <c r="DZ88" s="23"/>
      <c r="EA88" s="80">
        <f t="shared" ref="EA88:EN88" si="1415">SUM(EA71:EA85)</f>
        <v>0</v>
      </c>
      <c r="EB88" s="80">
        <f t="shared" si="1415"/>
        <v>0</v>
      </c>
      <c r="EC88" s="80">
        <f t="shared" si="1415"/>
        <v>0</v>
      </c>
      <c r="ED88" s="80">
        <f t="shared" si="1415"/>
        <v>0</v>
      </c>
      <c r="EE88" s="80">
        <f t="shared" si="1415"/>
        <v>0</v>
      </c>
      <c r="EF88" s="80">
        <f t="shared" si="1415"/>
        <v>0</v>
      </c>
      <c r="EG88" s="80">
        <f t="shared" si="1415"/>
        <v>0</v>
      </c>
      <c r="EH88" s="80">
        <f t="shared" si="1415"/>
        <v>0</v>
      </c>
      <c r="EI88" s="80">
        <f t="shared" si="1415"/>
        <v>6.5403322499999996</v>
      </c>
      <c r="EJ88" s="80">
        <f t="shared" si="1415"/>
        <v>134.25853649999996</v>
      </c>
      <c r="EK88" s="80">
        <f t="shared" si="1415"/>
        <v>0</v>
      </c>
      <c r="EL88" s="80">
        <f t="shared" si="1415"/>
        <v>0</v>
      </c>
      <c r="EM88" s="80">
        <f t="shared" si="1415"/>
        <v>6.5403322499999996</v>
      </c>
      <c r="EN88" s="80">
        <f t="shared" si="1415"/>
        <v>134.25853649999996</v>
      </c>
      <c r="EP88" s="80">
        <f t="shared" ref="EP88:FI88" si="1416">SUM(EP71:EP85)</f>
        <v>0</v>
      </c>
      <c r="EQ88" s="80">
        <f t="shared" si="1416"/>
        <v>0</v>
      </c>
      <c r="ER88" s="80">
        <f t="shared" si="1416"/>
        <v>0</v>
      </c>
      <c r="ES88" s="80">
        <f t="shared" si="1416"/>
        <v>0</v>
      </c>
      <c r="ET88" s="80">
        <f t="shared" si="1416"/>
        <v>0</v>
      </c>
      <c r="EU88" s="80">
        <f t="shared" si="1416"/>
        <v>0</v>
      </c>
      <c r="EV88" s="80">
        <f t="shared" si="1416"/>
        <v>6.6980000000000008E-3</v>
      </c>
      <c r="EW88" s="80">
        <f t="shared" si="1416"/>
        <v>3.0141000000000005E-2</v>
      </c>
      <c r="EX88" s="80">
        <f t="shared" si="1416"/>
        <v>0.10047</v>
      </c>
      <c r="EY88" s="80">
        <f t="shared" si="1416"/>
        <v>0.45211499999999993</v>
      </c>
      <c r="EZ88" s="80">
        <f t="shared" si="1416"/>
        <v>1.8419500000000002</v>
      </c>
      <c r="FA88" s="80">
        <f t="shared" si="1416"/>
        <v>8.2887750000000011</v>
      </c>
      <c r="FB88" s="80">
        <f t="shared" si="1416"/>
        <v>0</v>
      </c>
      <c r="FC88" s="80">
        <f t="shared" si="1416"/>
        <v>0</v>
      </c>
      <c r="FD88" s="80">
        <f t="shared" si="1416"/>
        <v>111.00260499999999</v>
      </c>
      <c r="FE88" s="80">
        <f t="shared" si="1416"/>
        <v>271.66477099999992</v>
      </c>
      <c r="FF88" s="80">
        <f t="shared" si="1416"/>
        <v>0</v>
      </c>
      <c r="FG88" s="80">
        <f t="shared" si="1416"/>
        <v>0</v>
      </c>
      <c r="FH88" s="80">
        <f t="shared" si="1416"/>
        <v>0</v>
      </c>
      <c r="FI88" s="80">
        <f t="shared" si="1416"/>
        <v>0</v>
      </c>
      <c r="FJ88" s="22"/>
      <c r="FK88" s="23"/>
      <c r="FL88" s="23"/>
      <c r="FM88" s="23"/>
      <c r="FN88" s="28"/>
      <c r="FO88" s="651"/>
      <c r="FP88" s="651"/>
      <c r="FQ88" s="23"/>
      <c r="FR88" s="23"/>
      <c r="FS88" s="22"/>
      <c r="FT88" s="23"/>
      <c r="FU88" s="22"/>
      <c r="FV88" s="26"/>
      <c r="FW88" s="23"/>
      <c r="FX88" s="28"/>
      <c r="FY88" s="651"/>
      <c r="FZ88" s="651"/>
      <c r="GA88" s="651"/>
      <c r="GB88" s="651"/>
      <c r="GC88" s="80">
        <f t="shared" ref="GC88:GN88" si="1417">SUM(GC71:GC85)</f>
        <v>0</v>
      </c>
      <c r="GD88" s="80">
        <f t="shared" si="1417"/>
        <v>0</v>
      </c>
      <c r="GE88" s="80">
        <f t="shared" si="1417"/>
        <v>0</v>
      </c>
      <c r="GF88" s="80">
        <f t="shared" si="1417"/>
        <v>0</v>
      </c>
      <c r="GG88" s="80">
        <f t="shared" si="1417"/>
        <v>0</v>
      </c>
      <c r="GH88" s="80">
        <f t="shared" si="1417"/>
        <v>0</v>
      </c>
      <c r="GI88" s="80">
        <f t="shared" si="1417"/>
        <v>6.6980000000000008E-3</v>
      </c>
      <c r="GJ88" s="80">
        <f t="shared" si="1417"/>
        <v>3.0141000000000005E-2</v>
      </c>
      <c r="GK88" s="80">
        <f t="shared" si="1417"/>
        <v>0.10047</v>
      </c>
      <c r="GL88" s="80">
        <f t="shared" si="1417"/>
        <v>0.45211499999999993</v>
      </c>
      <c r="GM88" s="80">
        <f t="shared" si="1417"/>
        <v>0.36839</v>
      </c>
      <c r="GN88" s="80">
        <f t="shared" si="1417"/>
        <v>6.6310200000000004</v>
      </c>
      <c r="GO88" s="80">
        <f>SUM(GO71:GO85)</f>
        <v>0.47555800000000004</v>
      </c>
      <c r="GP88" s="80">
        <f t="shared" ref="GP88:HD88" si="1418">SUM(GP71:GP85)</f>
        <v>7.1132759999999999</v>
      </c>
      <c r="GQ88" s="80">
        <f t="shared" si="1418"/>
        <v>0</v>
      </c>
      <c r="GR88" s="80">
        <f t="shared" si="1418"/>
        <v>0</v>
      </c>
      <c r="GS88" s="80">
        <f t="shared" si="1418"/>
        <v>0</v>
      </c>
      <c r="GT88" s="80">
        <f t="shared" si="1418"/>
        <v>0</v>
      </c>
      <c r="GU88" s="80">
        <f t="shared" si="1418"/>
        <v>0</v>
      </c>
      <c r="GV88" s="80">
        <f t="shared" si="1418"/>
        <v>0</v>
      </c>
      <c r="GW88" s="80">
        <f t="shared" si="1418"/>
        <v>2.5753991892562502</v>
      </c>
      <c r="GX88" s="80">
        <f t="shared" si="1418"/>
        <v>68.595354677499984</v>
      </c>
      <c r="GY88" s="80">
        <f t="shared" si="1418"/>
        <v>2.6626715937500003E-3</v>
      </c>
      <c r="GZ88" s="80">
        <f t="shared" si="1418"/>
        <v>1.3313357968749999</v>
      </c>
      <c r="HA88" s="80">
        <f t="shared" si="1418"/>
        <v>0</v>
      </c>
      <c r="HB88" s="80">
        <f t="shared" si="1418"/>
        <v>0</v>
      </c>
      <c r="HC88" s="80">
        <f t="shared" si="1418"/>
        <v>2.5780618608500001</v>
      </c>
      <c r="HD88" s="80">
        <f t="shared" si="1418"/>
        <v>69.926690474374993</v>
      </c>
      <c r="HE88" s="527"/>
      <c r="HF88" s="80">
        <f t="shared" ref="HF88:HW88" si="1419">SUM(HF71:HF85)</f>
        <v>1.3563450000000001</v>
      </c>
      <c r="HG88" s="80">
        <f t="shared" si="1419"/>
        <v>6.1035524999999993</v>
      </c>
      <c r="HH88" s="80">
        <f t="shared" si="1419"/>
        <v>0</v>
      </c>
      <c r="HI88" s="80">
        <f t="shared" si="1419"/>
        <v>0</v>
      </c>
      <c r="HJ88" s="80">
        <f t="shared" si="1419"/>
        <v>1.0047000000000001</v>
      </c>
      <c r="HK88" s="80">
        <f t="shared" si="1419"/>
        <v>4.5211499999999996</v>
      </c>
      <c r="HL88" s="80">
        <f t="shared" si="1419"/>
        <v>0</v>
      </c>
      <c r="HM88" s="80">
        <f t="shared" si="1419"/>
        <v>0</v>
      </c>
      <c r="HN88" s="80">
        <f t="shared" si="1419"/>
        <v>7.4445622499999997</v>
      </c>
      <c r="HO88" s="80">
        <f t="shared" si="1419"/>
        <v>138.32757149999998</v>
      </c>
      <c r="HP88" s="80">
        <f t="shared" si="1419"/>
        <v>1.6745000000000001</v>
      </c>
      <c r="HQ88" s="80">
        <f t="shared" si="1419"/>
        <v>7.5352499999999996</v>
      </c>
      <c r="HR88" s="80">
        <f t="shared" si="1419"/>
        <v>2.5820971892562499</v>
      </c>
      <c r="HS88" s="80">
        <f t="shared" si="1419"/>
        <v>129.511781474375</v>
      </c>
      <c r="HT88" s="80">
        <f t="shared" si="1419"/>
        <v>0.10047</v>
      </c>
      <c r="HU88" s="80">
        <f t="shared" si="1419"/>
        <v>0.45211499999999993</v>
      </c>
      <c r="HV88" s="80">
        <f t="shared" si="1419"/>
        <v>0.36839</v>
      </c>
      <c r="HW88" s="80">
        <f t="shared" si="1419"/>
        <v>542.62557000000027</v>
      </c>
      <c r="IG88" s="560"/>
      <c r="IH88" s="80">
        <f t="shared" ref="IH88" si="1420">SUM(IH71:IH85)</f>
        <v>1.4919795000000001E-2</v>
      </c>
      <c r="II88" s="80">
        <f t="shared" ref="II88:KT88" si="1421">SUM(II71:II85)</f>
        <v>1.2207105000000003E-2</v>
      </c>
      <c r="IJ88" s="80">
        <f t="shared" si="1421"/>
        <v>2.4414210000000006E-2</v>
      </c>
      <c r="IK88" s="80">
        <f t="shared" si="1421"/>
        <v>1.2207105000000003E-2</v>
      </c>
      <c r="IL88" s="80">
        <f t="shared" si="1421"/>
        <v>1.1461115249999998</v>
      </c>
      <c r="IM88" s="80">
        <f t="shared" si="1421"/>
        <v>1.3563450000000001E-3</v>
      </c>
      <c r="IN88" s="80">
        <f t="shared" si="1421"/>
        <v>1.3563450000000001E-3</v>
      </c>
      <c r="IO88" s="80">
        <f t="shared" si="1421"/>
        <v>0.20141723249999996</v>
      </c>
      <c r="IP88" s="80">
        <f t="shared" si="1421"/>
        <v>0.25024565249999992</v>
      </c>
      <c r="IQ88" s="80">
        <f t="shared" si="1421"/>
        <v>0.31738473</v>
      </c>
      <c r="IR88" s="80">
        <f t="shared" si="1421"/>
        <v>0.25024565249999992</v>
      </c>
      <c r="IS88" s="80">
        <f t="shared" si="1421"/>
        <v>5.1697089674999992</v>
      </c>
      <c r="IT88" s="80">
        <f t="shared" si="1421"/>
        <v>6.1035524999999993E-2</v>
      </c>
      <c r="IU88" s="80">
        <f t="shared" si="1421"/>
        <v>6.1035524999999993E-2</v>
      </c>
      <c r="IV88" s="80">
        <f t="shared" si="1421"/>
        <v>0</v>
      </c>
      <c r="IW88" s="80">
        <f t="shared" si="1421"/>
        <v>0</v>
      </c>
      <c r="IX88" s="80">
        <f t="shared" si="1421"/>
        <v>0</v>
      </c>
      <c r="IY88" s="80">
        <f t="shared" si="1421"/>
        <v>0</v>
      </c>
      <c r="IZ88" s="80">
        <f t="shared" si="1421"/>
        <v>0</v>
      </c>
      <c r="JA88" s="80">
        <f t="shared" si="1421"/>
        <v>0</v>
      </c>
      <c r="JB88" s="80">
        <f t="shared" si="1421"/>
        <v>0</v>
      </c>
      <c r="JC88" s="80">
        <f t="shared" si="1421"/>
        <v>0</v>
      </c>
      <c r="JD88" s="80">
        <f t="shared" si="1421"/>
        <v>0</v>
      </c>
      <c r="JE88" s="80">
        <f t="shared" si="1421"/>
        <v>0</v>
      </c>
      <c r="JF88" s="80">
        <f t="shared" si="1421"/>
        <v>0</v>
      </c>
      <c r="JG88" s="80">
        <f t="shared" si="1421"/>
        <v>0</v>
      </c>
      <c r="JH88" s="80">
        <f t="shared" si="1421"/>
        <v>0</v>
      </c>
      <c r="JI88" s="80">
        <f t="shared" si="1421"/>
        <v>0</v>
      </c>
      <c r="JJ88" s="80">
        <f t="shared" si="1421"/>
        <v>1.1051700000000003E-2</v>
      </c>
      <c r="JK88" s="80">
        <f t="shared" si="1421"/>
        <v>9.0423000000000031E-3</v>
      </c>
      <c r="JL88" s="80">
        <f t="shared" si="1421"/>
        <v>1.8084600000000006E-2</v>
      </c>
      <c r="JM88" s="80">
        <f t="shared" si="1421"/>
        <v>9.0423000000000031E-3</v>
      </c>
      <c r="JN88" s="80">
        <f t="shared" si="1421"/>
        <v>0.84897150000000021</v>
      </c>
      <c r="JO88" s="80">
        <f t="shared" si="1421"/>
        <v>1.0047000000000003E-3</v>
      </c>
      <c r="JP88" s="80">
        <f t="shared" si="1421"/>
        <v>1.0047000000000003E-3</v>
      </c>
      <c r="JQ88" s="80">
        <f t="shared" si="1421"/>
        <v>0.14919795</v>
      </c>
      <c r="JR88" s="80">
        <f t="shared" si="1421"/>
        <v>0.18536714999999998</v>
      </c>
      <c r="JS88" s="80">
        <f t="shared" si="1421"/>
        <v>0.23509980000000003</v>
      </c>
      <c r="JT88" s="80">
        <f t="shared" si="1421"/>
        <v>0.18536714999999998</v>
      </c>
      <c r="JU88" s="80">
        <f t="shared" si="1421"/>
        <v>3.82941405</v>
      </c>
      <c r="JV88" s="80">
        <f t="shared" si="1421"/>
        <v>4.5211500000000002E-2</v>
      </c>
      <c r="JW88" s="80">
        <f t="shared" si="1421"/>
        <v>4.5211500000000002E-2</v>
      </c>
      <c r="JX88" s="80">
        <f t="shared" si="1421"/>
        <v>0</v>
      </c>
      <c r="JY88" s="80">
        <f t="shared" si="1421"/>
        <v>0</v>
      </c>
      <c r="JZ88" s="80">
        <f t="shared" si="1421"/>
        <v>0</v>
      </c>
      <c r="KA88" s="80">
        <f t="shared" si="1421"/>
        <v>0</v>
      </c>
      <c r="KB88" s="80">
        <f t="shared" si="1421"/>
        <v>0</v>
      </c>
      <c r="KC88" s="80">
        <f t="shared" si="1421"/>
        <v>0</v>
      </c>
      <c r="KD88" s="80">
        <f t="shared" si="1421"/>
        <v>0</v>
      </c>
      <c r="KE88" s="80">
        <f t="shared" si="1421"/>
        <v>0</v>
      </c>
      <c r="KF88" s="80">
        <f t="shared" si="1421"/>
        <v>0</v>
      </c>
      <c r="KG88" s="80">
        <f t="shared" si="1421"/>
        <v>0</v>
      </c>
      <c r="KH88" s="80">
        <f t="shared" si="1421"/>
        <v>0</v>
      </c>
      <c r="KI88" s="80">
        <f t="shared" si="1421"/>
        <v>0</v>
      </c>
      <c r="KJ88" s="80">
        <f t="shared" si="1421"/>
        <v>0</v>
      </c>
      <c r="KK88" s="80">
        <f t="shared" si="1421"/>
        <v>0</v>
      </c>
      <c r="KL88" s="80">
        <f t="shared" si="1421"/>
        <v>8.1890184749999997E-2</v>
      </c>
      <c r="KM88" s="80">
        <f t="shared" si="1421"/>
        <v>6.7001060250000008E-2</v>
      </c>
      <c r="KN88" s="80">
        <f t="shared" si="1421"/>
        <v>0.13400212050000002</v>
      </c>
      <c r="KO88" s="80">
        <f t="shared" si="1421"/>
        <v>6.7001060250000008E-2</v>
      </c>
      <c r="KP88" s="80">
        <f t="shared" si="1421"/>
        <v>6.2906551012499996</v>
      </c>
      <c r="KQ88" s="80">
        <f t="shared" si="1421"/>
        <v>7.4445622499999999E-3</v>
      </c>
      <c r="KR88" s="80">
        <f t="shared" si="1421"/>
        <v>7.4445622499999999E-3</v>
      </c>
      <c r="KS88" s="80">
        <f t="shared" si="1421"/>
        <v>4.5648098594999986</v>
      </c>
      <c r="KT88" s="80">
        <f t="shared" si="1421"/>
        <v>5.6714304314999984</v>
      </c>
      <c r="KU88" s="80">
        <f t="shared" ref="KU88:NC88" si="1422">SUM(KU71:KU85)</f>
        <v>7.1930337179999997</v>
      </c>
      <c r="KV88" s="80">
        <f t="shared" si="1422"/>
        <v>5.6714304314999984</v>
      </c>
      <c r="KW88" s="80">
        <f t="shared" si="1422"/>
        <v>117.16345306049999</v>
      </c>
      <c r="KX88" s="80">
        <f t="shared" si="1422"/>
        <v>1.3832757149999997</v>
      </c>
      <c r="KY88" s="80">
        <f t="shared" si="1422"/>
        <v>1.3832757149999997</v>
      </c>
      <c r="KZ88" s="80">
        <f t="shared" si="1422"/>
        <v>1.8419500000000005E-2</v>
      </c>
      <c r="LA88" s="80">
        <f t="shared" si="1422"/>
        <v>1.5070500000000004E-2</v>
      </c>
      <c r="LB88" s="80">
        <f t="shared" si="1422"/>
        <v>3.0141000000000008E-2</v>
      </c>
      <c r="LC88" s="80">
        <f t="shared" si="1422"/>
        <v>1.5070500000000004E-2</v>
      </c>
      <c r="LD88" s="80">
        <f t="shared" si="1422"/>
        <v>1.4149525000000001</v>
      </c>
      <c r="LE88" s="80">
        <f t="shared" si="1422"/>
        <v>1.6745000000000002E-3</v>
      </c>
      <c r="LF88" s="80">
        <f t="shared" si="1422"/>
        <v>1.6745000000000002E-3</v>
      </c>
      <c r="LG88" s="80">
        <f t="shared" si="1422"/>
        <v>0.24866325</v>
      </c>
      <c r="LH88" s="80">
        <f t="shared" si="1422"/>
        <v>0.30894524999999989</v>
      </c>
      <c r="LI88" s="80">
        <f t="shared" si="1422"/>
        <v>0.39183299999999999</v>
      </c>
      <c r="LJ88" s="80">
        <f t="shared" si="1422"/>
        <v>0.30894524999999989</v>
      </c>
      <c r="LK88" s="80">
        <f t="shared" si="1422"/>
        <v>6.3823567499999996</v>
      </c>
      <c r="LL88" s="80">
        <f t="shared" si="1422"/>
        <v>7.5352500000000003E-2</v>
      </c>
      <c r="LM88" s="80">
        <f t="shared" si="1422"/>
        <v>7.5352500000000003E-2</v>
      </c>
      <c r="LN88" s="80">
        <f t="shared" si="1422"/>
        <v>2.8403069081818751E-3</v>
      </c>
      <c r="LO88" s="80">
        <f t="shared" si="1422"/>
        <v>7.74629156776875E-4</v>
      </c>
      <c r="LP88" s="80">
        <f t="shared" si="1422"/>
        <v>1.3168695665206877E-2</v>
      </c>
      <c r="LQ88" s="80">
        <f t="shared" si="1422"/>
        <v>2.1173196951901247E-2</v>
      </c>
      <c r="LR88" s="80">
        <f t="shared" si="1422"/>
        <v>2.065677751405</v>
      </c>
      <c r="LS88" s="80">
        <f t="shared" si="1422"/>
        <v>2.2464245546529375E-2</v>
      </c>
      <c r="LT88" s="80">
        <f t="shared" si="1422"/>
        <v>2.5820971892562502E-3</v>
      </c>
      <c r="LU88" s="80">
        <f t="shared" si="1422"/>
        <v>7.7707068884625023</v>
      </c>
      <c r="LV88" s="80">
        <f t="shared" si="1422"/>
        <v>3.8853534442312512</v>
      </c>
      <c r="LW88" s="80">
        <f t="shared" si="1422"/>
        <v>9.0658247032062516</v>
      </c>
      <c r="LX88" s="80">
        <f t="shared" si="1422"/>
        <v>7.7707068884625023</v>
      </c>
      <c r="LY88" s="80">
        <f t="shared" si="1422"/>
        <v>128.0871518781569</v>
      </c>
      <c r="LZ88" s="80">
        <f t="shared" si="1422"/>
        <v>1.2951178147437499</v>
      </c>
      <c r="MA88" s="80">
        <f t="shared" si="1422"/>
        <v>1.2951178147437499</v>
      </c>
      <c r="MB88" s="80">
        <f t="shared" si="1422"/>
        <v>1.1051700000000003E-4</v>
      </c>
      <c r="MC88" s="80">
        <f t="shared" si="1422"/>
        <v>3.0140999999999998E-5</v>
      </c>
      <c r="MD88" s="80">
        <f t="shared" si="1422"/>
        <v>5.1239700000000005E-4</v>
      </c>
      <c r="ME88" s="80">
        <f t="shared" si="1422"/>
        <v>8.2385399999999995E-4</v>
      </c>
      <c r="MF88" s="80">
        <f t="shared" si="1422"/>
        <v>8.0376000000000003E-2</v>
      </c>
      <c r="MG88" s="80">
        <f t="shared" si="1422"/>
        <v>8.7408899999999999E-4</v>
      </c>
      <c r="MH88" s="80">
        <f t="shared" si="1422"/>
        <v>1.0047000000000001E-4</v>
      </c>
      <c r="MI88" s="80">
        <f t="shared" si="1422"/>
        <v>2.7126900000000002E-2</v>
      </c>
      <c r="MJ88" s="80">
        <f t="shared" si="1422"/>
        <v>1.3563450000000001E-2</v>
      </c>
      <c r="MK88" s="80">
        <f t="shared" si="1422"/>
        <v>3.1648050000000004E-2</v>
      </c>
      <c r="ML88" s="80">
        <f t="shared" si="1422"/>
        <v>2.7126900000000002E-2</v>
      </c>
      <c r="MM88" s="80">
        <f t="shared" si="1422"/>
        <v>0.44714173499999993</v>
      </c>
      <c r="MN88" s="80">
        <f t="shared" si="1422"/>
        <v>4.5211500000000007E-3</v>
      </c>
      <c r="MO88" s="80">
        <f t="shared" si="1422"/>
        <v>4.5211500000000007E-3</v>
      </c>
      <c r="MP88" s="80">
        <f t="shared" si="1422"/>
        <v>4.0522900000000001E-4</v>
      </c>
      <c r="MQ88" s="80">
        <f t="shared" si="1422"/>
        <v>1.10517E-4</v>
      </c>
      <c r="MR88" s="80">
        <f t="shared" si="1422"/>
        <v>1.8787890000000003E-3</v>
      </c>
      <c r="MS88" s="80">
        <f t="shared" si="1422"/>
        <v>3.0207979999999999E-3</v>
      </c>
      <c r="MT88" s="80">
        <f t="shared" si="1422"/>
        <v>0.29471200000000003</v>
      </c>
      <c r="MU88" s="80">
        <f t="shared" si="1422"/>
        <v>3.2049929999999997E-3</v>
      </c>
      <c r="MV88" s="80">
        <f t="shared" si="1422"/>
        <v>3.6839000000000002E-4</v>
      </c>
      <c r="MW88" s="80">
        <f t="shared" si="1422"/>
        <v>32.557534200000006</v>
      </c>
      <c r="MX88" s="80">
        <f t="shared" si="1422"/>
        <v>16.278767100000003</v>
      </c>
      <c r="MY88" s="80">
        <f t="shared" si="1422"/>
        <v>37.983789900000012</v>
      </c>
      <c r="MZ88" s="80">
        <f t="shared" si="1422"/>
        <v>32.557534200000006</v>
      </c>
      <c r="NA88" s="80">
        <f t="shared" si="1422"/>
        <v>536.65668873000027</v>
      </c>
      <c r="NB88" s="80">
        <f t="shared" si="1422"/>
        <v>5.4262557000000022</v>
      </c>
      <c r="NC88" s="80">
        <f t="shared" si="1422"/>
        <v>5.4262557000000022</v>
      </c>
    </row>
    <row r="89" spans="1:376" ht="19" thickBot="1" x14ac:dyDescent="0.3">
      <c r="A89" s="563" t="s">
        <v>0</v>
      </c>
      <c r="B89" s="58">
        <f>SUM(B86:B88)</f>
        <v>66028</v>
      </c>
      <c r="C89" s="58">
        <f t="shared" ref="C89:M89" si="1423">SUM(C86:C88)</f>
        <v>66412</v>
      </c>
      <c r="D89" s="58">
        <f t="shared" si="1423"/>
        <v>2250</v>
      </c>
      <c r="E89" s="58">
        <f t="shared" si="1423"/>
        <v>2845</v>
      </c>
      <c r="F89" s="58">
        <f t="shared" si="1423"/>
        <v>65037.580000000009</v>
      </c>
      <c r="G89" s="58">
        <f t="shared" si="1423"/>
        <v>65415.820000000007</v>
      </c>
      <c r="H89" s="58">
        <f t="shared" si="1423"/>
        <v>2216.25</v>
      </c>
      <c r="I89" s="58">
        <f t="shared" si="1423"/>
        <v>2802.3250000000003</v>
      </c>
      <c r="J89" s="58">
        <f t="shared" si="1423"/>
        <v>559.33519999999999</v>
      </c>
      <c r="K89" s="58">
        <f t="shared" si="1423"/>
        <v>1154.8847000000001</v>
      </c>
      <c r="L89" s="58">
        <f t="shared" si="1423"/>
        <v>67253.830000000016</v>
      </c>
      <c r="M89" s="58">
        <f t="shared" si="1423"/>
        <v>68218.145000000004</v>
      </c>
      <c r="N89" s="24"/>
      <c r="O89" s="25"/>
      <c r="P89" s="25"/>
      <c r="Q89" s="115"/>
      <c r="R89" s="25"/>
      <c r="S89" s="25"/>
      <c r="T89" s="25"/>
      <c r="U89" s="25"/>
      <c r="V89" s="114"/>
      <c r="W89" s="25"/>
      <c r="X89" s="25"/>
      <c r="Y89" s="25"/>
      <c r="Z89" s="115"/>
      <c r="AA89" s="25"/>
      <c r="AB89" s="25"/>
      <c r="AC89" s="25"/>
      <c r="AD89" s="58">
        <f t="shared" ref="AD89:CK89" si="1424">SUM(AD86:AD88)</f>
        <v>453.24233249999986</v>
      </c>
      <c r="AE89" s="58">
        <f t="shared" si="1424"/>
        <v>453.99881249999987</v>
      </c>
      <c r="AF89" s="58">
        <f t="shared" si="1424"/>
        <v>0</v>
      </c>
      <c r="AG89" s="58">
        <f t="shared" si="1424"/>
        <v>0</v>
      </c>
      <c r="AH89" s="58">
        <f t="shared" si="1424"/>
        <v>317.86934999999994</v>
      </c>
      <c r="AI89" s="58">
        <f t="shared" si="1424"/>
        <v>317.86934999999994</v>
      </c>
      <c r="AJ89" s="58">
        <f t="shared" si="1424"/>
        <v>17.951625</v>
      </c>
      <c r="AK89" s="58">
        <f t="shared" si="1424"/>
        <v>22.698832499999998</v>
      </c>
      <c r="AL89" s="58">
        <f t="shared" si="1424"/>
        <v>0</v>
      </c>
      <c r="AM89" s="58">
        <f t="shared" si="1424"/>
        <v>0</v>
      </c>
      <c r="AN89" s="58">
        <f t="shared" si="1424"/>
        <v>13.297499999999999</v>
      </c>
      <c r="AO89" s="58">
        <f t="shared" si="1424"/>
        <v>16.813949999999998</v>
      </c>
      <c r="AP89" s="58">
        <f t="shared" si="1424"/>
        <v>471.1939574999999</v>
      </c>
      <c r="AQ89" s="58">
        <f t="shared" si="1424"/>
        <v>476.69764499999985</v>
      </c>
      <c r="AR89" s="58">
        <f t="shared" si="1424"/>
        <v>0</v>
      </c>
      <c r="AS89" s="58">
        <f t="shared" si="1424"/>
        <v>0</v>
      </c>
      <c r="AT89" s="58">
        <f t="shared" si="1424"/>
        <v>331.16684999999995</v>
      </c>
      <c r="AU89" s="58">
        <f t="shared" si="1424"/>
        <v>334.68329999999992</v>
      </c>
      <c r="AV89" s="58">
        <f t="shared" si="1424"/>
        <v>0</v>
      </c>
      <c r="AW89" s="58">
        <f t="shared" si="1424"/>
        <v>0</v>
      </c>
      <c r="AX89" s="58">
        <f t="shared" si="1424"/>
        <v>318.6426735</v>
      </c>
      <c r="AY89" s="58">
        <f t="shared" si="1424"/>
        <v>319.66392150000001</v>
      </c>
      <c r="AZ89" s="58">
        <f t="shared" si="1424"/>
        <v>529.78224999999986</v>
      </c>
      <c r="BA89" s="58">
        <f t="shared" si="1424"/>
        <v>529.78224999999986</v>
      </c>
      <c r="BB89" s="58">
        <f t="shared" si="1424"/>
        <v>0</v>
      </c>
      <c r="BC89" s="58">
        <f t="shared" si="1424"/>
        <v>0</v>
      </c>
      <c r="BD89" s="58">
        <f t="shared" si="1424"/>
        <v>11.967750000000001</v>
      </c>
      <c r="BE89" s="58">
        <f t="shared" si="1424"/>
        <v>15.132555</v>
      </c>
      <c r="BF89" s="58">
        <f t="shared" si="1424"/>
        <v>22.162499999999994</v>
      </c>
      <c r="BG89" s="58">
        <f t="shared" si="1424"/>
        <v>28.023249999999997</v>
      </c>
      <c r="BH89" s="58">
        <f t="shared" si="1424"/>
        <v>0</v>
      </c>
      <c r="BI89" s="58">
        <f t="shared" si="1424"/>
        <v>0</v>
      </c>
      <c r="BJ89" s="58">
        <f t="shared" si="1424"/>
        <v>330.61042349999997</v>
      </c>
      <c r="BK89" s="58">
        <f t="shared" si="1424"/>
        <v>334.79647649999993</v>
      </c>
      <c r="BL89" s="58">
        <f t="shared" si="1424"/>
        <v>551.94474999999977</v>
      </c>
      <c r="BM89" s="58">
        <f t="shared" si="1424"/>
        <v>557.80549999999982</v>
      </c>
      <c r="BN89" s="58">
        <f t="shared" si="1424"/>
        <v>2.2397225499999998</v>
      </c>
      <c r="BO89" s="58">
        <f t="shared" si="1424"/>
        <v>2.2435049499999997</v>
      </c>
      <c r="BP89" s="58">
        <f t="shared" si="1424"/>
        <v>35.404741500000007</v>
      </c>
      <c r="BQ89" s="58">
        <f t="shared" si="1424"/>
        <v>35.518213500000009</v>
      </c>
      <c r="BR89" s="58">
        <f t="shared" si="1424"/>
        <v>582.76047499999981</v>
      </c>
      <c r="BS89" s="58">
        <f t="shared" si="1424"/>
        <v>582.76047499999981</v>
      </c>
      <c r="BT89" s="58">
        <f t="shared" si="1424"/>
        <v>8.8649999999999993E-2</v>
      </c>
      <c r="BU89" s="58">
        <f t="shared" si="1424"/>
        <v>0.112093</v>
      </c>
      <c r="BV89" s="58">
        <f t="shared" si="1424"/>
        <v>1.32975</v>
      </c>
      <c r="BW89" s="58">
        <f t="shared" si="1424"/>
        <v>1.6813949999999998</v>
      </c>
      <c r="BX89" s="58">
        <f t="shared" si="1424"/>
        <v>24.378750000000004</v>
      </c>
      <c r="BY89" s="58">
        <f t="shared" si="1424"/>
        <v>30.825575000000004</v>
      </c>
      <c r="BZ89" s="58">
        <f t="shared" si="1424"/>
        <v>2.3283725500000001</v>
      </c>
      <c r="CA89" s="58">
        <f t="shared" si="1424"/>
        <v>2.3555979499999999</v>
      </c>
      <c r="CB89" s="58">
        <f t="shared" si="1424"/>
        <v>36.734491500000004</v>
      </c>
      <c r="CC89" s="58">
        <f t="shared" si="1424"/>
        <v>37.199608500000004</v>
      </c>
      <c r="CD89" s="58">
        <f t="shared" si="1424"/>
        <v>607.1392249999999</v>
      </c>
      <c r="CE89" s="58">
        <f t="shared" si="1424"/>
        <v>613.58604999999989</v>
      </c>
      <c r="CF89" s="58">
        <f t="shared" si="1424"/>
        <v>55.933520000000001</v>
      </c>
      <c r="CG89" s="58">
        <f t="shared" si="1424"/>
        <v>115.48847000000004</v>
      </c>
      <c r="CH89" s="58">
        <f t="shared" si="1424"/>
        <v>0</v>
      </c>
      <c r="CI89" s="58">
        <f t="shared" si="1424"/>
        <v>0</v>
      </c>
      <c r="CJ89" s="58">
        <f t="shared" si="1424"/>
        <v>503.40168000000006</v>
      </c>
      <c r="CK89" s="58">
        <f t="shared" si="1424"/>
        <v>1039.3962300000003</v>
      </c>
      <c r="CL89" s="125"/>
      <c r="CM89" s="58">
        <f t="shared" ref="CM89" si="1425">SUM(CM86:CM88)</f>
        <v>60948.306009999986</v>
      </c>
      <c r="CN89" s="58">
        <f t="shared" ref="CN89" si="1426">SUM(CN86:CN88)</f>
        <v>61306.499289999985</v>
      </c>
      <c r="CO89" s="58">
        <f t="shared" ref="CO89" si="1427">SUM(CO86:CO88)</f>
        <v>1651.9535500000002</v>
      </c>
      <c r="CP89" s="58">
        <f t="shared" ref="CP89" si="1428">SUM(CP86:CP88)</f>
        <v>1881.47093</v>
      </c>
      <c r="CQ89" s="58">
        <f t="shared" ref="CQ89" si="1429">SUM(CQ86:CQ88)</f>
        <v>62600.259559999977</v>
      </c>
      <c r="CR89" s="58">
        <f t="shared" ref="CR89" si="1430">SUM(CR86:CR88)</f>
        <v>63187.970219999981</v>
      </c>
      <c r="CS89" s="71"/>
      <c r="CT89" s="72"/>
      <c r="CU89" s="72"/>
      <c r="CV89" s="73"/>
      <c r="CW89" s="58">
        <f t="shared" ref="CW89" si="1431">SUM(CW86:CW88)</f>
        <v>26063.471593912498</v>
      </c>
      <c r="CX89" s="58">
        <f t="shared" ref="CX89" si="1432">SUM(CX86:CX88)</f>
        <v>26063.471593912498</v>
      </c>
      <c r="CY89" s="58">
        <f t="shared" ref="CY89" si="1433">SUM(CY86:CY88)</f>
        <v>31617.65261358751</v>
      </c>
      <c r="CZ89" s="58">
        <f t="shared" ref="CZ89" si="1434">SUM(CZ86:CZ88)</f>
        <v>31617.65261358751</v>
      </c>
      <c r="DA89" s="58">
        <f t="shared" ref="DA89" si="1435">SUM(DA86:DA88)</f>
        <v>940.69735374999993</v>
      </c>
      <c r="DB89" s="58">
        <f t="shared" ref="DB89" si="1436">SUM(DB86:DB88)</f>
        <v>1101.3595197499999</v>
      </c>
      <c r="DC89" s="58">
        <f t="shared" ref="DC89" si="1437">SUM(DC86:DC88)</f>
        <v>359.45021874999992</v>
      </c>
      <c r="DD89" s="58">
        <f t="shared" ref="DD89" si="1438">SUM(DD86:DD88)</f>
        <v>359.45021874999992</v>
      </c>
      <c r="DE89" s="58">
        <f t="shared" ref="DE89" si="1439">SUM(DE86:DE88)</f>
        <v>27004.1689476625</v>
      </c>
      <c r="DF89" s="58">
        <f t="shared" ref="DF89" si="1440">SUM(DF86:DF88)</f>
        <v>27164.831113662498</v>
      </c>
      <c r="DG89" s="58">
        <f t="shared" ref="DG89" si="1441">SUM(DG86:DG88)</f>
        <v>31942.381641437507</v>
      </c>
      <c r="DH89" s="58">
        <f t="shared" ref="DH89" si="1442">SUM(DH86:DH88)</f>
        <v>31977.102832337507</v>
      </c>
      <c r="DJ89" s="58"/>
      <c r="DK89" s="58"/>
      <c r="DL89" s="58">
        <f t="shared" ref="DL89" si="1443">SUM(DL86:DL88)</f>
        <v>3451.0967347500005</v>
      </c>
      <c r="DM89" s="58">
        <f t="shared" ref="DM89" si="1444">SUM(DM86:DM88)</f>
        <v>3809.2900147500004</v>
      </c>
      <c r="DN89" s="58">
        <f t="shared" ref="DN89" si="1445">SUM(DN86:DN88)</f>
        <v>351.80597749999998</v>
      </c>
      <c r="DO89" s="58">
        <f t="shared" ref="DO89" si="1446">SUM(DO86:DO88)</f>
        <v>420.66119149999997</v>
      </c>
      <c r="DP89" s="24"/>
      <c r="DQ89" s="25"/>
      <c r="DR89" s="25"/>
      <c r="DS89" s="114"/>
      <c r="DT89" s="29"/>
      <c r="DU89" s="25"/>
      <c r="DV89" s="25"/>
      <c r="DW89" s="115"/>
      <c r="DX89" s="25"/>
      <c r="DY89" s="25"/>
      <c r="DZ89" s="25"/>
      <c r="EA89" s="58">
        <f t="shared" ref="EA89" si="1447">SUM(EA86:EA88)</f>
        <v>0</v>
      </c>
      <c r="EB89" s="58">
        <f t="shared" ref="EB89" si="1448">SUM(EB86:EB88)</f>
        <v>0</v>
      </c>
      <c r="EC89" s="58">
        <f t="shared" ref="EC89" si="1449">SUM(EC86:EC88)</f>
        <v>345.10967347499997</v>
      </c>
      <c r="ED89" s="58">
        <f t="shared" ref="ED89" si="1450">SUM(ED86:ED88)</f>
        <v>3626.6953935000001</v>
      </c>
      <c r="EE89" s="58">
        <f t="shared" ref="EE89" si="1451">SUM(EE86:EE88)</f>
        <v>0</v>
      </c>
      <c r="EF89" s="58">
        <f t="shared" ref="EF89" si="1452">SUM(EF86:EF88)</f>
        <v>0</v>
      </c>
      <c r="EG89" s="58">
        <f t="shared" ref="EG89" si="1453">SUM(EG86:EG88)</f>
        <v>0</v>
      </c>
      <c r="EH89" s="58">
        <f t="shared" ref="EH89" si="1454">SUM(EH86:EH88)</f>
        <v>0</v>
      </c>
      <c r="EI89" s="58">
        <f t="shared" ref="EI89" si="1455">SUM(EI86:EI88)</f>
        <v>35.180597749999997</v>
      </c>
      <c r="EJ89" s="58">
        <f t="shared" ref="EJ89" si="1456">SUM(EJ86:EJ88)</f>
        <v>420.66119149999986</v>
      </c>
      <c r="EK89" s="58">
        <f t="shared" ref="EK89" si="1457">SUM(EK86:EK88)</f>
        <v>0</v>
      </c>
      <c r="EL89" s="58">
        <f t="shared" ref="EL89" si="1458">SUM(EL86:EL88)</f>
        <v>0</v>
      </c>
      <c r="EM89" s="58">
        <f t="shared" ref="EM89" si="1459">SUM(EM86:EM88)</f>
        <v>380.29027122499997</v>
      </c>
      <c r="EN89" s="58">
        <f t="shared" ref="EN89" si="1460">SUM(EN86:EN88)</f>
        <v>4047.356585</v>
      </c>
      <c r="EP89" s="58">
        <f t="shared" ref="EP89" si="1461">SUM(EP86:EP88)</f>
        <v>2.2397225499999998</v>
      </c>
      <c r="EQ89" s="58">
        <f t="shared" ref="EQ89" si="1462">SUM(EQ86:EQ88)</f>
        <v>2.2435049499999997</v>
      </c>
      <c r="ER89" s="58">
        <f t="shared" ref="ER89" si="1463">SUM(ER86:ER88)</f>
        <v>35.404741500000007</v>
      </c>
      <c r="ES89" s="58">
        <f t="shared" ref="ES89" si="1464">SUM(ES86:ES88)</f>
        <v>35.518213500000009</v>
      </c>
      <c r="ET89" s="58">
        <f t="shared" ref="ET89" si="1465">SUM(ET86:ET88)</f>
        <v>582.76047499999981</v>
      </c>
      <c r="EU89" s="58">
        <f t="shared" ref="EU89" si="1466">SUM(EU86:EU88)</f>
        <v>582.76047499999981</v>
      </c>
      <c r="EV89" s="58">
        <f t="shared" ref="EV89" si="1467">SUM(EV86:EV88)</f>
        <v>8.8649999999999993E-2</v>
      </c>
      <c r="EW89" s="58">
        <f t="shared" ref="EW89" si="1468">SUM(EW86:EW88)</f>
        <v>0.112093</v>
      </c>
      <c r="EX89" s="58">
        <f t="shared" ref="EX89" si="1469">SUM(EX86:EX88)</f>
        <v>1.32975</v>
      </c>
      <c r="EY89" s="58">
        <f t="shared" ref="EY89" si="1470">SUM(EY86:EY88)</f>
        <v>1.6813949999999998</v>
      </c>
      <c r="EZ89" s="58">
        <f t="shared" ref="EZ89" si="1471">SUM(EZ86:EZ88)</f>
        <v>24.378750000000004</v>
      </c>
      <c r="FA89" s="58">
        <f t="shared" ref="FA89" si="1472">SUM(FA86:FA88)</f>
        <v>30.825575000000004</v>
      </c>
      <c r="FB89" s="58">
        <f t="shared" ref="FB89" si="1473">SUM(FB86:FB88)</f>
        <v>26063.471593912498</v>
      </c>
      <c r="FC89" s="58">
        <f t="shared" ref="FC89" si="1474">SUM(FC86:FC88)</f>
        <v>26063.471593912498</v>
      </c>
      <c r="FD89" s="58">
        <f t="shared" ref="FD89" si="1475">SUM(FD86:FD88)</f>
        <v>940.69735374999993</v>
      </c>
      <c r="FE89" s="58">
        <f t="shared" ref="FE89" si="1476">SUM(FE86:FE88)</f>
        <v>1101.3595197499999</v>
      </c>
      <c r="FF89" s="58">
        <f t="shared" ref="FF89" si="1477">SUM(FF86:FF88)</f>
        <v>31617.65261358751</v>
      </c>
      <c r="FG89" s="58">
        <f t="shared" ref="FG89" si="1478">SUM(FG86:FG88)</f>
        <v>31617.65261358751</v>
      </c>
      <c r="FH89" s="58">
        <f t="shared" ref="FH89" si="1479">SUM(FH86:FH88)</f>
        <v>359.45021874999992</v>
      </c>
      <c r="FI89" s="58">
        <f t="shared" ref="FI89" si="1480">SUM(FI86:FI88)</f>
        <v>359.45021874999992</v>
      </c>
      <c r="FJ89" s="24"/>
      <c r="FK89" s="25"/>
      <c r="FL89" s="25"/>
      <c r="FM89" s="25"/>
      <c r="FN89" s="29"/>
      <c r="FO89" s="25"/>
      <c r="FP89" s="25"/>
      <c r="FQ89" s="25"/>
      <c r="FR89" s="25"/>
      <c r="FS89" s="24"/>
      <c r="FT89" s="25"/>
      <c r="FU89" s="24"/>
      <c r="FV89" s="27"/>
      <c r="FW89" s="25"/>
      <c r="FX89" s="29"/>
      <c r="FY89" s="25"/>
      <c r="FZ89" s="25"/>
      <c r="GA89" s="25"/>
      <c r="GB89" s="25"/>
      <c r="GC89" s="58">
        <f t="shared" ref="GC89" si="1481">SUM(GC86:GC88)</f>
        <v>2.2397225499999998</v>
      </c>
      <c r="GD89" s="58">
        <f t="shared" ref="GD89" si="1482">SUM(GD86:GD88)</f>
        <v>2.2435049499999997</v>
      </c>
      <c r="GE89" s="58">
        <f t="shared" ref="GE89" si="1483">SUM(GE86:GE88)</f>
        <v>35.404741500000007</v>
      </c>
      <c r="GF89" s="58">
        <f t="shared" ref="GF89" si="1484">SUM(GF86:GF88)</f>
        <v>35.518213500000009</v>
      </c>
      <c r="GG89" s="58">
        <f t="shared" ref="GG89" si="1485">SUM(GG86:GG88)</f>
        <v>116.55209499999998</v>
      </c>
      <c r="GH89" s="58">
        <f t="shared" ref="GH89" si="1486">SUM(GH86:GH88)</f>
        <v>466.20837999999992</v>
      </c>
      <c r="GI89" s="58">
        <f t="shared" ref="GI89" si="1487">SUM(GI86:GI88)</f>
        <v>8.8649999999999993E-2</v>
      </c>
      <c r="GJ89" s="58">
        <f t="shared" ref="GJ89" si="1488">SUM(GJ86:GJ88)</f>
        <v>0.112093</v>
      </c>
      <c r="GK89" s="58">
        <f t="shared" ref="GK89" si="1489">SUM(GK86:GK88)</f>
        <v>1.32975</v>
      </c>
      <c r="GL89" s="58">
        <f t="shared" ref="GL89" si="1490">SUM(GL86:GL88)</f>
        <v>1.6813949999999998</v>
      </c>
      <c r="GM89" s="58">
        <f t="shared" ref="GM89" si="1491">SUM(GM86:GM88)</f>
        <v>4.8757499999999991</v>
      </c>
      <c r="GN89" s="58">
        <f t="shared" ref="GN89" si="1492">SUM(GN86:GN88)</f>
        <v>24.660459999999997</v>
      </c>
      <c r="GO89" s="58">
        <f t="shared" ref="GO89" si="1493">SUM(GO86:GO88)</f>
        <v>160.49070905000005</v>
      </c>
      <c r="GP89" s="58">
        <f t="shared" ref="GP89" si="1494">SUM(GP86:GP88)</f>
        <v>530.42404645000011</v>
      </c>
      <c r="GQ89" s="58">
        <f t="shared" ref="GQ89" si="1495">SUM(GQ86:GQ88)</f>
        <v>193.45611790581557</v>
      </c>
      <c r="GR89" s="58">
        <f t="shared" ref="GR89" si="1496">SUM(GR86:GR88)</f>
        <v>4952.0596028433756</v>
      </c>
      <c r="GS89" s="58">
        <f t="shared" ref="GS89" si="1497">SUM(GS86:GS88)</f>
        <v>3.1617652613587501</v>
      </c>
      <c r="GT89" s="58">
        <f t="shared" ref="GT89" si="1498">SUM(GT86:GT88)</f>
        <v>1580.8826306793753</v>
      </c>
      <c r="GU89" s="58">
        <f t="shared" ref="GU89" si="1499">SUM(GU86:GU88)</f>
        <v>0</v>
      </c>
      <c r="GV89" s="58">
        <f t="shared" ref="GV89" si="1500">SUM(GV86:GV88)</f>
        <v>0</v>
      </c>
      <c r="GW89" s="58">
        <f t="shared" ref="GW89" si="1501">SUM(GW86:GW88)</f>
        <v>16.552320056660935</v>
      </c>
      <c r="GX89" s="58">
        <f t="shared" ref="GX89" si="1502">SUM(GX86:GX88)</f>
        <v>235.48153315093745</v>
      </c>
      <c r="GY89" s="58">
        <f t="shared" ref="GY89" si="1503">SUM(GY86:GY88)</f>
        <v>3.5945021875000004E-2</v>
      </c>
      <c r="GZ89" s="58">
        <f t="shared" ref="GZ89" si="1504">SUM(GZ86:GZ88)</f>
        <v>17.972510937500001</v>
      </c>
      <c r="HA89" s="58">
        <f t="shared" ref="HA89" si="1505">SUM(HA86:HA88)</f>
        <v>0</v>
      </c>
      <c r="HB89" s="58">
        <f t="shared" ref="HB89" si="1506">SUM(HB86:HB88)</f>
        <v>0</v>
      </c>
      <c r="HC89" s="58">
        <f t="shared" ref="HC89" si="1507">SUM(HC86:HC88)</f>
        <v>213.20614824571018</v>
      </c>
      <c r="HD89" s="58">
        <f t="shared" ref="HD89" si="1508">SUM(HD86:HD88)</f>
        <v>6786.3962776111885</v>
      </c>
      <c r="HE89" s="527"/>
      <c r="HF89" s="58">
        <f t="shared" ref="HF89" si="1509">SUM(HF86:HF88)</f>
        <v>471.1939574999999</v>
      </c>
      <c r="HG89" s="58">
        <f t="shared" ref="HG89" si="1510">SUM(HG86:HG88)</f>
        <v>476.69764499999985</v>
      </c>
      <c r="HH89" s="58">
        <f t="shared" ref="HH89" si="1511">SUM(HH86:HH88)</f>
        <v>0</v>
      </c>
      <c r="HI89" s="58">
        <f t="shared" ref="HI89" si="1512">SUM(HI86:HI88)</f>
        <v>0</v>
      </c>
      <c r="HJ89" s="58">
        <f t="shared" ref="HJ89" si="1513">SUM(HJ86:HJ88)</f>
        <v>331.16684999999995</v>
      </c>
      <c r="HK89" s="58">
        <f t="shared" ref="HK89" si="1514">SUM(HK86:HK88)</f>
        <v>334.68329999999992</v>
      </c>
      <c r="HL89" s="58">
        <f t="shared" ref="HL89" si="1515">SUM(HL86:HL88)</f>
        <v>0</v>
      </c>
      <c r="HM89" s="58">
        <f t="shared" ref="HM89" si="1516">SUM(HM86:HM88)</f>
        <v>0</v>
      </c>
      <c r="HN89" s="58">
        <f t="shared" ref="HN89" si="1517">SUM(HN86:HN88)</f>
        <v>710.90069472500022</v>
      </c>
      <c r="HO89" s="58">
        <f t="shared" ref="HO89" si="1518">SUM(HO86:HO88)</f>
        <v>4382.1530615000001</v>
      </c>
      <c r="HP89" s="58">
        <f t="shared" ref="HP89" si="1519">SUM(HP86:HP88)</f>
        <v>551.94474999999977</v>
      </c>
      <c r="HQ89" s="58">
        <f t="shared" ref="HQ89" si="1520">SUM(HQ86:HQ88)</f>
        <v>557.80549999999982</v>
      </c>
      <c r="HR89" s="58">
        <f t="shared" ref="HR89" si="1521">SUM(HR86:HR88)</f>
        <v>271.43209577383527</v>
      </c>
      <c r="HS89" s="58">
        <f t="shared" ref="HS89" si="1522">SUM(HS86:HS88)</f>
        <v>6904.2403455611884</v>
      </c>
      <c r="HT89" s="58">
        <f t="shared" ref="HT89" si="1523">SUM(HT86:HT88)</f>
        <v>36.734491500000004</v>
      </c>
      <c r="HU89" s="58">
        <f t="shared" ref="HU89" si="1524">SUM(HU86:HU88)</f>
        <v>37.199608500000004</v>
      </c>
      <c r="HV89" s="58">
        <f t="shared" ref="HV89" si="1525">SUM(HV86:HV88)</f>
        <v>624.82952499999999</v>
      </c>
      <c r="HW89" s="58">
        <f t="shared" ref="HW89" si="1526">SUM(HW86:HW88)</f>
        <v>1530.2650700000002</v>
      </c>
      <c r="IG89" s="560"/>
      <c r="IH89" s="58">
        <f t="shared" ref="IH89" si="1527">SUM(IH86:IH88)</f>
        <v>5.1831335325000012</v>
      </c>
      <c r="II89" s="58">
        <f t="shared" ref="II89:KT89" si="1528">SUM(II86:II88)</f>
        <v>4.2407456175000018</v>
      </c>
      <c r="IJ89" s="58">
        <f t="shared" si="1528"/>
        <v>8.4814912350000036</v>
      </c>
      <c r="IK89" s="58">
        <f t="shared" si="1528"/>
        <v>4.2407456175000018</v>
      </c>
      <c r="IL89" s="58">
        <f t="shared" si="1528"/>
        <v>398.1588940874999</v>
      </c>
      <c r="IM89" s="58">
        <f t="shared" si="1528"/>
        <v>0.47119395749999982</v>
      </c>
      <c r="IN89" s="58">
        <f t="shared" si="1528"/>
        <v>0.47119395749999982</v>
      </c>
      <c r="IO89" s="58">
        <f t="shared" si="1528"/>
        <v>15.731022285</v>
      </c>
      <c r="IP89" s="58">
        <f t="shared" si="1528"/>
        <v>19.544603445000003</v>
      </c>
      <c r="IQ89" s="58">
        <f t="shared" si="1528"/>
        <v>24.788277540000006</v>
      </c>
      <c r="IR89" s="58">
        <f t="shared" si="1528"/>
        <v>19.544603445000003</v>
      </c>
      <c r="IS89" s="58">
        <f t="shared" si="1528"/>
        <v>403.76290531500001</v>
      </c>
      <c r="IT89" s="58">
        <f t="shared" si="1528"/>
        <v>4.7669764500000005</v>
      </c>
      <c r="IU89" s="58">
        <f t="shared" si="1528"/>
        <v>4.7669764500000005</v>
      </c>
      <c r="IV89" s="58">
        <f t="shared" si="1528"/>
        <v>0</v>
      </c>
      <c r="IW89" s="58">
        <f t="shared" si="1528"/>
        <v>0</v>
      </c>
      <c r="IX89" s="58">
        <f t="shared" si="1528"/>
        <v>0</v>
      </c>
      <c r="IY89" s="58">
        <f t="shared" si="1528"/>
        <v>0</v>
      </c>
      <c r="IZ89" s="58">
        <f t="shared" si="1528"/>
        <v>0</v>
      </c>
      <c r="JA89" s="58">
        <f t="shared" si="1528"/>
        <v>0</v>
      </c>
      <c r="JB89" s="58">
        <f t="shared" si="1528"/>
        <v>0</v>
      </c>
      <c r="JC89" s="58">
        <f t="shared" si="1528"/>
        <v>0</v>
      </c>
      <c r="JD89" s="58">
        <f t="shared" si="1528"/>
        <v>0</v>
      </c>
      <c r="JE89" s="58">
        <f t="shared" si="1528"/>
        <v>0</v>
      </c>
      <c r="JF89" s="58">
        <f t="shared" si="1528"/>
        <v>0</v>
      </c>
      <c r="JG89" s="58">
        <f t="shared" si="1528"/>
        <v>0</v>
      </c>
      <c r="JH89" s="58">
        <f t="shared" si="1528"/>
        <v>0</v>
      </c>
      <c r="JI89" s="58">
        <f t="shared" si="1528"/>
        <v>0</v>
      </c>
      <c r="JJ89" s="58">
        <f t="shared" si="1528"/>
        <v>3.6428353500000017</v>
      </c>
      <c r="JK89" s="58">
        <f t="shared" si="1528"/>
        <v>2.9805016500000012</v>
      </c>
      <c r="JL89" s="58">
        <f t="shared" si="1528"/>
        <v>5.9610033000000024</v>
      </c>
      <c r="JM89" s="58">
        <f t="shared" si="1528"/>
        <v>2.9805016500000012</v>
      </c>
      <c r="JN89" s="58">
        <f t="shared" si="1528"/>
        <v>279.83598825000001</v>
      </c>
      <c r="JO89" s="58">
        <f t="shared" si="1528"/>
        <v>0.33116685000000001</v>
      </c>
      <c r="JP89" s="58">
        <f t="shared" si="1528"/>
        <v>0.33116685000000001</v>
      </c>
      <c r="JQ89" s="58">
        <f t="shared" si="1528"/>
        <v>11.044548900000002</v>
      </c>
      <c r="JR89" s="58">
        <f t="shared" si="1528"/>
        <v>13.722015299999995</v>
      </c>
      <c r="JS89" s="58">
        <f t="shared" si="1528"/>
        <v>17.403531600000004</v>
      </c>
      <c r="JT89" s="58">
        <f t="shared" si="1528"/>
        <v>13.722015299999995</v>
      </c>
      <c r="JU89" s="58">
        <f t="shared" si="1528"/>
        <v>283.47675509999999</v>
      </c>
      <c r="JV89" s="58">
        <f t="shared" si="1528"/>
        <v>3.3468330000000015</v>
      </c>
      <c r="JW89" s="58">
        <f t="shared" si="1528"/>
        <v>3.3468330000000015</v>
      </c>
      <c r="JX89" s="58">
        <f t="shared" si="1528"/>
        <v>0</v>
      </c>
      <c r="JY89" s="58">
        <f t="shared" si="1528"/>
        <v>0</v>
      </c>
      <c r="JZ89" s="58">
        <f t="shared" si="1528"/>
        <v>0</v>
      </c>
      <c r="KA89" s="58">
        <f t="shared" si="1528"/>
        <v>0</v>
      </c>
      <c r="KB89" s="58">
        <f t="shared" si="1528"/>
        <v>0</v>
      </c>
      <c r="KC89" s="58">
        <f t="shared" si="1528"/>
        <v>0</v>
      </c>
      <c r="KD89" s="58">
        <f t="shared" si="1528"/>
        <v>0</v>
      </c>
      <c r="KE89" s="58">
        <f t="shared" si="1528"/>
        <v>0</v>
      </c>
      <c r="KF89" s="58">
        <f t="shared" si="1528"/>
        <v>0</v>
      </c>
      <c r="KG89" s="58">
        <f t="shared" si="1528"/>
        <v>0</v>
      </c>
      <c r="KH89" s="58">
        <f t="shared" si="1528"/>
        <v>0</v>
      </c>
      <c r="KI89" s="58">
        <f t="shared" si="1528"/>
        <v>0</v>
      </c>
      <c r="KJ89" s="58">
        <f t="shared" si="1528"/>
        <v>0</v>
      </c>
      <c r="KK89" s="58">
        <f t="shared" si="1528"/>
        <v>0</v>
      </c>
      <c r="KL89" s="58">
        <f t="shared" si="1528"/>
        <v>7.8199076419750009</v>
      </c>
      <c r="KM89" s="58">
        <f t="shared" si="1528"/>
        <v>6.3981062525250003</v>
      </c>
      <c r="KN89" s="58">
        <f t="shared" si="1528"/>
        <v>12.796212505050001</v>
      </c>
      <c r="KO89" s="58">
        <f t="shared" si="1528"/>
        <v>6.3981062525250003</v>
      </c>
      <c r="KP89" s="58">
        <f t="shared" si="1528"/>
        <v>600.71108704262497</v>
      </c>
      <c r="KQ89" s="58">
        <f t="shared" si="1528"/>
        <v>0.71090069472500006</v>
      </c>
      <c r="KR89" s="58">
        <f t="shared" si="1528"/>
        <v>0.71090069472500006</v>
      </c>
      <c r="KS89" s="58">
        <f t="shared" si="1528"/>
        <v>144.6110510295</v>
      </c>
      <c r="KT89" s="58">
        <f t="shared" si="1528"/>
        <v>179.66827552150002</v>
      </c>
      <c r="KU89" s="58">
        <f t="shared" ref="KU89:NC89" si="1529">SUM(KU86:KU88)</f>
        <v>227.87195919800004</v>
      </c>
      <c r="KV89" s="58">
        <f t="shared" si="1529"/>
        <v>179.66827552150002</v>
      </c>
      <c r="KW89" s="58">
        <f t="shared" si="1529"/>
        <v>3711.6836430905009</v>
      </c>
      <c r="KX89" s="58">
        <f t="shared" si="1529"/>
        <v>43.821530615000007</v>
      </c>
      <c r="KY89" s="58">
        <f t="shared" si="1529"/>
        <v>43.821530615000007</v>
      </c>
      <c r="KZ89" s="58">
        <f t="shared" si="1529"/>
        <v>6.0713922500000015</v>
      </c>
      <c r="LA89" s="58">
        <f t="shared" si="1529"/>
        <v>4.9675027500000022</v>
      </c>
      <c r="LB89" s="58">
        <f t="shared" si="1529"/>
        <v>9.9350055000000044</v>
      </c>
      <c r="LC89" s="58">
        <f t="shared" si="1529"/>
        <v>4.9675027500000022</v>
      </c>
      <c r="LD89" s="58">
        <f t="shared" si="1529"/>
        <v>466.39331375</v>
      </c>
      <c r="LE89" s="58">
        <f t="shared" si="1529"/>
        <v>0.55194474999999987</v>
      </c>
      <c r="LF89" s="58">
        <f t="shared" si="1529"/>
        <v>0.55194474999999987</v>
      </c>
      <c r="LG89" s="58">
        <f t="shared" si="1529"/>
        <v>18.407581499999999</v>
      </c>
      <c r="LH89" s="58">
        <f t="shared" si="1529"/>
        <v>22.870025500000004</v>
      </c>
      <c r="LI89" s="58">
        <f t="shared" si="1529"/>
        <v>29.005886000000007</v>
      </c>
      <c r="LJ89" s="58">
        <f t="shared" si="1529"/>
        <v>22.870025500000004</v>
      </c>
      <c r="LK89" s="58">
        <f t="shared" si="1529"/>
        <v>472.46125849999993</v>
      </c>
      <c r="LL89" s="58">
        <f t="shared" si="1529"/>
        <v>5.5780550000000009</v>
      </c>
      <c r="LM89" s="58">
        <f t="shared" si="1529"/>
        <v>5.5780550000000009</v>
      </c>
      <c r="LN89" s="58">
        <f t="shared" si="1529"/>
        <v>0.29857530535121873</v>
      </c>
      <c r="LO89" s="58">
        <f t="shared" si="1529"/>
        <v>8.1429628732150566E-2</v>
      </c>
      <c r="LP89" s="58">
        <f t="shared" si="1529"/>
        <v>1.38430368844656</v>
      </c>
      <c r="LQ89" s="58">
        <f t="shared" si="1529"/>
        <v>2.2257431853454483</v>
      </c>
      <c r="LR89" s="58">
        <f t="shared" si="1529"/>
        <v>217.14567661906818</v>
      </c>
      <c r="LS89" s="58">
        <f t="shared" si="1529"/>
        <v>2.3614592332323663</v>
      </c>
      <c r="LT89" s="58">
        <f t="shared" si="1529"/>
        <v>0.2714320957738352</v>
      </c>
      <c r="LU89" s="58">
        <f t="shared" si="1529"/>
        <v>414.25442073367122</v>
      </c>
      <c r="LV89" s="58">
        <f t="shared" si="1529"/>
        <v>207.12721036683561</v>
      </c>
      <c r="LW89" s="58">
        <f t="shared" si="1529"/>
        <v>483.29682418928314</v>
      </c>
      <c r="LX89" s="58">
        <f t="shared" si="1529"/>
        <v>414.25442073367122</v>
      </c>
      <c r="LY89" s="58">
        <f t="shared" si="1529"/>
        <v>6828.2937017600161</v>
      </c>
      <c r="LZ89" s="58">
        <f t="shared" si="1529"/>
        <v>69.042403455611876</v>
      </c>
      <c r="MA89" s="58">
        <f t="shared" si="1529"/>
        <v>69.042403455611876</v>
      </c>
      <c r="MB89" s="58">
        <f t="shared" si="1529"/>
        <v>4.0407940649999995E-2</v>
      </c>
      <c r="MC89" s="58">
        <f t="shared" si="1529"/>
        <v>1.1020347449999997E-2</v>
      </c>
      <c r="MD89" s="58">
        <f t="shared" si="1529"/>
        <v>0.18734590664999998</v>
      </c>
      <c r="ME89" s="58">
        <f t="shared" si="1529"/>
        <v>0.30122283029999997</v>
      </c>
      <c r="MF89" s="58">
        <f t="shared" si="1529"/>
        <v>29.387593200000001</v>
      </c>
      <c r="MG89" s="58">
        <f t="shared" si="1529"/>
        <v>0.31959007604999989</v>
      </c>
      <c r="MH89" s="58">
        <f t="shared" si="1529"/>
        <v>3.6734491500000008E-2</v>
      </c>
      <c r="MI89" s="58">
        <f t="shared" si="1529"/>
        <v>2.2319765099999991</v>
      </c>
      <c r="MJ89" s="58">
        <f t="shared" si="1529"/>
        <v>1.1159882549999995</v>
      </c>
      <c r="MK89" s="58">
        <f t="shared" si="1529"/>
        <v>2.6039725950000006</v>
      </c>
      <c r="ML89" s="58">
        <f t="shared" si="1529"/>
        <v>2.2319765099999991</v>
      </c>
      <c r="MM89" s="58">
        <f t="shared" si="1529"/>
        <v>36.790412806500001</v>
      </c>
      <c r="MN89" s="58">
        <f t="shared" si="1529"/>
        <v>0.37199608499999992</v>
      </c>
      <c r="MO89" s="58">
        <f t="shared" si="1529"/>
        <v>0.37199608499999992</v>
      </c>
      <c r="MP89" s="58">
        <f t="shared" si="1529"/>
        <v>0.68731247750000002</v>
      </c>
      <c r="MQ89" s="58">
        <f t="shared" si="1529"/>
        <v>0.18744885749999998</v>
      </c>
      <c r="MR89" s="58">
        <f t="shared" si="1529"/>
        <v>3.1866305775000003</v>
      </c>
      <c r="MS89" s="58">
        <f t="shared" si="1529"/>
        <v>5.1236021049999998</v>
      </c>
      <c r="MT89" s="58">
        <f t="shared" si="1529"/>
        <v>499.86361999999997</v>
      </c>
      <c r="MU89" s="58">
        <f t="shared" si="1529"/>
        <v>5.4360168675000002</v>
      </c>
      <c r="MV89" s="58">
        <f t="shared" si="1529"/>
        <v>0.624829525</v>
      </c>
      <c r="MW89" s="58">
        <f t="shared" si="1529"/>
        <v>91.815904200000006</v>
      </c>
      <c r="MX89" s="58">
        <f t="shared" si="1529"/>
        <v>45.907952100000003</v>
      </c>
      <c r="MY89" s="58">
        <f t="shared" si="1529"/>
        <v>107.11855489999999</v>
      </c>
      <c r="MZ89" s="58">
        <f t="shared" si="1529"/>
        <v>91.815904200000006</v>
      </c>
      <c r="NA89" s="58">
        <f t="shared" si="1529"/>
        <v>1513.4321542300002</v>
      </c>
      <c r="NB89" s="58">
        <f t="shared" si="1529"/>
        <v>15.302650700000003</v>
      </c>
      <c r="NC89" s="58">
        <f t="shared" si="1529"/>
        <v>15.302650700000003</v>
      </c>
    </row>
    <row r="90" spans="1:376" x14ac:dyDescent="0.25">
      <c r="A90" s="561" t="s">
        <v>1861</v>
      </c>
      <c r="B90" s="934">
        <f>SUM(B13:B65)</f>
        <v>66028</v>
      </c>
      <c r="C90" s="934">
        <f t="shared" ref="C90:BN90" si="1530">SUM(C13:C65)</f>
        <v>632</v>
      </c>
      <c r="D90" s="934">
        <f t="shared" si="1530"/>
        <v>1330</v>
      </c>
      <c r="E90" s="934">
        <f t="shared" si="1530"/>
        <v>1330</v>
      </c>
      <c r="F90" s="934">
        <f t="shared" si="1530"/>
        <v>65037.580000000009</v>
      </c>
      <c r="G90" s="934">
        <f t="shared" si="1530"/>
        <v>622.52</v>
      </c>
      <c r="H90" s="934">
        <f t="shared" si="1530"/>
        <v>1310.05</v>
      </c>
      <c r="I90" s="934">
        <f t="shared" si="1530"/>
        <v>1310.05</v>
      </c>
      <c r="J90" s="934">
        <f t="shared" si="1530"/>
        <v>371.20209999999997</v>
      </c>
      <c r="K90" s="934">
        <f t="shared" si="1530"/>
        <v>371.20209999999997</v>
      </c>
      <c r="L90" s="934">
        <f t="shared" si="1530"/>
        <v>66347.630000000019</v>
      </c>
      <c r="M90" s="934">
        <f t="shared" si="1530"/>
        <v>1903.02</v>
      </c>
      <c r="N90" s="934">
        <f t="shared" si="1530"/>
        <v>0.34999999999999992</v>
      </c>
      <c r="O90" s="934">
        <f t="shared" si="1530"/>
        <v>0</v>
      </c>
      <c r="P90" s="934">
        <f t="shared" si="1530"/>
        <v>0.24000000000000013</v>
      </c>
      <c r="Q90" s="934">
        <f t="shared" si="1530"/>
        <v>7.8E-2</v>
      </c>
      <c r="R90" s="934">
        <f t="shared" si="1530"/>
        <v>0</v>
      </c>
      <c r="S90" s="934">
        <f t="shared" si="1530"/>
        <v>0.25109999999999993</v>
      </c>
      <c r="T90" s="934">
        <f t="shared" si="1530"/>
        <v>0.40000000000000019</v>
      </c>
      <c r="U90" s="934">
        <f t="shared" si="1530"/>
        <v>0.22540000000000007</v>
      </c>
      <c r="V90" s="934">
        <f t="shared" si="1530"/>
        <v>1.7300000000000019E-3</v>
      </c>
      <c r="W90" s="934">
        <f t="shared" si="1530"/>
        <v>2.7900000000000019E-2</v>
      </c>
      <c r="X90" s="934">
        <f t="shared" si="1530"/>
        <v>0.44000000000000022</v>
      </c>
      <c r="Y90" s="934">
        <f t="shared" si="1530"/>
        <v>1.2109999999999996</v>
      </c>
      <c r="Z90" s="934">
        <f t="shared" si="1530"/>
        <v>3.2089999999999992</v>
      </c>
      <c r="AA90" s="934">
        <f t="shared" si="1530"/>
        <v>5.2999999999999972</v>
      </c>
      <c r="AB90" s="934">
        <f t="shared" si="1530"/>
        <v>0</v>
      </c>
      <c r="AC90" s="934">
        <f t="shared" si="1530"/>
        <v>47.699999999999953</v>
      </c>
      <c r="AD90" s="934">
        <f t="shared" si="1530"/>
        <v>453.2423324999998</v>
      </c>
      <c r="AE90" s="934">
        <f t="shared" si="1530"/>
        <v>453.99881249999987</v>
      </c>
      <c r="AF90" s="934">
        <f t="shared" si="1530"/>
        <v>0</v>
      </c>
      <c r="AG90" s="934">
        <f t="shared" si="1530"/>
        <v>0</v>
      </c>
      <c r="AH90" s="934">
        <f t="shared" si="1530"/>
        <v>317.86934999999994</v>
      </c>
      <c r="AI90" s="934">
        <f t="shared" si="1530"/>
        <v>317.86934999999994</v>
      </c>
      <c r="AJ90" s="934">
        <f t="shared" si="1530"/>
        <v>10.611405</v>
      </c>
      <c r="AK90" s="934">
        <f t="shared" si="1530"/>
        <v>10.611405</v>
      </c>
      <c r="AL90" s="934">
        <f t="shared" si="1530"/>
        <v>0</v>
      </c>
      <c r="AM90" s="934">
        <f t="shared" si="1530"/>
        <v>0</v>
      </c>
      <c r="AN90" s="934">
        <f t="shared" si="1530"/>
        <v>7.8603000000000005</v>
      </c>
      <c r="AO90" s="934">
        <f t="shared" si="1530"/>
        <v>7.8603000000000005</v>
      </c>
      <c r="AP90" s="934">
        <f t="shared" si="1530"/>
        <v>463.85373749999985</v>
      </c>
      <c r="AQ90" s="934">
        <f t="shared" si="1530"/>
        <v>464.61021749999981</v>
      </c>
      <c r="AR90" s="934">
        <f t="shared" si="1530"/>
        <v>0</v>
      </c>
      <c r="AS90" s="934">
        <f t="shared" si="1530"/>
        <v>0</v>
      </c>
      <c r="AT90" s="934">
        <f t="shared" si="1530"/>
        <v>325.72965000000005</v>
      </c>
      <c r="AU90" s="934">
        <f t="shared" si="1530"/>
        <v>325.72965000000005</v>
      </c>
      <c r="AV90" s="934">
        <f t="shared" si="1530"/>
        <v>0</v>
      </c>
      <c r="AW90" s="934">
        <f t="shared" si="1530"/>
        <v>0</v>
      </c>
      <c r="AX90" s="934">
        <f t="shared" si="1530"/>
        <v>318.64267349999994</v>
      </c>
      <c r="AY90" s="934">
        <f t="shared" si="1530"/>
        <v>319.66392149999996</v>
      </c>
      <c r="AZ90" s="934">
        <f t="shared" si="1530"/>
        <v>529.78224999999986</v>
      </c>
      <c r="BA90" s="934">
        <f t="shared" si="1530"/>
        <v>529.78224999999986</v>
      </c>
      <c r="BB90" s="934">
        <f t="shared" si="1530"/>
        <v>0</v>
      </c>
      <c r="BC90" s="934">
        <f t="shared" si="1530"/>
        <v>0</v>
      </c>
      <c r="BD90" s="934">
        <f t="shared" si="1530"/>
        <v>7.0742699999999994</v>
      </c>
      <c r="BE90" s="934">
        <f t="shared" si="1530"/>
        <v>7.0742699999999994</v>
      </c>
      <c r="BF90" s="934">
        <f t="shared" si="1530"/>
        <v>13.1005</v>
      </c>
      <c r="BG90" s="934">
        <f t="shared" si="1530"/>
        <v>13.1005</v>
      </c>
      <c r="BH90" s="934">
        <f t="shared" si="1530"/>
        <v>0</v>
      </c>
      <c r="BI90" s="934">
        <f t="shared" si="1530"/>
        <v>0</v>
      </c>
      <c r="BJ90" s="934">
        <f t="shared" si="1530"/>
        <v>325.7169434999999</v>
      </c>
      <c r="BK90" s="934">
        <f t="shared" si="1530"/>
        <v>326.73819149999991</v>
      </c>
      <c r="BL90" s="934">
        <f t="shared" si="1530"/>
        <v>542.88274999999965</v>
      </c>
      <c r="BM90" s="934">
        <f t="shared" si="1530"/>
        <v>542.88274999999965</v>
      </c>
      <c r="BN90" s="934">
        <f t="shared" si="1530"/>
        <v>2.2397225499999998</v>
      </c>
      <c r="BO90" s="934">
        <f t="shared" ref="BO90:DZ90" si="1531">SUM(BO13:BO65)</f>
        <v>2.2435049500000002</v>
      </c>
      <c r="BP90" s="934">
        <f t="shared" si="1531"/>
        <v>35.404741500000007</v>
      </c>
      <c r="BQ90" s="934">
        <f t="shared" si="1531"/>
        <v>35.518213500000009</v>
      </c>
      <c r="BR90" s="934">
        <f t="shared" si="1531"/>
        <v>582.76047499999981</v>
      </c>
      <c r="BS90" s="934">
        <f t="shared" si="1531"/>
        <v>582.76047499999981</v>
      </c>
      <c r="BT90" s="934">
        <f t="shared" si="1531"/>
        <v>5.2402000000000004E-2</v>
      </c>
      <c r="BU90" s="934">
        <f t="shared" si="1531"/>
        <v>5.2402000000000004E-2</v>
      </c>
      <c r="BV90" s="934">
        <f t="shared" si="1531"/>
        <v>0.7860299999999999</v>
      </c>
      <c r="BW90" s="934">
        <f t="shared" si="1531"/>
        <v>0.7860299999999999</v>
      </c>
      <c r="BX90" s="934">
        <f t="shared" si="1531"/>
        <v>14.410550000000001</v>
      </c>
      <c r="BY90" s="934">
        <f t="shared" si="1531"/>
        <v>14.410550000000001</v>
      </c>
      <c r="BZ90" s="934">
        <f t="shared" si="1531"/>
        <v>2.2921245500000005</v>
      </c>
      <c r="CA90" s="934">
        <f t="shared" si="1531"/>
        <v>2.2959069500000004</v>
      </c>
      <c r="CB90" s="934">
        <f t="shared" si="1531"/>
        <v>36.190771500000018</v>
      </c>
      <c r="CC90" s="934">
        <f t="shared" si="1531"/>
        <v>36.30424350000002</v>
      </c>
      <c r="CD90" s="934">
        <f t="shared" si="1531"/>
        <v>597.17102499999976</v>
      </c>
      <c r="CE90" s="934">
        <f t="shared" si="1531"/>
        <v>597.17102499999976</v>
      </c>
      <c r="CF90" s="934">
        <f t="shared" si="1531"/>
        <v>37.12021</v>
      </c>
      <c r="CG90" s="934">
        <f t="shared" si="1531"/>
        <v>37.12021</v>
      </c>
      <c r="CH90" s="934">
        <f t="shared" si="1531"/>
        <v>0</v>
      </c>
      <c r="CI90" s="934">
        <f t="shared" si="1531"/>
        <v>0</v>
      </c>
      <c r="CJ90" s="934">
        <f t="shared" si="1531"/>
        <v>334.08188999999999</v>
      </c>
      <c r="CK90" s="934">
        <f t="shared" si="1531"/>
        <v>334.08188999999999</v>
      </c>
      <c r="CM90" s="934">
        <f t="shared" si="1531"/>
        <v>60948.306009999993</v>
      </c>
      <c r="CN90" s="934">
        <f t="shared" si="1531"/>
        <v>589.52643999999998</v>
      </c>
      <c r="CO90" s="934">
        <f t="shared" si="1531"/>
        <v>981.91525000000001</v>
      </c>
      <c r="CP90" s="934">
        <f t="shared" si="1531"/>
        <v>981.91525000000001</v>
      </c>
      <c r="CQ90" s="934">
        <f t="shared" si="1531"/>
        <v>61930.221259999977</v>
      </c>
      <c r="CR90" s="934">
        <f t="shared" si="1531"/>
        <v>1712.2937349999997</v>
      </c>
      <c r="CS90" s="934">
        <f t="shared" si="1531"/>
        <v>26.949999999999985</v>
      </c>
      <c r="CT90" s="934">
        <f t="shared" si="1531"/>
        <v>24.050000000000015</v>
      </c>
      <c r="CU90" s="934">
        <f t="shared" si="1531"/>
        <v>5.5</v>
      </c>
      <c r="CV90" s="934">
        <f t="shared" si="1531"/>
        <v>3.5</v>
      </c>
      <c r="CW90" s="934">
        <f t="shared" si="1531"/>
        <v>26063.471593912498</v>
      </c>
      <c r="CX90" s="934">
        <f>SUM(CX13:CX65)</f>
        <v>0</v>
      </c>
      <c r="CY90" s="934">
        <f t="shared" si="1531"/>
        <v>31617.65261358751</v>
      </c>
      <c r="CZ90" s="934">
        <f t="shared" si="1531"/>
        <v>0</v>
      </c>
      <c r="DA90" s="934">
        <f t="shared" si="1531"/>
        <v>471.67054374999992</v>
      </c>
      <c r="DB90" s="934">
        <f t="shared" si="1531"/>
        <v>471.67054374999992</v>
      </c>
      <c r="DC90" s="934">
        <f t="shared" si="1531"/>
        <v>359.45021874999992</v>
      </c>
      <c r="DD90" s="934">
        <f t="shared" si="1531"/>
        <v>359.45021874999992</v>
      </c>
      <c r="DE90" s="934">
        <f t="shared" si="1531"/>
        <v>26535.142137662497</v>
      </c>
      <c r="DF90" s="934">
        <f t="shared" si="1531"/>
        <v>470.36510937499992</v>
      </c>
      <c r="DG90" s="934">
        <f t="shared" si="1531"/>
        <v>31942.381641437503</v>
      </c>
      <c r="DH90" s="934">
        <f t="shared" si="1531"/>
        <v>31977.102832337503</v>
      </c>
      <c r="DJ90" s="934">
        <f t="shared" si="1531"/>
        <v>10.25</v>
      </c>
      <c r="DK90" s="934">
        <f t="shared" si="1531"/>
        <v>1.4750000000000001</v>
      </c>
      <c r="DL90" s="934">
        <f t="shared" si="1531"/>
        <v>3451.09673475</v>
      </c>
      <c r="DM90" s="934">
        <f t="shared" si="1531"/>
        <v>3809.29001475</v>
      </c>
      <c r="DN90" s="934">
        <f t="shared" si="1531"/>
        <v>150.7944875</v>
      </c>
      <c r="DO90" s="934">
        <f t="shared" si="1531"/>
        <v>150.7944875</v>
      </c>
      <c r="DP90" s="934">
        <f t="shared" si="1531"/>
        <v>53</v>
      </c>
      <c r="DQ90" s="934">
        <f t="shared" si="1531"/>
        <v>5.2999999999999972</v>
      </c>
      <c r="DR90" s="934">
        <f t="shared" si="1531"/>
        <v>49.75</v>
      </c>
      <c r="DS90" s="934">
        <f t="shared" si="1531"/>
        <v>5.2999999999999972</v>
      </c>
      <c r="DT90" s="934">
        <f t="shared" si="1531"/>
        <v>53</v>
      </c>
      <c r="DU90" s="934">
        <f t="shared" si="1531"/>
        <v>0</v>
      </c>
      <c r="DV90" s="934">
        <f t="shared" si="1531"/>
        <v>53</v>
      </c>
      <c r="DW90" s="934">
        <f t="shared" si="1531"/>
        <v>0</v>
      </c>
      <c r="DX90" s="934">
        <f t="shared" si="1531"/>
        <v>0</v>
      </c>
      <c r="DY90" s="934">
        <f t="shared" si="1531"/>
        <v>53</v>
      </c>
      <c r="DZ90" s="934">
        <f t="shared" si="1531"/>
        <v>0</v>
      </c>
      <c r="EA90" s="934">
        <f t="shared" ref="EA90:EN90" si="1532">SUM(EA13:EA65)</f>
        <v>0</v>
      </c>
      <c r="EB90" s="934">
        <f t="shared" si="1532"/>
        <v>0</v>
      </c>
      <c r="EC90" s="934">
        <f t="shared" si="1532"/>
        <v>345.10967347499997</v>
      </c>
      <c r="ED90" s="934">
        <f t="shared" si="1532"/>
        <v>3626.6953935000006</v>
      </c>
      <c r="EE90" s="934">
        <f t="shared" si="1532"/>
        <v>0</v>
      </c>
      <c r="EF90" s="934">
        <f t="shared" si="1532"/>
        <v>0</v>
      </c>
      <c r="EG90" s="934">
        <f t="shared" si="1532"/>
        <v>0</v>
      </c>
      <c r="EH90" s="934">
        <f t="shared" si="1532"/>
        <v>0</v>
      </c>
      <c r="EI90" s="934">
        <f t="shared" si="1532"/>
        <v>14.144245249999999</v>
      </c>
      <c r="EJ90" s="934">
        <f t="shared" si="1532"/>
        <v>141.4424525</v>
      </c>
      <c r="EK90" s="934">
        <f t="shared" si="1532"/>
        <v>0</v>
      </c>
      <c r="EL90" s="934">
        <f t="shared" si="1532"/>
        <v>0</v>
      </c>
      <c r="EM90" s="934">
        <f t="shared" si="1532"/>
        <v>359.25391872499995</v>
      </c>
      <c r="EN90" s="934">
        <f t="shared" si="1532"/>
        <v>3768.1378460000001</v>
      </c>
      <c r="EP90" s="934">
        <f t="shared" ref="EP90:HA90" si="1533">SUM(EP13:EP65)</f>
        <v>2.2397225499999998</v>
      </c>
      <c r="EQ90" s="934">
        <f t="shared" si="1533"/>
        <v>6.2252000000000002E-3</v>
      </c>
      <c r="ER90" s="934">
        <f t="shared" si="1533"/>
        <v>35.404741500000007</v>
      </c>
      <c r="ES90" s="934">
        <f t="shared" si="1533"/>
        <v>0.18675599999999998</v>
      </c>
      <c r="ET90" s="934">
        <f t="shared" si="1533"/>
        <v>582.76047499999981</v>
      </c>
      <c r="EU90" s="934">
        <f t="shared" si="1533"/>
        <v>0</v>
      </c>
      <c r="EV90" s="934">
        <f t="shared" si="1533"/>
        <v>5.2402000000000004E-2</v>
      </c>
      <c r="EW90" s="934">
        <f t="shared" si="1533"/>
        <v>5.2402000000000004E-2</v>
      </c>
      <c r="EX90" s="934">
        <f t="shared" si="1533"/>
        <v>0.7860299999999999</v>
      </c>
      <c r="EY90" s="934">
        <f t="shared" si="1533"/>
        <v>0.7860299999999999</v>
      </c>
      <c r="EZ90" s="934">
        <f t="shared" si="1533"/>
        <v>14.410550000000001</v>
      </c>
      <c r="FA90" s="934">
        <f t="shared" si="1533"/>
        <v>14.410550000000001</v>
      </c>
      <c r="FB90" s="934">
        <f t="shared" si="1533"/>
        <v>26063.471593912498</v>
      </c>
      <c r="FC90" s="934">
        <f t="shared" si="1533"/>
        <v>26063.471593912498</v>
      </c>
      <c r="FD90" s="934">
        <f t="shared" si="1533"/>
        <v>471.67054374999992</v>
      </c>
      <c r="FE90" s="934">
        <f t="shared" si="1533"/>
        <v>471.67054374999992</v>
      </c>
      <c r="FF90" s="934">
        <f t="shared" si="1533"/>
        <v>31617.65261358751</v>
      </c>
      <c r="FG90" s="934">
        <f t="shared" si="1533"/>
        <v>31617.65261358751</v>
      </c>
      <c r="FH90" s="934">
        <f t="shared" si="1533"/>
        <v>359.45021874999992</v>
      </c>
      <c r="FI90" s="934">
        <f t="shared" si="1533"/>
        <v>359.45021874999992</v>
      </c>
      <c r="FJ90" s="934">
        <f t="shared" si="1533"/>
        <v>53</v>
      </c>
      <c r="FK90" s="934">
        <f t="shared" si="1533"/>
        <v>10.599999999999994</v>
      </c>
      <c r="FL90" s="934">
        <f t="shared" si="1533"/>
        <v>42.399999999999977</v>
      </c>
      <c r="FM90" s="934">
        <f t="shared" si="1533"/>
        <v>5.2999999999999972</v>
      </c>
      <c r="FN90" s="934">
        <f t="shared" si="1533"/>
        <v>49.75</v>
      </c>
      <c r="FO90" s="934">
        <f t="shared" si="1533"/>
        <v>5.2999999999999972</v>
      </c>
      <c r="FP90" s="934">
        <f t="shared" si="1533"/>
        <v>53</v>
      </c>
      <c r="FQ90" s="934">
        <f t="shared" si="1533"/>
        <v>53</v>
      </c>
      <c r="FR90" s="934">
        <f t="shared" si="1533"/>
        <v>0</v>
      </c>
      <c r="FS90" s="934">
        <f t="shared" si="1533"/>
        <v>5.300000000000004E-2</v>
      </c>
      <c r="FT90" s="934">
        <f t="shared" si="1533"/>
        <v>2.6499999999999986</v>
      </c>
      <c r="FU90" s="934">
        <f t="shared" si="1533"/>
        <v>2.6499999999999986</v>
      </c>
      <c r="FV90" s="934">
        <f t="shared" si="1533"/>
        <v>1.283924999999998</v>
      </c>
      <c r="FW90" s="934">
        <f t="shared" si="1533"/>
        <v>5.2999999999999972</v>
      </c>
      <c r="FX90" s="934">
        <f t="shared" si="1533"/>
        <v>4.7699999999999969</v>
      </c>
      <c r="FY90" s="934">
        <f t="shared" si="1533"/>
        <v>1.65</v>
      </c>
      <c r="FZ90" s="934">
        <f t="shared" si="1533"/>
        <v>0.18742500000000001</v>
      </c>
      <c r="GA90" s="934">
        <f t="shared" si="1533"/>
        <v>1.95</v>
      </c>
      <c r="GB90" s="934">
        <f t="shared" si="1533"/>
        <v>0.70500000000000018</v>
      </c>
      <c r="GC90" s="934">
        <f t="shared" si="1533"/>
        <v>2.2397225499999998</v>
      </c>
      <c r="GD90" s="934">
        <f t="shared" si="1533"/>
        <v>2.2435049500000002</v>
      </c>
      <c r="GE90" s="934">
        <f t="shared" si="1533"/>
        <v>35.404741500000007</v>
      </c>
      <c r="GF90" s="934">
        <f t="shared" si="1533"/>
        <v>35.518213500000009</v>
      </c>
      <c r="GG90" s="934">
        <f t="shared" si="1533"/>
        <v>116.55209499999998</v>
      </c>
      <c r="GH90" s="934">
        <f t="shared" si="1533"/>
        <v>466.20837999999992</v>
      </c>
      <c r="GI90" s="934">
        <f t="shared" si="1533"/>
        <v>5.2402000000000004E-2</v>
      </c>
      <c r="GJ90" s="934">
        <f t="shared" si="1533"/>
        <v>5.2402000000000004E-2</v>
      </c>
      <c r="GK90" s="934">
        <f t="shared" si="1533"/>
        <v>0.7860299999999999</v>
      </c>
      <c r="GL90" s="934">
        <f t="shared" si="1533"/>
        <v>0.7860299999999999</v>
      </c>
      <c r="GM90" s="934">
        <f t="shared" si="1533"/>
        <v>2.8821099999999999</v>
      </c>
      <c r="GN90" s="934">
        <f t="shared" si="1533"/>
        <v>11.52844</v>
      </c>
      <c r="GO90" s="934">
        <f t="shared" si="1533"/>
        <v>157.91710105000004</v>
      </c>
      <c r="GP90" s="934">
        <f t="shared" si="1533"/>
        <v>516.33697045000019</v>
      </c>
      <c r="GQ90" s="934">
        <f t="shared" si="1533"/>
        <v>193.45611790581557</v>
      </c>
      <c r="GR90" s="934">
        <f t="shared" si="1533"/>
        <v>4952.0596028433756</v>
      </c>
      <c r="GS90" s="934">
        <f t="shared" si="1533"/>
        <v>3.1614976424732504</v>
      </c>
      <c r="GT90" s="934">
        <f t="shared" si="1533"/>
        <v>1580.7488212366252</v>
      </c>
      <c r="GU90" s="934">
        <f t="shared" si="1533"/>
        <v>0</v>
      </c>
      <c r="GV90" s="934">
        <f t="shared" si="1533"/>
        <v>0</v>
      </c>
      <c r="GW90" s="934">
        <f t="shared" si="1533"/>
        <v>5.6703117811484383</v>
      </c>
      <c r="GX90" s="934">
        <f t="shared" si="1533"/>
        <v>76.485066710937488</v>
      </c>
      <c r="GY90" s="934">
        <f t="shared" si="1533"/>
        <v>1.6729331718749997E-2</v>
      </c>
      <c r="GZ90" s="934">
        <f t="shared" si="1533"/>
        <v>8.3646658593750001</v>
      </c>
      <c r="HA90" s="934">
        <f t="shared" si="1533"/>
        <v>0</v>
      </c>
      <c r="HB90" s="934">
        <f t="shared" ref="HB90:HD90" si="1534">SUM(HB13:HB65)</f>
        <v>0</v>
      </c>
      <c r="HC90" s="934">
        <f t="shared" si="1534"/>
        <v>202.30465666115595</v>
      </c>
      <c r="HD90" s="934">
        <f t="shared" si="1534"/>
        <v>6617.6581566503128</v>
      </c>
      <c r="HF90" s="934">
        <f t="shared" ref="HF90:HW90" si="1535">SUM(HF13:HF65)</f>
        <v>463.85373749999985</v>
      </c>
      <c r="HG90" s="934">
        <f t="shared" si="1535"/>
        <v>464.61021749999981</v>
      </c>
      <c r="HH90" s="934">
        <f t="shared" si="1535"/>
        <v>0</v>
      </c>
      <c r="HI90" s="934">
        <f t="shared" si="1535"/>
        <v>0</v>
      </c>
      <c r="HJ90" s="934">
        <f t="shared" si="1535"/>
        <v>325.72965000000005</v>
      </c>
      <c r="HK90" s="934">
        <f t="shared" si="1535"/>
        <v>325.72965000000005</v>
      </c>
      <c r="HL90" s="934">
        <f t="shared" si="1535"/>
        <v>0</v>
      </c>
      <c r="HM90" s="934">
        <f t="shared" si="1535"/>
        <v>0</v>
      </c>
      <c r="HN90" s="934">
        <f t="shared" si="1535"/>
        <v>684.97086222500013</v>
      </c>
      <c r="HO90" s="934">
        <f t="shared" si="1535"/>
        <v>4094.8760375000006</v>
      </c>
      <c r="HP90" s="934">
        <f t="shared" si="1535"/>
        <v>542.88274999999965</v>
      </c>
      <c r="HQ90" s="934">
        <f t="shared" si="1535"/>
        <v>542.88274999999965</v>
      </c>
      <c r="HR90" s="934">
        <f t="shared" si="1535"/>
        <v>241.70026187943725</v>
      </c>
      <c r="HS90" s="934">
        <f t="shared" si="1535"/>
        <v>6657.0742736003131</v>
      </c>
      <c r="HT90" s="934">
        <f t="shared" si="1535"/>
        <v>36.190771500000018</v>
      </c>
      <c r="HU90" s="934">
        <f t="shared" si="1535"/>
        <v>36.30424350000002</v>
      </c>
      <c r="HV90" s="934">
        <f t="shared" si="1535"/>
        <v>453.51609500000001</v>
      </c>
      <c r="HW90" s="934">
        <f t="shared" si="1535"/>
        <v>811.81871000000001</v>
      </c>
      <c r="IH90" s="934">
        <f t="shared" ref="IH90:KS90" si="1536">SUM(IH13:IH65)</f>
        <v>5.1023911125000012</v>
      </c>
      <c r="II90" s="934">
        <f t="shared" si="1536"/>
        <v>4.1746836375000012</v>
      </c>
      <c r="IJ90" s="934">
        <f t="shared" si="1536"/>
        <v>8.3493672750000023</v>
      </c>
      <c r="IK90" s="934">
        <f t="shared" si="1536"/>
        <v>4.1746836375000012</v>
      </c>
      <c r="IL90" s="934">
        <f t="shared" si="1536"/>
        <v>391.95640818749985</v>
      </c>
      <c r="IM90" s="934">
        <f t="shared" si="1536"/>
        <v>0.46385373749999975</v>
      </c>
      <c r="IN90" s="934">
        <f t="shared" si="1536"/>
        <v>0.46385373749999975</v>
      </c>
      <c r="IO90" s="934">
        <f t="shared" si="1536"/>
        <v>15.332137177499998</v>
      </c>
      <c r="IP90" s="934">
        <f t="shared" si="1536"/>
        <v>19.0490189175</v>
      </c>
      <c r="IQ90" s="934">
        <f t="shared" si="1536"/>
        <v>24.159731310000009</v>
      </c>
      <c r="IR90" s="934">
        <f t="shared" si="1536"/>
        <v>19.0490189175</v>
      </c>
      <c r="IS90" s="934">
        <f t="shared" si="1536"/>
        <v>393.52485422249987</v>
      </c>
      <c r="IT90" s="934">
        <f t="shared" si="1536"/>
        <v>4.6461021750000011</v>
      </c>
      <c r="IU90" s="934">
        <f t="shared" si="1536"/>
        <v>4.6461021750000011</v>
      </c>
      <c r="IV90" s="934">
        <f t="shared" si="1536"/>
        <v>0</v>
      </c>
      <c r="IW90" s="934">
        <f t="shared" si="1536"/>
        <v>0</v>
      </c>
      <c r="IX90" s="934">
        <f t="shared" si="1536"/>
        <v>0</v>
      </c>
      <c r="IY90" s="934">
        <f t="shared" si="1536"/>
        <v>0</v>
      </c>
      <c r="IZ90" s="934">
        <f t="shared" si="1536"/>
        <v>0</v>
      </c>
      <c r="JA90" s="934">
        <f t="shared" si="1536"/>
        <v>0</v>
      </c>
      <c r="JB90" s="934">
        <f t="shared" si="1536"/>
        <v>0</v>
      </c>
      <c r="JC90" s="934">
        <f t="shared" si="1536"/>
        <v>0</v>
      </c>
      <c r="JD90" s="934">
        <f t="shared" si="1536"/>
        <v>0</v>
      </c>
      <c r="JE90" s="934">
        <f t="shared" si="1536"/>
        <v>0</v>
      </c>
      <c r="JF90" s="934">
        <f t="shared" si="1536"/>
        <v>0</v>
      </c>
      <c r="JG90" s="934">
        <f t="shared" si="1536"/>
        <v>0</v>
      </c>
      <c r="JH90" s="934">
        <f t="shared" si="1536"/>
        <v>0</v>
      </c>
      <c r="JI90" s="934">
        <f t="shared" si="1536"/>
        <v>0</v>
      </c>
      <c r="JJ90" s="934">
        <f t="shared" si="1536"/>
        <v>3.583026150000002</v>
      </c>
      <c r="JK90" s="934">
        <f t="shared" si="1536"/>
        <v>2.9315668500000016</v>
      </c>
      <c r="JL90" s="934">
        <f t="shared" si="1536"/>
        <v>5.8631337000000032</v>
      </c>
      <c r="JM90" s="934">
        <f t="shared" si="1536"/>
        <v>2.9315668500000016</v>
      </c>
      <c r="JN90" s="934">
        <f t="shared" si="1536"/>
        <v>275.24155425000004</v>
      </c>
      <c r="JO90" s="934">
        <f t="shared" si="1536"/>
        <v>0.32572965000000009</v>
      </c>
      <c r="JP90" s="934">
        <f t="shared" si="1536"/>
        <v>0.32572965000000009</v>
      </c>
      <c r="JQ90" s="934">
        <f t="shared" si="1536"/>
        <v>10.749078450000006</v>
      </c>
      <c r="JR90" s="934">
        <f t="shared" si="1536"/>
        <v>13.354915649999999</v>
      </c>
      <c r="JS90" s="934">
        <f t="shared" si="1536"/>
        <v>16.937941800000004</v>
      </c>
      <c r="JT90" s="934">
        <f t="shared" si="1536"/>
        <v>13.354915649999999</v>
      </c>
      <c r="JU90" s="934">
        <f t="shared" si="1536"/>
        <v>275.89301355000003</v>
      </c>
      <c r="JV90" s="934">
        <f t="shared" si="1536"/>
        <v>3.2572965000000025</v>
      </c>
      <c r="JW90" s="934">
        <f t="shared" si="1536"/>
        <v>3.2572965000000025</v>
      </c>
      <c r="JX90" s="934">
        <f t="shared" si="1536"/>
        <v>0</v>
      </c>
      <c r="JY90" s="934">
        <f t="shared" si="1536"/>
        <v>0</v>
      </c>
      <c r="JZ90" s="934">
        <f t="shared" si="1536"/>
        <v>0</v>
      </c>
      <c r="KA90" s="934">
        <f t="shared" si="1536"/>
        <v>0</v>
      </c>
      <c r="KB90" s="934">
        <f t="shared" si="1536"/>
        <v>0</v>
      </c>
      <c r="KC90" s="934">
        <f t="shared" si="1536"/>
        <v>0</v>
      </c>
      <c r="KD90" s="934">
        <f t="shared" si="1536"/>
        <v>0</v>
      </c>
      <c r="KE90" s="934">
        <f t="shared" si="1536"/>
        <v>0</v>
      </c>
      <c r="KF90" s="934">
        <f t="shared" si="1536"/>
        <v>0</v>
      </c>
      <c r="KG90" s="934">
        <f t="shared" si="1536"/>
        <v>0</v>
      </c>
      <c r="KH90" s="934">
        <f t="shared" si="1536"/>
        <v>0</v>
      </c>
      <c r="KI90" s="934">
        <f t="shared" si="1536"/>
        <v>0</v>
      </c>
      <c r="KJ90" s="934">
        <f t="shared" si="1536"/>
        <v>0</v>
      </c>
      <c r="KK90" s="934">
        <f t="shared" si="1536"/>
        <v>0</v>
      </c>
      <c r="KL90" s="934">
        <f t="shared" si="1536"/>
        <v>7.5346794844750011</v>
      </c>
      <c r="KM90" s="934">
        <f t="shared" si="1536"/>
        <v>6.164737760025</v>
      </c>
      <c r="KN90" s="934">
        <f t="shared" si="1536"/>
        <v>12.32947552005</v>
      </c>
      <c r="KO90" s="934">
        <f t="shared" si="1536"/>
        <v>6.164737760025</v>
      </c>
      <c r="KP90" s="934">
        <f t="shared" si="1536"/>
        <v>578.80037858012497</v>
      </c>
      <c r="KQ90" s="934">
        <f t="shared" si="1536"/>
        <v>0.68497086222500003</v>
      </c>
      <c r="KR90" s="934">
        <f t="shared" si="1536"/>
        <v>0.68497086222500003</v>
      </c>
      <c r="KS90" s="934">
        <f t="shared" si="1536"/>
        <v>135.13090923750005</v>
      </c>
      <c r="KT90" s="934">
        <f t="shared" ref="KT90:NC90" si="1537">SUM(KT13:KT65)</f>
        <v>167.88991753750003</v>
      </c>
      <c r="KU90" s="934">
        <f t="shared" si="1537"/>
        <v>212.93355395000006</v>
      </c>
      <c r="KV90" s="934">
        <f t="shared" si="1537"/>
        <v>167.88991753750003</v>
      </c>
      <c r="KW90" s="934">
        <f t="shared" si="1537"/>
        <v>3468.360003762501</v>
      </c>
      <c r="KX90" s="934">
        <f t="shared" si="1537"/>
        <v>40.948760375000006</v>
      </c>
      <c r="KY90" s="934">
        <f t="shared" si="1537"/>
        <v>40.948760375000006</v>
      </c>
      <c r="KZ90" s="934">
        <f t="shared" si="1537"/>
        <v>5.9717102500000028</v>
      </c>
      <c r="LA90" s="934">
        <f t="shared" si="1537"/>
        <v>4.8859447500000037</v>
      </c>
      <c r="LB90" s="934">
        <f t="shared" si="1537"/>
        <v>9.7718895000000074</v>
      </c>
      <c r="LC90" s="934">
        <f t="shared" si="1537"/>
        <v>4.8859447500000037</v>
      </c>
      <c r="LD90" s="934">
        <f t="shared" si="1537"/>
        <v>458.73592374999998</v>
      </c>
      <c r="LE90" s="934">
        <f t="shared" si="1537"/>
        <v>0.54288275000000008</v>
      </c>
      <c r="LF90" s="934">
        <f t="shared" si="1537"/>
        <v>0.54288275000000008</v>
      </c>
      <c r="LG90" s="934">
        <f t="shared" si="1537"/>
        <v>17.915130750000007</v>
      </c>
      <c r="LH90" s="934">
        <f t="shared" si="1537"/>
        <v>22.25819275000001</v>
      </c>
      <c r="LI90" s="934">
        <f t="shared" si="1537"/>
        <v>28.229903000000014</v>
      </c>
      <c r="LJ90" s="934">
        <f t="shared" si="1537"/>
        <v>22.25819275000001</v>
      </c>
      <c r="LK90" s="934">
        <f t="shared" si="1537"/>
        <v>459.82168924999991</v>
      </c>
      <c r="LL90" s="934">
        <f t="shared" si="1537"/>
        <v>5.4288275000000024</v>
      </c>
      <c r="LM90" s="934">
        <f t="shared" si="1537"/>
        <v>5.4288275000000024</v>
      </c>
      <c r="LN90" s="934">
        <f t="shared" si="1537"/>
        <v>0.26587028806738094</v>
      </c>
      <c r="LO90" s="934">
        <f t="shared" si="1537"/>
        <v>7.2510078563831154E-2</v>
      </c>
      <c r="LP90" s="934">
        <f t="shared" si="1537"/>
        <v>1.23267133558513</v>
      </c>
      <c r="LQ90" s="934">
        <f t="shared" si="1537"/>
        <v>1.9819421474113847</v>
      </c>
      <c r="LR90" s="934">
        <f t="shared" si="1537"/>
        <v>193.36020950354978</v>
      </c>
      <c r="LS90" s="934">
        <f t="shared" si="1537"/>
        <v>2.1027922783511035</v>
      </c>
      <c r="LT90" s="934">
        <f t="shared" si="1537"/>
        <v>0.24170026187943724</v>
      </c>
      <c r="LU90" s="934">
        <f t="shared" si="1537"/>
        <v>399.4244564160187</v>
      </c>
      <c r="LV90" s="934">
        <f t="shared" si="1537"/>
        <v>199.71222820800935</v>
      </c>
      <c r="LW90" s="934">
        <f t="shared" si="1537"/>
        <v>465.99519915202183</v>
      </c>
      <c r="LX90" s="934">
        <f t="shared" si="1537"/>
        <v>399.4244564160187</v>
      </c>
      <c r="LY90" s="934">
        <f t="shared" si="1537"/>
        <v>6583.8464565907116</v>
      </c>
      <c r="LZ90" s="934">
        <f t="shared" si="1537"/>
        <v>66.57074273600314</v>
      </c>
      <c r="MA90" s="934">
        <f t="shared" si="1537"/>
        <v>66.57074273600314</v>
      </c>
      <c r="MB90" s="934">
        <f t="shared" si="1537"/>
        <v>3.9809848649999993E-2</v>
      </c>
      <c r="MC90" s="934">
        <f t="shared" si="1537"/>
        <v>1.0857231449999999E-2</v>
      </c>
      <c r="MD90" s="934">
        <f t="shared" si="1537"/>
        <v>0.18457293464999996</v>
      </c>
      <c r="ME90" s="934">
        <f t="shared" si="1537"/>
        <v>0.29676432629999994</v>
      </c>
      <c r="MF90" s="934">
        <f t="shared" si="1537"/>
        <v>28.952617200000006</v>
      </c>
      <c r="MG90" s="934">
        <f t="shared" si="1537"/>
        <v>0.3148597120499998</v>
      </c>
      <c r="MH90" s="934">
        <f t="shared" si="1537"/>
        <v>3.619077150000001E-2</v>
      </c>
      <c r="MI90" s="934">
        <f t="shared" si="1537"/>
        <v>2.1782546099999993</v>
      </c>
      <c r="MJ90" s="934">
        <f t="shared" si="1537"/>
        <v>1.0891273049999997</v>
      </c>
      <c r="MK90" s="934">
        <f t="shared" si="1537"/>
        <v>2.5412970450000016</v>
      </c>
      <c r="ML90" s="934">
        <f t="shared" si="1537"/>
        <v>2.1782546099999993</v>
      </c>
      <c r="MM90" s="934">
        <f t="shared" si="1537"/>
        <v>35.904896821499989</v>
      </c>
      <c r="MN90" s="934">
        <f t="shared" si="1537"/>
        <v>0.36304243500000005</v>
      </c>
      <c r="MO90" s="934">
        <f t="shared" si="1537"/>
        <v>0.36304243500000005</v>
      </c>
      <c r="MP90" s="934">
        <f t="shared" si="1537"/>
        <v>0.49886770450000001</v>
      </c>
      <c r="MQ90" s="934">
        <f t="shared" si="1537"/>
        <v>0.1360548285</v>
      </c>
      <c r="MR90" s="934">
        <f t="shared" si="1537"/>
        <v>2.3129320844999999</v>
      </c>
      <c r="MS90" s="934">
        <f t="shared" si="1537"/>
        <v>3.7188319790000004</v>
      </c>
      <c r="MT90" s="934">
        <f t="shared" si="1537"/>
        <v>362.81287600000002</v>
      </c>
      <c r="MU90" s="934">
        <f t="shared" si="1537"/>
        <v>3.9455900264999992</v>
      </c>
      <c r="MV90" s="934">
        <f t="shared" si="1537"/>
        <v>0.45351609500000001</v>
      </c>
      <c r="MW90" s="934">
        <f t="shared" si="1537"/>
        <v>48.709122599999986</v>
      </c>
      <c r="MX90" s="934">
        <f t="shared" si="1537"/>
        <v>24.354561299999993</v>
      </c>
      <c r="MY90" s="934">
        <f t="shared" si="1537"/>
        <v>56.827309699999994</v>
      </c>
      <c r="MZ90" s="934">
        <f t="shared" si="1537"/>
        <v>48.709122599999986</v>
      </c>
      <c r="NA90" s="934">
        <f t="shared" si="1537"/>
        <v>802.88870419</v>
      </c>
      <c r="NB90" s="934">
        <f t="shared" si="1537"/>
        <v>8.1181871000000001</v>
      </c>
      <c r="NC90" s="934">
        <f t="shared" si="1537"/>
        <v>8.1181871000000001</v>
      </c>
    </row>
    <row r="92" spans="1:376" ht="19" thickBot="1" x14ac:dyDescent="0.3"/>
    <row r="93" spans="1:376" ht="27" x14ac:dyDescent="0.4">
      <c r="N93" s="1155" t="s">
        <v>1641</v>
      </c>
      <c r="O93" s="1156"/>
      <c r="P93" s="1156"/>
      <c r="Q93" s="1156"/>
      <c r="R93" s="1156"/>
      <c r="S93" s="1156"/>
      <c r="T93" s="1156"/>
      <c r="U93" s="1156"/>
      <c r="V93" s="1156"/>
      <c r="W93" s="1156"/>
      <c r="X93" s="1156"/>
      <c r="Y93" s="1156"/>
      <c r="Z93" s="1156"/>
      <c r="AA93" s="489"/>
      <c r="AB93" s="489"/>
      <c r="AC93" s="489"/>
    </row>
    <row r="94" spans="1:376" x14ac:dyDescent="0.25">
      <c r="N94" s="1215" t="s">
        <v>392</v>
      </c>
      <c r="O94" s="1164"/>
      <c r="P94" s="1164"/>
      <c r="Q94" s="380"/>
      <c r="R94" s="1164" t="s">
        <v>40</v>
      </c>
      <c r="S94" s="1164"/>
      <c r="T94" s="1164"/>
      <c r="U94" s="380"/>
      <c r="V94" s="1164" t="s">
        <v>46</v>
      </c>
      <c r="W94" s="1164"/>
      <c r="X94" s="1164"/>
      <c r="Y94" s="380"/>
      <c r="Z94" s="1164" t="s">
        <v>0</v>
      </c>
      <c r="AA94" s="1212"/>
      <c r="AB94" s="1212"/>
      <c r="AC94" s="1212"/>
    </row>
    <row r="95" spans="1:376" x14ac:dyDescent="0.25">
      <c r="N95" s="1215"/>
      <c r="O95" s="1164"/>
      <c r="P95" s="1164"/>
      <c r="Q95" s="380"/>
      <c r="R95" s="1164"/>
      <c r="S95" s="1164"/>
      <c r="T95" s="1164"/>
      <c r="U95" s="380"/>
      <c r="V95" s="1164"/>
      <c r="W95" s="1164"/>
      <c r="X95" s="1164"/>
      <c r="Y95" s="380"/>
      <c r="Z95" s="1164"/>
      <c r="AA95" s="1212"/>
      <c r="AB95" s="1212"/>
      <c r="AC95" s="1212"/>
    </row>
    <row r="96" spans="1:376" ht="36" x14ac:dyDescent="0.25">
      <c r="M96" s="51" t="s">
        <v>1</v>
      </c>
      <c r="N96" s="50" t="s">
        <v>47</v>
      </c>
      <c r="O96" s="51" t="s">
        <v>48</v>
      </c>
      <c r="P96" s="51" t="s">
        <v>49</v>
      </c>
      <c r="Q96" s="51" t="s">
        <v>703</v>
      </c>
      <c r="R96" s="51" t="s">
        <v>47</v>
      </c>
      <c r="S96" s="51" t="s">
        <v>48</v>
      </c>
      <c r="T96" s="51" t="s">
        <v>49</v>
      </c>
      <c r="U96" s="51" t="s">
        <v>703</v>
      </c>
      <c r="V96" s="51" t="s">
        <v>47</v>
      </c>
      <c r="W96" s="51" t="s">
        <v>48</v>
      </c>
      <c r="X96" s="51" t="s">
        <v>49</v>
      </c>
      <c r="Y96" s="51" t="s">
        <v>703</v>
      </c>
      <c r="Z96" s="51"/>
      <c r="AA96" s="490"/>
      <c r="AB96" s="490"/>
      <c r="AC96" s="490"/>
    </row>
    <row r="97" spans="13:26" x14ac:dyDescent="0.25">
      <c r="M97" s="18">
        <v>1958</v>
      </c>
      <c r="N97" s="190">
        <v>8.0999999999999996E-3</v>
      </c>
      <c r="O97" s="194">
        <v>0</v>
      </c>
      <c r="P97" s="194">
        <v>6.0000000000000001E-3</v>
      </c>
      <c r="Q97" s="191">
        <v>0</v>
      </c>
      <c r="R97" s="47">
        <v>0</v>
      </c>
      <c r="S97" s="47">
        <f>0.6%-0.06%</f>
        <v>5.4000000000000003E-3</v>
      </c>
      <c r="T97" s="47">
        <v>0.01</v>
      </c>
      <c r="U97" s="47">
        <v>1.8E-3</v>
      </c>
      <c r="V97" s="117">
        <v>4.0000000000000003E-5</v>
      </c>
      <c r="W97" s="47">
        <v>5.9999999999999995E-4</v>
      </c>
      <c r="X97" s="52">
        <v>1.0999999999999999E-2</v>
      </c>
      <c r="Y97" s="52">
        <v>2.0199999999999999E-2</v>
      </c>
      <c r="Z97" s="111">
        <v>6.3E-2</v>
      </c>
    </row>
    <row r="98" spans="13:26" x14ac:dyDescent="0.25">
      <c r="M98" s="18">
        <v>1959</v>
      </c>
      <c r="N98" s="193">
        <v>8.0999999999999996E-3</v>
      </c>
      <c r="O98" s="47">
        <v>0</v>
      </c>
      <c r="P98" s="47">
        <v>6.0000000000000001E-3</v>
      </c>
      <c r="Q98" s="192">
        <v>0</v>
      </c>
      <c r="R98" s="47">
        <v>0</v>
      </c>
      <c r="S98" s="47">
        <f t="shared" ref="S98:S141" si="1538">0.6%-0.06%</f>
        <v>5.4000000000000003E-3</v>
      </c>
      <c r="T98" s="47">
        <v>0.01</v>
      </c>
      <c r="U98" s="47">
        <v>1.8E-3</v>
      </c>
      <c r="V98" s="117">
        <v>4.0000000000000003E-5</v>
      </c>
      <c r="W98" s="47">
        <v>5.9999999999999995E-4</v>
      </c>
      <c r="X98" s="52">
        <v>1.0999999999999999E-2</v>
      </c>
      <c r="Y98" s="52">
        <v>2.0199999999999999E-2</v>
      </c>
      <c r="Z98" s="111">
        <v>6.3E-2</v>
      </c>
    </row>
    <row r="99" spans="13:26" x14ac:dyDescent="0.25">
      <c r="M99" s="18">
        <v>1960</v>
      </c>
      <c r="N99" s="193">
        <v>8.0999999999999996E-3</v>
      </c>
      <c r="O99" s="47">
        <v>0</v>
      </c>
      <c r="P99" s="47">
        <v>6.0000000000000001E-3</v>
      </c>
      <c r="Q99" s="192">
        <v>0</v>
      </c>
      <c r="R99" s="47">
        <v>0</v>
      </c>
      <c r="S99" s="47">
        <f t="shared" si="1538"/>
        <v>5.4000000000000003E-3</v>
      </c>
      <c r="T99" s="47">
        <v>0.01</v>
      </c>
      <c r="U99" s="47">
        <v>1.8E-3</v>
      </c>
      <c r="V99" s="117">
        <v>4.0000000000000003E-5</v>
      </c>
      <c r="W99" s="47">
        <v>5.9999999999999995E-4</v>
      </c>
      <c r="X99" s="52">
        <v>1.0999999999999999E-2</v>
      </c>
      <c r="Y99" s="52">
        <v>2.0199999999999999E-2</v>
      </c>
      <c r="Z99" s="111">
        <v>6.3E-2</v>
      </c>
    </row>
    <row r="100" spans="13:26" x14ac:dyDescent="0.25">
      <c r="M100" s="18">
        <v>1961</v>
      </c>
      <c r="N100" s="193">
        <v>8.0999999999999996E-3</v>
      </c>
      <c r="O100" s="47">
        <v>0</v>
      </c>
      <c r="P100" s="47">
        <v>6.0000000000000001E-3</v>
      </c>
      <c r="Q100" s="192">
        <v>0</v>
      </c>
      <c r="R100" s="47">
        <v>0</v>
      </c>
      <c r="S100" s="47">
        <f t="shared" si="1538"/>
        <v>5.4000000000000003E-3</v>
      </c>
      <c r="T100" s="47">
        <v>0.01</v>
      </c>
      <c r="U100" s="47">
        <v>1.8E-3</v>
      </c>
      <c r="V100" s="117">
        <v>4.0000000000000003E-5</v>
      </c>
      <c r="W100" s="47">
        <v>5.9999999999999995E-4</v>
      </c>
      <c r="X100" s="52">
        <v>1.0999999999999999E-2</v>
      </c>
      <c r="Y100" s="52">
        <v>2.0199999999999999E-2</v>
      </c>
      <c r="Z100" s="111">
        <v>6.3E-2</v>
      </c>
    </row>
    <row r="101" spans="13:26" x14ac:dyDescent="0.25">
      <c r="M101" s="18">
        <v>1962</v>
      </c>
      <c r="N101" s="193">
        <v>8.0999999999999996E-3</v>
      </c>
      <c r="O101" s="47">
        <v>0</v>
      </c>
      <c r="P101" s="47">
        <v>6.0000000000000001E-3</v>
      </c>
      <c r="Q101" s="192">
        <v>0</v>
      </c>
      <c r="R101" s="47">
        <v>0</v>
      </c>
      <c r="S101" s="47">
        <f t="shared" si="1538"/>
        <v>5.4000000000000003E-3</v>
      </c>
      <c r="T101" s="47">
        <v>0.01</v>
      </c>
      <c r="U101" s="47">
        <v>1.8E-3</v>
      </c>
      <c r="V101" s="117">
        <v>4.0000000000000003E-5</v>
      </c>
      <c r="W101" s="47">
        <v>5.9999999999999995E-4</v>
      </c>
      <c r="X101" s="52">
        <v>1.0999999999999999E-2</v>
      </c>
      <c r="Y101" s="52">
        <v>2.0199999999999999E-2</v>
      </c>
      <c r="Z101" s="111">
        <v>6.3E-2</v>
      </c>
    </row>
    <row r="102" spans="13:26" x14ac:dyDescent="0.25">
      <c r="M102" s="18">
        <v>1963</v>
      </c>
      <c r="N102" s="193">
        <v>8.0999999999999996E-3</v>
      </c>
      <c r="O102" s="47">
        <v>0</v>
      </c>
      <c r="P102" s="47">
        <v>6.0000000000000001E-3</v>
      </c>
      <c r="Q102" s="192">
        <v>0</v>
      </c>
      <c r="R102" s="47">
        <v>0</v>
      </c>
      <c r="S102" s="47">
        <f t="shared" si="1538"/>
        <v>5.4000000000000003E-3</v>
      </c>
      <c r="T102" s="47">
        <v>0.01</v>
      </c>
      <c r="U102" s="47">
        <v>1.8E-3</v>
      </c>
      <c r="V102" s="117">
        <v>4.0000000000000003E-5</v>
      </c>
      <c r="W102" s="47">
        <v>5.9999999999999995E-4</v>
      </c>
      <c r="X102" s="52">
        <v>1.0999999999999999E-2</v>
      </c>
      <c r="Y102" s="52">
        <v>2.0199999999999999E-2</v>
      </c>
      <c r="Z102" s="111">
        <v>6.3E-2</v>
      </c>
    </row>
    <row r="103" spans="13:26" x14ac:dyDescent="0.25">
      <c r="M103" s="18">
        <v>1964</v>
      </c>
      <c r="N103" s="193">
        <v>8.0999999999999996E-3</v>
      </c>
      <c r="O103" s="47">
        <v>0</v>
      </c>
      <c r="P103" s="47">
        <v>6.0000000000000001E-3</v>
      </c>
      <c r="Q103" s="192">
        <v>0</v>
      </c>
      <c r="R103" s="47">
        <v>0</v>
      </c>
      <c r="S103" s="47">
        <f t="shared" si="1538"/>
        <v>5.4000000000000003E-3</v>
      </c>
      <c r="T103" s="47">
        <v>0.01</v>
      </c>
      <c r="U103" s="47">
        <v>1.8E-3</v>
      </c>
      <c r="V103" s="117">
        <v>4.0000000000000003E-5</v>
      </c>
      <c r="W103" s="47">
        <v>5.9999999999999995E-4</v>
      </c>
      <c r="X103" s="52">
        <v>1.0999999999999999E-2</v>
      </c>
      <c r="Y103" s="52">
        <v>2.0199999999999999E-2</v>
      </c>
      <c r="Z103" s="111">
        <v>6.3E-2</v>
      </c>
    </row>
    <row r="104" spans="13:26" x14ac:dyDescent="0.25">
      <c r="M104" s="18">
        <v>1965</v>
      </c>
      <c r="N104" s="193">
        <v>8.0999999999999996E-3</v>
      </c>
      <c r="O104" s="47">
        <v>0</v>
      </c>
      <c r="P104" s="47">
        <v>6.0000000000000001E-3</v>
      </c>
      <c r="Q104" s="192">
        <v>0</v>
      </c>
      <c r="R104" s="47">
        <v>0</v>
      </c>
      <c r="S104" s="47">
        <f t="shared" si="1538"/>
        <v>5.4000000000000003E-3</v>
      </c>
      <c r="T104" s="47">
        <v>0.01</v>
      </c>
      <c r="U104" s="47">
        <v>1.8E-3</v>
      </c>
      <c r="V104" s="117">
        <v>4.0000000000000003E-5</v>
      </c>
      <c r="W104" s="47">
        <v>5.9999999999999995E-4</v>
      </c>
      <c r="X104" s="52">
        <v>1.0999999999999999E-2</v>
      </c>
      <c r="Y104" s="52">
        <v>2.0199999999999999E-2</v>
      </c>
      <c r="Z104" s="111">
        <v>6.3E-2</v>
      </c>
    </row>
    <row r="105" spans="13:26" x14ac:dyDescent="0.25">
      <c r="M105" s="18">
        <v>1966</v>
      </c>
      <c r="N105" s="193">
        <v>8.0999999999999996E-3</v>
      </c>
      <c r="O105" s="47">
        <v>0</v>
      </c>
      <c r="P105" s="47">
        <v>6.0000000000000001E-3</v>
      </c>
      <c r="Q105" s="192">
        <v>0</v>
      </c>
      <c r="R105" s="47">
        <v>0</v>
      </c>
      <c r="S105" s="47">
        <f t="shared" si="1538"/>
        <v>5.4000000000000003E-3</v>
      </c>
      <c r="T105" s="47">
        <v>0.01</v>
      </c>
      <c r="U105" s="47">
        <v>1.8E-3</v>
      </c>
      <c r="V105" s="117">
        <v>4.0000000000000003E-5</v>
      </c>
      <c r="W105" s="47">
        <v>5.9999999999999995E-4</v>
      </c>
      <c r="X105" s="52">
        <v>1.0999999999999999E-2</v>
      </c>
      <c r="Y105" s="52">
        <v>2.0199999999999999E-2</v>
      </c>
      <c r="Z105" s="111">
        <v>6.3E-2</v>
      </c>
    </row>
    <row r="106" spans="13:26" x14ac:dyDescent="0.25">
      <c r="M106" s="18">
        <v>1967</v>
      </c>
      <c r="N106" s="193">
        <v>8.0999999999999996E-3</v>
      </c>
      <c r="O106" s="47">
        <v>0</v>
      </c>
      <c r="P106" s="47">
        <v>6.0000000000000001E-3</v>
      </c>
      <c r="Q106" s="192">
        <v>0</v>
      </c>
      <c r="R106" s="47">
        <v>0</v>
      </c>
      <c r="S106" s="47">
        <f t="shared" si="1538"/>
        <v>5.4000000000000003E-3</v>
      </c>
      <c r="T106" s="47">
        <v>0.01</v>
      </c>
      <c r="U106" s="47">
        <v>1.8E-3</v>
      </c>
      <c r="V106" s="117">
        <v>4.0000000000000003E-5</v>
      </c>
      <c r="W106" s="47">
        <v>5.9999999999999995E-4</v>
      </c>
      <c r="X106" s="52">
        <v>1.0999999999999999E-2</v>
      </c>
      <c r="Y106" s="52">
        <v>2.0199999999999999E-2</v>
      </c>
      <c r="Z106" s="111">
        <v>6.3E-2</v>
      </c>
    </row>
    <row r="107" spans="13:26" x14ac:dyDescent="0.25">
      <c r="M107" s="18">
        <v>1968</v>
      </c>
      <c r="N107" s="193">
        <v>8.0999999999999996E-3</v>
      </c>
      <c r="O107" s="47">
        <v>0</v>
      </c>
      <c r="P107" s="47">
        <v>6.0000000000000001E-3</v>
      </c>
      <c r="Q107" s="192">
        <v>0</v>
      </c>
      <c r="R107" s="47">
        <v>0</v>
      </c>
      <c r="S107" s="47">
        <f t="shared" si="1538"/>
        <v>5.4000000000000003E-3</v>
      </c>
      <c r="T107" s="47">
        <v>0.01</v>
      </c>
      <c r="U107" s="47">
        <v>1.8E-3</v>
      </c>
      <c r="V107" s="117">
        <v>4.0000000000000003E-5</v>
      </c>
      <c r="W107" s="47">
        <v>5.9999999999999995E-4</v>
      </c>
      <c r="X107" s="52">
        <v>1.0999999999999999E-2</v>
      </c>
      <c r="Y107" s="52">
        <v>2.0199999999999999E-2</v>
      </c>
      <c r="Z107" s="111">
        <v>6.3E-2</v>
      </c>
    </row>
    <row r="108" spans="13:26" x14ac:dyDescent="0.25">
      <c r="M108" s="18">
        <v>1969</v>
      </c>
      <c r="N108" s="193">
        <v>8.0999999999999996E-3</v>
      </c>
      <c r="O108" s="47">
        <v>0</v>
      </c>
      <c r="P108" s="47">
        <v>6.0000000000000001E-3</v>
      </c>
      <c r="Q108" s="192">
        <v>0</v>
      </c>
      <c r="R108" s="47">
        <v>0</v>
      </c>
      <c r="S108" s="47">
        <f t="shared" si="1538"/>
        <v>5.4000000000000003E-3</v>
      </c>
      <c r="T108" s="47">
        <v>0.01</v>
      </c>
      <c r="U108" s="47">
        <v>1.8E-3</v>
      </c>
      <c r="V108" s="117">
        <v>4.0000000000000003E-5</v>
      </c>
      <c r="W108" s="47">
        <v>5.9999999999999995E-4</v>
      </c>
      <c r="X108" s="52">
        <v>1.0999999999999999E-2</v>
      </c>
      <c r="Y108" s="52">
        <v>2.0199999999999999E-2</v>
      </c>
      <c r="Z108" s="111">
        <v>6.3E-2</v>
      </c>
    </row>
    <row r="109" spans="13:26" x14ac:dyDescent="0.25">
      <c r="M109" s="18">
        <v>1970</v>
      </c>
      <c r="N109" s="193">
        <v>8.0999999999999996E-3</v>
      </c>
      <c r="O109" s="47">
        <v>0</v>
      </c>
      <c r="P109" s="47">
        <v>6.0000000000000001E-3</v>
      </c>
      <c r="Q109" s="192">
        <v>0</v>
      </c>
      <c r="R109" s="47">
        <v>0</v>
      </c>
      <c r="S109" s="47">
        <f t="shared" si="1538"/>
        <v>5.4000000000000003E-3</v>
      </c>
      <c r="T109" s="47">
        <v>0.01</v>
      </c>
      <c r="U109" s="47">
        <v>1.8E-3</v>
      </c>
      <c r="V109" s="117">
        <v>4.0000000000000003E-5</v>
      </c>
      <c r="W109" s="47">
        <v>5.9999999999999995E-4</v>
      </c>
      <c r="X109" s="52">
        <v>1.0999999999999999E-2</v>
      </c>
      <c r="Y109" s="52">
        <v>2.0199999999999999E-2</v>
      </c>
      <c r="Z109" s="111">
        <v>6.3E-2</v>
      </c>
    </row>
    <row r="110" spans="13:26" x14ac:dyDescent="0.25">
      <c r="M110" s="18">
        <v>1971</v>
      </c>
      <c r="N110" s="193">
        <v>8.0999999999999996E-3</v>
      </c>
      <c r="O110" s="47">
        <v>0</v>
      </c>
      <c r="P110" s="47">
        <v>6.0000000000000001E-3</v>
      </c>
      <c r="Q110" s="192">
        <v>0</v>
      </c>
      <c r="R110" s="47">
        <v>0</v>
      </c>
      <c r="S110" s="47">
        <f t="shared" si="1538"/>
        <v>5.4000000000000003E-3</v>
      </c>
      <c r="T110" s="47">
        <v>0.01</v>
      </c>
      <c r="U110" s="47">
        <v>1.8E-3</v>
      </c>
      <c r="V110" s="117">
        <v>4.0000000000000003E-5</v>
      </c>
      <c r="W110" s="47">
        <v>5.9999999999999995E-4</v>
      </c>
      <c r="X110" s="52">
        <v>1.0999999999999999E-2</v>
      </c>
      <c r="Y110" s="52">
        <v>2.0199999999999999E-2</v>
      </c>
      <c r="Z110" s="111">
        <v>6.3E-2</v>
      </c>
    </row>
    <row r="111" spans="13:26" x14ac:dyDescent="0.25">
      <c r="M111" s="18">
        <v>1972</v>
      </c>
      <c r="N111" s="193">
        <v>8.0999999999999996E-3</v>
      </c>
      <c r="O111" s="47">
        <v>0</v>
      </c>
      <c r="P111" s="47">
        <v>6.0000000000000001E-3</v>
      </c>
      <c r="Q111" s="192">
        <v>0</v>
      </c>
      <c r="R111" s="47">
        <v>0</v>
      </c>
      <c r="S111" s="47">
        <f t="shared" si="1538"/>
        <v>5.4000000000000003E-3</v>
      </c>
      <c r="T111" s="47">
        <v>0.01</v>
      </c>
      <c r="U111" s="47">
        <v>1.8E-3</v>
      </c>
      <c r="V111" s="117">
        <v>4.0000000000000003E-5</v>
      </c>
      <c r="W111" s="47">
        <v>5.9999999999999995E-4</v>
      </c>
      <c r="X111" s="52">
        <v>1.0999999999999999E-2</v>
      </c>
      <c r="Y111" s="52">
        <v>2.0199999999999999E-2</v>
      </c>
      <c r="Z111" s="111">
        <v>6.3E-2</v>
      </c>
    </row>
    <row r="112" spans="13:26" x14ac:dyDescent="0.25">
      <c r="M112" s="18">
        <v>1973</v>
      </c>
      <c r="N112" s="193">
        <v>8.0999999999999996E-3</v>
      </c>
      <c r="O112" s="47">
        <v>0</v>
      </c>
      <c r="P112" s="47">
        <v>6.0000000000000001E-3</v>
      </c>
      <c r="Q112" s="192">
        <v>0</v>
      </c>
      <c r="R112" s="47">
        <v>0</v>
      </c>
      <c r="S112" s="47">
        <f t="shared" si="1538"/>
        <v>5.4000000000000003E-3</v>
      </c>
      <c r="T112" s="47">
        <v>0.01</v>
      </c>
      <c r="U112" s="47">
        <v>1.8E-3</v>
      </c>
      <c r="V112" s="117">
        <v>4.0000000000000003E-5</v>
      </c>
      <c r="W112" s="47">
        <v>5.9999999999999995E-4</v>
      </c>
      <c r="X112" s="52">
        <v>1.0999999999999999E-2</v>
      </c>
      <c r="Y112" s="52">
        <v>2.0199999999999999E-2</v>
      </c>
      <c r="Z112" s="111">
        <v>6.3E-2</v>
      </c>
    </row>
    <row r="113" spans="13:26" x14ac:dyDescent="0.25">
      <c r="M113" s="18">
        <v>1974</v>
      </c>
      <c r="N113" s="193">
        <v>8.0999999999999996E-3</v>
      </c>
      <c r="O113" s="47">
        <v>0</v>
      </c>
      <c r="P113" s="47">
        <v>6.0000000000000001E-3</v>
      </c>
      <c r="Q113" s="192">
        <v>0</v>
      </c>
      <c r="R113" s="47">
        <v>0</v>
      </c>
      <c r="S113" s="47">
        <f t="shared" si="1538"/>
        <v>5.4000000000000003E-3</v>
      </c>
      <c r="T113" s="47">
        <v>0.01</v>
      </c>
      <c r="U113" s="47">
        <v>1.8E-3</v>
      </c>
      <c r="V113" s="117">
        <v>4.0000000000000003E-5</v>
      </c>
      <c r="W113" s="47">
        <v>5.9999999999999995E-4</v>
      </c>
      <c r="X113" s="52">
        <v>1.0999999999999999E-2</v>
      </c>
      <c r="Y113" s="52">
        <v>2.0199999999999999E-2</v>
      </c>
      <c r="Z113" s="111">
        <v>6.3E-2</v>
      </c>
    </row>
    <row r="114" spans="13:26" x14ac:dyDescent="0.25">
      <c r="M114" s="18">
        <v>1975</v>
      </c>
      <c r="N114" s="193">
        <v>8.0999999999999996E-3</v>
      </c>
      <c r="O114" s="47">
        <v>0</v>
      </c>
      <c r="P114" s="47">
        <v>6.0000000000000001E-3</v>
      </c>
      <c r="Q114" s="192">
        <v>0</v>
      </c>
      <c r="R114" s="47">
        <v>0</v>
      </c>
      <c r="S114" s="47">
        <f t="shared" si="1538"/>
        <v>5.4000000000000003E-3</v>
      </c>
      <c r="T114" s="47">
        <v>0.01</v>
      </c>
      <c r="U114" s="47">
        <v>1.8E-3</v>
      </c>
      <c r="V114" s="117">
        <v>4.0000000000000003E-5</v>
      </c>
      <c r="W114" s="47">
        <v>5.9999999999999995E-4</v>
      </c>
      <c r="X114" s="52">
        <v>1.0999999999999999E-2</v>
      </c>
      <c r="Y114" s="52">
        <v>2.0199999999999999E-2</v>
      </c>
      <c r="Z114" s="111">
        <v>6.3E-2</v>
      </c>
    </row>
    <row r="115" spans="13:26" x14ac:dyDescent="0.25">
      <c r="M115" s="18">
        <v>1976</v>
      </c>
      <c r="N115" s="193">
        <v>8.0999999999999996E-3</v>
      </c>
      <c r="O115" s="47">
        <v>0</v>
      </c>
      <c r="P115" s="47">
        <v>6.0000000000000001E-3</v>
      </c>
      <c r="Q115" s="192">
        <v>0</v>
      </c>
      <c r="R115" s="47">
        <v>0</v>
      </c>
      <c r="S115" s="47">
        <f t="shared" si="1538"/>
        <v>5.4000000000000003E-3</v>
      </c>
      <c r="T115" s="47">
        <v>0.01</v>
      </c>
      <c r="U115" s="47">
        <v>1.8E-3</v>
      </c>
      <c r="V115" s="117">
        <v>4.0000000000000003E-5</v>
      </c>
      <c r="W115" s="47">
        <v>5.9999999999999995E-4</v>
      </c>
      <c r="X115" s="52">
        <v>1.0999999999999999E-2</v>
      </c>
      <c r="Y115" s="52">
        <v>2.0199999999999999E-2</v>
      </c>
      <c r="Z115" s="111">
        <v>6.3E-2</v>
      </c>
    </row>
    <row r="116" spans="13:26" x14ac:dyDescent="0.25">
      <c r="M116" s="18">
        <v>1977</v>
      </c>
      <c r="N116" s="193">
        <v>8.0999999999999996E-3</v>
      </c>
      <c r="O116" s="47">
        <v>0</v>
      </c>
      <c r="P116" s="47">
        <v>6.0000000000000001E-3</v>
      </c>
      <c r="Q116" s="192">
        <v>0</v>
      </c>
      <c r="R116" s="47">
        <v>0</v>
      </c>
      <c r="S116" s="47">
        <f t="shared" si="1538"/>
        <v>5.4000000000000003E-3</v>
      </c>
      <c r="T116" s="47">
        <v>0.01</v>
      </c>
      <c r="U116" s="47">
        <v>1.8E-3</v>
      </c>
      <c r="V116" s="117">
        <v>4.0000000000000003E-5</v>
      </c>
      <c r="W116" s="47">
        <v>5.9999999999999995E-4</v>
      </c>
      <c r="X116" s="52">
        <v>1.0999999999999999E-2</v>
      </c>
      <c r="Y116" s="52">
        <v>2.0199999999999999E-2</v>
      </c>
      <c r="Z116" s="111">
        <v>6.3E-2</v>
      </c>
    </row>
    <row r="117" spans="13:26" x14ac:dyDescent="0.25">
      <c r="M117" s="18">
        <v>1978</v>
      </c>
      <c r="N117" s="193">
        <v>8.0999999999999996E-3</v>
      </c>
      <c r="O117" s="47">
        <v>0</v>
      </c>
      <c r="P117" s="47">
        <v>6.0000000000000001E-3</v>
      </c>
      <c r="Q117" s="192">
        <v>0</v>
      </c>
      <c r="R117" s="47">
        <v>0</v>
      </c>
      <c r="S117" s="47">
        <f t="shared" si="1538"/>
        <v>5.4000000000000003E-3</v>
      </c>
      <c r="T117" s="47">
        <v>0.01</v>
      </c>
      <c r="U117" s="47">
        <v>1.8E-3</v>
      </c>
      <c r="V117" s="117">
        <v>4.0000000000000003E-5</v>
      </c>
      <c r="W117" s="47">
        <v>5.9999999999999995E-4</v>
      </c>
      <c r="X117" s="52">
        <v>1.0999999999999999E-2</v>
      </c>
      <c r="Y117" s="52">
        <v>2.0199999999999999E-2</v>
      </c>
      <c r="Z117" s="111">
        <v>6.3E-2</v>
      </c>
    </row>
    <row r="118" spans="13:26" x14ac:dyDescent="0.25">
      <c r="M118" s="18">
        <v>1979</v>
      </c>
      <c r="N118" s="193">
        <v>8.0999999999999996E-3</v>
      </c>
      <c r="O118" s="47">
        <v>0</v>
      </c>
      <c r="P118" s="47">
        <v>6.0000000000000001E-3</v>
      </c>
      <c r="Q118" s="192">
        <v>0</v>
      </c>
      <c r="R118" s="47">
        <v>0</v>
      </c>
      <c r="S118" s="47">
        <f t="shared" si="1538"/>
        <v>5.4000000000000003E-3</v>
      </c>
      <c r="T118" s="47">
        <v>0.01</v>
      </c>
      <c r="U118" s="47">
        <v>1.8E-3</v>
      </c>
      <c r="V118" s="117">
        <v>4.0000000000000003E-5</v>
      </c>
      <c r="W118" s="47">
        <v>5.9999999999999995E-4</v>
      </c>
      <c r="X118" s="52">
        <v>1.0999999999999999E-2</v>
      </c>
      <c r="Y118" s="52">
        <v>2.0199999999999999E-2</v>
      </c>
      <c r="Z118" s="111">
        <v>6.3E-2</v>
      </c>
    </row>
    <row r="119" spans="13:26" x14ac:dyDescent="0.25">
      <c r="M119" s="18">
        <v>1980</v>
      </c>
      <c r="N119" s="193">
        <v>8.0999999999999996E-3</v>
      </c>
      <c r="O119" s="47">
        <v>0</v>
      </c>
      <c r="P119" s="47">
        <v>6.0000000000000001E-3</v>
      </c>
      <c r="Q119" s="192">
        <v>0</v>
      </c>
      <c r="R119" s="47">
        <v>0</v>
      </c>
      <c r="S119" s="47">
        <f t="shared" si="1538"/>
        <v>5.4000000000000003E-3</v>
      </c>
      <c r="T119" s="47">
        <v>0.01</v>
      </c>
      <c r="U119" s="47">
        <v>1.8E-3</v>
      </c>
      <c r="V119" s="117">
        <v>4.0000000000000003E-5</v>
      </c>
      <c r="W119" s="47">
        <v>5.9999999999999995E-4</v>
      </c>
      <c r="X119" s="52">
        <v>1.0999999999999999E-2</v>
      </c>
      <c r="Y119" s="52">
        <v>2.0199999999999999E-2</v>
      </c>
      <c r="Z119" s="111">
        <v>6.3E-2</v>
      </c>
    </row>
    <row r="120" spans="13:26" x14ac:dyDescent="0.25">
      <c r="M120" s="18">
        <v>1981</v>
      </c>
      <c r="N120" s="193">
        <v>8.0999999999999996E-3</v>
      </c>
      <c r="O120" s="47">
        <v>0</v>
      </c>
      <c r="P120" s="47">
        <v>6.0000000000000001E-3</v>
      </c>
      <c r="Q120" s="192">
        <v>0</v>
      </c>
      <c r="R120" s="47">
        <v>0</v>
      </c>
      <c r="S120" s="47">
        <f t="shared" si="1538"/>
        <v>5.4000000000000003E-3</v>
      </c>
      <c r="T120" s="47">
        <v>0.01</v>
      </c>
      <c r="U120" s="47">
        <v>1.8E-3</v>
      </c>
      <c r="V120" s="117">
        <v>4.0000000000000003E-5</v>
      </c>
      <c r="W120" s="47">
        <v>5.9999999999999995E-4</v>
      </c>
      <c r="X120" s="52">
        <v>1.0999999999999999E-2</v>
      </c>
      <c r="Y120" s="52">
        <v>2.0199999999999999E-2</v>
      </c>
      <c r="Z120" s="111">
        <v>6.3E-2</v>
      </c>
    </row>
    <row r="121" spans="13:26" x14ac:dyDescent="0.25">
      <c r="M121" s="18">
        <v>1982</v>
      </c>
      <c r="N121" s="193">
        <v>8.0999999999999996E-3</v>
      </c>
      <c r="O121" s="47">
        <v>0</v>
      </c>
      <c r="P121" s="47">
        <v>6.0000000000000001E-3</v>
      </c>
      <c r="Q121" s="192">
        <v>0</v>
      </c>
      <c r="R121" s="47">
        <v>0</v>
      </c>
      <c r="S121" s="47">
        <f t="shared" si="1538"/>
        <v>5.4000000000000003E-3</v>
      </c>
      <c r="T121" s="47">
        <v>0.01</v>
      </c>
      <c r="U121" s="47">
        <v>1.8E-3</v>
      </c>
      <c r="V121" s="117">
        <v>4.0000000000000003E-5</v>
      </c>
      <c r="W121" s="47">
        <v>5.9999999999999995E-4</v>
      </c>
      <c r="X121" s="52">
        <v>1.0999999999999999E-2</v>
      </c>
      <c r="Y121" s="52">
        <v>2.0199999999999999E-2</v>
      </c>
      <c r="Z121" s="111">
        <v>6.3E-2</v>
      </c>
    </row>
    <row r="122" spans="13:26" x14ac:dyDescent="0.25">
      <c r="M122" s="18">
        <v>1983</v>
      </c>
      <c r="N122" s="193">
        <v>8.0999999999999996E-3</v>
      </c>
      <c r="O122" s="47">
        <v>0</v>
      </c>
      <c r="P122" s="47">
        <v>6.0000000000000001E-3</v>
      </c>
      <c r="Q122" s="192">
        <v>0</v>
      </c>
      <c r="R122" s="47">
        <v>0</v>
      </c>
      <c r="S122" s="47">
        <f t="shared" si="1538"/>
        <v>5.4000000000000003E-3</v>
      </c>
      <c r="T122" s="47">
        <v>0.01</v>
      </c>
      <c r="U122" s="47">
        <v>1.8E-3</v>
      </c>
      <c r="V122" s="117">
        <v>4.0000000000000003E-5</v>
      </c>
      <c r="W122" s="47">
        <v>5.9999999999999995E-4</v>
      </c>
      <c r="X122" s="52">
        <v>1.0999999999999999E-2</v>
      </c>
      <c r="Y122" s="52">
        <v>2.0199999999999999E-2</v>
      </c>
      <c r="Z122" s="111">
        <v>6.3E-2</v>
      </c>
    </row>
    <row r="123" spans="13:26" x14ac:dyDescent="0.25">
      <c r="M123" s="18">
        <v>1984</v>
      </c>
      <c r="N123" s="193">
        <v>8.0999999999999996E-3</v>
      </c>
      <c r="O123" s="47">
        <v>0</v>
      </c>
      <c r="P123" s="47">
        <v>6.0000000000000001E-3</v>
      </c>
      <c r="Q123" s="192">
        <v>0</v>
      </c>
      <c r="R123" s="47">
        <v>0</v>
      </c>
      <c r="S123" s="47">
        <f t="shared" si="1538"/>
        <v>5.4000000000000003E-3</v>
      </c>
      <c r="T123" s="47">
        <v>0.01</v>
      </c>
      <c r="U123" s="47">
        <v>1.8E-3</v>
      </c>
      <c r="V123" s="117">
        <v>4.0000000000000003E-5</v>
      </c>
      <c r="W123" s="47">
        <v>5.9999999999999995E-4</v>
      </c>
      <c r="X123" s="52">
        <v>1.0999999999999999E-2</v>
      </c>
      <c r="Y123" s="52">
        <v>2.0199999999999999E-2</v>
      </c>
      <c r="Z123" s="111">
        <v>6.3E-2</v>
      </c>
    </row>
    <row r="124" spans="13:26" x14ac:dyDescent="0.25">
      <c r="M124" s="18">
        <v>1985</v>
      </c>
      <c r="N124" s="193">
        <v>8.0999999999999996E-3</v>
      </c>
      <c r="O124" s="47">
        <v>0</v>
      </c>
      <c r="P124" s="47">
        <v>6.0000000000000001E-3</v>
      </c>
      <c r="Q124" s="192">
        <v>0</v>
      </c>
      <c r="R124" s="47">
        <v>0</v>
      </c>
      <c r="S124" s="47">
        <f t="shared" si="1538"/>
        <v>5.4000000000000003E-3</v>
      </c>
      <c r="T124" s="47">
        <v>0.01</v>
      </c>
      <c r="U124" s="47">
        <v>1.8E-3</v>
      </c>
      <c r="V124" s="117">
        <v>4.0000000000000003E-5</v>
      </c>
      <c r="W124" s="47">
        <v>5.9999999999999995E-4</v>
      </c>
      <c r="X124" s="52">
        <v>1.0999999999999999E-2</v>
      </c>
      <c r="Y124" s="52">
        <v>2.0199999999999999E-2</v>
      </c>
      <c r="Z124" s="111">
        <v>6.3E-2</v>
      </c>
    </row>
    <row r="125" spans="13:26" x14ac:dyDescent="0.25">
      <c r="M125" s="18">
        <v>1986</v>
      </c>
      <c r="N125" s="193">
        <v>8.0999999999999996E-3</v>
      </c>
      <c r="O125" s="47">
        <v>0</v>
      </c>
      <c r="P125" s="47">
        <v>6.0000000000000001E-3</v>
      </c>
      <c r="Q125" s="192">
        <v>0</v>
      </c>
      <c r="R125" s="47">
        <v>0</v>
      </c>
      <c r="S125" s="47">
        <f t="shared" si="1538"/>
        <v>5.4000000000000003E-3</v>
      </c>
      <c r="T125" s="47">
        <v>0.01</v>
      </c>
      <c r="U125" s="47">
        <v>1.8E-3</v>
      </c>
      <c r="V125" s="117">
        <v>4.0000000000000003E-5</v>
      </c>
      <c r="W125" s="47">
        <v>5.9999999999999995E-4</v>
      </c>
      <c r="X125" s="52">
        <v>1.0999999999999999E-2</v>
      </c>
      <c r="Y125" s="52">
        <v>2.0199999999999999E-2</v>
      </c>
      <c r="Z125" s="111">
        <v>6.3E-2</v>
      </c>
    </row>
    <row r="126" spans="13:26" x14ac:dyDescent="0.25">
      <c r="M126" s="18">
        <v>1987</v>
      </c>
      <c r="N126" s="193">
        <v>8.0999999999999996E-3</v>
      </c>
      <c r="O126" s="47">
        <v>0</v>
      </c>
      <c r="P126" s="47">
        <v>6.0000000000000001E-3</v>
      </c>
      <c r="Q126" s="192">
        <v>0</v>
      </c>
      <c r="R126" s="47">
        <v>0</v>
      </c>
      <c r="S126" s="47">
        <f t="shared" si="1538"/>
        <v>5.4000000000000003E-3</v>
      </c>
      <c r="T126" s="47">
        <v>0.01</v>
      </c>
      <c r="U126" s="47">
        <v>1.8E-3</v>
      </c>
      <c r="V126" s="117">
        <v>4.0000000000000003E-5</v>
      </c>
      <c r="W126" s="47">
        <v>5.9999999999999995E-4</v>
      </c>
      <c r="X126" s="52">
        <v>1.0999999999999999E-2</v>
      </c>
      <c r="Y126" s="52">
        <v>2.0199999999999999E-2</v>
      </c>
      <c r="Z126" s="111">
        <v>6.3E-2</v>
      </c>
    </row>
    <row r="127" spans="13:26" x14ac:dyDescent="0.25">
      <c r="M127" s="18">
        <v>1988</v>
      </c>
      <c r="N127" s="193">
        <v>8.0999999999999996E-3</v>
      </c>
      <c r="O127" s="47">
        <v>0</v>
      </c>
      <c r="P127" s="47">
        <v>6.0000000000000001E-3</v>
      </c>
      <c r="Q127" s="192">
        <v>0</v>
      </c>
      <c r="R127" s="47">
        <v>0</v>
      </c>
      <c r="S127" s="47">
        <f t="shared" si="1538"/>
        <v>5.4000000000000003E-3</v>
      </c>
      <c r="T127" s="47">
        <v>0.01</v>
      </c>
      <c r="U127" s="47">
        <v>1.8E-3</v>
      </c>
      <c r="V127" s="117">
        <v>4.0000000000000003E-5</v>
      </c>
      <c r="W127" s="47">
        <v>5.9999999999999995E-4</v>
      </c>
      <c r="X127" s="52">
        <v>1.0999999999999999E-2</v>
      </c>
      <c r="Y127" s="52">
        <v>2.0199999999999999E-2</v>
      </c>
      <c r="Z127" s="111">
        <v>6.3E-2</v>
      </c>
    </row>
    <row r="128" spans="13:26" x14ac:dyDescent="0.25">
      <c r="M128" s="18">
        <v>1989</v>
      </c>
      <c r="N128" s="193">
        <v>8.0999999999999996E-3</v>
      </c>
      <c r="O128" s="47">
        <v>0</v>
      </c>
      <c r="P128" s="47">
        <v>6.0000000000000001E-3</v>
      </c>
      <c r="Q128" s="192">
        <v>0</v>
      </c>
      <c r="R128" s="47">
        <v>0</v>
      </c>
      <c r="S128" s="47">
        <f t="shared" si="1538"/>
        <v>5.4000000000000003E-3</v>
      </c>
      <c r="T128" s="47">
        <v>0.01</v>
      </c>
      <c r="U128" s="47">
        <v>1.8E-3</v>
      </c>
      <c r="V128" s="117">
        <v>4.0000000000000003E-5</v>
      </c>
      <c r="W128" s="47">
        <v>5.9999999999999995E-4</v>
      </c>
      <c r="X128" s="52">
        <v>1.0999999999999999E-2</v>
      </c>
      <c r="Y128" s="52">
        <v>2.0199999999999999E-2</v>
      </c>
      <c r="Z128" s="111">
        <v>6.3E-2</v>
      </c>
    </row>
    <row r="129" spans="13:26" x14ac:dyDescent="0.25">
      <c r="M129" s="18">
        <v>1990</v>
      </c>
      <c r="N129" s="193">
        <v>8.0999999999999996E-3</v>
      </c>
      <c r="O129" s="47">
        <v>0</v>
      </c>
      <c r="P129" s="47">
        <v>6.0000000000000001E-3</v>
      </c>
      <c r="Q129" s="192">
        <v>0</v>
      </c>
      <c r="R129" s="47">
        <v>0</v>
      </c>
      <c r="S129" s="47">
        <f t="shared" si="1538"/>
        <v>5.4000000000000003E-3</v>
      </c>
      <c r="T129" s="47">
        <v>0.01</v>
      </c>
      <c r="U129" s="47">
        <v>1.8E-3</v>
      </c>
      <c r="V129" s="117">
        <v>4.0000000000000003E-5</v>
      </c>
      <c r="W129" s="47">
        <v>5.9999999999999995E-4</v>
      </c>
      <c r="X129" s="52">
        <v>1.0999999999999999E-2</v>
      </c>
      <c r="Y129" s="52">
        <v>2.0199999999999999E-2</v>
      </c>
      <c r="Z129" s="111">
        <v>6.3E-2</v>
      </c>
    </row>
    <row r="130" spans="13:26" x14ac:dyDescent="0.25">
      <c r="M130" s="18">
        <v>1991</v>
      </c>
      <c r="N130" s="193">
        <v>8.0999999999999996E-3</v>
      </c>
      <c r="O130" s="47">
        <v>0</v>
      </c>
      <c r="P130" s="47">
        <v>6.0000000000000001E-3</v>
      </c>
      <c r="Q130" s="192">
        <v>0</v>
      </c>
      <c r="R130" s="47">
        <v>0</v>
      </c>
      <c r="S130" s="47">
        <f t="shared" si="1538"/>
        <v>5.4000000000000003E-3</v>
      </c>
      <c r="T130" s="47">
        <v>0.01</v>
      </c>
      <c r="U130" s="47">
        <v>1.8E-3</v>
      </c>
      <c r="V130" s="117">
        <v>4.0000000000000003E-5</v>
      </c>
      <c r="W130" s="47">
        <v>5.9999999999999995E-4</v>
      </c>
      <c r="X130" s="52">
        <v>1.0999999999999999E-2</v>
      </c>
      <c r="Y130" s="52">
        <v>2.0199999999999999E-2</v>
      </c>
      <c r="Z130" s="111">
        <v>6.3E-2</v>
      </c>
    </row>
    <row r="131" spans="13:26" x14ac:dyDescent="0.25">
      <c r="M131" s="18">
        <v>1992</v>
      </c>
      <c r="N131" s="193">
        <v>8.0999999999999996E-3</v>
      </c>
      <c r="O131" s="47">
        <v>0</v>
      </c>
      <c r="P131" s="47">
        <v>6.0000000000000001E-3</v>
      </c>
      <c r="Q131" s="192">
        <v>0</v>
      </c>
      <c r="R131" s="47">
        <v>0</v>
      </c>
      <c r="S131" s="47">
        <f t="shared" si="1538"/>
        <v>5.4000000000000003E-3</v>
      </c>
      <c r="T131" s="47">
        <v>0.01</v>
      </c>
      <c r="U131" s="47">
        <v>1.8E-3</v>
      </c>
      <c r="V131" s="117">
        <v>4.0000000000000003E-5</v>
      </c>
      <c r="W131" s="47">
        <v>5.9999999999999995E-4</v>
      </c>
      <c r="X131" s="52">
        <v>1.0999999999999999E-2</v>
      </c>
      <c r="Y131" s="52">
        <v>2.0199999999999999E-2</v>
      </c>
      <c r="Z131" s="111">
        <v>6.3E-2</v>
      </c>
    </row>
    <row r="132" spans="13:26" x14ac:dyDescent="0.25">
      <c r="M132" s="18">
        <v>1993</v>
      </c>
      <c r="N132" s="193">
        <v>8.0999999999999996E-3</v>
      </c>
      <c r="O132" s="47">
        <v>0</v>
      </c>
      <c r="P132" s="47">
        <v>6.0000000000000001E-3</v>
      </c>
      <c r="Q132" s="192">
        <v>0</v>
      </c>
      <c r="R132" s="47">
        <v>0</v>
      </c>
      <c r="S132" s="47">
        <f t="shared" si="1538"/>
        <v>5.4000000000000003E-3</v>
      </c>
      <c r="T132" s="47">
        <v>0.01</v>
      </c>
      <c r="U132" s="47">
        <v>1.8E-3</v>
      </c>
      <c r="V132" s="117">
        <v>4.0000000000000003E-5</v>
      </c>
      <c r="W132" s="47">
        <v>5.9999999999999995E-4</v>
      </c>
      <c r="X132" s="52">
        <v>1.0999999999999999E-2</v>
      </c>
      <c r="Y132" s="52">
        <v>2.0199999999999999E-2</v>
      </c>
      <c r="Z132" s="111">
        <v>6.3E-2</v>
      </c>
    </row>
    <row r="133" spans="13:26" x14ac:dyDescent="0.25">
      <c r="M133" s="18">
        <v>1994</v>
      </c>
      <c r="N133" s="193">
        <v>8.0999999999999996E-3</v>
      </c>
      <c r="O133" s="47">
        <v>0</v>
      </c>
      <c r="P133" s="47">
        <v>6.0000000000000001E-3</v>
      </c>
      <c r="Q133" s="192">
        <v>0</v>
      </c>
      <c r="R133" s="47">
        <v>0</v>
      </c>
      <c r="S133" s="47">
        <f t="shared" si="1538"/>
        <v>5.4000000000000003E-3</v>
      </c>
      <c r="T133" s="47">
        <v>0.01</v>
      </c>
      <c r="U133" s="47">
        <v>1.8E-3</v>
      </c>
      <c r="V133" s="117">
        <v>4.0000000000000003E-5</v>
      </c>
      <c r="W133" s="47">
        <v>5.9999999999999995E-4</v>
      </c>
      <c r="X133" s="52">
        <v>1.0999999999999999E-2</v>
      </c>
      <c r="Y133" s="52">
        <v>2.0199999999999999E-2</v>
      </c>
      <c r="Z133" s="111">
        <v>6.3E-2</v>
      </c>
    </row>
    <row r="134" spans="13:26" x14ac:dyDescent="0.25">
      <c r="M134" s="18">
        <v>1995</v>
      </c>
      <c r="N134" s="193">
        <v>8.0999999999999996E-3</v>
      </c>
      <c r="O134" s="47">
        <v>0</v>
      </c>
      <c r="P134" s="47">
        <v>6.0000000000000001E-3</v>
      </c>
      <c r="Q134" s="192">
        <v>0</v>
      </c>
      <c r="R134" s="47">
        <v>0</v>
      </c>
      <c r="S134" s="47">
        <f t="shared" si="1538"/>
        <v>5.4000000000000003E-3</v>
      </c>
      <c r="T134" s="47">
        <v>0.01</v>
      </c>
      <c r="U134" s="47">
        <v>1.8E-3</v>
      </c>
      <c r="V134" s="117">
        <v>4.0000000000000003E-5</v>
      </c>
      <c r="W134" s="47">
        <v>5.9999999999999995E-4</v>
      </c>
      <c r="X134" s="52">
        <v>1.0999999999999999E-2</v>
      </c>
      <c r="Y134" s="52">
        <v>2.0199999999999999E-2</v>
      </c>
      <c r="Z134" s="111">
        <v>6.3E-2</v>
      </c>
    </row>
    <row r="135" spans="13:26" x14ac:dyDescent="0.25">
      <c r="M135" s="18">
        <v>1996</v>
      </c>
      <c r="N135" s="193">
        <v>8.0999999999999996E-3</v>
      </c>
      <c r="O135" s="47">
        <v>0</v>
      </c>
      <c r="P135" s="47">
        <v>6.0000000000000001E-3</v>
      </c>
      <c r="Q135" s="192">
        <v>0</v>
      </c>
      <c r="R135" s="47">
        <v>0</v>
      </c>
      <c r="S135" s="47">
        <f t="shared" si="1538"/>
        <v>5.4000000000000003E-3</v>
      </c>
      <c r="T135" s="47">
        <v>0.01</v>
      </c>
      <c r="U135" s="47">
        <v>1.8E-3</v>
      </c>
      <c r="V135" s="117">
        <v>4.0000000000000003E-5</v>
      </c>
      <c r="W135" s="47">
        <v>5.9999999999999995E-4</v>
      </c>
      <c r="X135" s="52">
        <v>1.0999999999999999E-2</v>
      </c>
      <c r="Y135" s="52">
        <v>2.0199999999999999E-2</v>
      </c>
      <c r="Z135" s="111">
        <v>6.3E-2</v>
      </c>
    </row>
    <row r="136" spans="13:26" x14ac:dyDescent="0.25">
      <c r="M136" s="18">
        <v>1997</v>
      </c>
      <c r="N136" s="193">
        <v>8.0999999999999996E-3</v>
      </c>
      <c r="O136" s="47">
        <v>0</v>
      </c>
      <c r="P136" s="47">
        <v>6.0000000000000001E-3</v>
      </c>
      <c r="Q136" s="192">
        <v>0</v>
      </c>
      <c r="R136" s="47">
        <v>0</v>
      </c>
      <c r="S136" s="47">
        <f t="shared" si="1538"/>
        <v>5.4000000000000003E-3</v>
      </c>
      <c r="T136" s="47">
        <v>0.01</v>
      </c>
      <c r="U136" s="47">
        <v>1.8E-3</v>
      </c>
      <c r="V136" s="117">
        <v>4.0000000000000003E-5</v>
      </c>
      <c r="W136" s="47">
        <v>5.9999999999999995E-4</v>
      </c>
      <c r="X136" s="52">
        <v>1.0999999999999999E-2</v>
      </c>
      <c r="Y136" s="52">
        <v>2.0199999999999999E-2</v>
      </c>
      <c r="Z136" s="111">
        <v>6.3E-2</v>
      </c>
    </row>
    <row r="137" spans="13:26" x14ac:dyDescent="0.25">
      <c r="M137" s="18">
        <v>1998</v>
      </c>
      <c r="N137" s="193">
        <v>8.0999999999999996E-3</v>
      </c>
      <c r="O137" s="47">
        <v>0</v>
      </c>
      <c r="P137" s="47">
        <v>6.0000000000000001E-3</v>
      </c>
      <c r="Q137" s="192">
        <v>0</v>
      </c>
      <c r="R137" s="47">
        <v>0</v>
      </c>
      <c r="S137" s="47">
        <f t="shared" si="1538"/>
        <v>5.4000000000000003E-3</v>
      </c>
      <c r="T137" s="47">
        <v>0.01</v>
      </c>
      <c r="U137" s="47">
        <v>1.8E-3</v>
      </c>
      <c r="V137" s="117">
        <v>4.0000000000000003E-5</v>
      </c>
      <c r="W137" s="47">
        <v>5.9999999999999995E-4</v>
      </c>
      <c r="X137" s="52">
        <v>1.0999999999999999E-2</v>
      </c>
      <c r="Y137" s="52">
        <v>2.0199999999999999E-2</v>
      </c>
      <c r="Z137" s="111">
        <v>6.3E-2</v>
      </c>
    </row>
    <row r="138" spans="13:26" x14ac:dyDescent="0.25">
      <c r="M138" s="18">
        <v>1999</v>
      </c>
      <c r="N138" s="193">
        <v>8.0999999999999996E-3</v>
      </c>
      <c r="O138" s="47">
        <v>0</v>
      </c>
      <c r="P138" s="47">
        <v>6.0000000000000001E-3</v>
      </c>
      <c r="Q138" s="192">
        <v>0</v>
      </c>
      <c r="R138" s="47">
        <v>0</v>
      </c>
      <c r="S138" s="47">
        <f t="shared" si="1538"/>
        <v>5.4000000000000003E-3</v>
      </c>
      <c r="T138" s="47">
        <v>0.01</v>
      </c>
      <c r="U138" s="47">
        <v>1.8E-3</v>
      </c>
      <c r="V138" s="117">
        <v>4.0000000000000003E-5</v>
      </c>
      <c r="W138" s="47">
        <v>5.9999999999999995E-4</v>
      </c>
      <c r="X138" s="52">
        <v>1.0999999999999999E-2</v>
      </c>
      <c r="Y138" s="52">
        <v>2.0199999999999999E-2</v>
      </c>
      <c r="Z138" s="111">
        <v>6.3E-2</v>
      </c>
    </row>
    <row r="139" spans="13:26" x14ac:dyDescent="0.25">
      <c r="M139" s="18">
        <v>2000</v>
      </c>
      <c r="N139" s="193">
        <v>8.0999999999999996E-3</v>
      </c>
      <c r="O139" s="47">
        <v>0</v>
      </c>
      <c r="P139" s="47">
        <v>6.0000000000000001E-3</v>
      </c>
      <c r="Q139" s="192">
        <v>0</v>
      </c>
      <c r="R139" s="47">
        <v>0</v>
      </c>
      <c r="S139" s="47">
        <f t="shared" si="1538"/>
        <v>5.4000000000000003E-3</v>
      </c>
      <c r="T139" s="47">
        <v>0.01</v>
      </c>
      <c r="U139" s="47">
        <v>1.8E-3</v>
      </c>
      <c r="V139" s="117">
        <v>4.0000000000000003E-5</v>
      </c>
      <c r="W139" s="47">
        <v>5.9999999999999995E-4</v>
      </c>
      <c r="X139" s="52">
        <v>1.0999999999999999E-2</v>
      </c>
      <c r="Y139" s="52">
        <v>2.0199999999999999E-2</v>
      </c>
      <c r="Z139" s="111">
        <v>6.3E-2</v>
      </c>
    </row>
    <row r="140" spans="13:26" x14ac:dyDescent="0.25">
      <c r="M140" s="18">
        <v>2001</v>
      </c>
      <c r="N140" s="193">
        <v>8.0999999999999996E-3</v>
      </c>
      <c r="O140" s="47">
        <v>0</v>
      </c>
      <c r="P140" s="47">
        <v>6.0000000000000001E-3</v>
      </c>
      <c r="Q140" s="192">
        <v>0</v>
      </c>
      <c r="R140" s="47">
        <v>0</v>
      </c>
      <c r="S140" s="47">
        <f t="shared" si="1538"/>
        <v>5.4000000000000003E-3</v>
      </c>
      <c r="T140" s="47">
        <v>0.01</v>
      </c>
      <c r="U140" s="47">
        <v>1.8E-3</v>
      </c>
      <c r="V140" s="117">
        <v>4.0000000000000003E-5</v>
      </c>
      <c r="W140" s="47">
        <v>5.9999999999999995E-4</v>
      </c>
      <c r="X140" s="52">
        <v>1.0999999999999999E-2</v>
      </c>
      <c r="Y140" s="52">
        <v>2.0199999999999999E-2</v>
      </c>
      <c r="Z140" s="111">
        <v>6.3E-2</v>
      </c>
    </row>
    <row r="141" spans="13:26" x14ac:dyDescent="0.25">
      <c r="M141" s="18">
        <v>2002</v>
      </c>
      <c r="N141" s="193">
        <v>8.0999999999999996E-3</v>
      </c>
      <c r="O141" s="47">
        <v>0</v>
      </c>
      <c r="P141" s="47">
        <v>6.0000000000000001E-3</v>
      </c>
      <c r="Q141" s="192">
        <v>0</v>
      </c>
      <c r="R141" s="47">
        <v>0</v>
      </c>
      <c r="S141" s="47">
        <f t="shared" si="1538"/>
        <v>5.4000000000000003E-3</v>
      </c>
      <c r="T141" s="47">
        <v>0.01</v>
      </c>
      <c r="U141" s="47">
        <v>1.8E-3</v>
      </c>
      <c r="V141" s="117">
        <v>4.0000000000000003E-5</v>
      </c>
      <c r="W141" s="47">
        <v>5.9999999999999995E-4</v>
      </c>
      <c r="X141" s="52">
        <v>1.0999999999999999E-2</v>
      </c>
      <c r="Y141" s="52">
        <v>2.0199999999999999E-2</v>
      </c>
      <c r="Z141" s="111">
        <v>6.3E-2</v>
      </c>
    </row>
    <row r="142" spans="13:26" x14ac:dyDescent="0.25">
      <c r="M142" s="9">
        <v>2003</v>
      </c>
      <c r="N142" s="195">
        <v>8.0999999999999996E-3</v>
      </c>
      <c r="O142" s="196">
        <v>0</v>
      </c>
      <c r="P142" s="196">
        <v>6.0000000000000001E-3</v>
      </c>
      <c r="Q142" s="197">
        <v>0</v>
      </c>
      <c r="R142" s="48">
        <v>0</v>
      </c>
      <c r="S142" s="48">
        <v>5.4000000000000003E-3</v>
      </c>
      <c r="T142" s="48">
        <v>0.01</v>
      </c>
      <c r="U142" s="48">
        <v>1.8E-3</v>
      </c>
      <c r="V142" s="118">
        <v>4.0000000000000003E-5</v>
      </c>
      <c r="W142" s="48">
        <v>5.9999999999999995E-4</v>
      </c>
      <c r="X142" s="53">
        <v>1.0999999999999999E-2</v>
      </c>
      <c r="Y142" s="53">
        <v>2.0199999999999999E-2</v>
      </c>
      <c r="Z142" s="487">
        <v>6.3E-2</v>
      </c>
    </row>
    <row r="143" spans="13:26" x14ac:dyDescent="0.25">
      <c r="M143" s="9">
        <v>2004</v>
      </c>
      <c r="N143" s="195">
        <v>8.0999999999999996E-3</v>
      </c>
      <c r="O143" s="196">
        <v>0</v>
      </c>
      <c r="P143" s="196">
        <v>6.0000000000000001E-3</v>
      </c>
      <c r="Q143" s="197">
        <v>0</v>
      </c>
      <c r="R143" s="48">
        <v>0</v>
      </c>
      <c r="S143" s="48">
        <v>5.4000000000000003E-3</v>
      </c>
      <c r="T143" s="48">
        <v>0.01</v>
      </c>
      <c r="U143" s="48">
        <v>1.8E-3</v>
      </c>
      <c r="V143" s="118">
        <v>4.0000000000000003E-5</v>
      </c>
      <c r="W143" s="48">
        <v>5.9999999999999995E-4</v>
      </c>
      <c r="X143" s="53">
        <v>1.0999999999999999E-2</v>
      </c>
      <c r="Y143" s="53">
        <v>2.0199999999999999E-2</v>
      </c>
      <c r="Z143" s="487">
        <v>6.3E-2</v>
      </c>
    </row>
    <row r="144" spans="13:26" x14ac:dyDescent="0.25">
      <c r="M144" s="9">
        <v>2005</v>
      </c>
      <c r="N144" s="195">
        <v>8.0999999999999996E-3</v>
      </c>
      <c r="O144" s="196">
        <v>0</v>
      </c>
      <c r="P144" s="196">
        <v>6.0000000000000001E-3</v>
      </c>
      <c r="Q144" s="197">
        <v>0</v>
      </c>
      <c r="R144" s="48">
        <v>0</v>
      </c>
      <c r="S144" s="48">
        <v>5.4000000000000003E-3</v>
      </c>
      <c r="T144" s="48">
        <v>0.01</v>
      </c>
      <c r="U144" s="48">
        <v>1.8E-3</v>
      </c>
      <c r="V144" s="118">
        <v>4.0000000000000003E-5</v>
      </c>
      <c r="W144" s="48">
        <v>5.9999999999999995E-4</v>
      </c>
      <c r="X144" s="53">
        <v>1.0999999999999999E-2</v>
      </c>
      <c r="Y144" s="53">
        <v>2.0199999999999999E-2</v>
      </c>
      <c r="Z144" s="487">
        <v>6.3E-2</v>
      </c>
    </row>
    <row r="145" spans="13:29" x14ac:dyDescent="0.25">
      <c r="M145" s="9">
        <v>2006</v>
      </c>
      <c r="N145" s="195">
        <v>8.0999999999999996E-3</v>
      </c>
      <c r="O145" s="196">
        <v>0</v>
      </c>
      <c r="P145" s="196">
        <v>6.0000000000000001E-3</v>
      </c>
      <c r="Q145" s="197">
        <v>0</v>
      </c>
      <c r="R145" s="48">
        <v>0</v>
      </c>
      <c r="S145" s="48">
        <v>5.4000000000000003E-3</v>
      </c>
      <c r="T145" s="48">
        <v>0.01</v>
      </c>
      <c r="U145" s="48">
        <v>1.8E-3</v>
      </c>
      <c r="V145" s="118">
        <v>4.0000000000000003E-5</v>
      </c>
      <c r="W145" s="48">
        <v>5.9999999999999995E-4</v>
      </c>
      <c r="X145" s="53">
        <v>1.0999999999999999E-2</v>
      </c>
      <c r="Y145" s="53">
        <v>2.0199999999999999E-2</v>
      </c>
      <c r="Z145" s="487">
        <v>6.3E-2</v>
      </c>
    </row>
    <row r="146" spans="13:29" x14ac:dyDescent="0.25">
      <c r="M146" s="9">
        <v>2007</v>
      </c>
      <c r="N146" s="195">
        <v>8.0999999999999996E-3</v>
      </c>
      <c r="O146" s="196">
        <v>0</v>
      </c>
      <c r="P146" s="196">
        <v>6.0000000000000001E-3</v>
      </c>
      <c r="Q146" s="197">
        <v>0</v>
      </c>
      <c r="R146" s="48">
        <v>0</v>
      </c>
      <c r="S146" s="48">
        <v>5.4000000000000003E-3</v>
      </c>
      <c r="T146" s="48">
        <v>0.01</v>
      </c>
      <c r="U146" s="48">
        <v>1.8E-3</v>
      </c>
      <c r="V146" s="118">
        <v>4.0000000000000003E-5</v>
      </c>
      <c r="W146" s="48">
        <v>5.9999999999999995E-4</v>
      </c>
      <c r="X146" s="53">
        <v>1.0999999999999999E-2</v>
      </c>
      <c r="Y146" s="53">
        <v>2.0199999999999999E-2</v>
      </c>
      <c r="Z146" s="487">
        <v>6.3E-2</v>
      </c>
    </row>
    <row r="147" spans="13:29" x14ac:dyDescent="0.25">
      <c r="M147" s="9">
        <v>2008</v>
      </c>
      <c r="N147" s="195">
        <v>8.0999999999999996E-3</v>
      </c>
      <c r="O147" s="196">
        <v>0</v>
      </c>
      <c r="P147" s="196">
        <v>6.0000000000000001E-3</v>
      </c>
      <c r="Q147" s="197">
        <v>0</v>
      </c>
      <c r="R147" s="48">
        <v>0</v>
      </c>
      <c r="S147" s="48">
        <v>5.4000000000000003E-3</v>
      </c>
      <c r="T147" s="48">
        <v>0.01</v>
      </c>
      <c r="U147" s="48">
        <v>1.8E-3</v>
      </c>
      <c r="V147" s="118">
        <v>4.0000000000000003E-5</v>
      </c>
      <c r="W147" s="48">
        <v>5.9999999999999995E-4</v>
      </c>
      <c r="X147" s="53">
        <v>1.0999999999999999E-2</v>
      </c>
      <c r="Y147" s="53">
        <v>2.0199999999999999E-2</v>
      </c>
      <c r="Z147" s="487">
        <v>6.3E-2</v>
      </c>
    </row>
    <row r="148" spans="13:29" x14ac:dyDescent="0.25">
      <c r="M148" s="9">
        <v>2009</v>
      </c>
      <c r="N148" s="195">
        <v>8.0999999999999996E-3</v>
      </c>
      <c r="O148" s="196">
        <v>0</v>
      </c>
      <c r="P148" s="196">
        <v>6.0000000000000001E-3</v>
      </c>
      <c r="Q148" s="197">
        <v>0</v>
      </c>
      <c r="R148" s="48">
        <v>0</v>
      </c>
      <c r="S148" s="48">
        <v>5.4000000000000003E-3</v>
      </c>
      <c r="T148" s="48">
        <v>0.01</v>
      </c>
      <c r="U148" s="48">
        <v>1.8E-3</v>
      </c>
      <c r="V148" s="118">
        <v>4.0000000000000003E-5</v>
      </c>
      <c r="W148" s="48">
        <v>5.9999999999999995E-4</v>
      </c>
      <c r="X148" s="53">
        <v>1.0999999999999999E-2</v>
      </c>
      <c r="Y148" s="53">
        <v>2.0199999999999999E-2</v>
      </c>
      <c r="Z148" s="487">
        <v>6.3E-2</v>
      </c>
    </row>
    <row r="149" spans="13:29" x14ac:dyDescent="0.25">
      <c r="M149" s="9">
        <v>2010</v>
      </c>
      <c r="N149" s="195">
        <v>8.0999999999999996E-3</v>
      </c>
      <c r="O149" s="196">
        <v>0</v>
      </c>
      <c r="P149" s="196">
        <v>6.0000000000000001E-3</v>
      </c>
      <c r="Q149" s="197">
        <v>0</v>
      </c>
      <c r="R149" s="48">
        <v>0</v>
      </c>
      <c r="S149" s="48">
        <v>5.4000000000000003E-3</v>
      </c>
      <c r="T149" s="48">
        <v>0.01</v>
      </c>
      <c r="U149" s="48">
        <v>1.8E-3</v>
      </c>
      <c r="V149" s="118">
        <v>4.0000000000000003E-5</v>
      </c>
      <c r="W149" s="48">
        <v>5.9999999999999995E-4</v>
      </c>
      <c r="X149" s="53">
        <v>1.0999999999999999E-2</v>
      </c>
      <c r="Y149" s="53">
        <v>2.0199999999999999E-2</v>
      </c>
      <c r="Z149" s="487">
        <v>6.3E-2</v>
      </c>
    </row>
    <row r="150" spans="13:29" x14ac:dyDescent="0.25">
      <c r="M150" s="9">
        <v>2011</v>
      </c>
      <c r="N150" s="195">
        <v>8.0999999999999996E-3</v>
      </c>
      <c r="O150" s="196">
        <v>0</v>
      </c>
      <c r="P150" s="196">
        <v>6.0000000000000001E-3</v>
      </c>
      <c r="Q150" s="197">
        <v>0</v>
      </c>
      <c r="R150" s="48">
        <v>0</v>
      </c>
      <c r="S150" s="48">
        <v>5.4000000000000003E-3</v>
      </c>
      <c r="T150" s="48">
        <v>0.01</v>
      </c>
      <c r="U150" s="48">
        <v>1.8E-3</v>
      </c>
      <c r="V150" s="118">
        <v>4.0000000000000003E-5</v>
      </c>
      <c r="W150" s="48">
        <v>5.9999999999999995E-4</v>
      </c>
      <c r="X150" s="53">
        <v>1.0999999999999999E-2</v>
      </c>
      <c r="Y150" s="53">
        <v>2.0199999999999999E-2</v>
      </c>
      <c r="Z150" s="487">
        <v>6.3E-2</v>
      </c>
    </row>
    <row r="151" spans="13:29" x14ac:dyDescent="0.25">
      <c r="M151" s="9">
        <v>2012</v>
      </c>
      <c r="N151" s="195">
        <v>8.0999999999999996E-3</v>
      </c>
      <c r="O151" s="196">
        <v>0</v>
      </c>
      <c r="P151" s="196">
        <v>6.0000000000000001E-3</v>
      </c>
      <c r="Q151" s="197">
        <v>0</v>
      </c>
      <c r="R151" s="48">
        <v>0</v>
      </c>
      <c r="S151" s="48">
        <v>5.4000000000000003E-3</v>
      </c>
      <c r="T151" s="48">
        <v>0.01</v>
      </c>
      <c r="U151" s="48">
        <v>1.8E-3</v>
      </c>
      <c r="V151" s="118">
        <v>4.0000000000000003E-5</v>
      </c>
      <c r="W151" s="48">
        <v>5.9999999999999995E-4</v>
      </c>
      <c r="X151" s="53">
        <v>1.0999999999999999E-2</v>
      </c>
      <c r="Y151" s="53">
        <v>2.0199999999999999E-2</v>
      </c>
      <c r="Z151" s="487">
        <v>6.3E-2</v>
      </c>
    </row>
    <row r="152" spans="13:29" x14ac:dyDescent="0.25">
      <c r="M152" s="9">
        <v>2013</v>
      </c>
      <c r="N152" s="195">
        <v>8.0999999999999996E-3</v>
      </c>
      <c r="O152" s="196">
        <v>0</v>
      </c>
      <c r="P152" s="196">
        <v>6.0000000000000001E-3</v>
      </c>
      <c r="Q152" s="197">
        <v>0</v>
      </c>
      <c r="R152" s="48">
        <v>0</v>
      </c>
      <c r="S152" s="48">
        <v>5.4000000000000003E-3</v>
      </c>
      <c r="T152" s="48">
        <v>0.01</v>
      </c>
      <c r="U152" s="48">
        <v>1.8E-3</v>
      </c>
      <c r="V152" s="118">
        <v>4.0000000000000003E-5</v>
      </c>
      <c r="W152" s="48">
        <v>5.9999999999999995E-4</v>
      </c>
      <c r="X152" s="53">
        <v>1.0999999999999999E-2</v>
      </c>
      <c r="Y152" s="53">
        <v>2.0199999999999999E-2</v>
      </c>
      <c r="Z152" s="487">
        <v>6.3E-2</v>
      </c>
    </row>
    <row r="153" spans="13:29" x14ac:dyDescent="0.25">
      <c r="M153" s="9">
        <v>2014</v>
      </c>
      <c r="N153" s="195">
        <v>8.0999999999999996E-3</v>
      </c>
      <c r="O153" s="196">
        <v>0</v>
      </c>
      <c r="P153" s="196">
        <v>6.0000000000000001E-3</v>
      </c>
      <c r="Q153" s="197">
        <v>0</v>
      </c>
      <c r="R153" s="48">
        <v>0</v>
      </c>
      <c r="S153" s="48">
        <v>5.4000000000000003E-3</v>
      </c>
      <c r="T153" s="48">
        <v>0.01</v>
      </c>
      <c r="U153" s="48">
        <v>1.8E-3</v>
      </c>
      <c r="V153" s="118">
        <v>4.0000000000000003E-5</v>
      </c>
      <c r="W153" s="48">
        <v>5.9999999999999995E-4</v>
      </c>
      <c r="X153" s="53">
        <v>1.0999999999999999E-2</v>
      </c>
      <c r="Y153" s="53">
        <v>2.0199999999999999E-2</v>
      </c>
      <c r="Z153" s="487">
        <v>6.3E-2</v>
      </c>
    </row>
    <row r="154" spans="13:29" x14ac:dyDescent="0.25">
      <c r="M154" s="9">
        <v>2015</v>
      </c>
      <c r="N154" s="195">
        <v>8.0999999999999996E-3</v>
      </c>
      <c r="O154" s="196">
        <v>0</v>
      </c>
      <c r="P154" s="196">
        <v>6.0000000000000001E-3</v>
      </c>
      <c r="Q154" s="197">
        <v>0</v>
      </c>
      <c r="R154" s="48">
        <v>0</v>
      </c>
      <c r="S154" s="48">
        <v>5.4000000000000003E-3</v>
      </c>
      <c r="T154" s="48">
        <v>0.01</v>
      </c>
      <c r="U154" s="48">
        <v>1.8E-3</v>
      </c>
      <c r="V154" s="118">
        <v>4.0000000000000003E-5</v>
      </c>
      <c r="W154" s="48">
        <v>5.9999999999999995E-4</v>
      </c>
      <c r="X154" s="53">
        <v>1.0999999999999999E-2</v>
      </c>
      <c r="Y154" s="53">
        <v>2.0199999999999999E-2</v>
      </c>
      <c r="Z154" s="487">
        <v>6.3E-2</v>
      </c>
    </row>
    <row r="155" spans="13:29" x14ac:dyDescent="0.25">
      <c r="M155" s="12">
        <v>2016</v>
      </c>
      <c r="N155" s="198">
        <v>8.0999999999999996E-3</v>
      </c>
      <c r="O155" s="120">
        <v>0</v>
      </c>
      <c r="P155" s="120">
        <v>6.0000000000000001E-3</v>
      </c>
      <c r="Q155" s="199">
        <v>0</v>
      </c>
      <c r="R155" s="120">
        <v>0</v>
      </c>
      <c r="S155" s="120">
        <v>5.4000000000000003E-3</v>
      </c>
      <c r="T155" s="120">
        <v>0.01</v>
      </c>
      <c r="U155" s="120">
        <v>1.8E-3</v>
      </c>
      <c r="V155" s="119">
        <v>4.0000000000000003E-5</v>
      </c>
      <c r="W155" s="120">
        <v>5.9999999999999995E-4</v>
      </c>
      <c r="X155" s="105">
        <v>1.0999999999999999E-2</v>
      </c>
      <c r="Y155" s="105">
        <v>2.0199999999999999E-2</v>
      </c>
      <c r="Z155" s="488">
        <v>6.3E-2</v>
      </c>
      <c r="AA155" s="182"/>
      <c r="AB155" s="182"/>
      <c r="AC155" s="182"/>
    </row>
    <row r="156" spans="13:29" x14ac:dyDescent="0.25">
      <c r="M156" s="12">
        <v>2017</v>
      </c>
      <c r="N156" s="198">
        <v>8.0999999999999996E-3</v>
      </c>
      <c r="O156" s="120">
        <v>0</v>
      </c>
      <c r="P156" s="120">
        <v>6.0000000000000001E-3</v>
      </c>
      <c r="Q156" s="199">
        <v>0</v>
      </c>
      <c r="R156" s="120">
        <v>0</v>
      </c>
      <c r="S156" s="120">
        <v>5.4000000000000003E-3</v>
      </c>
      <c r="T156" s="120">
        <v>0.01</v>
      </c>
      <c r="U156" s="120">
        <v>1.8E-3</v>
      </c>
      <c r="V156" s="119">
        <v>4.0000000000000003E-5</v>
      </c>
      <c r="W156" s="120">
        <v>5.9999999999999995E-4</v>
      </c>
      <c r="X156" s="105">
        <v>1.0999999999999999E-2</v>
      </c>
      <c r="Y156" s="105">
        <v>2.0199999999999999E-2</v>
      </c>
      <c r="Z156" s="488">
        <v>6.3E-2</v>
      </c>
      <c r="AA156" s="182"/>
      <c r="AB156" s="182"/>
      <c r="AC156" s="182"/>
    </row>
    <row r="157" spans="13:29" x14ac:dyDescent="0.25">
      <c r="M157" s="12">
        <v>2018</v>
      </c>
      <c r="N157" s="198">
        <v>8.0999999999999996E-3</v>
      </c>
      <c r="O157" s="120">
        <v>0</v>
      </c>
      <c r="P157" s="120">
        <v>6.0000000000000001E-3</v>
      </c>
      <c r="Q157" s="199">
        <v>0</v>
      </c>
      <c r="R157" s="120">
        <v>0</v>
      </c>
      <c r="S157" s="120">
        <v>5.4000000000000003E-3</v>
      </c>
      <c r="T157" s="120">
        <v>0.01</v>
      </c>
      <c r="U157" s="120">
        <v>1.8E-3</v>
      </c>
      <c r="V157" s="119">
        <v>4.0000000000000003E-5</v>
      </c>
      <c r="W157" s="120">
        <v>5.9999999999999995E-4</v>
      </c>
      <c r="X157" s="105">
        <v>1.0999999999999999E-2</v>
      </c>
      <c r="Y157" s="105">
        <v>2.0199999999999999E-2</v>
      </c>
      <c r="Z157" s="488">
        <v>6.3E-2</v>
      </c>
      <c r="AA157" s="182"/>
      <c r="AB157" s="182"/>
      <c r="AC157" s="182"/>
    </row>
    <row r="158" spans="13:29" x14ac:dyDescent="0.25">
      <c r="M158" s="12">
        <v>2019</v>
      </c>
      <c r="N158" s="198">
        <v>8.0999999999999996E-3</v>
      </c>
      <c r="O158" s="120">
        <v>0</v>
      </c>
      <c r="P158" s="120">
        <v>6.0000000000000001E-3</v>
      </c>
      <c r="Q158" s="199">
        <v>0</v>
      </c>
      <c r="R158" s="120">
        <v>0</v>
      </c>
      <c r="S158" s="120">
        <v>5.4000000000000003E-3</v>
      </c>
      <c r="T158" s="120">
        <v>0.01</v>
      </c>
      <c r="U158" s="120">
        <v>1.8E-3</v>
      </c>
      <c r="V158" s="119">
        <v>4.0000000000000003E-5</v>
      </c>
      <c r="W158" s="120">
        <v>5.9999999999999995E-4</v>
      </c>
      <c r="X158" s="105">
        <v>1.0999999999999999E-2</v>
      </c>
      <c r="Y158" s="105">
        <v>2.0199999999999999E-2</v>
      </c>
      <c r="Z158" s="488">
        <v>6.3E-2</v>
      </c>
      <c r="AA158" s="182"/>
      <c r="AB158" s="182"/>
      <c r="AC158" s="182"/>
    </row>
    <row r="159" spans="13:29" x14ac:dyDescent="0.25">
      <c r="M159" s="12">
        <v>2020</v>
      </c>
      <c r="N159" s="198">
        <v>8.0999999999999996E-3</v>
      </c>
      <c r="O159" s="120">
        <v>0</v>
      </c>
      <c r="P159" s="120">
        <v>6.0000000000000001E-3</v>
      </c>
      <c r="Q159" s="199">
        <v>0</v>
      </c>
      <c r="R159" s="120">
        <v>0</v>
      </c>
      <c r="S159" s="120">
        <v>5.4000000000000003E-3</v>
      </c>
      <c r="T159" s="120">
        <v>0.01</v>
      </c>
      <c r="U159" s="120">
        <v>1.8E-3</v>
      </c>
      <c r="V159" s="119">
        <v>4.0000000000000003E-5</v>
      </c>
      <c r="W159" s="120">
        <v>5.9999999999999995E-4</v>
      </c>
      <c r="X159" s="105">
        <v>1.0999999999999999E-2</v>
      </c>
      <c r="Y159" s="105">
        <v>2.0199999999999999E-2</v>
      </c>
      <c r="Z159" s="488">
        <v>6.3E-2</v>
      </c>
      <c r="AA159" s="182"/>
      <c r="AB159" s="182"/>
      <c r="AC159" s="182"/>
    </row>
    <row r="160" spans="13:29" x14ac:dyDescent="0.25">
      <c r="M160" s="12">
        <v>2021</v>
      </c>
      <c r="N160" s="198">
        <v>8.0999999999999996E-3</v>
      </c>
      <c r="O160" s="120">
        <v>0</v>
      </c>
      <c r="P160" s="120">
        <v>6.0000000000000001E-3</v>
      </c>
      <c r="Q160" s="199">
        <v>0</v>
      </c>
      <c r="R160" s="120">
        <v>0</v>
      </c>
      <c r="S160" s="120">
        <v>5.4000000000000003E-3</v>
      </c>
      <c r="T160" s="120">
        <v>0.01</v>
      </c>
      <c r="U160" s="120">
        <v>1.8E-3</v>
      </c>
      <c r="V160" s="119">
        <v>4.0000000000000003E-5</v>
      </c>
      <c r="W160" s="120">
        <v>5.9999999999999995E-4</v>
      </c>
      <c r="X160" s="105">
        <v>1.0999999999999999E-2</v>
      </c>
      <c r="Y160" s="105">
        <v>2.0199999999999999E-2</v>
      </c>
      <c r="Z160" s="488">
        <v>6.3E-2</v>
      </c>
      <c r="AA160" s="182"/>
      <c r="AB160" s="182"/>
      <c r="AC160" s="182"/>
    </row>
    <row r="161" spans="13:29" x14ac:dyDescent="0.25">
      <c r="M161" s="12">
        <v>2022</v>
      </c>
      <c r="N161" s="198">
        <v>8.0999999999999996E-3</v>
      </c>
      <c r="O161" s="120">
        <v>0</v>
      </c>
      <c r="P161" s="120">
        <v>6.0000000000000001E-3</v>
      </c>
      <c r="Q161" s="199">
        <v>0</v>
      </c>
      <c r="R161" s="120">
        <v>0</v>
      </c>
      <c r="S161" s="120">
        <v>5.4000000000000003E-3</v>
      </c>
      <c r="T161" s="120">
        <v>0.01</v>
      </c>
      <c r="U161" s="120">
        <v>1.8E-3</v>
      </c>
      <c r="V161" s="119">
        <v>4.0000000000000003E-5</v>
      </c>
      <c r="W161" s="120">
        <v>5.9999999999999995E-4</v>
      </c>
      <c r="X161" s="105">
        <v>1.0999999999999999E-2</v>
      </c>
      <c r="Y161" s="105">
        <v>2.0199999999999999E-2</v>
      </c>
      <c r="Z161" s="488">
        <v>6.3E-2</v>
      </c>
      <c r="AA161" s="182"/>
      <c r="AB161" s="182"/>
      <c r="AC161" s="182"/>
    </row>
    <row r="162" spans="13:29" x14ac:dyDescent="0.25">
      <c r="M162" s="12">
        <v>2023</v>
      </c>
      <c r="N162" s="198">
        <v>8.0999999999999996E-3</v>
      </c>
      <c r="O162" s="120">
        <v>0</v>
      </c>
      <c r="P162" s="120">
        <v>6.0000000000000001E-3</v>
      </c>
      <c r="Q162" s="199">
        <v>0</v>
      </c>
      <c r="R162" s="120">
        <v>0</v>
      </c>
      <c r="S162" s="120">
        <v>5.4000000000000003E-3</v>
      </c>
      <c r="T162" s="120">
        <v>0.01</v>
      </c>
      <c r="U162" s="120">
        <v>1.8E-3</v>
      </c>
      <c r="V162" s="119">
        <v>4.0000000000000003E-5</v>
      </c>
      <c r="W162" s="120">
        <v>5.9999999999999995E-4</v>
      </c>
      <c r="X162" s="105">
        <v>1.0999999999999999E-2</v>
      </c>
      <c r="Y162" s="105">
        <v>2.0199999999999999E-2</v>
      </c>
      <c r="Z162" s="488">
        <v>6.3E-2</v>
      </c>
      <c r="AA162" s="182"/>
      <c r="AB162" s="182"/>
      <c r="AC162" s="182"/>
    </row>
    <row r="163" spans="13:29" x14ac:dyDescent="0.25">
      <c r="M163" s="12">
        <v>2024</v>
      </c>
      <c r="N163" s="198">
        <v>8.0999999999999996E-3</v>
      </c>
      <c r="O163" s="120">
        <v>0</v>
      </c>
      <c r="P163" s="120">
        <v>6.0000000000000001E-3</v>
      </c>
      <c r="Q163" s="199">
        <v>0</v>
      </c>
      <c r="R163" s="120">
        <v>0</v>
      </c>
      <c r="S163" s="120">
        <v>5.4000000000000003E-3</v>
      </c>
      <c r="T163" s="120">
        <v>0.01</v>
      </c>
      <c r="U163" s="120">
        <v>1.8E-3</v>
      </c>
      <c r="V163" s="119">
        <v>4.0000000000000003E-5</v>
      </c>
      <c r="W163" s="120">
        <v>5.9999999999999995E-4</v>
      </c>
      <c r="X163" s="105">
        <v>1.0999999999999999E-2</v>
      </c>
      <c r="Y163" s="105">
        <v>2.0199999999999999E-2</v>
      </c>
      <c r="Z163" s="488">
        <v>6.3E-2</v>
      </c>
      <c r="AA163" s="182"/>
      <c r="AB163" s="182"/>
      <c r="AC163" s="182"/>
    </row>
    <row r="164" spans="13:29" x14ac:dyDescent="0.25">
      <c r="M164" s="12">
        <v>2025</v>
      </c>
      <c r="N164" s="198">
        <v>8.0999999999999996E-3</v>
      </c>
      <c r="O164" s="120">
        <v>0</v>
      </c>
      <c r="P164" s="120">
        <v>6.0000000000000001E-3</v>
      </c>
      <c r="Q164" s="199">
        <v>0</v>
      </c>
      <c r="R164" s="120">
        <v>0</v>
      </c>
      <c r="S164" s="120">
        <v>5.4000000000000003E-3</v>
      </c>
      <c r="T164" s="120">
        <v>0.01</v>
      </c>
      <c r="U164" s="120">
        <v>1.8E-3</v>
      </c>
      <c r="V164" s="119">
        <v>4.0000000000000003E-5</v>
      </c>
      <c r="W164" s="120">
        <v>5.9999999999999995E-4</v>
      </c>
      <c r="X164" s="105">
        <v>1.0999999999999999E-2</v>
      </c>
      <c r="Y164" s="105">
        <v>2.0199999999999999E-2</v>
      </c>
      <c r="Z164" s="488">
        <v>6.3E-2</v>
      </c>
      <c r="AA164" s="182"/>
      <c r="AB164" s="182"/>
      <c r="AC164" s="182"/>
    </row>
    <row r="165" spans="13:29" x14ac:dyDescent="0.25">
      <c r="M165" s="12">
        <v>2026</v>
      </c>
      <c r="N165" s="198">
        <v>8.0999999999999996E-3</v>
      </c>
      <c r="O165" s="120">
        <v>0</v>
      </c>
      <c r="P165" s="120">
        <v>6.0000000000000001E-3</v>
      </c>
      <c r="Q165" s="199">
        <v>0</v>
      </c>
      <c r="R165" s="120">
        <v>0</v>
      </c>
      <c r="S165" s="120">
        <v>5.4000000000000003E-3</v>
      </c>
      <c r="T165" s="120">
        <v>0.01</v>
      </c>
      <c r="U165" s="120">
        <v>1.8E-3</v>
      </c>
      <c r="V165" s="119">
        <v>4.0000000000000003E-5</v>
      </c>
      <c r="W165" s="120">
        <v>5.9999999999999995E-4</v>
      </c>
      <c r="X165" s="105">
        <v>1.0999999999999999E-2</v>
      </c>
      <c r="Y165" s="105">
        <v>2.0199999999999999E-2</v>
      </c>
      <c r="Z165" s="488">
        <v>6.3E-2</v>
      </c>
      <c r="AA165" s="182"/>
      <c r="AB165" s="182"/>
      <c r="AC165" s="182"/>
    </row>
    <row r="166" spans="13:29" x14ac:dyDescent="0.25">
      <c r="M166" s="12">
        <v>2027</v>
      </c>
      <c r="N166" s="198">
        <v>8.0999999999999996E-3</v>
      </c>
      <c r="O166" s="120">
        <v>0</v>
      </c>
      <c r="P166" s="120">
        <v>6.0000000000000001E-3</v>
      </c>
      <c r="Q166" s="199">
        <v>0</v>
      </c>
      <c r="R166" s="120">
        <v>0</v>
      </c>
      <c r="S166" s="120">
        <v>5.4000000000000003E-3</v>
      </c>
      <c r="T166" s="120">
        <v>0.01</v>
      </c>
      <c r="U166" s="120">
        <v>1.8E-3</v>
      </c>
      <c r="V166" s="119">
        <v>4.0000000000000003E-5</v>
      </c>
      <c r="W166" s="120">
        <v>5.9999999999999995E-4</v>
      </c>
      <c r="X166" s="105">
        <v>1.0999999999999999E-2</v>
      </c>
      <c r="Y166" s="105">
        <v>2.0199999999999999E-2</v>
      </c>
      <c r="Z166" s="488">
        <v>6.3E-2</v>
      </c>
      <c r="AA166" s="182"/>
      <c r="AB166" s="182"/>
      <c r="AC166" s="182"/>
    </row>
    <row r="167" spans="13:29" x14ac:dyDescent="0.25">
      <c r="M167" s="12">
        <v>2028</v>
      </c>
      <c r="N167" s="198">
        <v>8.0999999999999996E-3</v>
      </c>
      <c r="O167" s="120">
        <v>0</v>
      </c>
      <c r="P167" s="120">
        <v>6.0000000000000001E-3</v>
      </c>
      <c r="Q167" s="199">
        <v>0</v>
      </c>
      <c r="R167" s="120">
        <v>0</v>
      </c>
      <c r="S167" s="120">
        <v>5.4000000000000003E-3</v>
      </c>
      <c r="T167" s="120">
        <v>0.01</v>
      </c>
      <c r="U167" s="120">
        <v>1.8E-3</v>
      </c>
      <c r="V167" s="119">
        <v>4.0000000000000003E-5</v>
      </c>
      <c r="W167" s="120">
        <v>5.9999999999999995E-4</v>
      </c>
      <c r="X167" s="105">
        <v>1.0999999999999999E-2</v>
      </c>
      <c r="Y167" s="105">
        <v>2.0199999999999999E-2</v>
      </c>
      <c r="Z167" s="488">
        <v>6.3E-2</v>
      </c>
      <c r="AA167" s="182"/>
      <c r="AB167" s="182"/>
      <c r="AC167" s="182"/>
    </row>
    <row r="168" spans="13:29" x14ac:dyDescent="0.25">
      <c r="M168" s="12">
        <v>2029</v>
      </c>
      <c r="N168" s="198">
        <v>8.0999999999999996E-3</v>
      </c>
      <c r="O168" s="120">
        <v>0</v>
      </c>
      <c r="P168" s="120">
        <v>6.0000000000000001E-3</v>
      </c>
      <c r="Q168" s="199">
        <v>0</v>
      </c>
      <c r="R168" s="120">
        <v>0</v>
      </c>
      <c r="S168" s="120">
        <v>5.4000000000000003E-3</v>
      </c>
      <c r="T168" s="120">
        <v>0.01</v>
      </c>
      <c r="U168" s="120">
        <v>1.8E-3</v>
      </c>
      <c r="V168" s="119">
        <v>4.0000000000000003E-5</v>
      </c>
      <c r="W168" s="120">
        <v>5.9999999999999995E-4</v>
      </c>
      <c r="X168" s="105">
        <v>1.0999999999999999E-2</v>
      </c>
      <c r="Y168" s="105">
        <v>2.0199999999999999E-2</v>
      </c>
      <c r="Z168" s="488">
        <v>6.3E-2</v>
      </c>
      <c r="AA168" s="182"/>
      <c r="AB168" s="182"/>
      <c r="AC168" s="182"/>
    </row>
    <row r="169" spans="13:29" x14ac:dyDescent="0.25">
      <c r="M169" s="12">
        <v>2030</v>
      </c>
      <c r="N169" s="198">
        <v>8.0999999999999996E-3</v>
      </c>
      <c r="O169" s="120">
        <v>0</v>
      </c>
      <c r="P169" s="120">
        <v>6.0000000000000001E-3</v>
      </c>
      <c r="Q169" s="199">
        <v>0</v>
      </c>
      <c r="R169" s="120">
        <v>0</v>
      </c>
      <c r="S169" s="120">
        <v>5.4000000000000003E-3</v>
      </c>
      <c r="T169" s="120">
        <v>0.01</v>
      </c>
      <c r="U169" s="120">
        <v>1.8E-3</v>
      </c>
      <c r="V169" s="119">
        <v>4.0000000000000003E-5</v>
      </c>
      <c r="W169" s="120">
        <v>5.9999999999999995E-4</v>
      </c>
      <c r="X169" s="105">
        <v>1.0999999999999999E-2</v>
      </c>
      <c r="Y169" s="105">
        <v>2.0199999999999999E-2</v>
      </c>
      <c r="Z169" s="488">
        <v>6.3E-2</v>
      </c>
      <c r="AA169" s="182"/>
      <c r="AB169" s="182"/>
      <c r="AC169" s="182"/>
    </row>
  </sheetData>
  <mergeCells count="921">
    <mergeCell ref="D43:E43"/>
    <mergeCell ref="D44:E44"/>
    <mergeCell ref="D45:E45"/>
    <mergeCell ref="D46:E46"/>
    <mergeCell ref="B55:C55"/>
    <mergeCell ref="B56:C56"/>
    <mergeCell ref="B41:C41"/>
    <mergeCell ref="D56:E56"/>
    <mergeCell ref="D47:E47"/>
    <mergeCell ref="D48:E48"/>
    <mergeCell ref="D49:E49"/>
    <mergeCell ref="D50:E50"/>
    <mergeCell ref="D51:E51"/>
    <mergeCell ref="D52:E52"/>
    <mergeCell ref="D53:E53"/>
    <mergeCell ref="D54:E54"/>
    <mergeCell ref="D55:E55"/>
    <mergeCell ref="D35:E35"/>
    <mergeCell ref="D36:E36"/>
    <mergeCell ref="D37:E37"/>
    <mergeCell ref="D38:E38"/>
    <mergeCell ref="D39:E39"/>
    <mergeCell ref="D40:E40"/>
    <mergeCell ref="D41:E41"/>
    <mergeCell ref="D42:E42"/>
    <mergeCell ref="B30:C30"/>
    <mergeCell ref="B31:C31"/>
    <mergeCell ref="B42:C42"/>
    <mergeCell ref="B33:C33"/>
    <mergeCell ref="B34:C34"/>
    <mergeCell ref="B35:C35"/>
    <mergeCell ref="B36:C36"/>
    <mergeCell ref="B37:C37"/>
    <mergeCell ref="B38:C38"/>
    <mergeCell ref="B39:C39"/>
    <mergeCell ref="B40:C40"/>
    <mergeCell ref="B32:C32"/>
    <mergeCell ref="D32:E32"/>
    <mergeCell ref="D33:E33"/>
    <mergeCell ref="D34:E34"/>
    <mergeCell ref="B57:C57"/>
    <mergeCell ref="B43:C43"/>
    <mergeCell ref="B44:C44"/>
    <mergeCell ref="B45:C45"/>
    <mergeCell ref="B46:C46"/>
    <mergeCell ref="B47:C47"/>
    <mergeCell ref="B48:C48"/>
    <mergeCell ref="B49:C49"/>
    <mergeCell ref="B50:C50"/>
    <mergeCell ref="B51:C51"/>
    <mergeCell ref="B52:C52"/>
    <mergeCell ref="B53:C53"/>
    <mergeCell ref="B54:C54"/>
    <mergeCell ref="MD8:MO8"/>
    <mergeCell ref="B16:C16"/>
    <mergeCell ref="B17:C17"/>
    <mergeCell ref="B18:C18"/>
    <mergeCell ref="B19:C19"/>
    <mergeCell ref="B20:C20"/>
    <mergeCell ref="B21:C21"/>
    <mergeCell ref="B22:C22"/>
    <mergeCell ref="B23:C23"/>
    <mergeCell ref="D13:E13"/>
    <mergeCell ref="D14:E14"/>
    <mergeCell ref="D15:E15"/>
    <mergeCell ref="D16:E16"/>
    <mergeCell ref="D17:E17"/>
    <mergeCell ref="D18:E18"/>
    <mergeCell ref="D19:E19"/>
    <mergeCell ref="D20:E20"/>
    <mergeCell ref="D21:E21"/>
    <mergeCell ref="D22:E22"/>
    <mergeCell ref="D23:E23"/>
    <mergeCell ref="BN11:CE12"/>
    <mergeCell ref="CM11:CR12"/>
    <mergeCell ref="CS11:CV12"/>
    <mergeCell ref="CW11:DH12"/>
    <mergeCell ref="B24:C24"/>
    <mergeCell ref="B25:C25"/>
    <mergeCell ref="A7:A10"/>
    <mergeCell ref="AD7:AU7"/>
    <mergeCell ref="AV7:BM7"/>
    <mergeCell ref="D31:E31"/>
    <mergeCell ref="F15:G15"/>
    <mergeCell ref="L15:M15"/>
    <mergeCell ref="F17:G17"/>
    <mergeCell ref="L17:M17"/>
    <mergeCell ref="L19:M19"/>
    <mergeCell ref="F25:G25"/>
    <mergeCell ref="L25:M25"/>
    <mergeCell ref="H25:I25"/>
    <mergeCell ref="F26:G26"/>
    <mergeCell ref="L26:M26"/>
    <mergeCell ref="L30:M30"/>
    <mergeCell ref="D26:E26"/>
    <mergeCell ref="D27:E27"/>
    <mergeCell ref="D28:E28"/>
    <mergeCell ref="A11:A12"/>
    <mergeCell ref="F8:G9"/>
    <mergeCell ref="H8:I9"/>
    <mergeCell ref="L8:M9"/>
    <mergeCell ref="F34:G34"/>
    <mergeCell ref="L34:M34"/>
    <mergeCell ref="F33:G33"/>
    <mergeCell ref="B7:M7"/>
    <mergeCell ref="B8:C9"/>
    <mergeCell ref="D8:E9"/>
    <mergeCell ref="FY11:FY12"/>
    <mergeCell ref="GA11:GA12"/>
    <mergeCell ref="FY10:FZ10"/>
    <mergeCell ref="GA10:GB10"/>
    <mergeCell ref="CY14:CZ14"/>
    <mergeCell ref="F13:G13"/>
    <mergeCell ref="DJ8:DK8"/>
    <mergeCell ref="B26:C26"/>
    <mergeCell ref="B27:C27"/>
    <mergeCell ref="B28:C28"/>
    <mergeCell ref="B29:C29"/>
    <mergeCell ref="D29:E29"/>
    <mergeCell ref="D30:E30"/>
    <mergeCell ref="B13:C13"/>
    <mergeCell ref="B14:C14"/>
    <mergeCell ref="B15:C15"/>
    <mergeCell ref="D24:E24"/>
    <mergeCell ref="D25:E25"/>
    <mergeCell ref="CM7:CR7"/>
    <mergeCell ref="FU7:GB7"/>
    <mergeCell ref="EA9:EB9"/>
    <mergeCell ref="EG9:EH9"/>
    <mergeCell ref="CW8:CZ8"/>
    <mergeCell ref="EM9:EN9"/>
    <mergeCell ref="EP9:EQ9"/>
    <mergeCell ref="ER9:ES9"/>
    <mergeCell ref="ET9:EU9"/>
    <mergeCell ref="EV9:EW9"/>
    <mergeCell ref="EX9:EY9"/>
    <mergeCell ref="DC9:DD9"/>
    <mergeCell ref="BR9:BS9"/>
    <mergeCell ref="BT9:BU9"/>
    <mergeCell ref="BV9:BW9"/>
    <mergeCell ref="BX9:BY9"/>
    <mergeCell ref="JE9:JI9"/>
    <mergeCell ref="JL9:JP9"/>
    <mergeCell ref="IJ9:IN9"/>
    <mergeCell ref="IQ9:IU9"/>
    <mergeCell ref="GQ9:GR9"/>
    <mergeCell ref="GS9:GT9"/>
    <mergeCell ref="GW9:GX9"/>
    <mergeCell ref="CF11:CJ12"/>
    <mergeCell ref="EP11:FA12"/>
    <mergeCell ref="FU11:FU12"/>
    <mergeCell ref="FW11:FW12"/>
    <mergeCell ref="MY9:NC9"/>
    <mergeCell ref="FY9:GB9"/>
    <mergeCell ref="LP9:LT9"/>
    <mergeCell ref="LW9:MA9"/>
    <mergeCell ref="MD9:MH9"/>
    <mergeCell ref="MK9:MO9"/>
    <mergeCell ref="GC9:GD9"/>
    <mergeCell ref="GE9:GF9"/>
    <mergeCell ref="GG9:GH9"/>
    <mergeCell ref="GI9:GJ9"/>
    <mergeCell ref="GK9:GL9"/>
    <mergeCell ref="FU9:FX9"/>
    <mergeCell ref="LB9:LF9"/>
    <mergeCell ref="LI9:LM9"/>
    <mergeCell ref="DQ8:DR9"/>
    <mergeCell ref="LP8:MA8"/>
    <mergeCell ref="CW9:CX9"/>
    <mergeCell ref="DA9:DB9"/>
    <mergeCell ref="DE9:DF9"/>
    <mergeCell ref="CY9:CZ9"/>
    <mergeCell ref="MR8:NC8"/>
    <mergeCell ref="IJ8:IU8"/>
    <mergeCell ref="IX8:JI8"/>
    <mergeCell ref="JL8:JW8"/>
    <mergeCell ref="J8:K9"/>
    <mergeCell ref="AD8:AI8"/>
    <mergeCell ref="DX8:DZ9"/>
    <mergeCell ref="CS8:CT9"/>
    <mergeCell ref="CU8:CV9"/>
    <mergeCell ref="DE8:DH8"/>
    <mergeCell ref="DA8:DD8"/>
    <mergeCell ref="CO8:CP9"/>
    <mergeCell ref="BN9:BO9"/>
    <mergeCell ref="DL9:DM9"/>
    <mergeCell ref="DN9:DO9"/>
    <mergeCell ref="DL8:DO8"/>
    <mergeCell ref="CQ8:CR9"/>
    <mergeCell ref="CF8:CK8"/>
    <mergeCell ref="CF9:CG9"/>
    <mergeCell ref="CH9:CI9"/>
    <mergeCell ref="CJ9:CK9"/>
    <mergeCell ref="GW8:HB8"/>
    <mergeCell ref="FB9:FC9"/>
    <mergeCell ref="FD9:FE9"/>
    <mergeCell ref="F14:G14"/>
    <mergeCell ref="L14:M14"/>
    <mergeCell ref="CW13:CX13"/>
    <mergeCell ref="DE13:DF13"/>
    <mergeCell ref="EP13:EQ13"/>
    <mergeCell ref="ER13:ES13"/>
    <mergeCell ref="CY13:CZ13"/>
    <mergeCell ref="CM13:CN13"/>
    <mergeCell ref="CO13:CP13"/>
    <mergeCell ref="CQ13:CR13"/>
    <mergeCell ref="BT13:BU13"/>
    <mergeCell ref="BV13:BW13"/>
    <mergeCell ref="BX13:BY13"/>
    <mergeCell ref="EP14:EQ14"/>
    <mergeCell ref="ER14:ES14"/>
    <mergeCell ref="CM14:CN14"/>
    <mergeCell ref="CO14:CP14"/>
    <mergeCell ref="CQ14:CR14"/>
    <mergeCell ref="CW14:CX14"/>
    <mergeCell ref="DE14:DF14"/>
    <mergeCell ref="CM15:CN15"/>
    <mergeCell ref="ET16:EU16"/>
    <mergeCell ref="EZ16:FA16"/>
    <mergeCell ref="CW16:CX16"/>
    <mergeCell ref="DE16:DF16"/>
    <mergeCell ref="EP16:EQ16"/>
    <mergeCell ref="ER16:ES16"/>
    <mergeCell ref="LP11:NC12"/>
    <mergeCell ref="JZ11:LM12"/>
    <mergeCell ref="HF11:HW12"/>
    <mergeCell ref="IJ11:JW12"/>
    <mergeCell ref="GC11:HD12"/>
    <mergeCell ref="DL11:DO12"/>
    <mergeCell ref="EA11:EN12"/>
    <mergeCell ref="FB11:FE12"/>
    <mergeCell ref="FF11:FI12"/>
    <mergeCell ref="CQ17:CR17"/>
    <mergeCell ref="CW17:CX17"/>
    <mergeCell ref="DE17:DF17"/>
    <mergeCell ref="CY17:CZ17"/>
    <mergeCell ref="EP15:EQ15"/>
    <mergeCell ref="ER15:ES15"/>
    <mergeCell ref="ET15:EU15"/>
    <mergeCell ref="EZ15:FA15"/>
    <mergeCell ref="CO15:CP15"/>
    <mergeCell ref="CQ15:CR15"/>
    <mergeCell ref="CW15:CX15"/>
    <mergeCell ref="DE15:DF15"/>
    <mergeCell ref="CY15:CZ15"/>
    <mergeCell ref="EP21:EQ21"/>
    <mergeCell ref="CO21:CP21"/>
    <mergeCell ref="CQ21:CR21"/>
    <mergeCell ref="CW21:CX21"/>
    <mergeCell ref="DE21:DF21"/>
    <mergeCell ref="CY21:CZ21"/>
    <mergeCell ref="F19:G19"/>
    <mergeCell ref="CY16:CZ16"/>
    <mergeCell ref="CM16:CN16"/>
    <mergeCell ref="CO16:CP16"/>
    <mergeCell ref="CQ16:CR16"/>
    <mergeCell ref="EP17:EQ17"/>
    <mergeCell ref="F16:G16"/>
    <mergeCell ref="L16:M16"/>
    <mergeCell ref="CO18:CP18"/>
    <mergeCell ref="CQ18:CR18"/>
    <mergeCell ref="CW18:CX18"/>
    <mergeCell ref="DE18:DF18"/>
    <mergeCell ref="CY18:CZ18"/>
    <mergeCell ref="CM18:CN18"/>
    <mergeCell ref="F18:G18"/>
    <mergeCell ref="L18:M18"/>
    <mergeCell ref="CM17:CN17"/>
    <mergeCell ref="CO17:CP17"/>
    <mergeCell ref="CW19:CX19"/>
    <mergeCell ref="DE19:DF19"/>
    <mergeCell ref="CY19:CZ19"/>
    <mergeCell ref="CM19:CN19"/>
    <mergeCell ref="CO19:CP19"/>
    <mergeCell ref="CQ19:CR19"/>
    <mergeCell ref="F22:G22"/>
    <mergeCell ref="L22:M22"/>
    <mergeCell ref="F20:G20"/>
    <mergeCell ref="L20:M20"/>
    <mergeCell ref="CM21:CN21"/>
    <mergeCell ref="F21:G21"/>
    <mergeCell ref="L21:M21"/>
    <mergeCell ref="H21:I21"/>
    <mergeCell ref="H22:I22"/>
    <mergeCell ref="ET23:EU23"/>
    <mergeCell ref="EZ23:FA23"/>
    <mergeCell ref="CM23:CN23"/>
    <mergeCell ref="CO23:CP23"/>
    <mergeCell ref="CQ23:CR23"/>
    <mergeCell ref="ET20:EU20"/>
    <mergeCell ref="EZ20:FA20"/>
    <mergeCell ref="CM20:CN20"/>
    <mergeCell ref="CO20:CP20"/>
    <mergeCell ref="CQ20:CR20"/>
    <mergeCell ref="CW20:CX20"/>
    <mergeCell ref="DE20:DF20"/>
    <mergeCell ref="CY20:CZ20"/>
    <mergeCell ref="ER20:ES20"/>
    <mergeCell ref="CW23:CX23"/>
    <mergeCell ref="DE23:DF23"/>
    <mergeCell ref="CY23:CZ23"/>
    <mergeCell ref="ER21:ES21"/>
    <mergeCell ref="ET21:EU21"/>
    <mergeCell ref="EZ21:FA21"/>
    <mergeCell ref="EP23:EQ23"/>
    <mergeCell ref="ER23:ES23"/>
    <mergeCell ref="ET22:EU22"/>
    <mergeCell ref="EZ22:FA22"/>
    <mergeCell ref="EP24:EQ24"/>
    <mergeCell ref="ER24:ES24"/>
    <mergeCell ref="ET24:EU24"/>
    <mergeCell ref="EZ24:FA24"/>
    <mergeCell ref="H23:I23"/>
    <mergeCell ref="F23:G23"/>
    <mergeCell ref="L23:M23"/>
    <mergeCell ref="CW22:CX22"/>
    <mergeCell ref="DE22:DF22"/>
    <mergeCell ref="EP22:EQ22"/>
    <mergeCell ref="ER22:ES22"/>
    <mergeCell ref="CY22:CZ22"/>
    <mergeCell ref="CM22:CN22"/>
    <mergeCell ref="CO22:CP22"/>
    <mergeCell ref="CQ22:CR22"/>
    <mergeCell ref="CO24:CP24"/>
    <mergeCell ref="CQ24:CR24"/>
    <mergeCell ref="CW24:CX24"/>
    <mergeCell ref="DE24:DF24"/>
    <mergeCell ref="CY24:CZ24"/>
    <mergeCell ref="CM24:CN24"/>
    <mergeCell ref="F24:G24"/>
    <mergeCell ref="L24:M24"/>
    <mergeCell ref="H24:I24"/>
    <mergeCell ref="EP26:EQ26"/>
    <mergeCell ref="ER26:ES26"/>
    <mergeCell ref="ET26:EU26"/>
    <mergeCell ref="EZ26:FA26"/>
    <mergeCell ref="CM26:CN26"/>
    <mergeCell ref="CO26:CP26"/>
    <mergeCell ref="CQ26:CR26"/>
    <mergeCell ref="CW26:CX26"/>
    <mergeCell ref="DE26:DF26"/>
    <mergeCell ref="CY26:CZ26"/>
    <mergeCell ref="ET25:EU25"/>
    <mergeCell ref="EZ25:FA25"/>
    <mergeCell ref="CW25:CX25"/>
    <mergeCell ref="DE25:DF25"/>
    <mergeCell ref="EP25:EQ25"/>
    <mergeCell ref="ER25:ES25"/>
    <mergeCell ref="CY25:CZ25"/>
    <mergeCell ref="CM25:CN25"/>
    <mergeCell ref="CO25:CP25"/>
    <mergeCell ref="CQ25:CR25"/>
    <mergeCell ref="ER27:ES27"/>
    <mergeCell ref="ET27:EU27"/>
    <mergeCell ref="EZ27:FA27"/>
    <mergeCell ref="F29:G29"/>
    <mergeCell ref="L29:M29"/>
    <mergeCell ref="CW28:CX28"/>
    <mergeCell ref="CM28:CN28"/>
    <mergeCell ref="F28:G28"/>
    <mergeCell ref="L28:M28"/>
    <mergeCell ref="CO27:CP27"/>
    <mergeCell ref="CQ27:CR27"/>
    <mergeCell ref="CW27:CX27"/>
    <mergeCell ref="DE27:DF27"/>
    <mergeCell ref="CY27:CZ27"/>
    <mergeCell ref="CM27:CN27"/>
    <mergeCell ref="F27:G27"/>
    <mergeCell ref="L27:M27"/>
    <mergeCell ref="H27:I27"/>
    <mergeCell ref="H28:I28"/>
    <mergeCell ref="ET28:EU28"/>
    <mergeCell ref="EZ28:FA28"/>
    <mergeCell ref="ER28:ES28"/>
    <mergeCell ref="ER29:ES29"/>
    <mergeCell ref="ET29:EU29"/>
    <mergeCell ref="CW31:CX31"/>
    <mergeCell ref="DE31:DF31"/>
    <mergeCell ref="CM29:CN29"/>
    <mergeCell ref="CO29:CP29"/>
    <mergeCell ref="CQ29:CR29"/>
    <mergeCell ref="CW29:CX29"/>
    <mergeCell ref="DE29:DF29"/>
    <mergeCell ref="CY29:CZ29"/>
    <mergeCell ref="EP27:EQ27"/>
    <mergeCell ref="DE28:DF28"/>
    <mergeCell ref="EP28:EQ28"/>
    <mergeCell ref="CY28:CZ28"/>
    <mergeCell ref="CO28:CP28"/>
    <mergeCell ref="CQ28:CR28"/>
    <mergeCell ref="EP29:EQ29"/>
    <mergeCell ref="EZ29:FA29"/>
    <mergeCell ref="F32:G32"/>
    <mergeCell ref="L32:M32"/>
    <mergeCell ref="EP30:EQ30"/>
    <mergeCell ref="ER30:ES30"/>
    <mergeCell ref="ET30:EU30"/>
    <mergeCell ref="EZ30:FA30"/>
    <mergeCell ref="ET31:EU31"/>
    <mergeCell ref="EZ31:FA31"/>
    <mergeCell ref="EP31:EQ31"/>
    <mergeCell ref="ER31:ES31"/>
    <mergeCell ref="CY31:CZ31"/>
    <mergeCell ref="CM31:CN31"/>
    <mergeCell ref="CO31:CP31"/>
    <mergeCell ref="CQ31:CR31"/>
    <mergeCell ref="F31:G31"/>
    <mergeCell ref="L31:M31"/>
    <mergeCell ref="CO30:CP30"/>
    <mergeCell ref="CQ30:CR30"/>
    <mergeCell ref="CW30:CX30"/>
    <mergeCell ref="DE30:DF30"/>
    <mergeCell ref="CY30:CZ30"/>
    <mergeCell ref="CM30:CN30"/>
    <mergeCell ref="F30:G30"/>
    <mergeCell ref="ER33:ES33"/>
    <mergeCell ref="ET33:EU33"/>
    <mergeCell ref="EZ33:FA33"/>
    <mergeCell ref="CM33:CN33"/>
    <mergeCell ref="EP32:EQ32"/>
    <mergeCell ref="ER32:ES32"/>
    <mergeCell ref="ET32:EU32"/>
    <mergeCell ref="EZ32:FA32"/>
    <mergeCell ref="CM32:CN32"/>
    <mergeCell ref="CO32:CP32"/>
    <mergeCell ref="CQ32:CR32"/>
    <mergeCell ref="CW32:CX32"/>
    <mergeCell ref="DE32:DF32"/>
    <mergeCell ref="CY32:CZ32"/>
    <mergeCell ref="EP33:EQ33"/>
    <mergeCell ref="CO33:CP33"/>
    <mergeCell ref="CQ33:CR33"/>
    <mergeCell ref="CW33:CX33"/>
    <mergeCell ref="DE33:DF33"/>
    <mergeCell ref="CY33:CZ33"/>
    <mergeCell ref="L33:M33"/>
    <mergeCell ref="CM36:CN36"/>
    <mergeCell ref="ET35:EU35"/>
    <mergeCell ref="EZ35:FA35"/>
    <mergeCell ref="DE35:DF35"/>
    <mergeCell ref="CY35:CZ35"/>
    <mergeCell ref="ER34:ES34"/>
    <mergeCell ref="ER35:ES35"/>
    <mergeCell ref="F36:G36"/>
    <mergeCell ref="L36:M36"/>
    <mergeCell ref="F35:G35"/>
    <mergeCell ref="L35:M35"/>
    <mergeCell ref="CW34:CX34"/>
    <mergeCell ref="DE34:DF34"/>
    <mergeCell ref="EP34:EQ34"/>
    <mergeCell ref="CY34:CZ34"/>
    <mergeCell ref="CM34:CN34"/>
    <mergeCell ref="CO34:CP34"/>
    <mergeCell ref="CQ34:CR34"/>
    <mergeCell ref="EP35:EQ35"/>
    <mergeCell ref="CM35:CN35"/>
    <mergeCell ref="CO35:CP35"/>
    <mergeCell ref="CQ35:CR35"/>
    <mergeCell ref="CW35:CX35"/>
    <mergeCell ref="ET34:EU34"/>
    <mergeCell ref="EZ34:FA34"/>
    <mergeCell ref="EP36:EQ36"/>
    <mergeCell ref="ER36:ES36"/>
    <mergeCell ref="ET36:EU36"/>
    <mergeCell ref="EZ36:FA36"/>
    <mergeCell ref="CO36:CP36"/>
    <mergeCell ref="CQ36:CR36"/>
    <mergeCell ref="CW36:CX36"/>
    <mergeCell ref="DE36:DF36"/>
    <mergeCell ref="CY36:CZ36"/>
    <mergeCell ref="ET37:EU37"/>
    <mergeCell ref="EZ37:FA37"/>
    <mergeCell ref="CW37:CX37"/>
    <mergeCell ref="DE37:DF37"/>
    <mergeCell ref="EP37:EQ37"/>
    <mergeCell ref="ER37:ES37"/>
    <mergeCell ref="CY37:CZ37"/>
    <mergeCell ref="CM37:CN37"/>
    <mergeCell ref="CO37:CP37"/>
    <mergeCell ref="CQ37:CR37"/>
    <mergeCell ref="EZ39:FA39"/>
    <mergeCell ref="CO39:CP39"/>
    <mergeCell ref="CQ39:CR39"/>
    <mergeCell ref="CW39:CX39"/>
    <mergeCell ref="DE39:DF39"/>
    <mergeCell ref="CY39:CZ39"/>
    <mergeCell ref="ET38:EU38"/>
    <mergeCell ref="EZ38:FA38"/>
    <mergeCell ref="CM38:CN38"/>
    <mergeCell ref="DE38:DF38"/>
    <mergeCell ref="CY38:CZ38"/>
    <mergeCell ref="CW38:CX38"/>
    <mergeCell ref="CO38:CP38"/>
    <mergeCell ref="CQ38:CR38"/>
    <mergeCell ref="ET39:EU39"/>
    <mergeCell ref="F37:G37"/>
    <mergeCell ref="L37:M37"/>
    <mergeCell ref="F38:G38"/>
    <mergeCell ref="L38:M38"/>
    <mergeCell ref="EP38:EQ38"/>
    <mergeCell ref="ER38:ES38"/>
    <mergeCell ref="CM41:CN41"/>
    <mergeCell ref="CO41:CP41"/>
    <mergeCell ref="CQ41:CR41"/>
    <mergeCell ref="CW41:CX41"/>
    <mergeCell ref="DE41:DF41"/>
    <mergeCell ref="CY41:CZ41"/>
    <mergeCell ref="EP39:EQ39"/>
    <mergeCell ref="ER39:ES39"/>
    <mergeCell ref="CM39:CN39"/>
    <mergeCell ref="CM40:CN40"/>
    <mergeCell ref="CO40:CP40"/>
    <mergeCell ref="CQ40:CR40"/>
    <mergeCell ref="F39:G39"/>
    <mergeCell ref="L39:M39"/>
    <mergeCell ref="H39:I39"/>
    <mergeCell ref="H40:I40"/>
    <mergeCell ref="F43:G43"/>
    <mergeCell ref="F42:G42"/>
    <mergeCell ref="F41:G41"/>
    <mergeCell ref="L41:M41"/>
    <mergeCell ref="CW40:CX40"/>
    <mergeCell ref="F40:G40"/>
    <mergeCell ref="L40:M40"/>
    <mergeCell ref="H41:I41"/>
    <mergeCell ref="EZ40:FA40"/>
    <mergeCell ref="DE40:DF40"/>
    <mergeCell ref="EP40:EQ40"/>
    <mergeCell ref="ER40:ES40"/>
    <mergeCell ref="CY40:CZ40"/>
    <mergeCell ref="EP42:EQ42"/>
    <mergeCell ref="ER42:ES42"/>
    <mergeCell ref="ET42:EU42"/>
    <mergeCell ref="EZ42:FA42"/>
    <mergeCell ref="ET41:EU41"/>
    <mergeCell ref="EZ41:FA41"/>
    <mergeCell ref="EP41:EQ41"/>
    <mergeCell ref="ER41:ES41"/>
    <mergeCell ref="ET40:EU40"/>
    <mergeCell ref="EZ43:FA43"/>
    <mergeCell ref="CW43:CX43"/>
    <mergeCell ref="DE43:DF43"/>
    <mergeCell ref="EP43:EQ43"/>
    <mergeCell ref="ER43:ES43"/>
    <mergeCell ref="CY43:CZ43"/>
    <mergeCell ref="CM43:CN43"/>
    <mergeCell ref="H42:I42"/>
    <mergeCell ref="H43:I43"/>
    <mergeCell ref="CQ43:CR43"/>
    <mergeCell ref="L43:M43"/>
    <mergeCell ref="CO42:CP42"/>
    <mergeCell ref="CQ42:CR42"/>
    <mergeCell ref="CW42:CX42"/>
    <mergeCell ref="DE42:DF42"/>
    <mergeCell ref="CY42:CZ42"/>
    <mergeCell ref="CM42:CN42"/>
    <mergeCell ref="L42:M42"/>
    <mergeCell ref="CO43:CP43"/>
    <mergeCell ref="ET43:EU43"/>
    <mergeCell ref="EZ47:FA47"/>
    <mergeCell ref="CM47:CN47"/>
    <mergeCell ref="CO47:CP47"/>
    <mergeCell ref="CQ47:CR47"/>
    <mergeCell ref="CW47:CX47"/>
    <mergeCell ref="DE47:DF47"/>
    <mergeCell ref="CY47:CZ47"/>
    <mergeCell ref="DE46:DF46"/>
    <mergeCell ref="EP46:EQ46"/>
    <mergeCell ref="ER46:ES46"/>
    <mergeCell ref="CY46:CZ46"/>
    <mergeCell ref="CM46:CN46"/>
    <mergeCell ref="CO46:CP46"/>
    <mergeCell ref="CQ46:CR46"/>
    <mergeCell ref="EP47:EQ47"/>
    <mergeCell ref="ER47:ES47"/>
    <mergeCell ref="ET46:EU46"/>
    <mergeCell ref="EZ46:FA46"/>
    <mergeCell ref="CW46:CX46"/>
    <mergeCell ref="EP45:EQ45"/>
    <mergeCell ref="ER45:ES45"/>
    <mergeCell ref="ET45:EU45"/>
    <mergeCell ref="EZ45:FA45"/>
    <mergeCell ref="F46:G46"/>
    <mergeCell ref="L46:M46"/>
    <mergeCell ref="CO45:CP45"/>
    <mergeCell ref="CQ45:CR45"/>
    <mergeCell ref="CW45:CX45"/>
    <mergeCell ref="DE45:DF45"/>
    <mergeCell ref="CY45:CZ45"/>
    <mergeCell ref="CM45:CN45"/>
    <mergeCell ref="F45:G45"/>
    <mergeCell ref="F44:G44"/>
    <mergeCell ref="L44:M44"/>
    <mergeCell ref="EP44:EQ44"/>
    <mergeCell ref="ER44:ES44"/>
    <mergeCell ref="ET44:EU44"/>
    <mergeCell ref="EZ44:FA44"/>
    <mergeCell ref="CM44:CN44"/>
    <mergeCell ref="CO44:CP44"/>
    <mergeCell ref="CQ44:CR44"/>
    <mergeCell ref="CW44:CX44"/>
    <mergeCell ref="DE44:DF44"/>
    <mergeCell ref="CY44:CZ44"/>
    <mergeCell ref="CM48:CN48"/>
    <mergeCell ref="F50:G50"/>
    <mergeCell ref="L50:M50"/>
    <mergeCell ref="CW49:CX49"/>
    <mergeCell ref="DE49:DF49"/>
    <mergeCell ref="EP49:EQ49"/>
    <mergeCell ref="ER49:ES49"/>
    <mergeCell ref="ET47:EU47"/>
    <mergeCell ref="CY49:CZ49"/>
    <mergeCell ref="CM49:CN49"/>
    <mergeCell ref="F48:G48"/>
    <mergeCell ref="L48:M48"/>
    <mergeCell ref="ET49:EU49"/>
    <mergeCell ref="CY50:CZ50"/>
    <mergeCell ref="EP48:EQ48"/>
    <mergeCell ref="ER48:ES48"/>
    <mergeCell ref="ET48:EU48"/>
    <mergeCell ref="F47:G47"/>
    <mergeCell ref="CM50:CN50"/>
    <mergeCell ref="CO50:CP50"/>
    <mergeCell ref="CQ50:CR50"/>
    <mergeCell ref="CW50:CX50"/>
    <mergeCell ref="DE50:DF50"/>
    <mergeCell ref="EZ48:FA48"/>
    <mergeCell ref="CO48:CP48"/>
    <mergeCell ref="CQ48:CR48"/>
    <mergeCell ref="CW48:CX48"/>
    <mergeCell ref="DE48:DF48"/>
    <mergeCell ref="CY48:CZ48"/>
    <mergeCell ref="EZ49:FA49"/>
    <mergeCell ref="F51:G51"/>
    <mergeCell ref="L51:M51"/>
    <mergeCell ref="H51:I51"/>
    <mergeCell ref="EP51:EQ51"/>
    <mergeCell ref="CO49:CP49"/>
    <mergeCell ref="CQ49:CR49"/>
    <mergeCell ref="EP50:EQ50"/>
    <mergeCell ref="F49:G49"/>
    <mergeCell ref="L49:M49"/>
    <mergeCell ref="H48:I48"/>
    <mergeCell ref="H49:I49"/>
    <mergeCell ref="H50:I50"/>
    <mergeCell ref="ER50:ES50"/>
    <mergeCell ref="ET51:EU51"/>
    <mergeCell ref="EZ51:FA51"/>
    <mergeCell ref="ET50:EU50"/>
    <mergeCell ref="EZ50:FA50"/>
    <mergeCell ref="ET52:EU52"/>
    <mergeCell ref="EZ52:FA52"/>
    <mergeCell ref="CW52:CX52"/>
    <mergeCell ref="DE52:DF52"/>
    <mergeCell ref="EP52:EQ52"/>
    <mergeCell ref="ER52:ES52"/>
    <mergeCell ref="CY52:CZ52"/>
    <mergeCell ref="CM52:CN52"/>
    <mergeCell ref="CO52:CP52"/>
    <mergeCell ref="CQ52:CR52"/>
    <mergeCell ref="EZ55:FA55"/>
    <mergeCell ref="CW55:CX55"/>
    <mergeCell ref="DE55:DF55"/>
    <mergeCell ref="F53:G53"/>
    <mergeCell ref="L53:M53"/>
    <mergeCell ref="EP53:EQ53"/>
    <mergeCell ref="ER53:ES53"/>
    <mergeCell ref="ET53:EU53"/>
    <mergeCell ref="EZ53:FA53"/>
    <mergeCell ref="CM53:CN53"/>
    <mergeCell ref="EZ54:FA54"/>
    <mergeCell ref="ER57:ES57"/>
    <mergeCell ref="ET57:EU57"/>
    <mergeCell ref="ET56:EU56"/>
    <mergeCell ref="CY54:CZ54"/>
    <mergeCell ref="CM54:CN54"/>
    <mergeCell ref="DE53:DF53"/>
    <mergeCell ref="CY53:CZ53"/>
    <mergeCell ref="F54:G54"/>
    <mergeCell ref="L54:M54"/>
    <mergeCell ref="ET55:EU55"/>
    <mergeCell ref="EP57:EQ57"/>
    <mergeCell ref="CW57:CX57"/>
    <mergeCell ref="DE57:DF57"/>
    <mergeCell ref="CY57:CZ57"/>
    <mergeCell ref="CM57:CN57"/>
    <mergeCell ref="F57:G57"/>
    <mergeCell ref="L57:M57"/>
    <mergeCell ref="CO53:CP53"/>
    <mergeCell ref="CQ53:CR53"/>
    <mergeCell ref="CW53:CX53"/>
    <mergeCell ref="ET54:EU54"/>
    <mergeCell ref="H55:I55"/>
    <mergeCell ref="EZ56:FA56"/>
    <mergeCell ref="CM56:CN56"/>
    <mergeCell ref="CO56:CP56"/>
    <mergeCell ref="CQ56:CR56"/>
    <mergeCell ref="CW56:CX56"/>
    <mergeCell ref="DE56:DF56"/>
    <mergeCell ref="CY56:CZ56"/>
    <mergeCell ref="F56:G56"/>
    <mergeCell ref="L56:M56"/>
    <mergeCell ref="EP56:EQ56"/>
    <mergeCell ref="ER56:ES56"/>
    <mergeCell ref="H56:I56"/>
    <mergeCell ref="F52:G52"/>
    <mergeCell ref="L52:M52"/>
    <mergeCell ref="CO51:CP51"/>
    <mergeCell ref="CQ51:CR51"/>
    <mergeCell ref="CW51:CX51"/>
    <mergeCell ref="DE51:DF51"/>
    <mergeCell ref="EP55:EQ55"/>
    <mergeCell ref="ER55:ES55"/>
    <mergeCell ref="CY55:CZ55"/>
    <mergeCell ref="CM55:CN55"/>
    <mergeCell ref="CO55:CP55"/>
    <mergeCell ref="CQ55:CR55"/>
    <mergeCell ref="F55:G55"/>
    <mergeCell ref="L55:M55"/>
    <mergeCell ref="EP54:EQ54"/>
    <mergeCell ref="ER54:ES54"/>
    <mergeCell ref="CO54:CP54"/>
    <mergeCell ref="CQ54:CR54"/>
    <mergeCell ref="CW54:CX54"/>
    <mergeCell ref="DE54:DF54"/>
    <mergeCell ref="ER51:ES51"/>
    <mergeCell ref="CY51:CZ51"/>
    <mergeCell ref="CM51:CN51"/>
    <mergeCell ref="H54:I54"/>
    <mergeCell ref="H32:I32"/>
    <mergeCell ref="H53:I53"/>
    <mergeCell ref="H44:I44"/>
    <mergeCell ref="H33:I33"/>
    <mergeCell ref="H34:I34"/>
    <mergeCell ref="H35:I35"/>
    <mergeCell ref="H36:I36"/>
    <mergeCell ref="H37:I37"/>
    <mergeCell ref="H38:I38"/>
    <mergeCell ref="H52:I52"/>
    <mergeCell ref="L2:M2"/>
    <mergeCell ref="N8:Q9"/>
    <mergeCell ref="R8:U9"/>
    <mergeCell ref="V8:Y9"/>
    <mergeCell ref="Z8:Z9"/>
    <mergeCell ref="H45:I45"/>
    <mergeCell ref="H46:I46"/>
    <mergeCell ref="H47:I47"/>
    <mergeCell ref="H26:I26"/>
    <mergeCell ref="H13:I13"/>
    <mergeCell ref="H14:I14"/>
    <mergeCell ref="H15:I15"/>
    <mergeCell ref="H16:I16"/>
    <mergeCell ref="H17:I17"/>
    <mergeCell ref="H18:I18"/>
    <mergeCell ref="H19:I19"/>
    <mergeCell ref="H20:I20"/>
    <mergeCell ref="H29:I29"/>
    <mergeCell ref="L45:M45"/>
    <mergeCell ref="L47:M47"/>
    <mergeCell ref="L13:M13"/>
    <mergeCell ref="H30:I30"/>
    <mergeCell ref="H31:I31"/>
    <mergeCell ref="O5:AC5"/>
    <mergeCell ref="V94:X95"/>
    <mergeCell ref="Z94:Z95"/>
    <mergeCell ref="AA94:AC95"/>
    <mergeCell ref="N93:Z93"/>
    <mergeCell ref="AJ8:AO8"/>
    <mergeCell ref="AP8:AU8"/>
    <mergeCell ref="AV8:BA8"/>
    <mergeCell ref="BB8:BG8"/>
    <mergeCell ref="AD9:AE9"/>
    <mergeCell ref="AF9:AG9"/>
    <mergeCell ref="AH9:AI9"/>
    <mergeCell ref="AJ9:AK9"/>
    <mergeCell ref="R94:T95"/>
    <mergeCell ref="N94:P95"/>
    <mergeCell ref="AD11:AU12"/>
    <mergeCell ref="U11:V12"/>
    <mergeCell ref="AV11:BM12"/>
    <mergeCell ref="AE3:AO3"/>
    <mergeCell ref="BZ9:CA9"/>
    <mergeCell ref="CB9:CC9"/>
    <mergeCell ref="AX9:AY9"/>
    <mergeCell ref="AZ9:BA9"/>
    <mergeCell ref="BB9:BC9"/>
    <mergeCell ref="BD9:BE9"/>
    <mergeCell ref="BF9:BG9"/>
    <mergeCell ref="N7:AC7"/>
    <mergeCell ref="BP9:BQ9"/>
    <mergeCell ref="BN8:BS8"/>
    <mergeCell ref="BH8:BM8"/>
    <mergeCell ref="BJ9:BK9"/>
    <mergeCell ref="BL9:BM9"/>
    <mergeCell ref="AA8:AC9"/>
    <mergeCell ref="BH9:BI9"/>
    <mergeCell ref="AL9:AM9"/>
    <mergeCell ref="AN9:AO9"/>
    <mergeCell ref="AP9:AQ9"/>
    <mergeCell ref="AR9:AS9"/>
    <mergeCell ref="AT9:AU9"/>
    <mergeCell ref="AV9:AW9"/>
    <mergeCell ref="BT8:BY8"/>
    <mergeCell ref="BN7:CE7"/>
    <mergeCell ref="JZ7:LM7"/>
    <mergeCell ref="IJ7:JW7"/>
    <mergeCell ref="EA8:EF8"/>
    <mergeCell ref="EP8:EU8"/>
    <mergeCell ref="FB7:FI7"/>
    <mergeCell ref="GQ7:HD7"/>
    <mergeCell ref="CS5:CT5"/>
    <mergeCell ref="HY7:IF7"/>
    <mergeCell ref="EV8:FA8"/>
    <mergeCell ref="FB8:FE8"/>
    <mergeCell ref="FF8:FI8"/>
    <mergeCell ref="FU8:GB8"/>
    <mergeCell ref="GC8:GH8"/>
    <mergeCell ref="GC7:GN7"/>
    <mergeCell ref="CS7:CV7"/>
    <mergeCell ref="CW7:DH7"/>
    <mergeCell ref="EA7:EN7"/>
    <mergeCell ref="EP7:FA7"/>
    <mergeCell ref="EG8:EL8"/>
    <mergeCell ref="GI8:GN8"/>
    <mergeCell ref="GO8:GP9"/>
    <mergeCell ref="KN8:KY8"/>
    <mergeCell ref="KU9:KY9"/>
    <mergeCell ref="EZ9:FA9"/>
    <mergeCell ref="AP3:AU3"/>
    <mergeCell ref="BH3:BM3"/>
    <mergeCell ref="BZ3:CE3"/>
    <mergeCell ref="CQ3:CR3"/>
    <mergeCell ref="AV3:BG3"/>
    <mergeCell ref="BN3:BY3"/>
    <mergeCell ref="CF7:CK7"/>
    <mergeCell ref="CF3:CK3"/>
    <mergeCell ref="GQ8:GV8"/>
    <mergeCell ref="DU8:DW9"/>
    <mergeCell ref="EI9:EJ9"/>
    <mergeCell ref="EK9:EL9"/>
    <mergeCell ref="FJ8:FL8"/>
    <mergeCell ref="FS8:FT8"/>
    <mergeCell ref="FM8:FN8"/>
    <mergeCell ref="FQ8:FR8"/>
    <mergeCell ref="EC9:ED9"/>
    <mergeCell ref="EE9:EF9"/>
    <mergeCell ref="GC3:GN3"/>
    <mergeCell ref="BZ8:CE8"/>
    <mergeCell ref="CM8:CN9"/>
    <mergeCell ref="DG9:DH9"/>
    <mergeCell ref="DP8:DP9"/>
    <mergeCell ref="CD9:CE9"/>
    <mergeCell ref="LP7:MY7"/>
    <mergeCell ref="HF7:HK7"/>
    <mergeCell ref="HL7:HQ7"/>
    <mergeCell ref="HR7:HW7"/>
    <mergeCell ref="HR8:HW8"/>
    <mergeCell ref="HR9:HS9"/>
    <mergeCell ref="HT9:HU9"/>
    <mergeCell ref="HV9:HW9"/>
    <mergeCell ref="HL8:HQ8"/>
    <mergeCell ref="HL9:HM9"/>
    <mergeCell ref="HN9:HO9"/>
    <mergeCell ref="HP9:HQ9"/>
    <mergeCell ref="HF8:HK8"/>
    <mergeCell ref="HF9:HG9"/>
    <mergeCell ref="HH9:HI9"/>
    <mergeCell ref="HJ9:HK9"/>
    <mergeCell ref="KN9:KR9"/>
    <mergeCell ref="LB8:LM8"/>
    <mergeCell ref="JZ8:KK8"/>
    <mergeCell ref="MR9:MV9"/>
    <mergeCell ref="JZ9:KD9"/>
    <mergeCell ref="KG9:KK9"/>
    <mergeCell ref="JS9:JW9"/>
    <mergeCell ref="IX9:JB9"/>
    <mergeCell ref="IF19:IF20"/>
    <mergeCell ref="EP19:EQ19"/>
    <mergeCell ref="ER19:ES19"/>
    <mergeCell ref="EP18:EQ18"/>
    <mergeCell ref="ER18:ES18"/>
    <mergeCell ref="ET18:EU18"/>
    <mergeCell ref="EZ18:FA18"/>
    <mergeCell ref="EZ19:FA19"/>
    <mergeCell ref="ET13:EU13"/>
    <mergeCell ref="EZ13:FA13"/>
    <mergeCell ref="ET14:EU14"/>
    <mergeCell ref="EZ14:FA14"/>
    <mergeCell ref="IA19:IA20"/>
    <mergeCell ref="IB19:IB20"/>
    <mergeCell ref="IC19:IC20"/>
    <mergeCell ref="ID19:ID20"/>
    <mergeCell ref="IE19:IE20"/>
    <mergeCell ref="ET19:EU19"/>
    <mergeCell ref="EP20:EQ20"/>
    <mergeCell ref="ER17:ES17"/>
    <mergeCell ref="ET17:EU17"/>
    <mergeCell ref="EZ17:FA17"/>
    <mergeCell ref="HC3:HD3"/>
    <mergeCell ref="HC8:HD9"/>
    <mergeCell ref="GQ3:HB3"/>
    <mergeCell ref="EM3:EN3"/>
    <mergeCell ref="DU7:DZ7"/>
    <mergeCell ref="DJ7:DO7"/>
    <mergeCell ref="EA3:EL3"/>
    <mergeCell ref="DQ11:DR11"/>
    <mergeCell ref="FO8:FP8"/>
    <mergeCell ref="FJ7:FR7"/>
    <mergeCell ref="DP7:DT7"/>
    <mergeCell ref="DS8:DT9"/>
    <mergeCell ref="DS11:DT11"/>
    <mergeCell ref="HA9:HB9"/>
    <mergeCell ref="FF9:FG9"/>
    <mergeCell ref="FH9:FI9"/>
    <mergeCell ref="FS7:FT7"/>
    <mergeCell ref="FU10:FV10"/>
    <mergeCell ref="FW10:FX10"/>
    <mergeCell ref="GM9:GN9"/>
    <mergeCell ref="GY9:GZ9"/>
    <mergeCell ref="GU9:GV9"/>
    <mergeCell ref="FK9:FL9"/>
  </mergeCells>
  <pageMargins left="0.75" right="0.75" top="1" bottom="1" header="0.5" footer="0.5"/>
  <pageSetup paperSize="9" orientation="landscape" horizontalDpi="4294967292" verticalDpi="4294967292"/>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N100"/>
  <sheetViews>
    <sheetView showGridLines="0" zoomScale="147" zoomScaleNormal="147" zoomScalePageLayoutView="147" workbookViewId="0">
      <pane xSplit="2" ySplit="6" topLeftCell="AN7" activePane="bottomRight" state="frozen"/>
      <selection pane="topRight" activeCell="C1" sqref="C1"/>
      <selection pane="bottomLeft" activeCell="A7" sqref="A7"/>
      <selection pane="bottomRight" activeCell="AR3" sqref="AR3"/>
    </sheetView>
  </sheetViews>
  <sheetFormatPr baseColWidth="10" defaultColWidth="11" defaultRowHeight="16" x14ac:dyDescent="0.2"/>
  <cols>
    <col min="3" max="3" width="20" customWidth="1"/>
    <col min="4" max="7" width="24.83203125" customWidth="1"/>
    <col min="11" max="11" width="12.6640625" customWidth="1"/>
    <col min="12" max="13" width="16" customWidth="1"/>
    <col min="15" max="15" width="12.83203125" customWidth="1"/>
    <col min="17" max="17" width="9.1640625" customWidth="1"/>
    <col min="18" max="18" width="11.83203125" customWidth="1"/>
    <col min="19" max="20" width="13.33203125" customWidth="1"/>
    <col min="21" max="24" width="13.5" customWidth="1"/>
    <col min="25" max="26" width="12.5" customWidth="1"/>
    <col min="27" max="28" width="12.6640625" customWidth="1"/>
    <col min="30" max="30" width="5.83203125" customWidth="1"/>
    <col min="31" max="33" width="12.83203125" customWidth="1"/>
    <col min="35" max="37" width="13.33203125" customWidth="1"/>
    <col min="38" max="38" width="11.6640625" customWidth="1"/>
    <col min="39" max="41" width="12.5" customWidth="1"/>
    <col min="99" max="99" width="15" customWidth="1"/>
    <col min="100" max="100" width="16" customWidth="1"/>
    <col min="101" max="101" width="12.33203125" customWidth="1"/>
    <col min="102" max="102" width="17.6640625" customWidth="1"/>
    <col min="113" max="113" width="11.6640625" customWidth="1"/>
    <col min="114" max="114" width="13.1640625" customWidth="1"/>
    <col min="116" max="116" width="23.33203125" bestFit="1" customWidth="1"/>
  </cols>
  <sheetData>
    <row r="1" spans="2:118" x14ac:dyDescent="0.2">
      <c r="K1" t="s">
        <v>2074</v>
      </c>
      <c r="AR1" t="s">
        <v>2074</v>
      </c>
      <c r="CX1" s="346" t="s">
        <v>1191</v>
      </c>
      <c r="CY1" s="346">
        <f>'POSF Inventory'!ID13</f>
        <v>0.84499999999999997</v>
      </c>
    </row>
    <row r="2" spans="2:118" ht="48" x14ac:dyDescent="0.2">
      <c r="L2" s="1038" t="s">
        <v>2067</v>
      </c>
      <c r="M2" s="1039" t="s">
        <v>2068</v>
      </c>
      <c r="N2" s="1060" t="s">
        <v>2069</v>
      </c>
      <c r="AS2" s="1038" t="s">
        <v>2071</v>
      </c>
      <c r="AT2" s="1039" t="s">
        <v>2072</v>
      </c>
      <c r="AU2" s="1039" t="s">
        <v>2073</v>
      </c>
      <c r="AY2" s="976"/>
      <c r="CW2" s="435" t="s">
        <v>2096</v>
      </c>
      <c r="CX2" s="346" t="s">
        <v>1192</v>
      </c>
      <c r="CY2" s="346">
        <f>'POSF Inventory'!ID14</f>
        <v>0.84699999999999998</v>
      </c>
    </row>
    <row r="3" spans="2:118" ht="65" thickBot="1" x14ac:dyDescent="0.35">
      <c r="B3" s="1036" t="s">
        <v>2055</v>
      </c>
      <c r="C3" s="752"/>
      <c r="D3" s="752"/>
      <c r="E3" s="752"/>
      <c r="F3" s="340"/>
      <c r="G3" s="340"/>
      <c r="H3" s="875"/>
      <c r="I3" s="875"/>
      <c r="J3" s="875"/>
      <c r="K3" s="1055" t="s">
        <v>2057</v>
      </c>
      <c r="L3" s="1037">
        <v>0.1</v>
      </c>
      <c r="M3" s="1037">
        <v>0.5</v>
      </c>
      <c r="N3" s="1037">
        <v>1</v>
      </c>
      <c r="S3" s="1064" t="s">
        <v>2075</v>
      </c>
      <c r="T3" s="1064"/>
      <c r="U3" s="1063" t="s">
        <v>2076</v>
      </c>
      <c r="V3" s="1063"/>
      <c r="AE3" s="1074"/>
      <c r="AF3" s="1074"/>
      <c r="AG3" s="1074"/>
      <c r="AR3" s="1058" t="s">
        <v>2066</v>
      </c>
      <c r="AS3" s="1077">
        <v>0.2</v>
      </c>
      <c r="AT3" s="1077">
        <v>0.5</v>
      </c>
      <c r="AU3" s="1077">
        <v>0.8</v>
      </c>
      <c r="AY3" s="1117"/>
      <c r="CX3" s="346" t="s">
        <v>1107</v>
      </c>
      <c r="CY3" s="346">
        <f>'POSF Inventory'!ID16</f>
        <v>0.8</v>
      </c>
    </row>
    <row r="4" spans="2:118" ht="64" x14ac:dyDescent="0.2">
      <c r="K4" s="1056" t="s">
        <v>2058</v>
      </c>
      <c r="L4" s="1037">
        <v>0.9</v>
      </c>
      <c r="M4" s="1037">
        <v>0.5</v>
      </c>
      <c r="N4" s="1037">
        <v>0</v>
      </c>
      <c r="S4" s="1076" t="s">
        <v>2083</v>
      </c>
      <c r="T4" s="1076"/>
      <c r="U4" s="1089" t="s">
        <v>2094</v>
      </c>
      <c r="V4" s="1089"/>
      <c r="AR4" s="1059" t="s">
        <v>2070</v>
      </c>
      <c r="AS4" s="1057">
        <v>0.8</v>
      </c>
      <c r="AT4" s="1057">
        <v>0.5</v>
      </c>
      <c r="AU4" s="1057">
        <v>0.2</v>
      </c>
      <c r="AY4" s="1116"/>
      <c r="CX4" s="346" t="s">
        <v>1106</v>
      </c>
      <c r="CY4" s="346">
        <f>'POSF Inventory'!ID17</f>
        <v>0.9890000000000001</v>
      </c>
    </row>
    <row r="5" spans="2:118" ht="34" customHeight="1" x14ac:dyDescent="0.2">
      <c r="C5" s="1302" t="s">
        <v>2101</v>
      </c>
      <c r="D5" s="1302"/>
      <c r="E5" s="1302"/>
      <c r="F5" s="1302"/>
      <c r="G5" s="1302"/>
      <c r="H5" s="1302"/>
      <c r="I5" s="1302"/>
      <c r="K5" s="1299" t="s">
        <v>2065</v>
      </c>
      <c r="L5" s="1299"/>
      <c r="M5" s="1299"/>
      <c r="N5" s="1299"/>
      <c r="O5" s="1299"/>
      <c r="P5" s="1299"/>
      <c r="Q5" s="1299"/>
      <c r="R5" s="1299"/>
      <c r="S5" s="1299"/>
      <c r="T5" s="1299"/>
      <c r="U5" s="1299"/>
      <c r="V5" s="1299"/>
      <c r="W5" s="1299"/>
      <c r="X5" s="1299"/>
      <c r="Y5" s="1299"/>
      <c r="Z5" s="1299"/>
      <c r="AA5" s="1299"/>
      <c r="AB5" s="1299"/>
      <c r="AC5" s="1299"/>
      <c r="AD5" s="1299"/>
      <c r="AE5" s="1299"/>
      <c r="AF5" s="1299"/>
      <c r="AG5" s="1299"/>
      <c r="AH5" s="1299"/>
      <c r="AI5" s="1299"/>
      <c r="AJ5" s="1299"/>
      <c r="AK5" s="1299"/>
      <c r="AL5" s="1299"/>
      <c r="AM5" s="1299"/>
      <c r="AN5" s="1299"/>
      <c r="AO5" s="1299"/>
      <c r="AP5" s="1299"/>
      <c r="AR5" s="1300" t="s">
        <v>2103</v>
      </c>
      <c r="AS5" s="1300"/>
      <c r="AT5" s="1300"/>
      <c r="AU5" s="1300"/>
      <c r="AV5" s="1300"/>
      <c r="AW5" s="1300"/>
      <c r="AX5" s="1300"/>
      <c r="AY5" s="1300"/>
      <c r="AZ5" s="1300"/>
      <c r="BA5" s="1300"/>
      <c r="BB5" s="1300"/>
      <c r="BC5" s="1300"/>
      <c r="BD5" s="1300"/>
      <c r="BE5" s="1300"/>
      <c r="BF5" s="1300"/>
      <c r="BH5" s="1287" t="s">
        <v>2084</v>
      </c>
      <c r="BI5" s="1287"/>
      <c r="BJ5" s="1287"/>
      <c r="BK5" s="1287"/>
      <c r="BL5" s="1287"/>
      <c r="BM5" s="1287"/>
      <c r="BN5" s="1287"/>
      <c r="BO5" s="1287"/>
      <c r="BP5" s="1287"/>
      <c r="BR5" s="1287" t="s">
        <v>2102</v>
      </c>
      <c r="BS5" s="1287"/>
      <c r="BT5" s="1287"/>
      <c r="BU5" s="1287"/>
      <c r="BV5" s="1287"/>
      <c r="BW5" s="1287"/>
      <c r="BX5" s="1287"/>
      <c r="BY5" s="1287"/>
      <c r="BZ5" s="1287"/>
      <c r="CA5" s="1287"/>
      <c r="CB5" s="1287"/>
      <c r="CC5" s="1287"/>
      <c r="CD5" s="1287"/>
      <c r="CE5" s="1287"/>
      <c r="CF5" s="1287"/>
      <c r="CG5" s="1112"/>
      <c r="CH5" s="1287" t="s">
        <v>2118</v>
      </c>
      <c r="CI5" s="1287"/>
      <c r="CJ5" s="1287"/>
      <c r="CK5" s="1287"/>
      <c r="CL5" s="1287"/>
      <c r="CM5" s="1287"/>
      <c r="CN5" s="1287"/>
      <c r="CO5" s="1287"/>
      <c r="CP5" s="1287"/>
      <c r="CQ5" s="1287"/>
      <c r="CR5" s="1287"/>
      <c r="CS5" s="1287"/>
      <c r="CU5" s="1099" t="s">
        <v>2104</v>
      </c>
      <c r="CV5" s="1100">
        <f>'POSF Inventory'!FM11</f>
        <v>0.1</v>
      </c>
      <c r="CW5" s="1287" t="s">
        <v>2095</v>
      </c>
      <c r="CX5" s="1287"/>
      <c r="CY5" s="1287"/>
      <c r="CZ5" s="1287"/>
      <c r="DA5" s="1287"/>
      <c r="DB5" s="1287"/>
      <c r="DC5" s="1287"/>
      <c r="DD5" s="1287"/>
      <c r="DI5" s="341" t="s">
        <v>2156</v>
      </c>
    </row>
    <row r="6" spans="2:118" ht="47" customHeight="1" x14ac:dyDescent="0.2">
      <c r="C6" s="1108" t="s">
        <v>2056</v>
      </c>
      <c r="D6" s="1109" t="s">
        <v>2115</v>
      </c>
      <c r="E6" s="1109" t="s">
        <v>2115</v>
      </c>
      <c r="F6" s="1109" t="s">
        <v>2116</v>
      </c>
      <c r="G6" s="1109" t="s">
        <v>2116</v>
      </c>
      <c r="H6" s="1301" t="s">
        <v>40</v>
      </c>
      <c r="I6" s="1301"/>
      <c r="K6" s="1295" t="s">
        <v>2067</v>
      </c>
      <c r="L6" s="1296"/>
      <c r="M6" s="1310" t="s">
        <v>2068</v>
      </c>
      <c r="N6" s="1311"/>
      <c r="O6" s="1297" t="s">
        <v>2069</v>
      </c>
      <c r="P6" s="1298"/>
      <c r="Q6" s="800"/>
      <c r="R6" s="1303" t="s">
        <v>2067</v>
      </c>
      <c r="S6" s="1304"/>
      <c r="T6" s="1304"/>
      <c r="U6" s="1305"/>
      <c r="V6" s="1309" t="s">
        <v>2068</v>
      </c>
      <c r="W6" s="1304"/>
      <c r="X6" s="1304"/>
      <c r="Y6" s="1305"/>
      <c r="Z6" s="1309" t="s">
        <v>2069</v>
      </c>
      <c r="AA6" s="1304"/>
      <c r="AB6" s="1304"/>
      <c r="AC6" s="1304"/>
      <c r="AD6" s="1007"/>
      <c r="AE6" s="1295" t="s">
        <v>2067</v>
      </c>
      <c r="AF6" s="1295"/>
      <c r="AG6" s="1295"/>
      <c r="AH6" s="1296"/>
      <c r="AI6" s="1297" t="s">
        <v>2068</v>
      </c>
      <c r="AJ6" s="1295"/>
      <c r="AK6" s="1295"/>
      <c r="AL6" s="1296"/>
      <c r="AM6" s="1297" t="s">
        <v>2069</v>
      </c>
      <c r="AN6" s="1295"/>
      <c r="AO6" s="1295"/>
      <c r="AP6" s="1298"/>
      <c r="AR6" s="1288" t="s">
        <v>2080</v>
      </c>
      <c r="AS6" s="1288"/>
      <c r="AT6" s="1288"/>
      <c r="AU6" s="1288"/>
      <c r="AV6" s="1288"/>
      <c r="AW6" s="1289"/>
      <c r="AX6" s="1290" t="s">
        <v>2081</v>
      </c>
      <c r="AY6" s="1288"/>
      <c r="AZ6" s="1288"/>
      <c r="BA6" s="1288"/>
      <c r="BB6" s="1288"/>
      <c r="BC6" s="1289"/>
      <c r="BD6" s="1290" t="s">
        <v>2082</v>
      </c>
      <c r="BE6" s="1288"/>
      <c r="BF6" s="1288"/>
      <c r="BH6" s="1291" t="s">
        <v>2080</v>
      </c>
      <c r="BI6" s="1292"/>
      <c r="BJ6" s="1293"/>
      <c r="BK6" s="1291" t="s">
        <v>2081</v>
      </c>
      <c r="BL6" s="1292"/>
      <c r="BM6" s="1293"/>
      <c r="BN6" s="1291" t="s">
        <v>2082</v>
      </c>
      <c r="BO6" s="1292"/>
      <c r="BP6" s="1294"/>
      <c r="BR6" s="1288" t="s">
        <v>2080</v>
      </c>
      <c r="BS6" s="1288"/>
      <c r="BT6" s="1288"/>
      <c r="BU6" s="1288"/>
      <c r="BV6" s="1288"/>
      <c r="BW6" s="1289"/>
      <c r="BX6" s="1290" t="s">
        <v>2081</v>
      </c>
      <c r="BY6" s="1288"/>
      <c r="BZ6" s="1288"/>
      <c r="CA6" s="1288"/>
      <c r="CB6" s="1288"/>
      <c r="CC6" s="1289"/>
      <c r="CD6" s="1290" t="s">
        <v>2082</v>
      </c>
      <c r="CE6" s="1288"/>
      <c r="CF6" s="1288"/>
      <c r="CG6" s="1062"/>
      <c r="CH6" s="1288" t="s">
        <v>2080</v>
      </c>
      <c r="CI6" s="1288"/>
      <c r="CJ6" s="1288"/>
      <c r="CK6" s="1288"/>
      <c r="CL6" s="1288"/>
      <c r="CM6" s="1289"/>
      <c r="CN6" s="1290" t="s">
        <v>2081</v>
      </c>
      <c r="CO6" s="1288"/>
      <c r="CP6" s="1288"/>
      <c r="CQ6" s="1288"/>
      <c r="CR6" s="1288"/>
      <c r="CS6" s="1289"/>
      <c r="CU6" s="1101" t="s">
        <v>2105</v>
      </c>
      <c r="CW6" s="1292" t="s">
        <v>2117</v>
      </c>
      <c r="CX6" s="1293"/>
      <c r="CY6" s="1307" t="s">
        <v>2110</v>
      </c>
      <c r="CZ6" s="1308"/>
      <c r="DA6" s="1291" t="s">
        <v>393</v>
      </c>
      <c r="DB6" s="1293"/>
      <c r="DC6" s="1306" t="s">
        <v>0</v>
      </c>
      <c r="DD6" s="1306"/>
    </row>
    <row r="7" spans="2:118" ht="64" x14ac:dyDescent="0.2">
      <c r="B7" s="1038" t="s">
        <v>1</v>
      </c>
      <c r="C7" s="1113" t="s">
        <v>2119</v>
      </c>
      <c r="D7" s="1055" t="s">
        <v>2113</v>
      </c>
      <c r="E7" s="1114" t="s">
        <v>2114</v>
      </c>
      <c r="F7" s="1055" t="s">
        <v>2113</v>
      </c>
      <c r="G7" s="1055" t="s">
        <v>2114</v>
      </c>
      <c r="H7" s="1065" t="s">
        <v>2113</v>
      </c>
      <c r="I7" s="1103" t="s">
        <v>2114</v>
      </c>
      <c r="J7" s="589"/>
      <c r="K7" s="1073" t="s">
        <v>2062</v>
      </c>
      <c r="L7" s="1080" t="s">
        <v>2059</v>
      </c>
      <c r="M7" s="1073" t="s">
        <v>2063</v>
      </c>
      <c r="N7" s="1080" t="s">
        <v>2060</v>
      </c>
      <c r="O7" s="1073" t="s">
        <v>2064</v>
      </c>
      <c r="P7" s="1081" t="s">
        <v>2061</v>
      </c>
      <c r="Q7" s="1045"/>
      <c r="R7" s="1044" t="s">
        <v>2121</v>
      </c>
      <c r="S7" s="1044" t="s">
        <v>2120</v>
      </c>
      <c r="T7" s="1061" t="s">
        <v>2122</v>
      </c>
      <c r="U7" s="1061" t="s">
        <v>2123</v>
      </c>
      <c r="V7" s="1044" t="s">
        <v>2124</v>
      </c>
      <c r="W7" s="1044" t="s">
        <v>2125</v>
      </c>
      <c r="X7" s="1061" t="s">
        <v>2126</v>
      </c>
      <c r="Y7" s="1061" t="s">
        <v>2129</v>
      </c>
      <c r="Z7" s="1044" t="s">
        <v>2127</v>
      </c>
      <c r="AA7" s="1044" t="s">
        <v>2130</v>
      </c>
      <c r="AB7" s="1040" t="s">
        <v>2128</v>
      </c>
      <c r="AC7" s="1040" t="s">
        <v>2131</v>
      </c>
      <c r="AD7" s="1115"/>
      <c r="AE7" s="1066" t="s">
        <v>2132</v>
      </c>
      <c r="AF7" s="1066" t="s">
        <v>2133</v>
      </c>
      <c r="AG7" s="1061" t="s">
        <v>2139</v>
      </c>
      <c r="AH7" s="1061" t="s">
        <v>2134</v>
      </c>
      <c r="AI7" s="1066" t="s">
        <v>2140</v>
      </c>
      <c r="AJ7" s="1066" t="s">
        <v>2135</v>
      </c>
      <c r="AK7" s="1061" t="s">
        <v>2141</v>
      </c>
      <c r="AL7" s="1061" t="s">
        <v>2136</v>
      </c>
      <c r="AM7" s="1066" t="s">
        <v>2142</v>
      </c>
      <c r="AN7" s="1066" t="s">
        <v>2137</v>
      </c>
      <c r="AO7" s="1061" t="s">
        <v>2143</v>
      </c>
      <c r="AP7" s="1061" t="s">
        <v>2138</v>
      </c>
      <c r="AR7" s="1087" t="s">
        <v>2144</v>
      </c>
      <c r="AS7" s="1087" t="s">
        <v>2150</v>
      </c>
      <c r="AT7" s="1088" t="s">
        <v>2145</v>
      </c>
      <c r="AU7" s="1088" t="s">
        <v>2151</v>
      </c>
      <c r="AV7" s="1088" t="s">
        <v>2146</v>
      </c>
      <c r="AW7" s="1088" t="s">
        <v>2152</v>
      </c>
      <c r="AX7" s="1088" t="s">
        <v>2147</v>
      </c>
      <c r="AY7" s="1088" t="s">
        <v>2153</v>
      </c>
      <c r="AZ7" s="1088" t="s">
        <v>2148</v>
      </c>
      <c r="BA7" s="1088" t="s">
        <v>2155</v>
      </c>
      <c r="BB7" s="1088" t="s">
        <v>2149</v>
      </c>
      <c r="BC7" s="1088" t="s">
        <v>2154</v>
      </c>
      <c r="BD7" s="685" t="s">
        <v>2077</v>
      </c>
      <c r="BE7" s="685" t="s">
        <v>2078</v>
      </c>
      <c r="BF7" s="1075" t="s">
        <v>2079</v>
      </c>
      <c r="BH7" s="1078" t="s">
        <v>2085</v>
      </c>
      <c r="BI7" s="1079" t="s">
        <v>2086</v>
      </c>
      <c r="BJ7" s="1079" t="s">
        <v>2087</v>
      </c>
      <c r="BK7" s="1079" t="s">
        <v>2088</v>
      </c>
      <c r="BL7" s="1079" t="s">
        <v>2089</v>
      </c>
      <c r="BM7" s="1079" t="s">
        <v>2090</v>
      </c>
      <c r="BN7" s="685" t="s">
        <v>2091</v>
      </c>
      <c r="BO7" s="685" t="s">
        <v>2092</v>
      </c>
      <c r="BP7" s="1075" t="s">
        <v>2093</v>
      </c>
      <c r="BR7" s="1078" t="s">
        <v>2144</v>
      </c>
      <c r="BS7" s="1078" t="s">
        <v>2150</v>
      </c>
      <c r="BT7" s="1079" t="s">
        <v>2145</v>
      </c>
      <c r="BU7" s="1079" t="s">
        <v>2151</v>
      </c>
      <c r="BV7" s="1079" t="s">
        <v>2146</v>
      </c>
      <c r="BW7" s="1079" t="s">
        <v>2152</v>
      </c>
      <c r="BX7" s="1079" t="s">
        <v>2147</v>
      </c>
      <c r="BY7" s="1079" t="s">
        <v>2153</v>
      </c>
      <c r="BZ7" s="1079" t="s">
        <v>2148</v>
      </c>
      <c r="CA7" s="1079" t="s">
        <v>2155</v>
      </c>
      <c r="CB7" s="1079" t="s">
        <v>2149</v>
      </c>
      <c r="CC7" s="1079" t="s">
        <v>2154</v>
      </c>
      <c r="CD7" s="685" t="s">
        <v>2091</v>
      </c>
      <c r="CE7" s="685" t="s">
        <v>2092</v>
      </c>
      <c r="CF7" s="1075" t="s">
        <v>2093</v>
      </c>
      <c r="CG7" s="687"/>
      <c r="CH7" s="1078" t="s">
        <v>2144</v>
      </c>
      <c r="CI7" s="1078" t="s">
        <v>2150</v>
      </c>
      <c r="CJ7" s="1079" t="s">
        <v>2145</v>
      </c>
      <c r="CK7" s="1079" t="s">
        <v>2151</v>
      </c>
      <c r="CL7" s="1079" t="s">
        <v>2146</v>
      </c>
      <c r="CM7" s="1079" t="s">
        <v>2152</v>
      </c>
      <c r="CN7" s="1079" t="s">
        <v>2147</v>
      </c>
      <c r="CO7" s="1079" t="s">
        <v>2153</v>
      </c>
      <c r="CP7" s="1079" t="s">
        <v>2148</v>
      </c>
      <c r="CQ7" s="1079" t="s">
        <v>2155</v>
      </c>
      <c r="CR7" s="1079" t="s">
        <v>2149</v>
      </c>
      <c r="CS7" s="1079" t="s">
        <v>2154</v>
      </c>
      <c r="CV7" s="1102" t="s">
        <v>1</v>
      </c>
      <c r="CW7" s="1078" t="s">
        <v>2097</v>
      </c>
      <c r="CX7" s="1110" t="s">
        <v>2098</v>
      </c>
      <c r="CY7" s="1078" t="s">
        <v>2099</v>
      </c>
      <c r="CZ7" s="1110" t="s">
        <v>2100</v>
      </c>
      <c r="DA7" s="1078" t="s">
        <v>2107</v>
      </c>
      <c r="DB7" s="1110" t="s">
        <v>2106</v>
      </c>
      <c r="DC7" s="1078" t="s">
        <v>2108</v>
      </c>
      <c r="DD7" s="1111" t="s">
        <v>2109</v>
      </c>
      <c r="DI7" s="439" t="s">
        <v>2157</v>
      </c>
      <c r="DJ7" s="440" t="s">
        <v>2158</v>
      </c>
    </row>
    <row r="8" spans="2:118" x14ac:dyDescent="0.2">
      <c r="B8" s="345">
        <v>1958</v>
      </c>
      <c r="C8" s="774">
        <f>SUM('POSF Inventory'!FF13,'POSF Inventory'!FH13)</f>
        <v>12.538207824999999</v>
      </c>
      <c r="D8" s="774">
        <f>SUM('POSF Inventory'!FB13,'POSF Inventory'!FD13)</f>
        <v>10.258533674999999</v>
      </c>
      <c r="E8" s="774">
        <f>SUM('POSF Inventory'!FC13,'POSF Inventory'!FE13)</f>
        <v>10.258533674999999</v>
      </c>
      <c r="F8" s="774">
        <f>SUM('POSF Inventory'!FB13,'POSF Inventory'!FD13,'POSF Inventory'!J13)</f>
        <v>10.258533674999999</v>
      </c>
      <c r="G8" s="774">
        <f>SUM('POSF Inventory'!FC13,'POSF Inventory'!FE13,'POSF Inventory'!K13)</f>
        <v>10.258533674999999</v>
      </c>
      <c r="H8" s="1106">
        <f>SUM('POSF Inventory'!DL13,'POSF Inventory'!DN13)</f>
        <v>1.1998285</v>
      </c>
      <c r="I8" s="1041">
        <f>SUM('POSF Inventory'!DM13,'POSF Inventory'!DO13)</f>
        <v>1.1998285</v>
      </c>
      <c r="J8" s="592"/>
      <c r="K8" s="1046">
        <f t="shared" ref="K8:K39" si="0">C8*0.1</f>
        <v>1.2538207825000001</v>
      </c>
      <c r="L8" s="1047">
        <f t="shared" ref="L8:L39" si="1">C8*0.9</f>
        <v>11.284387042499999</v>
      </c>
      <c r="M8" s="1046">
        <f t="shared" ref="M8:M39" si="2">C8*0.5</f>
        <v>6.2691039124999994</v>
      </c>
      <c r="N8" s="1047">
        <f t="shared" ref="N8:N39" si="3">C8*0.5</f>
        <v>6.2691039124999994</v>
      </c>
      <c r="O8" s="1046">
        <f t="shared" ref="O8:O39" si="4">C8*1</f>
        <v>12.538207824999999</v>
      </c>
      <c r="P8" s="889">
        <f t="shared" ref="P8:P39" si="5">C8*0</f>
        <v>0</v>
      </c>
      <c r="Q8" s="1048"/>
      <c r="R8" s="889">
        <f>D8*0.1</f>
        <v>1.0258533674999999</v>
      </c>
      <c r="S8" s="889">
        <f>E8*0.1</f>
        <v>1.0258533674999999</v>
      </c>
      <c r="T8" s="1047">
        <f>D8*0.9</f>
        <v>9.232680307499999</v>
      </c>
      <c r="U8" s="1047">
        <f>E8*0.9</f>
        <v>9.232680307499999</v>
      </c>
      <c r="V8" s="1046">
        <f>0.5*D8</f>
        <v>5.1292668374999995</v>
      </c>
      <c r="W8" s="1046">
        <f>0.5*E8</f>
        <v>5.1292668374999995</v>
      </c>
      <c r="X8" s="1047">
        <f>D8*0.5</f>
        <v>5.1292668374999995</v>
      </c>
      <c r="Y8" s="1047">
        <f>E8*0.5</f>
        <v>5.1292668374999995</v>
      </c>
      <c r="Z8" s="1049">
        <f>1*D8</f>
        <v>10.258533674999999</v>
      </c>
      <c r="AA8" s="1049">
        <f>1*E8</f>
        <v>10.258533674999999</v>
      </c>
      <c r="AB8" s="1050">
        <f>D8*0</f>
        <v>0</v>
      </c>
      <c r="AC8" s="1050">
        <f>E8*0</f>
        <v>0</v>
      </c>
      <c r="AD8" s="898"/>
      <c r="AE8" s="1046">
        <f>K8+R8</f>
        <v>2.27967415</v>
      </c>
      <c r="AF8" s="1046">
        <f>K8+S8</f>
        <v>2.27967415</v>
      </c>
      <c r="AG8" s="1046">
        <f>L8+T8</f>
        <v>20.517067349999998</v>
      </c>
      <c r="AH8" s="889">
        <f>L8+U8</f>
        <v>20.517067349999998</v>
      </c>
      <c r="AI8" s="889">
        <f>M8+V8</f>
        <v>11.398370749999998</v>
      </c>
      <c r="AJ8" s="889">
        <f>M8+W8</f>
        <v>11.398370749999998</v>
      </c>
      <c r="AK8" s="889">
        <f>N8+X8</f>
        <v>11.398370749999998</v>
      </c>
      <c r="AL8" s="889">
        <f>N8+Y8</f>
        <v>11.398370749999998</v>
      </c>
      <c r="AM8" s="889">
        <f>O8+Z8</f>
        <v>22.796741499999996</v>
      </c>
      <c r="AN8" s="889">
        <f>O8+AA8</f>
        <v>22.796741499999996</v>
      </c>
      <c r="AO8" s="1050">
        <f>P8+AB8</f>
        <v>0</v>
      </c>
      <c r="AP8" s="1050">
        <f>P8+AC8</f>
        <v>0</v>
      </c>
      <c r="AR8" s="1067">
        <f>$AS$3*$AG8</f>
        <v>4.1034134699999996</v>
      </c>
      <c r="AS8" s="1067">
        <f>$AS$3*$AH8</f>
        <v>4.1034134699999996</v>
      </c>
      <c r="AT8" s="1068">
        <f>$AT$3*$AG8</f>
        <v>10.258533674999999</v>
      </c>
      <c r="AU8" s="1068">
        <f>$AT$3*$AH8</f>
        <v>10.258533674999999</v>
      </c>
      <c r="AV8" s="1068">
        <f>$AU$3*$AG8</f>
        <v>16.413653879999998</v>
      </c>
      <c r="AW8" s="1068">
        <f>$AU$3*$AH8</f>
        <v>16.413653879999998</v>
      </c>
      <c r="AX8" s="1068">
        <f>$AS$3*$AK8</f>
        <v>2.2796741499999995</v>
      </c>
      <c r="AY8" s="1068">
        <f>$AS$3*$AL8</f>
        <v>2.2796741499999995</v>
      </c>
      <c r="AZ8" s="1068">
        <f>$AT$3*$AK8</f>
        <v>5.699185374999999</v>
      </c>
      <c r="BA8" s="1068">
        <f>$AT$3*$AL8</f>
        <v>5.699185374999999</v>
      </c>
      <c r="BB8" s="1068">
        <f>$AU$3*$AK8</f>
        <v>9.118696599999998</v>
      </c>
      <c r="BC8" s="1068">
        <f>$AU$3*$AL8</f>
        <v>9.118696599999998</v>
      </c>
      <c r="BD8" s="1068">
        <f t="shared" ref="BD8:BD39" si="6">$AS$3*$AP8</f>
        <v>0</v>
      </c>
      <c r="BE8" s="1068">
        <f t="shared" ref="BE8:BE39" si="7">$AT$3*$AP8</f>
        <v>0</v>
      </c>
      <c r="BF8" s="1069">
        <f t="shared" ref="BF8:BF39" si="8">$AU$3*$AP8</f>
        <v>0</v>
      </c>
      <c r="BH8" s="1067">
        <f t="shared" ref="BH8:BH39" si="9">$AS$3*$L8</f>
        <v>2.2568774084999998</v>
      </c>
      <c r="BI8" s="1068">
        <f t="shared" ref="BI8:BI39" si="10">$AT$3*$L8</f>
        <v>5.6421935212499994</v>
      </c>
      <c r="BJ8" s="1068">
        <f t="shared" ref="BJ8:BJ39" si="11">$AU$3*$L8</f>
        <v>9.0275096339999994</v>
      </c>
      <c r="BK8" s="1068">
        <f t="shared" ref="BK8:BK39" si="12">$AS$3*$N8</f>
        <v>1.2538207825000001</v>
      </c>
      <c r="BL8" s="1068">
        <f t="shared" ref="BL8:BL39" si="13">$AT$3*$N8</f>
        <v>3.1345519562499997</v>
      </c>
      <c r="BM8" s="1068">
        <f t="shared" ref="BM8:BM39" si="14">$AU$3*$N8</f>
        <v>5.0152831300000003</v>
      </c>
      <c r="BN8" s="1068">
        <f t="shared" ref="BN8:BN39" si="15">$AS$3*$P8</f>
        <v>0</v>
      </c>
      <c r="BO8" s="1068">
        <f t="shared" ref="BO8:BO39" si="16">$AT$3*$P8</f>
        <v>0</v>
      </c>
      <c r="BP8" s="1069">
        <f t="shared" ref="BP8:BP39" si="17">$AU$3*$P8</f>
        <v>0</v>
      </c>
      <c r="BR8" s="1067">
        <f>$AS$3*$T8</f>
        <v>1.8465360614999999</v>
      </c>
      <c r="BS8" s="1067">
        <f>$AS$3*$U8</f>
        <v>1.8465360614999999</v>
      </c>
      <c r="BT8" s="1068">
        <f>$AT$3*$T8</f>
        <v>4.6163401537499995</v>
      </c>
      <c r="BU8" s="1068">
        <f>$AT$3*$U8</f>
        <v>4.6163401537499995</v>
      </c>
      <c r="BV8" s="1068">
        <f>$AU$3*$T8</f>
        <v>7.3861442459999997</v>
      </c>
      <c r="BW8" s="1068">
        <f>$AU$3*$U8</f>
        <v>7.3861442459999997</v>
      </c>
      <c r="BX8" s="1068">
        <f>$AS$3*$X8</f>
        <v>1.0258533674999999</v>
      </c>
      <c r="BY8" s="1068">
        <f>$AS$3*$Y8</f>
        <v>1.0258533674999999</v>
      </c>
      <c r="BZ8" s="1068">
        <f>$AT$3*$X8</f>
        <v>2.5646334187499997</v>
      </c>
      <c r="CA8" s="1068">
        <f>$AT$3*$Y8</f>
        <v>2.5646334187499997</v>
      </c>
      <c r="CB8" s="1068">
        <f>$AU$3*$X8</f>
        <v>4.1034134699999996</v>
      </c>
      <c r="CC8" s="1068">
        <f>$AU$3*$Y8</f>
        <v>4.1034134699999996</v>
      </c>
      <c r="CD8" s="1068">
        <f t="shared" ref="CD8:CD39" si="18">$AS$3*$AC8</f>
        <v>0</v>
      </c>
      <c r="CE8" s="1068">
        <f t="shared" ref="CE8:CE39" si="19">$AT$3*$AC8</f>
        <v>0</v>
      </c>
      <c r="CF8" s="1069">
        <f t="shared" ref="CF8:CF39" si="20">$AU$3*$AC8</f>
        <v>0</v>
      </c>
      <c r="CG8" s="599"/>
      <c r="CH8" s="1067">
        <f>$H8*$L$4*$AS$3</f>
        <v>0.21596913000000001</v>
      </c>
      <c r="CI8" s="1067">
        <f>$I8*$L$4*$AS$3</f>
        <v>0.21596913000000001</v>
      </c>
      <c r="CJ8" s="1068">
        <f>$H8*$L$4*$AT$3</f>
        <v>0.539922825</v>
      </c>
      <c r="CK8" s="1068">
        <f>$I8*$L$4*$AT$3</f>
        <v>0.539922825</v>
      </c>
      <c r="CL8" s="1068">
        <f>$H8*$L$4*$AU$3</f>
        <v>0.86387652000000004</v>
      </c>
      <c r="CM8" s="1068">
        <f>$I8*$L$4*$AU$3</f>
        <v>0.86387652000000004</v>
      </c>
      <c r="CN8" s="1068">
        <f>$H8*$M$4*$AS$3</f>
        <v>0.11998285</v>
      </c>
      <c r="CO8" s="1068">
        <f>$I8*$M$4*$AS$3</f>
        <v>0.11998285</v>
      </c>
      <c r="CP8" s="1068">
        <f>$H8*$M$4*$AT$3</f>
        <v>0.29995712499999999</v>
      </c>
      <c r="CQ8" s="1068">
        <f>$I8*$M$4*$AT$3</f>
        <v>0.29995712499999999</v>
      </c>
      <c r="CR8" s="1069">
        <f>$H8*$M$4*$AU$3</f>
        <v>0.47993140000000001</v>
      </c>
      <c r="CS8" s="1069">
        <f>$I8*$M$4*$AU$3</f>
        <v>0.47993140000000001</v>
      </c>
      <c r="CV8" s="345">
        <v>1958</v>
      </c>
      <c r="CW8" s="1097">
        <f>SUM('POSF Inventory'!HF13,'POSF Inventory'!HH13,'POSF Inventory'!HJ13)*$CY$1</f>
        <v>0.30513034499999997</v>
      </c>
      <c r="CX8" s="1098">
        <f>SUM('POSF Inventory'!HG13,'POSF Inventory'!HI13,'POSF Inventory'!HK13)*$CY$2</f>
        <v>0.30585254699999997</v>
      </c>
      <c r="CY8" s="1097">
        <f>SUM('POSF Inventory'!HL13,'POSF Inventory'!HN13,'POSF Inventory'!HP13)*$CY$1</f>
        <v>0.38395568412499997</v>
      </c>
      <c r="CZ8" s="1098">
        <f>SUM('POSF Inventory'!HM13,'POSF Inventory'!HO13,'POSF Inventory'!HQ13)*$CY$2</f>
        <v>0.84217908774999994</v>
      </c>
      <c r="DA8" s="1097">
        <f>SUM('POSF Inventory'!HR13,'POSF Inventory'!HT13,'POSF Inventory'!HV13)*$CY$3</f>
        <v>8.8743812143674994E-2</v>
      </c>
      <c r="DB8" s="1098">
        <f>SUM('POSF Inventory'!HS13,'POSF Inventory'!HU13,'POSF Inventory'!HW13)*$CY$4</f>
        <v>1.26494102672925</v>
      </c>
      <c r="DC8" s="1046">
        <f>SUM(CW8,CY8,DA8)</f>
        <v>0.77782984126867494</v>
      </c>
      <c r="DD8" s="1050">
        <f>SUM(CX8,CZ8,DB8)</f>
        <v>2.4129726614792499</v>
      </c>
      <c r="DI8" s="345">
        <v>14</v>
      </c>
      <c r="DJ8" s="1041">
        <v>12.538207824999999</v>
      </c>
    </row>
    <row r="9" spans="2:118" x14ac:dyDescent="0.2">
      <c r="B9" s="345">
        <v>1959</v>
      </c>
      <c r="C9" s="774">
        <f>SUM('POSF Inventory'!FF14,'POSF Inventory'!FH14)</f>
        <v>25.558654412499997</v>
      </c>
      <c r="D9" s="774">
        <f>SUM('POSF Inventory'!FB14,'POSF Inventory'!FD14)</f>
        <v>20.911626337499996</v>
      </c>
      <c r="E9" s="774">
        <f>SUM('POSF Inventory'!FC14,'POSF Inventory'!FE14)</f>
        <v>20.911626337499996</v>
      </c>
      <c r="F9" s="774">
        <f>SUM('POSF Inventory'!FB14,'POSF Inventory'!FD14,'POSF Inventory'!J14)</f>
        <v>20.911626337499996</v>
      </c>
      <c r="G9" s="774">
        <f>SUM('POSF Inventory'!FC14,'POSF Inventory'!FE14,'POSF Inventory'!K14)</f>
        <v>20.911626337499996</v>
      </c>
      <c r="H9" s="1106">
        <f>SUM('POSF Inventory'!DL14,'POSF Inventory'!DN14)</f>
        <v>2.4458042500000001</v>
      </c>
      <c r="I9" s="1041">
        <f>SUM('POSF Inventory'!DM14,'POSF Inventory'!DO14)</f>
        <v>2.4458042500000001</v>
      </c>
      <c r="J9" s="592"/>
      <c r="K9" s="1046">
        <f t="shared" si="0"/>
        <v>2.5558654412499999</v>
      </c>
      <c r="L9" s="1047">
        <f t="shared" si="1"/>
        <v>23.002788971249998</v>
      </c>
      <c r="M9" s="1046">
        <f t="shared" si="2"/>
        <v>12.779327206249999</v>
      </c>
      <c r="N9" s="1047">
        <f t="shared" si="3"/>
        <v>12.779327206249999</v>
      </c>
      <c r="O9" s="1046">
        <f t="shared" si="4"/>
        <v>25.558654412499997</v>
      </c>
      <c r="P9" s="889">
        <f t="shared" si="5"/>
        <v>0</v>
      </c>
      <c r="Q9" s="1048"/>
      <c r="R9" s="889">
        <f t="shared" ref="R9:R72" si="21">D9*0.1</f>
        <v>2.0911626337499998</v>
      </c>
      <c r="S9" s="889">
        <f t="shared" ref="S9:S40" si="22">E9*0.1</f>
        <v>2.0911626337499998</v>
      </c>
      <c r="T9" s="1047">
        <f t="shared" ref="T9:T72" si="23">D9*0.9</f>
        <v>18.820463703749997</v>
      </c>
      <c r="U9" s="1047">
        <f t="shared" ref="U9:U40" si="24">E9*0.9</f>
        <v>18.820463703749997</v>
      </c>
      <c r="V9" s="1046">
        <f t="shared" ref="V9:V72" si="25">0.5*D9</f>
        <v>10.455813168749998</v>
      </c>
      <c r="W9" s="1046">
        <f t="shared" ref="W9:W40" si="26">0.5*E9</f>
        <v>10.455813168749998</v>
      </c>
      <c r="X9" s="1047">
        <f t="shared" ref="X9:X72" si="27">D9*0.5</f>
        <v>10.455813168749998</v>
      </c>
      <c r="Y9" s="1047">
        <f t="shared" ref="Y9:Y40" si="28">E9*0.5</f>
        <v>10.455813168749998</v>
      </c>
      <c r="Z9" s="1049">
        <f t="shared" ref="Z9:Z72" si="29">1*D9</f>
        <v>20.911626337499996</v>
      </c>
      <c r="AA9" s="1049">
        <f t="shared" ref="AA9:AA40" si="30">1*E9</f>
        <v>20.911626337499996</v>
      </c>
      <c r="AB9" s="1050">
        <f t="shared" ref="AB9:AB72" si="31">D9*0</f>
        <v>0</v>
      </c>
      <c r="AC9" s="1050">
        <f t="shared" ref="AC9:AC40" si="32">E9*0</f>
        <v>0</v>
      </c>
      <c r="AD9" s="898"/>
      <c r="AE9" s="1046">
        <f t="shared" ref="AE9:AE72" si="33">K9+R9</f>
        <v>4.6470280749999997</v>
      </c>
      <c r="AF9" s="1046">
        <f t="shared" ref="AF9:AF72" si="34">K9+S9</f>
        <v>4.6470280749999997</v>
      </c>
      <c r="AG9" s="1046">
        <f t="shared" ref="AG9:AG72" si="35">L9+T9</f>
        <v>41.823252674999992</v>
      </c>
      <c r="AH9" s="889">
        <f t="shared" ref="AH9:AH72" si="36">L9+U9</f>
        <v>41.823252674999992</v>
      </c>
      <c r="AI9" s="889">
        <f t="shared" ref="AI9:AI72" si="37">M9+V9</f>
        <v>23.235140374999997</v>
      </c>
      <c r="AJ9" s="889">
        <f t="shared" ref="AJ9:AJ72" si="38">M9+W9</f>
        <v>23.235140374999997</v>
      </c>
      <c r="AK9" s="889">
        <f t="shared" ref="AK9:AK72" si="39">N9+X9</f>
        <v>23.235140374999997</v>
      </c>
      <c r="AL9" s="889">
        <f t="shared" ref="AL9:AL72" si="40">N9+Y9</f>
        <v>23.235140374999997</v>
      </c>
      <c r="AM9" s="889">
        <f t="shared" ref="AM9:AM72" si="41">O9+Z9</f>
        <v>46.470280749999993</v>
      </c>
      <c r="AN9" s="1050">
        <f t="shared" ref="AN9:AN72" si="42">O9+AA9</f>
        <v>46.470280749999993</v>
      </c>
      <c r="AO9" s="1050">
        <f t="shared" ref="AO9:AO72" si="43">P9+AB9</f>
        <v>0</v>
      </c>
      <c r="AP9" s="1050">
        <f t="shared" ref="AP9:AP72" si="44">P9+AC9</f>
        <v>0</v>
      </c>
      <c r="AR9" s="1067">
        <f t="shared" ref="AR9:AR72" si="45">$AS$3*$AG9</f>
        <v>8.3646505349999991</v>
      </c>
      <c r="AS9" s="1067">
        <f t="shared" ref="AS9:AS72" si="46">$AS$3*$AH9</f>
        <v>8.3646505349999991</v>
      </c>
      <c r="AT9" s="1068">
        <f t="shared" ref="AT9:AT72" si="47">$AT$3*$AG9</f>
        <v>20.911626337499996</v>
      </c>
      <c r="AU9" s="1068">
        <f t="shared" ref="AU9:AU72" si="48">$AT$3*$AH9</f>
        <v>20.911626337499996</v>
      </c>
      <c r="AV9" s="1068">
        <f t="shared" ref="AV9:AV72" si="49">$AU$3*$AG9</f>
        <v>33.458602139999996</v>
      </c>
      <c r="AW9" s="1068">
        <f t="shared" ref="AW9:AW72" si="50">$AU$3*$AH9</f>
        <v>33.458602139999996</v>
      </c>
      <c r="AX9" s="1068">
        <f t="shared" ref="AX9:AX72" si="51">$AS$3*$AK9</f>
        <v>4.6470280749999997</v>
      </c>
      <c r="AY9" s="1068">
        <f t="shared" ref="AY9:AY72" si="52">$AS$3*$AL9</f>
        <v>4.6470280749999997</v>
      </c>
      <c r="AZ9" s="1068">
        <f t="shared" ref="AZ9:AZ72" si="53">$AT$3*$AK9</f>
        <v>11.617570187499998</v>
      </c>
      <c r="BA9" s="1068">
        <f t="shared" ref="BA9:BA72" si="54">$AT$3*$AL9</f>
        <v>11.617570187499998</v>
      </c>
      <c r="BB9" s="1068">
        <f t="shared" ref="BB9:BB72" si="55">$AU$3*$AK9</f>
        <v>18.588112299999999</v>
      </c>
      <c r="BC9" s="1068">
        <f t="shared" ref="BC9:BC72" si="56">$AU$3*$AL9</f>
        <v>18.588112299999999</v>
      </c>
      <c r="BD9" s="1068">
        <f t="shared" si="6"/>
        <v>0</v>
      </c>
      <c r="BE9" s="1068">
        <f t="shared" si="7"/>
        <v>0</v>
      </c>
      <c r="BF9" s="1069">
        <f t="shared" si="8"/>
        <v>0</v>
      </c>
      <c r="BH9" s="1067">
        <f t="shared" si="9"/>
        <v>4.6005577942500002</v>
      </c>
      <c r="BI9" s="1068">
        <f t="shared" si="10"/>
        <v>11.501394485624999</v>
      </c>
      <c r="BJ9" s="1068">
        <f t="shared" si="11"/>
        <v>18.402231177000001</v>
      </c>
      <c r="BK9" s="1068">
        <f t="shared" si="12"/>
        <v>2.5558654412499999</v>
      </c>
      <c r="BL9" s="1068">
        <f t="shared" si="13"/>
        <v>6.3896636031249994</v>
      </c>
      <c r="BM9" s="1068">
        <f t="shared" si="14"/>
        <v>10.223461765</v>
      </c>
      <c r="BN9" s="1068">
        <f t="shared" si="15"/>
        <v>0</v>
      </c>
      <c r="BO9" s="1068">
        <f t="shared" si="16"/>
        <v>0</v>
      </c>
      <c r="BP9" s="1069">
        <f t="shared" si="17"/>
        <v>0</v>
      </c>
      <c r="BR9" s="1067">
        <f t="shared" ref="BR9:BR72" si="57">$AS$3*$T9</f>
        <v>3.7640927407499998</v>
      </c>
      <c r="BS9" s="1067">
        <f t="shared" ref="BS9:BS72" si="58">$AS$3*$U9</f>
        <v>3.7640927407499998</v>
      </c>
      <c r="BT9" s="1068">
        <f t="shared" ref="BT9:BT72" si="59">$AT$3*$T9</f>
        <v>9.4102318518749986</v>
      </c>
      <c r="BU9" s="1068">
        <f t="shared" ref="BU9:BU72" si="60">$AT$3*$U9</f>
        <v>9.4102318518749986</v>
      </c>
      <c r="BV9" s="1068">
        <f t="shared" ref="BV9:BV72" si="61">$AU$3*$T9</f>
        <v>15.056370962999999</v>
      </c>
      <c r="BW9" s="1068">
        <f t="shared" ref="BW9:BW72" si="62">$AU$3*$U9</f>
        <v>15.056370962999999</v>
      </c>
      <c r="BX9" s="1068">
        <f t="shared" ref="BX9:BX72" si="63">$AS$3*$X9</f>
        <v>2.0911626337499998</v>
      </c>
      <c r="BY9" s="1068">
        <f t="shared" ref="BY9:BY72" si="64">$AS$3*$Y9</f>
        <v>2.0911626337499998</v>
      </c>
      <c r="BZ9" s="1068">
        <f t="shared" ref="BZ9:BZ72" si="65">$AT$3*$X9</f>
        <v>5.227906584374999</v>
      </c>
      <c r="CA9" s="1068">
        <f t="shared" ref="CA9:CA72" si="66">$AT$3*$Y9</f>
        <v>5.227906584374999</v>
      </c>
      <c r="CB9" s="1068">
        <f t="shared" ref="CB9:CB72" si="67">$AU$3*$X9</f>
        <v>8.3646505349999991</v>
      </c>
      <c r="CC9" s="1068">
        <f t="shared" ref="CC9:CC72" si="68">$AU$3*$Y9</f>
        <v>8.3646505349999991</v>
      </c>
      <c r="CD9" s="1068">
        <f t="shared" si="18"/>
        <v>0</v>
      </c>
      <c r="CE9" s="1068">
        <f t="shared" si="19"/>
        <v>0</v>
      </c>
      <c r="CF9" s="1069">
        <f t="shared" si="20"/>
        <v>0</v>
      </c>
      <c r="CG9" s="599"/>
      <c r="CH9" s="1067">
        <f t="shared" ref="CH9:CH72" si="69">$H9*$L$4*$AS$3</f>
        <v>0.44024476500000004</v>
      </c>
      <c r="CI9" s="1067">
        <f t="shared" ref="CI9:CI72" si="70">$I9*$L$4*$AS$3</f>
        <v>0.44024476500000004</v>
      </c>
      <c r="CJ9" s="1068">
        <f t="shared" ref="CJ9:CJ72" si="71">$H9*$L$4*$AT$3</f>
        <v>1.1006119125</v>
      </c>
      <c r="CK9" s="1068">
        <f t="shared" ref="CK9:CK72" si="72">$I9*$L$4*$AT$3</f>
        <v>1.1006119125</v>
      </c>
      <c r="CL9" s="1068">
        <f t="shared" ref="CL9:CL72" si="73">$H9*$L$4*$AU$3</f>
        <v>1.7609790600000002</v>
      </c>
      <c r="CM9" s="1068">
        <f t="shared" ref="CM9:CM72" si="74">$I9*$L$4*$AU$3</f>
        <v>1.7609790600000002</v>
      </c>
      <c r="CN9" s="1068">
        <f t="shared" ref="CN9:CN72" si="75">$H9*$M$4*$AS$3</f>
        <v>0.24458042500000002</v>
      </c>
      <c r="CO9" s="1068">
        <f t="shared" ref="CO9:CO72" si="76">$I9*$M$4*$AS$3</f>
        <v>0.24458042500000002</v>
      </c>
      <c r="CP9" s="1068">
        <f t="shared" ref="CP9:CP72" si="77">$H9*$M$4*$AT$3</f>
        <v>0.61145106250000003</v>
      </c>
      <c r="CQ9" s="1069">
        <f t="shared" ref="CQ9:CQ72" si="78">$I9*$M$4*$AT$3</f>
        <v>0.61145106250000003</v>
      </c>
      <c r="CR9" s="1069">
        <f t="shared" ref="CR9:CR72" si="79">$H9*$M$4*$AU$3</f>
        <v>0.97832170000000007</v>
      </c>
      <c r="CS9" s="1069">
        <f t="shared" ref="CS9:CS72" si="80">$I9*$M$4*$AU$3</f>
        <v>0.97832170000000007</v>
      </c>
      <c r="CV9" s="345">
        <v>1959</v>
      </c>
      <c r="CW9" s="1097">
        <f>SUM('POSF Inventory'!HF14,'POSF Inventory'!HH14,'POSF Inventory'!HJ14)*$CY$1</f>
        <v>0.62199647250000001</v>
      </c>
      <c r="CX9" s="1098">
        <f>SUM('POSF Inventory'!HG14,'POSF Inventory'!HI14,'POSF Inventory'!HK14)*$CY$2</f>
        <v>0.62346865349999991</v>
      </c>
      <c r="CY9" s="1097">
        <f>SUM('POSF Inventory'!HL14,'POSF Inventory'!HN14,'POSF Inventory'!HP14)*$CY$1</f>
        <v>0.83337164868750002</v>
      </c>
      <c r="CZ9" s="1098">
        <f>SUM('POSF Inventory'!HM14,'POSF Inventory'!HO14,'POSF Inventory'!HQ14)*$CY$2</f>
        <v>2.2248770486249998</v>
      </c>
      <c r="DA9" s="1097">
        <f>SUM('POSF Inventory'!HR14,'POSF Inventory'!HT14,'POSF Inventory'!HV14)*$CY$3</f>
        <v>0.21145873997501249</v>
      </c>
      <c r="DB9" s="1098">
        <f>SUM('POSF Inventory'!HS14,'POSF Inventory'!HU14,'POSF Inventory'!HW14)*$CY$4</f>
        <v>3.6043756005388747</v>
      </c>
      <c r="DC9" s="1046">
        <f t="shared" ref="DC9:DC72" si="81">SUM(CW9,CY9,DA9)</f>
        <v>1.6668268611625126</v>
      </c>
      <c r="DD9" s="1050">
        <f t="shared" ref="DD9:DD72" si="82">SUM(CX9,CZ9,DB9)</f>
        <v>6.4527213026638748</v>
      </c>
      <c r="DI9" s="345">
        <v>29</v>
      </c>
      <c r="DJ9" s="1041">
        <v>25.558654412499997</v>
      </c>
      <c r="DL9" s="861" t="s">
        <v>2161</v>
      </c>
      <c r="DM9" s="774">
        <f>SUM(DI8:DI58)-SUM(DJ8:DJ58)</f>
        <v>3992.4971676624955</v>
      </c>
      <c r="DN9" t="s">
        <v>2159</v>
      </c>
    </row>
    <row r="10" spans="2:118" x14ac:dyDescent="0.2">
      <c r="B10" s="345">
        <v>1960</v>
      </c>
      <c r="C10" s="774">
        <f>SUM('POSF Inventory'!FF15,'POSF Inventory'!FH15)</f>
        <v>38.096862237499998</v>
      </c>
      <c r="D10" s="774">
        <f>SUM('POSF Inventory'!FB15,'POSF Inventory'!FD15)</f>
        <v>31.170160012499998</v>
      </c>
      <c r="E10" s="774">
        <f>SUM('POSF Inventory'!FC15,'POSF Inventory'!FE15)</f>
        <v>31.170160012499998</v>
      </c>
      <c r="F10" s="774">
        <f>SUM('POSF Inventory'!FB15,'POSF Inventory'!FD15,'POSF Inventory'!J15)</f>
        <v>31.170160012499998</v>
      </c>
      <c r="G10" s="774">
        <f>SUM('POSF Inventory'!FC15,'POSF Inventory'!FE15,'POSF Inventory'!K15)</f>
        <v>31.170160012499998</v>
      </c>
      <c r="H10" s="1106">
        <f>SUM('POSF Inventory'!DL15,'POSF Inventory'!DN15)</f>
        <v>3.6456327500000003</v>
      </c>
      <c r="I10" s="1041">
        <f>SUM('POSF Inventory'!DM15,'POSF Inventory'!DO15)</f>
        <v>3.6456327500000003</v>
      </c>
      <c r="J10" s="592"/>
      <c r="K10" s="1046">
        <f t="shared" si="0"/>
        <v>3.80968622375</v>
      </c>
      <c r="L10" s="1047">
        <f t="shared" si="1"/>
        <v>34.287176013749999</v>
      </c>
      <c r="M10" s="1046">
        <f t="shared" si="2"/>
        <v>19.048431118749999</v>
      </c>
      <c r="N10" s="1047">
        <f t="shared" si="3"/>
        <v>19.048431118749999</v>
      </c>
      <c r="O10" s="1046">
        <f t="shared" si="4"/>
        <v>38.096862237499998</v>
      </c>
      <c r="P10" s="889">
        <f t="shared" si="5"/>
        <v>0</v>
      </c>
      <c r="Q10" s="1048"/>
      <c r="R10" s="889">
        <f t="shared" si="21"/>
        <v>3.1170160012500001</v>
      </c>
      <c r="S10" s="889">
        <f t="shared" si="22"/>
        <v>3.1170160012500001</v>
      </c>
      <c r="T10" s="1047">
        <f t="shared" si="23"/>
        <v>28.053144011249998</v>
      </c>
      <c r="U10" s="1047">
        <f t="shared" si="24"/>
        <v>28.053144011249998</v>
      </c>
      <c r="V10" s="1046">
        <f t="shared" si="25"/>
        <v>15.585080006249999</v>
      </c>
      <c r="W10" s="1046">
        <f t="shared" si="26"/>
        <v>15.585080006249999</v>
      </c>
      <c r="X10" s="1047">
        <f t="shared" si="27"/>
        <v>15.585080006249999</v>
      </c>
      <c r="Y10" s="1047">
        <f t="shared" si="28"/>
        <v>15.585080006249999</v>
      </c>
      <c r="Z10" s="1049">
        <f t="shared" si="29"/>
        <v>31.170160012499998</v>
      </c>
      <c r="AA10" s="1049">
        <f t="shared" si="30"/>
        <v>31.170160012499998</v>
      </c>
      <c r="AB10" s="1050">
        <f t="shared" si="31"/>
        <v>0</v>
      </c>
      <c r="AC10" s="1050">
        <f t="shared" si="32"/>
        <v>0</v>
      </c>
      <c r="AD10" s="898"/>
      <c r="AE10" s="1046">
        <f t="shared" si="33"/>
        <v>6.9267022249999997</v>
      </c>
      <c r="AF10" s="1046">
        <f t="shared" si="34"/>
        <v>6.9267022249999997</v>
      </c>
      <c r="AG10" s="1046">
        <f t="shared" si="35"/>
        <v>62.340320024999997</v>
      </c>
      <c r="AH10" s="889">
        <f t="shared" si="36"/>
        <v>62.340320024999997</v>
      </c>
      <c r="AI10" s="889">
        <f t="shared" si="37"/>
        <v>34.633511124999998</v>
      </c>
      <c r="AJ10" s="889">
        <f t="shared" si="38"/>
        <v>34.633511124999998</v>
      </c>
      <c r="AK10" s="889">
        <f t="shared" si="39"/>
        <v>34.633511124999998</v>
      </c>
      <c r="AL10" s="889">
        <f t="shared" si="40"/>
        <v>34.633511124999998</v>
      </c>
      <c r="AM10" s="889">
        <f t="shared" si="41"/>
        <v>69.267022249999997</v>
      </c>
      <c r="AN10" s="1050">
        <f t="shared" si="42"/>
        <v>69.267022249999997</v>
      </c>
      <c r="AO10" s="1050">
        <f t="shared" si="43"/>
        <v>0</v>
      </c>
      <c r="AP10" s="1050">
        <f t="shared" si="44"/>
        <v>0</v>
      </c>
      <c r="AR10" s="1067">
        <f t="shared" si="45"/>
        <v>12.468064005</v>
      </c>
      <c r="AS10" s="1067">
        <f t="shared" si="46"/>
        <v>12.468064005</v>
      </c>
      <c r="AT10" s="1068">
        <f t="shared" si="47"/>
        <v>31.170160012499998</v>
      </c>
      <c r="AU10" s="1068">
        <f t="shared" si="48"/>
        <v>31.170160012499998</v>
      </c>
      <c r="AV10" s="1068">
        <f t="shared" si="49"/>
        <v>49.872256020000002</v>
      </c>
      <c r="AW10" s="1068">
        <f t="shared" si="50"/>
        <v>49.872256020000002</v>
      </c>
      <c r="AX10" s="1068">
        <f t="shared" si="51"/>
        <v>6.9267022249999997</v>
      </c>
      <c r="AY10" s="1068">
        <f t="shared" si="52"/>
        <v>6.9267022249999997</v>
      </c>
      <c r="AZ10" s="1068">
        <f t="shared" si="53"/>
        <v>17.316755562499999</v>
      </c>
      <c r="BA10" s="1068">
        <f t="shared" si="54"/>
        <v>17.316755562499999</v>
      </c>
      <c r="BB10" s="1068">
        <f t="shared" si="55"/>
        <v>27.706808899999999</v>
      </c>
      <c r="BC10" s="1068">
        <f t="shared" si="56"/>
        <v>27.706808899999999</v>
      </c>
      <c r="BD10" s="1068">
        <f t="shared" si="6"/>
        <v>0</v>
      </c>
      <c r="BE10" s="1068">
        <f t="shared" si="7"/>
        <v>0</v>
      </c>
      <c r="BF10" s="1069">
        <f t="shared" si="8"/>
        <v>0</v>
      </c>
      <c r="BH10" s="1067">
        <f t="shared" si="9"/>
        <v>6.8574352027500005</v>
      </c>
      <c r="BI10" s="1068">
        <f t="shared" si="10"/>
        <v>17.143588006875</v>
      </c>
      <c r="BJ10" s="1068">
        <f t="shared" si="11"/>
        <v>27.429740811000002</v>
      </c>
      <c r="BK10" s="1068">
        <f t="shared" si="12"/>
        <v>3.80968622375</v>
      </c>
      <c r="BL10" s="1068">
        <f t="shared" si="13"/>
        <v>9.5242155593749995</v>
      </c>
      <c r="BM10" s="1068">
        <f t="shared" si="14"/>
        <v>15.238744895</v>
      </c>
      <c r="BN10" s="1068">
        <f t="shared" si="15"/>
        <v>0</v>
      </c>
      <c r="BO10" s="1068">
        <f t="shared" si="16"/>
        <v>0</v>
      </c>
      <c r="BP10" s="1069">
        <f t="shared" si="17"/>
        <v>0</v>
      </c>
      <c r="BR10" s="1067">
        <f t="shared" si="57"/>
        <v>5.6106288022499999</v>
      </c>
      <c r="BS10" s="1067">
        <f t="shared" si="58"/>
        <v>5.6106288022499999</v>
      </c>
      <c r="BT10" s="1068">
        <f t="shared" si="59"/>
        <v>14.026572005624999</v>
      </c>
      <c r="BU10" s="1068">
        <f t="shared" si="60"/>
        <v>14.026572005624999</v>
      </c>
      <c r="BV10" s="1068">
        <f t="shared" si="61"/>
        <v>22.442515209</v>
      </c>
      <c r="BW10" s="1068">
        <f t="shared" si="62"/>
        <v>22.442515209</v>
      </c>
      <c r="BX10" s="1068">
        <f t="shared" si="63"/>
        <v>3.1170160012500001</v>
      </c>
      <c r="BY10" s="1068">
        <f t="shared" si="64"/>
        <v>3.1170160012500001</v>
      </c>
      <c r="BZ10" s="1068">
        <f t="shared" si="65"/>
        <v>7.7925400031249996</v>
      </c>
      <c r="CA10" s="1068">
        <f t="shared" si="66"/>
        <v>7.7925400031249996</v>
      </c>
      <c r="CB10" s="1068">
        <f t="shared" si="67"/>
        <v>12.468064005</v>
      </c>
      <c r="CC10" s="1068">
        <f t="shared" si="68"/>
        <v>12.468064005</v>
      </c>
      <c r="CD10" s="1068">
        <f t="shared" si="18"/>
        <v>0</v>
      </c>
      <c r="CE10" s="1068">
        <f t="shared" si="19"/>
        <v>0</v>
      </c>
      <c r="CF10" s="1069">
        <f t="shared" si="20"/>
        <v>0</v>
      </c>
      <c r="CG10" s="599"/>
      <c r="CH10" s="1067">
        <f t="shared" si="69"/>
        <v>0.65621389500000005</v>
      </c>
      <c r="CI10" s="1067">
        <f t="shared" si="70"/>
        <v>0.65621389500000005</v>
      </c>
      <c r="CJ10" s="1068">
        <f t="shared" si="71"/>
        <v>1.6405347375000001</v>
      </c>
      <c r="CK10" s="1068">
        <f t="shared" si="72"/>
        <v>1.6405347375000001</v>
      </c>
      <c r="CL10" s="1068">
        <f t="shared" si="73"/>
        <v>2.6248555800000002</v>
      </c>
      <c r="CM10" s="1068">
        <f t="shared" si="74"/>
        <v>2.6248555800000002</v>
      </c>
      <c r="CN10" s="1068">
        <f t="shared" si="75"/>
        <v>0.36456327500000008</v>
      </c>
      <c r="CO10" s="1068">
        <f t="shared" si="76"/>
        <v>0.36456327500000008</v>
      </c>
      <c r="CP10" s="1068">
        <f t="shared" si="77"/>
        <v>0.91140818750000008</v>
      </c>
      <c r="CQ10" s="1069">
        <f t="shared" si="78"/>
        <v>0.91140818750000008</v>
      </c>
      <c r="CR10" s="1069">
        <f t="shared" si="79"/>
        <v>1.4582531000000003</v>
      </c>
      <c r="CS10" s="1069">
        <f t="shared" si="80"/>
        <v>1.4582531000000003</v>
      </c>
      <c r="CV10" s="345">
        <v>1960</v>
      </c>
      <c r="CW10" s="1097">
        <f>SUM('POSF Inventory'!HF15,'POSF Inventory'!HH15,'POSF Inventory'!HJ15)*$CY$1</f>
        <v>0.92712681749999981</v>
      </c>
      <c r="CX10" s="1098">
        <f>SUM('POSF Inventory'!HG15,'POSF Inventory'!HI15,'POSF Inventory'!HK15)*$CY$2</f>
        <v>0.92932120049999989</v>
      </c>
      <c r="CY10" s="1097">
        <f>SUM('POSF Inventory'!HL15,'POSF Inventory'!HN15,'POSF Inventory'!HP15)*$CY$1</f>
        <v>1.2699698082499999</v>
      </c>
      <c r="CZ10" s="1098">
        <f>SUM('POSF Inventory'!HM15,'POSF Inventory'!HO15,'POSF Inventory'!HQ15)*$CY$2</f>
        <v>3.5947268664999998</v>
      </c>
      <c r="DA10" s="1097">
        <f>SUM('POSF Inventory'!HR15,'POSF Inventory'!HT15,'POSF Inventory'!HV15)*$CY$3</f>
        <v>0.33203605346894999</v>
      </c>
      <c r="DB10" s="1098">
        <f>SUM('POSF Inventory'!HS15,'POSF Inventory'!HU15,'POSF Inventory'!HW15)*$CY$4</f>
        <v>5.996615494443124</v>
      </c>
      <c r="DC10" s="1046">
        <f t="shared" si="81"/>
        <v>2.5291326792189497</v>
      </c>
      <c r="DD10" s="1050">
        <f t="shared" si="82"/>
        <v>10.520663561443124</v>
      </c>
      <c r="DI10" s="345">
        <v>43</v>
      </c>
      <c r="DJ10" s="1041">
        <v>38.096862237499998</v>
      </c>
      <c r="DL10" s="686" t="s">
        <v>2160</v>
      </c>
      <c r="DM10" s="718">
        <f>SUM(DI8:DI58)/SUM(DJ8:DJ58)</f>
        <v>1.1248548747081928</v>
      </c>
    </row>
    <row r="11" spans="2:118" x14ac:dyDescent="0.2">
      <c r="B11" s="345">
        <v>1961</v>
      </c>
      <c r="C11" s="774">
        <f>SUM('POSF Inventory'!FF16,'POSF Inventory'!FH16)</f>
        <v>51.117308824999995</v>
      </c>
      <c r="D11" s="774">
        <f>SUM('POSF Inventory'!FB16,'POSF Inventory'!FD16)</f>
        <v>41.823252674999992</v>
      </c>
      <c r="E11" s="774">
        <f>SUM('POSF Inventory'!FC16,'POSF Inventory'!FE16)</f>
        <v>41.823252674999992</v>
      </c>
      <c r="F11" s="774">
        <f>SUM('POSF Inventory'!FB16,'POSF Inventory'!FD16,'POSF Inventory'!J16)</f>
        <v>41.823252674999992</v>
      </c>
      <c r="G11" s="774">
        <f>SUM('POSF Inventory'!FC16,'POSF Inventory'!FE16,'POSF Inventory'!K16)</f>
        <v>41.823252674999992</v>
      </c>
      <c r="H11" s="1106">
        <f>SUM('POSF Inventory'!DL16,'POSF Inventory'!DN16)</f>
        <v>4.8916085000000002</v>
      </c>
      <c r="I11" s="1041">
        <f>SUM('POSF Inventory'!DM16,'POSF Inventory'!DO16)</f>
        <v>4.8916085000000002</v>
      </c>
      <c r="J11" s="592"/>
      <c r="K11" s="1046">
        <f t="shared" si="0"/>
        <v>5.1117308824999999</v>
      </c>
      <c r="L11" s="1047">
        <f t="shared" si="1"/>
        <v>46.005577942499997</v>
      </c>
      <c r="M11" s="1046">
        <f t="shared" si="2"/>
        <v>25.558654412499997</v>
      </c>
      <c r="N11" s="1047">
        <f t="shared" si="3"/>
        <v>25.558654412499997</v>
      </c>
      <c r="O11" s="1046">
        <f t="shared" si="4"/>
        <v>51.117308824999995</v>
      </c>
      <c r="P11" s="889">
        <f t="shared" si="5"/>
        <v>0</v>
      </c>
      <c r="Q11" s="1048"/>
      <c r="R11" s="889">
        <f t="shared" si="21"/>
        <v>4.1823252674999996</v>
      </c>
      <c r="S11" s="889">
        <f t="shared" si="22"/>
        <v>4.1823252674999996</v>
      </c>
      <c r="T11" s="1047">
        <f t="shared" si="23"/>
        <v>37.640927407499994</v>
      </c>
      <c r="U11" s="1047">
        <f t="shared" si="24"/>
        <v>37.640927407499994</v>
      </c>
      <c r="V11" s="1046">
        <f t="shared" si="25"/>
        <v>20.911626337499996</v>
      </c>
      <c r="W11" s="1046">
        <f t="shared" si="26"/>
        <v>20.911626337499996</v>
      </c>
      <c r="X11" s="1047">
        <f t="shared" si="27"/>
        <v>20.911626337499996</v>
      </c>
      <c r="Y11" s="1047">
        <f t="shared" si="28"/>
        <v>20.911626337499996</v>
      </c>
      <c r="Z11" s="1049">
        <f t="shared" si="29"/>
        <v>41.823252674999992</v>
      </c>
      <c r="AA11" s="1049">
        <f t="shared" si="30"/>
        <v>41.823252674999992</v>
      </c>
      <c r="AB11" s="1050">
        <f t="shared" si="31"/>
        <v>0</v>
      </c>
      <c r="AC11" s="1050">
        <f t="shared" si="32"/>
        <v>0</v>
      </c>
      <c r="AD11" s="898"/>
      <c r="AE11" s="1046">
        <f t="shared" si="33"/>
        <v>9.2940561499999994</v>
      </c>
      <c r="AF11" s="1046">
        <f t="shared" si="34"/>
        <v>9.2940561499999994</v>
      </c>
      <c r="AG11" s="1046">
        <f t="shared" si="35"/>
        <v>83.646505349999984</v>
      </c>
      <c r="AH11" s="889">
        <f t="shared" si="36"/>
        <v>83.646505349999984</v>
      </c>
      <c r="AI11" s="889">
        <f t="shared" si="37"/>
        <v>46.470280749999993</v>
      </c>
      <c r="AJ11" s="889">
        <f t="shared" si="38"/>
        <v>46.470280749999993</v>
      </c>
      <c r="AK11" s="889">
        <f t="shared" si="39"/>
        <v>46.470280749999993</v>
      </c>
      <c r="AL11" s="889">
        <f t="shared" si="40"/>
        <v>46.470280749999993</v>
      </c>
      <c r="AM11" s="889">
        <f t="shared" si="41"/>
        <v>92.940561499999987</v>
      </c>
      <c r="AN11" s="1050">
        <f t="shared" si="42"/>
        <v>92.940561499999987</v>
      </c>
      <c r="AO11" s="1050">
        <f t="shared" si="43"/>
        <v>0</v>
      </c>
      <c r="AP11" s="1050">
        <f t="shared" si="44"/>
        <v>0</v>
      </c>
      <c r="AR11" s="1067">
        <f t="shared" si="45"/>
        <v>16.729301069999998</v>
      </c>
      <c r="AS11" s="1067">
        <f t="shared" si="46"/>
        <v>16.729301069999998</v>
      </c>
      <c r="AT11" s="1068">
        <f t="shared" si="47"/>
        <v>41.823252674999992</v>
      </c>
      <c r="AU11" s="1068">
        <f t="shared" si="48"/>
        <v>41.823252674999992</v>
      </c>
      <c r="AV11" s="1068">
        <f t="shared" si="49"/>
        <v>66.917204279999993</v>
      </c>
      <c r="AW11" s="1068">
        <f t="shared" si="50"/>
        <v>66.917204279999993</v>
      </c>
      <c r="AX11" s="1068">
        <f t="shared" si="51"/>
        <v>9.2940561499999994</v>
      </c>
      <c r="AY11" s="1068">
        <f t="shared" si="52"/>
        <v>9.2940561499999994</v>
      </c>
      <c r="AZ11" s="1068">
        <f t="shared" si="53"/>
        <v>23.235140374999997</v>
      </c>
      <c r="BA11" s="1068">
        <f t="shared" si="54"/>
        <v>23.235140374999997</v>
      </c>
      <c r="BB11" s="1068">
        <f t="shared" si="55"/>
        <v>37.176224599999998</v>
      </c>
      <c r="BC11" s="1068">
        <f t="shared" si="56"/>
        <v>37.176224599999998</v>
      </c>
      <c r="BD11" s="1068">
        <f t="shared" si="6"/>
        <v>0</v>
      </c>
      <c r="BE11" s="1068">
        <f t="shared" si="7"/>
        <v>0</v>
      </c>
      <c r="BF11" s="1069">
        <f t="shared" si="8"/>
        <v>0</v>
      </c>
      <c r="BH11" s="1067">
        <f t="shared" si="9"/>
        <v>9.2011155885000004</v>
      </c>
      <c r="BI11" s="1068">
        <f t="shared" si="10"/>
        <v>23.002788971249998</v>
      </c>
      <c r="BJ11" s="1068">
        <f t="shared" si="11"/>
        <v>36.804462354000002</v>
      </c>
      <c r="BK11" s="1068">
        <f t="shared" si="12"/>
        <v>5.1117308824999999</v>
      </c>
      <c r="BL11" s="1068">
        <f t="shared" si="13"/>
        <v>12.779327206249999</v>
      </c>
      <c r="BM11" s="1068">
        <f t="shared" si="14"/>
        <v>20.446923529999999</v>
      </c>
      <c r="BN11" s="1068">
        <f t="shared" si="15"/>
        <v>0</v>
      </c>
      <c r="BO11" s="1068">
        <f t="shared" si="16"/>
        <v>0</v>
      </c>
      <c r="BP11" s="1069">
        <f t="shared" si="17"/>
        <v>0</v>
      </c>
      <c r="BR11" s="1067">
        <f t="shared" si="57"/>
        <v>7.5281854814999996</v>
      </c>
      <c r="BS11" s="1067">
        <f t="shared" si="58"/>
        <v>7.5281854814999996</v>
      </c>
      <c r="BT11" s="1068">
        <f t="shared" si="59"/>
        <v>18.820463703749997</v>
      </c>
      <c r="BU11" s="1068">
        <f t="shared" si="60"/>
        <v>18.820463703749997</v>
      </c>
      <c r="BV11" s="1068">
        <f t="shared" si="61"/>
        <v>30.112741925999998</v>
      </c>
      <c r="BW11" s="1068">
        <f t="shared" si="62"/>
        <v>30.112741925999998</v>
      </c>
      <c r="BX11" s="1068">
        <f t="shared" si="63"/>
        <v>4.1823252674999996</v>
      </c>
      <c r="BY11" s="1068">
        <f t="shared" si="64"/>
        <v>4.1823252674999996</v>
      </c>
      <c r="BZ11" s="1068">
        <f t="shared" si="65"/>
        <v>10.455813168749998</v>
      </c>
      <c r="CA11" s="1068">
        <f t="shared" si="66"/>
        <v>10.455813168749998</v>
      </c>
      <c r="CB11" s="1068">
        <f t="shared" si="67"/>
        <v>16.729301069999998</v>
      </c>
      <c r="CC11" s="1068">
        <f t="shared" si="68"/>
        <v>16.729301069999998</v>
      </c>
      <c r="CD11" s="1068">
        <f t="shared" si="18"/>
        <v>0</v>
      </c>
      <c r="CE11" s="1068">
        <f t="shared" si="19"/>
        <v>0</v>
      </c>
      <c r="CF11" s="1069">
        <f t="shared" si="20"/>
        <v>0</v>
      </c>
      <c r="CG11" s="599"/>
      <c r="CH11" s="1067">
        <f t="shared" si="69"/>
        <v>0.88048953000000008</v>
      </c>
      <c r="CI11" s="1067">
        <f t="shared" si="70"/>
        <v>0.88048953000000008</v>
      </c>
      <c r="CJ11" s="1068">
        <f t="shared" si="71"/>
        <v>2.201223825</v>
      </c>
      <c r="CK11" s="1068">
        <f t="shared" si="72"/>
        <v>2.201223825</v>
      </c>
      <c r="CL11" s="1068">
        <f t="shared" si="73"/>
        <v>3.5219581200000003</v>
      </c>
      <c r="CM11" s="1068">
        <f t="shared" si="74"/>
        <v>3.5219581200000003</v>
      </c>
      <c r="CN11" s="1068">
        <f t="shared" si="75"/>
        <v>0.48916085000000004</v>
      </c>
      <c r="CO11" s="1068">
        <f t="shared" si="76"/>
        <v>0.48916085000000004</v>
      </c>
      <c r="CP11" s="1068">
        <f t="shared" si="77"/>
        <v>1.2229021250000001</v>
      </c>
      <c r="CQ11" s="1069">
        <f t="shared" si="78"/>
        <v>1.2229021250000001</v>
      </c>
      <c r="CR11" s="1069">
        <f t="shared" si="79"/>
        <v>1.9566434000000001</v>
      </c>
      <c r="CS11" s="1069">
        <f t="shared" si="80"/>
        <v>1.9566434000000001</v>
      </c>
      <c r="CV11" s="345">
        <v>1961</v>
      </c>
      <c r="CW11" s="1097">
        <f>SUM('POSF Inventory'!HF16,'POSF Inventory'!HH16,'POSF Inventory'!HJ16)*$CY$1</f>
        <v>1.243992945</v>
      </c>
      <c r="CX11" s="1098">
        <f>SUM('POSF Inventory'!HG16,'POSF Inventory'!HI16,'POSF Inventory'!HK16)*$CY$2</f>
        <v>1.2469373069999998</v>
      </c>
      <c r="CY11" s="1097">
        <f>SUM('POSF Inventory'!HL16,'POSF Inventory'!HN16,'POSF Inventory'!HP16)*$CY$1</f>
        <v>1.7193857728125002</v>
      </c>
      <c r="CZ11" s="1098">
        <f>SUM('POSF Inventory'!HM16,'POSF Inventory'!HO16,'POSF Inventory'!HQ16)*$CY$2</f>
        <v>4.9774248273750006</v>
      </c>
      <c r="DA11" s="1097">
        <f>SUM('POSF Inventory'!HR16,'POSF Inventory'!HT16,'POSF Inventory'!HV16)*$CY$3</f>
        <v>0.4549554505355875</v>
      </c>
      <c r="DB11" s="1098">
        <f>SUM('POSF Inventory'!HS16,'POSF Inventory'!HU16,'POSF Inventory'!HW16)*$CY$4</f>
        <v>8.4624376143225639</v>
      </c>
      <c r="DC11" s="1046">
        <f t="shared" si="81"/>
        <v>3.4183341683480877</v>
      </c>
      <c r="DD11" s="1050">
        <f t="shared" si="82"/>
        <v>14.686799748697563</v>
      </c>
      <c r="DI11" s="345">
        <v>58</v>
      </c>
      <c r="DJ11" s="1041">
        <v>51.117308824999995</v>
      </c>
    </row>
    <row r="12" spans="2:118" x14ac:dyDescent="0.2">
      <c r="B12" s="345">
        <v>1962</v>
      </c>
      <c r="C12" s="774">
        <f>SUM('POSF Inventory'!FF17,'POSF Inventory'!FH17)</f>
        <v>63.65551665000001</v>
      </c>
      <c r="D12" s="774">
        <f>SUM('POSF Inventory'!FB17,'POSF Inventory'!FD17)</f>
        <v>52.081786350000009</v>
      </c>
      <c r="E12" s="774">
        <f>SUM('POSF Inventory'!FC17,'POSF Inventory'!FE17)</f>
        <v>52.081786350000009</v>
      </c>
      <c r="F12" s="774">
        <f>SUM('POSF Inventory'!FB17,'POSF Inventory'!FD17,'POSF Inventory'!J17)</f>
        <v>52.081786350000009</v>
      </c>
      <c r="G12" s="774">
        <f>SUM('POSF Inventory'!FC17,'POSF Inventory'!FE17,'POSF Inventory'!K17)</f>
        <v>52.081786350000009</v>
      </c>
      <c r="H12" s="1106">
        <f>SUM('POSF Inventory'!DL17,'POSF Inventory'!DN17)</f>
        <v>6.0914370000000009</v>
      </c>
      <c r="I12" s="1041">
        <f>SUM('POSF Inventory'!DM17,'POSF Inventory'!DO17)</f>
        <v>6.0914370000000009</v>
      </c>
      <c r="J12" s="592"/>
      <c r="K12" s="1046">
        <f t="shared" si="0"/>
        <v>6.3655516650000017</v>
      </c>
      <c r="L12" s="1047">
        <f t="shared" si="1"/>
        <v>57.289964985000012</v>
      </c>
      <c r="M12" s="1046">
        <f t="shared" si="2"/>
        <v>31.827758325000005</v>
      </c>
      <c r="N12" s="1047">
        <f t="shared" si="3"/>
        <v>31.827758325000005</v>
      </c>
      <c r="O12" s="1046">
        <f t="shared" si="4"/>
        <v>63.65551665000001</v>
      </c>
      <c r="P12" s="889">
        <f t="shared" si="5"/>
        <v>0</v>
      </c>
      <c r="Q12" s="1048"/>
      <c r="R12" s="889">
        <f t="shared" si="21"/>
        <v>5.2081786350000012</v>
      </c>
      <c r="S12" s="889">
        <f t="shared" si="22"/>
        <v>5.2081786350000012</v>
      </c>
      <c r="T12" s="1047">
        <f t="shared" si="23"/>
        <v>46.873607715000006</v>
      </c>
      <c r="U12" s="1047">
        <f t="shared" si="24"/>
        <v>46.873607715000006</v>
      </c>
      <c r="V12" s="1046">
        <f t="shared" si="25"/>
        <v>26.040893175000004</v>
      </c>
      <c r="W12" s="1046">
        <f t="shared" si="26"/>
        <v>26.040893175000004</v>
      </c>
      <c r="X12" s="1047">
        <f t="shared" si="27"/>
        <v>26.040893175000004</v>
      </c>
      <c r="Y12" s="1047">
        <f t="shared" si="28"/>
        <v>26.040893175000004</v>
      </c>
      <c r="Z12" s="1049">
        <f t="shared" si="29"/>
        <v>52.081786350000009</v>
      </c>
      <c r="AA12" s="1049">
        <f t="shared" si="30"/>
        <v>52.081786350000009</v>
      </c>
      <c r="AB12" s="1050">
        <f t="shared" si="31"/>
        <v>0</v>
      </c>
      <c r="AC12" s="1050">
        <f t="shared" si="32"/>
        <v>0</v>
      </c>
      <c r="AD12" s="898"/>
      <c r="AE12" s="1046">
        <f t="shared" si="33"/>
        <v>11.573730300000003</v>
      </c>
      <c r="AF12" s="1046">
        <f t="shared" si="34"/>
        <v>11.573730300000003</v>
      </c>
      <c r="AG12" s="1046">
        <f t="shared" si="35"/>
        <v>104.16357270000002</v>
      </c>
      <c r="AH12" s="889">
        <f t="shared" si="36"/>
        <v>104.16357270000002</v>
      </c>
      <c r="AI12" s="889">
        <f t="shared" si="37"/>
        <v>57.868651500000013</v>
      </c>
      <c r="AJ12" s="889">
        <f t="shared" si="38"/>
        <v>57.868651500000013</v>
      </c>
      <c r="AK12" s="889">
        <f t="shared" si="39"/>
        <v>57.868651500000013</v>
      </c>
      <c r="AL12" s="889">
        <f t="shared" si="40"/>
        <v>57.868651500000013</v>
      </c>
      <c r="AM12" s="889">
        <f t="shared" si="41"/>
        <v>115.73730300000003</v>
      </c>
      <c r="AN12" s="1050">
        <f t="shared" si="42"/>
        <v>115.73730300000003</v>
      </c>
      <c r="AO12" s="1050">
        <f t="shared" si="43"/>
        <v>0</v>
      </c>
      <c r="AP12" s="1050">
        <f t="shared" si="44"/>
        <v>0</v>
      </c>
      <c r="AR12" s="1067">
        <f t="shared" si="45"/>
        <v>20.832714540000005</v>
      </c>
      <c r="AS12" s="1067">
        <f t="shared" si="46"/>
        <v>20.832714540000005</v>
      </c>
      <c r="AT12" s="1068">
        <f t="shared" si="47"/>
        <v>52.081786350000009</v>
      </c>
      <c r="AU12" s="1068">
        <f t="shared" si="48"/>
        <v>52.081786350000009</v>
      </c>
      <c r="AV12" s="1068">
        <f t="shared" si="49"/>
        <v>83.33085816000002</v>
      </c>
      <c r="AW12" s="1068">
        <f t="shared" si="50"/>
        <v>83.33085816000002</v>
      </c>
      <c r="AX12" s="1068">
        <f t="shared" si="51"/>
        <v>11.573730300000003</v>
      </c>
      <c r="AY12" s="1068">
        <f t="shared" si="52"/>
        <v>11.573730300000003</v>
      </c>
      <c r="AZ12" s="1068">
        <f t="shared" si="53"/>
        <v>28.934325750000006</v>
      </c>
      <c r="BA12" s="1068">
        <f t="shared" si="54"/>
        <v>28.934325750000006</v>
      </c>
      <c r="BB12" s="1068">
        <f t="shared" si="55"/>
        <v>46.294921200000012</v>
      </c>
      <c r="BC12" s="1068">
        <f t="shared" si="56"/>
        <v>46.294921200000012</v>
      </c>
      <c r="BD12" s="1068">
        <f t="shared" si="6"/>
        <v>0</v>
      </c>
      <c r="BE12" s="1068">
        <f t="shared" si="7"/>
        <v>0</v>
      </c>
      <c r="BF12" s="1069">
        <f t="shared" si="8"/>
        <v>0</v>
      </c>
      <c r="BH12" s="1067">
        <f t="shared" si="9"/>
        <v>11.457992997000003</v>
      </c>
      <c r="BI12" s="1068">
        <f t="shared" si="10"/>
        <v>28.644982492500006</v>
      </c>
      <c r="BJ12" s="1068">
        <f t="shared" si="11"/>
        <v>45.831971988000014</v>
      </c>
      <c r="BK12" s="1068">
        <f t="shared" si="12"/>
        <v>6.3655516650000017</v>
      </c>
      <c r="BL12" s="1068">
        <f t="shared" si="13"/>
        <v>15.913879162500002</v>
      </c>
      <c r="BM12" s="1068">
        <f t="shared" si="14"/>
        <v>25.462206660000007</v>
      </c>
      <c r="BN12" s="1068">
        <f t="shared" si="15"/>
        <v>0</v>
      </c>
      <c r="BO12" s="1068">
        <f t="shared" si="16"/>
        <v>0</v>
      </c>
      <c r="BP12" s="1069">
        <f t="shared" si="17"/>
        <v>0</v>
      </c>
      <c r="BR12" s="1067">
        <f t="shared" si="57"/>
        <v>9.3747215430000015</v>
      </c>
      <c r="BS12" s="1067">
        <f t="shared" si="58"/>
        <v>9.3747215430000015</v>
      </c>
      <c r="BT12" s="1068">
        <f t="shared" si="59"/>
        <v>23.436803857500003</v>
      </c>
      <c r="BU12" s="1068">
        <f t="shared" si="60"/>
        <v>23.436803857500003</v>
      </c>
      <c r="BV12" s="1068">
        <f t="shared" si="61"/>
        <v>37.498886172000006</v>
      </c>
      <c r="BW12" s="1068">
        <f t="shared" si="62"/>
        <v>37.498886172000006</v>
      </c>
      <c r="BX12" s="1068">
        <f t="shared" si="63"/>
        <v>5.2081786350000012</v>
      </c>
      <c r="BY12" s="1068">
        <f t="shared" si="64"/>
        <v>5.2081786350000012</v>
      </c>
      <c r="BZ12" s="1068">
        <f t="shared" si="65"/>
        <v>13.020446587500002</v>
      </c>
      <c r="CA12" s="1068">
        <f t="shared" si="66"/>
        <v>13.020446587500002</v>
      </c>
      <c r="CB12" s="1068">
        <f t="shared" si="67"/>
        <v>20.832714540000005</v>
      </c>
      <c r="CC12" s="1068">
        <f t="shared" si="68"/>
        <v>20.832714540000005</v>
      </c>
      <c r="CD12" s="1068">
        <f t="shared" si="18"/>
        <v>0</v>
      </c>
      <c r="CE12" s="1068">
        <f t="shared" si="19"/>
        <v>0</v>
      </c>
      <c r="CF12" s="1069">
        <f t="shared" si="20"/>
        <v>0</v>
      </c>
      <c r="CG12" s="599"/>
      <c r="CH12" s="1067">
        <f t="shared" si="69"/>
        <v>1.0964586600000004</v>
      </c>
      <c r="CI12" s="1067">
        <f t="shared" si="70"/>
        <v>1.0964586600000004</v>
      </c>
      <c r="CJ12" s="1068">
        <f t="shared" si="71"/>
        <v>2.7411466500000006</v>
      </c>
      <c r="CK12" s="1068">
        <f t="shared" si="72"/>
        <v>2.7411466500000006</v>
      </c>
      <c r="CL12" s="1068">
        <f t="shared" si="73"/>
        <v>4.3858346400000014</v>
      </c>
      <c r="CM12" s="1068">
        <f t="shared" si="74"/>
        <v>4.3858346400000014</v>
      </c>
      <c r="CN12" s="1068">
        <f t="shared" si="75"/>
        <v>0.60914370000000018</v>
      </c>
      <c r="CO12" s="1068">
        <f t="shared" si="76"/>
        <v>0.60914370000000018</v>
      </c>
      <c r="CP12" s="1068">
        <f t="shared" si="77"/>
        <v>1.5228592500000002</v>
      </c>
      <c r="CQ12" s="1069">
        <f t="shared" si="78"/>
        <v>1.5228592500000002</v>
      </c>
      <c r="CR12" s="1069">
        <f t="shared" si="79"/>
        <v>2.4365748000000007</v>
      </c>
      <c r="CS12" s="1069">
        <f t="shared" si="80"/>
        <v>2.4365748000000007</v>
      </c>
      <c r="CV12" s="345">
        <v>1962</v>
      </c>
      <c r="CW12" s="1097">
        <f>SUM('POSF Inventory'!HF17,'POSF Inventory'!HH17,'POSF Inventory'!HJ17)*$CY$1</f>
        <v>1.54912329</v>
      </c>
      <c r="CX12" s="1098">
        <f>SUM('POSF Inventory'!HG17,'POSF Inventory'!HI17,'POSF Inventory'!HK17)*$CY$2</f>
        <v>1.552789854</v>
      </c>
      <c r="CY12" s="1097">
        <f>SUM('POSF Inventory'!HL17,'POSF Inventory'!HN17,'POSF Inventory'!HP17)*$CY$1</f>
        <v>2.1559839323749999</v>
      </c>
      <c r="CZ12" s="1098">
        <f>SUM('POSF Inventory'!HM17,'POSF Inventory'!HO17,'POSF Inventory'!HQ17)*$CY$2</f>
        <v>6.3472746452500006</v>
      </c>
      <c r="DA12" s="1097">
        <f>SUM('POSF Inventory'!HR17,'POSF Inventory'!HT17,'POSF Inventory'!HV17)*$CY$3</f>
        <v>0.57573723326482507</v>
      </c>
      <c r="DB12" s="1098">
        <f>SUM('POSF Inventory'!HS17,'POSF Inventory'!HU17,'POSF Inventory'!HW17)*$CY$4</f>
        <v>10.981065054296625</v>
      </c>
      <c r="DC12" s="1046">
        <f t="shared" si="81"/>
        <v>4.2808444556398255</v>
      </c>
      <c r="DD12" s="1050">
        <f t="shared" si="82"/>
        <v>18.881129553546625</v>
      </c>
      <c r="DI12" s="345">
        <v>72</v>
      </c>
      <c r="DJ12" s="1041">
        <v>63.65551665000001</v>
      </c>
    </row>
    <row r="13" spans="2:118" x14ac:dyDescent="0.2">
      <c r="B13" s="345">
        <v>1963</v>
      </c>
      <c r="C13" s="774">
        <f>SUM('POSF Inventory'!FF18,'POSF Inventory'!FH18)</f>
        <v>76.675963237500014</v>
      </c>
      <c r="D13" s="774">
        <f>SUM('POSF Inventory'!FB18,'POSF Inventory'!FD18)</f>
        <v>62.734879012500002</v>
      </c>
      <c r="E13" s="774">
        <f>SUM('POSF Inventory'!FC18,'POSF Inventory'!FE18)</f>
        <v>62.734879012500002</v>
      </c>
      <c r="F13" s="774">
        <f>SUM('POSF Inventory'!FB18,'POSF Inventory'!FD18,'POSF Inventory'!J18)</f>
        <v>62.734879012500002</v>
      </c>
      <c r="G13" s="774">
        <f>SUM('POSF Inventory'!FC18,'POSF Inventory'!FE18,'POSF Inventory'!K18)</f>
        <v>62.734879012500002</v>
      </c>
      <c r="H13" s="1106">
        <f>SUM('POSF Inventory'!DL18,'POSF Inventory'!DN18)</f>
        <v>7.3374127500000004</v>
      </c>
      <c r="I13" s="1041">
        <f>SUM('POSF Inventory'!DM18,'POSF Inventory'!DO18)</f>
        <v>7.3374127500000004</v>
      </c>
      <c r="J13" s="592"/>
      <c r="K13" s="1046">
        <f t="shared" si="0"/>
        <v>7.6675963237500016</v>
      </c>
      <c r="L13" s="1047">
        <f t="shared" si="1"/>
        <v>69.00836691375001</v>
      </c>
      <c r="M13" s="1046">
        <f t="shared" si="2"/>
        <v>38.337981618750007</v>
      </c>
      <c r="N13" s="1047">
        <f t="shared" si="3"/>
        <v>38.337981618750007</v>
      </c>
      <c r="O13" s="1046">
        <f t="shared" si="4"/>
        <v>76.675963237500014</v>
      </c>
      <c r="P13" s="889">
        <f t="shared" si="5"/>
        <v>0</v>
      </c>
      <c r="Q13" s="1048"/>
      <c r="R13" s="889">
        <f t="shared" si="21"/>
        <v>6.2734879012500002</v>
      </c>
      <c r="S13" s="889">
        <f t="shared" si="22"/>
        <v>6.2734879012500002</v>
      </c>
      <c r="T13" s="1047">
        <f t="shared" si="23"/>
        <v>56.461391111250002</v>
      </c>
      <c r="U13" s="1047">
        <f t="shared" si="24"/>
        <v>56.461391111250002</v>
      </c>
      <c r="V13" s="1046">
        <f t="shared" si="25"/>
        <v>31.367439506250001</v>
      </c>
      <c r="W13" s="1046">
        <f t="shared" si="26"/>
        <v>31.367439506250001</v>
      </c>
      <c r="X13" s="1047">
        <f t="shared" si="27"/>
        <v>31.367439506250001</v>
      </c>
      <c r="Y13" s="1047">
        <f t="shared" si="28"/>
        <v>31.367439506250001</v>
      </c>
      <c r="Z13" s="1049">
        <f t="shared" si="29"/>
        <v>62.734879012500002</v>
      </c>
      <c r="AA13" s="1049">
        <f t="shared" si="30"/>
        <v>62.734879012500002</v>
      </c>
      <c r="AB13" s="1050">
        <f t="shared" si="31"/>
        <v>0</v>
      </c>
      <c r="AC13" s="1050">
        <f t="shared" si="32"/>
        <v>0</v>
      </c>
      <c r="AD13" s="898"/>
      <c r="AE13" s="1046">
        <f t="shared" si="33"/>
        <v>13.941084225000001</v>
      </c>
      <c r="AF13" s="1046">
        <f t="shared" si="34"/>
        <v>13.941084225000001</v>
      </c>
      <c r="AG13" s="1046">
        <f t="shared" si="35"/>
        <v>125.469758025</v>
      </c>
      <c r="AH13" s="889">
        <f t="shared" si="36"/>
        <v>125.469758025</v>
      </c>
      <c r="AI13" s="889">
        <f t="shared" si="37"/>
        <v>69.705421125000015</v>
      </c>
      <c r="AJ13" s="889">
        <f t="shared" si="38"/>
        <v>69.705421125000015</v>
      </c>
      <c r="AK13" s="889">
        <f t="shared" si="39"/>
        <v>69.705421125000015</v>
      </c>
      <c r="AL13" s="889">
        <f t="shared" si="40"/>
        <v>69.705421125000015</v>
      </c>
      <c r="AM13" s="889">
        <f t="shared" si="41"/>
        <v>139.41084225000003</v>
      </c>
      <c r="AN13" s="1050">
        <f t="shared" si="42"/>
        <v>139.41084225000003</v>
      </c>
      <c r="AO13" s="1050">
        <f t="shared" si="43"/>
        <v>0</v>
      </c>
      <c r="AP13" s="1050">
        <f t="shared" si="44"/>
        <v>0</v>
      </c>
      <c r="AR13" s="1067">
        <f t="shared" si="45"/>
        <v>25.093951605000001</v>
      </c>
      <c r="AS13" s="1067">
        <f t="shared" si="46"/>
        <v>25.093951605000001</v>
      </c>
      <c r="AT13" s="1068">
        <f t="shared" si="47"/>
        <v>62.734879012500002</v>
      </c>
      <c r="AU13" s="1068">
        <f t="shared" si="48"/>
        <v>62.734879012500002</v>
      </c>
      <c r="AV13" s="1068">
        <f t="shared" si="49"/>
        <v>100.37580642</v>
      </c>
      <c r="AW13" s="1068">
        <f t="shared" si="50"/>
        <v>100.37580642</v>
      </c>
      <c r="AX13" s="1068">
        <f t="shared" si="51"/>
        <v>13.941084225000004</v>
      </c>
      <c r="AY13" s="1068">
        <f t="shared" si="52"/>
        <v>13.941084225000004</v>
      </c>
      <c r="AZ13" s="1068">
        <f t="shared" si="53"/>
        <v>34.852710562500008</v>
      </c>
      <c r="BA13" s="1068">
        <f t="shared" si="54"/>
        <v>34.852710562500008</v>
      </c>
      <c r="BB13" s="1068">
        <f t="shared" si="55"/>
        <v>55.764336900000018</v>
      </c>
      <c r="BC13" s="1068">
        <f t="shared" si="56"/>
        <v>55.764336900000018</v>
      </c>
      <c r="BD13" s="1068">
        <f t="shared" si="6"/>
        <v>0</v>
      </c>
      <c r="BE13" s="1068">
        <f t="shared" si="7"/>
        <v>0</v>
      </c>
      <c r="BF13" s="1069">
        <f t="shared" si="8"/>
        <v>0</v>
      </c>
      <c r="BH13" s="1067">
        <f t="shared" si="9"/>
        <v>13.801673382750003</v>
      </c>
      <c r="BI13" s="1068">
        <f t="shared" si="10"/>
        <v>34.504183456875005</v>
      </c>
      <c r="BJ13" s="1068">
        <f t="shared" si="11"/>
        <v>55.206693531000013</v>
      </c>
      <c r="BK13" s="1068">
        <f t="shared" si="12"/>
        <v>7.6675963237500016</v>
      </c>
      <c r="BL13" s="1068">
        <f t="shared" si="13"/>
        <v>19.168990809375003</v>
      </c>
      <c r="BM13" s="1068">
        <f t="shared" si="14"/>
        <v>30.670385295000006</v>
      </c>
      <c r="BN13" s="1068">
        <f t="shared" si="15"/>
        <v>0</v>
      </c>
      <c r="BO13" s="1068">
        <f t="shared" si="16"/>
        <v>0</v>
      </c>
      <c r="BP13" s="1069">
        <f t="shared" si="17"/>
        <v>0</v>
      </c>
      <c r="BR13" s="1067">
        <f t="shared" si="57"/>
        <v>11.292278222250001</v>
      </c>
      <c r="BS13" s="1067">
        <f t="shared" si="58"/>
        <v>11.292278222250001</v>
      </c>
      <c r="BT13" s="1068">
        <f t="shared" si="59"/>
        <v>28.230695555625001</v>
      </c>
      <c r="BU13" s="1068">
        <f t="shared" si="60"/>
        <v>28.230695555625001</v>
      </c>
      <c r="BV13" s="1068">
        <f t="shared" si="61"/>
        <v>45.169112889000004</v>
      </c>
      <c r="BW13" s="1068">
        <f t="shared" si="62"/>
        <v>45.169112889000004</v>
      </c>
      <c r="BX13" s="1068">
        <f t="shared" si="63"/>
        <v>6.2734879012500002</v>
      </c>
      <c r="BY13" s="1068">
        <f t="shared" si="64"/>
        <v>6.2734879012500002</v>
      </c>
      <c r="BZ13" s="1068">
        <f t="shared" si="65"/>
        <v>15.683719753125001</v>
      </c>
      <c r="CA13" s="1068">
        <f t="shared" si="66"/>
        <v>15.683719753125001</v>
      </c>
      <c r="CB13" s="1068">
        <f t="shared" si="67"/>
        <v>25.093951605000001</v>
      </c>
      <c r="CC13" s="1068">
        <f t="shared" si="68"/>
        <v>25.093951605000001</v>
      </c>
      <c r="CD13" s="1068">
        <f t="shared" si="18"/>
        <v>0</v>
      </c>
      <c r="CE13" s="1068">
        <f t="shared" si="19"/>
        <v>0</v>
      </c>
      <c r="CF13" s="1069">
        <f t="shared" si="20"/>
        <v>0</v>
      </c>
      <c r="CG13" s="599"/>
      <c r="CH13" s="1067">
        <f t="shared" si="69"/>
        <v>1.3207342950000003</v>
      </c>
      <c r="CI13" s="1067">
        <f t="shared" si="70"/>
        <v>1.3207342950000003</v>
      </c>
      <c r="CJ13" s="1068">
        <f t="shared" si="71"/>
        <v>3.3018357375000003</v>
      </c>
      <c r="CK13" s="1068">
        <f t="shared" si="72"/>
        <v>3.3018357375000003</v>
      </c>
      <c r="CL13" s="1068">
        <f t="shared" si="73"/>
        <v>5.2829371800000011</v>
      </c>
      <c r="CM13" s="1068">
        <f t="shared" si="74"/>
        <v>5.2829371800000011</v>
      </c>
      <c r="CN13" s="1068">
        <f t="shared" si="75"/>
        <v>0.73374127500000008</v>
      </c>
      <c r="CO13" s="1068">
        <f t="shared" si="76"/>
        <v>0.73374127500000008</v>
      </c>
      <c r="CP13" s="1068">
        <f t="shared" si="77"/>
        <v>1.8343531875000001</v>
      </c>
      <c r="CQ13" s="1069">
        <f t="shared" si="78"/>
        <v>1.8343531875000001</v>
      </c>
      <c r="CR13" s="1069">
        <f t="shared" si="79"/>
        <v>2.9349651000000003</v>
      </c>
      <c r="CS13" s="1069">
        <f t="shared" si="80"/>
        <v>2.9349651000000003</v>
      </c>
      <c r="CV13" s="345">
        <v>1963</v>
      </c>
      <c r="CW13" s="1097">
        <f>SUM('POSF Inventory'!HF18,'POSF Inventory'!HH18,'POSF Inventory'!HJ18)*$CY$1</f>
        <v>1.8659894174999998</v>
      </c>
      <c r="CX13" s="1098">
        <f>SUM('POSF Inventory'!HG18,'POSF Inventory'!HI18,'POSF Inventory'!HK18)*$CY$2</f>
        <v>1.8704059604999999</v>
      </c>
      <c r="CY13" s="1097">
        <f>SUM('POSF Inventory'!HL18,'POSF Inventory'!HN18,'POSF Inventory'!HP18)*$CY$1</f>
        <v>2.6053998969375001</v>
      </c>
      <c r="CZ13" s="1098">
        <f>SUM('POSF Inventory'!HM18,'POSF Inventory'!HO18,'POSF Inventory'!HQ18)*$CY$2</f>
        <v>7.729972606125</v>
      </c>
      <c r="DA13" s="1097">
        <f>SUM('POSF Inventory'!HR18,'POSF Inventory'!HT18,'POSF Inventory'!HV18)*$CY$3</f>
        <v>0.69886109956676268</v>
      </c>
      <c r="DB13" s="1098">
        <f>SUM('POSF Inventory'!HS18,'POSF Inventory'!HU18,'POSF Inventory'!HW18)*$CY$4</f>
        <v>13.573274720245877</v>
      </c>
      <c r="DC13" s="1046">
        <f t="shared" si="81"/>
        <v>5.1702504140042631</v>
      </c>
      <c r="DD13" s="1050">
        <f t="shared" si="82"/>
        <v>23.173653286870877</v>
      </c>
      <c r="DI13" s="345">
        <v>87</v>
      </c>
      <c r="DJ13" s="1041">
        <v>76.675963237500014</v>
      </c>
    </row>
    <row r="14" spans="2:118" x14ac:dyDescent="0.2">
      <c r="B14" s="345">
        <v>1964</v>
      </c>
      <c r="C14" s="774">
        <f>SUM('POSF Inventory'!FF19,'POSF Inventory'!FH19)</f>
        <v>89.2141710625</v>
      </c>
      <c r="D14" s="774">
        <f>SUM('POSF Inventory'!FB19,'POSF Inventory'!FD19)</f>
        <v>72.993412687499998</v>
      </c>
      <c r="E14" s="774">
        <f>SUM('POSF Inventory'!FC19,'POSF Inventory'!FE19)</f>
        <v>72.993412687499998</v>
      </c>
      <c r="F14" s="774">
        <f>SUM('POSF Inventory'!FB19,'POSF Inventory'!FD19,'POSF Inventory'!J19)</f>
        <v>72.993412687499998</v>
      </c>
      <c r="G14" s="774">
        <f>SUM('POSF Inventory'!FC19,'POSF Inventory'!FE19,'POSF Inventory'!K19)</f>
        <v>72.993412687499998</v>
      </c>
      <c r="H14" s="1106">
        <f>SUM('POSF Inventory'!DL19,'POSF Inventory'!DN19)</f>
        <v>8.5372412499999992</v>
      </c>
      <c r="I14" s="1041">
        <f>SUM('POSF Inventory'!DM19,'POSF Inventory'!DO19)</f>
        <v>8.5372412499999992</v>
      </c>
      <c r="J14" s="592"/>
      <c r="K14" s="1046">
        <f t="shared" si="0"/>
        <v>8.9214171062500007</v>
      </c>
      <c r="L14" s="1047">
        <f t="shared" si="1"/>
        <v>80.292753956249996</v>
      </c>
      <c r="M14" s="1046">
        <f t="shared" si="2"/>
        <v>44.60708553125</v>
      </c>
      <c r="N14" s="1047">
        <f t="shared" si="3"/>
        <v>44.60708553125</v>
      </c>
      <c r="O14" s="1046">
        <f t="shared" si="4"/>
        <v>89.2141710625</v>
      </c>
      <c r="P14" s="889">
        <f t="shared" si="5"/>
        <v>0</v>
      </c>
      <c r="Q14" s="1048"/>
      <c r="R14" s="889">
        <f t="shared" si="21"/>
        <v>7.2993412687500001</v>
      </c>
      <c r="S14" s="889">
        <f t="shared" si="22"/>
        <v>7.2993412687500001</v>
      </c>
      <c r="T14" s="1047">
        <f t="shared" si="23"/>
        <v>65.694071418749999</v>
      </c>
      <c r="U14" s="1047">
        <f t="shared" si="24"/>
        <v>65.694071418749999</v>
      </c>
      <c r="V14" s="1046">
        <f t="shared" si="25"/>
        <v>36.496706343749999</v>
      </c>
      <c r="W14" s="1046">
        <f t="shared" si="26"/>
        <v>36.496706343749999</v>
      </c>
      <c r="X14" s="1047">
        <f t="shared" si="27"/>
        <v>36.496706343749999</v>
      </c>
      <c r="Y14" s="1047">
        <f t="shared" si="28"/>
        <v>36.496706343749999</v>
      </c>
      <c r="Z14" s="1049">
        <f t="shared" si="29"/>
        <v>72.993412687499998</v>
      </c>
      <c r="AA14" s="1049">
        <f t="shared" si="30"/>
        <v>72.993412687499998</v>
      </c>
      <c r="AB14" s="1050">
        <f t="shared" si="31"/>
        <v>0</v>
      </c>
      <c r="AC14" s="1050">
        <f t="shared" si="32"/>
        <v>0</v>
      </c>
      <c r="AD14" s="898"/>
      <c r="AE14" s="1046">
        <f t="shared" si="33"/>
        <v>16.220758375000003</v>
      </c>
      <c r="AF14" s="1046">
        <f t="shared" si="34"/>
        <v>16.220758375000003</v>
      </c>
      <c r="AG14" s="1046">
        <f t="shared" si="35"/>
        <v>145.986825375</v>
      </c>
      <c r="AH14" s="889">
        <f t="shared" si="36"/>
        <v>145.986825375</v>
      </c>
      <c r="AI14" s="889">
        <f t="shared" si="37"/>
        <v>81.103791874999999</v>
      </c>
      <c r="AJ14" s="889">
        <f t="shared" si="38"/>
        <v>81.103791874999999</v>
      </c>
      <c r="AK14" s="889">
        <f t="shared" si="39"/>
        <v>81.103791874999999</v>
      </c>
      <c r="AL14" s="889">
        <f t="shared" si="40"/>
        <v>81.103791874999999</v>
      </c>
      <c r="AM14" s="889">
        <f t="shared" si="41"/>
        <v>162.20758375</v>
      </c>
      <c r="AN14" s="1050">
        <f t="shared" si="42"/>
        <v>162.20758375</v>
      </c>
      <c r="AO14" s="1050">
        <f t="shared" si="43"/>
        <v>0</v>
      </c>
      <c r="AP14" s="1050">
        <f t="shared" si="44"/>
        <v>0</v>
      </c>
      <c r="AR14" s="1067">
        <f t="shared" si="45"/>
        <v>29.197365075</v>
      </c>
      <c r="AS14" s="1067">
        <f t="shared" si="46"/>
        <v>29.197365075</v>
      </c>
      <c r="AT14" s="1068">
        <f t="shared" si="47"/>
        <v>72.993412687499998</v>
      </c>
      <c r="AU14" s="1068">
        <f t="shared" si="48"/>
        <v>72.993412687499998</v>
      </c>
      <c r="AV14" s="1068">
        <f t="shared" si="49"/>
        <v>116.7894603</v>
      </c>
      <c r="AW14" s="1068">
        <f t="shared" si="50"/>
        <v>116.7894603</v>
      </c>
      <c r="AX14" s="1068">
        <f t="shared" si="51"/>
        <v>16.220758374999999</v>
      </c>
      <c r="AY14" s="1068">
        <f t="shared" si="52"/>
        <v>16.220758374999999</v>
      </c>
      <c r="AZ14" s="1068">
        <f t="shared" si="53"/>
        <v>40.551895937499999</v>
      </c>
      <c r="BA14" s="1068">
        <f t="shared" si="54"/>
        <v>40.551895937499999</v>
      </c>
      <c r="BB14" s="1068">
        <f t="shared" si="55"/>
        <v>64.883033499999996</v>
      </c>
      <c r="BC14" s="1068">
        <f t="shared" si="56"/>
        <v>64.883033499999996</v>
      </c>
      <c r="BD14" s="1068">
        <f t="shared" si="6"/>
        <v>0</v>
      </c>
      <c r="BE14" s="1068">
        <f t="shared" si="7"/>
        <v>0</v>
      </c>
      <c r="BF14" s="1069">
        <f t="shared" si="8"/>
        <v>0</v>
      </c>
      <c r="BH14" s="1067">
        <f t="shared" si="9"/>
        <v>16.058550791249999</v>
      </c>
      <c r="BI14" s="1068">
        <f t="shared" si="10"/>
        <v>40.146376978124998</v>
      </c>
      <c r="BJ14" s="1068">
        <f t="shared" si="11"/>
        <v>64.234203164999997</v>
      </c>
      <c r="BK14" s="1068">
        <f t="shared" si="12"/>
        <v>8.9214171062500007</v>
      </c>
      <c r="BL14" s="1068">
        <f t="shared" si="13"/>
        <v>22.303542765625</v>
      </c>
      <c r="BM14" s="1068">
        <f t="shared" si="14"/>
        <v>35.685668425000003</v>
      </c>
      <c r="BN14" s="1068">
        <f t="shared" si="15"/>
        <v>0</v>
      </c>
      <c r="BO14" s="1068">
        <f t="shared" si="16"/>
        <v>0</v>
      </c>
      <c r="BP14" s="1069">
        <f t="shared" si="17"/>
        <v>0</v>
      </c>
      <c r="BR14" s="1067">
        <f t="shared" si="57"/>
        <v>13.138814283750001</v>
      </c>
      <c r="BS14" s="1067">
        <f t="shared" si="58"/>
        <v>13.138814283750001</v>
      </c>
      <c r="BT14" s="1068">
        <f t="shared" si="59"/>
        <v>32.847035709375</v>
      </c>
      <c r="BU14" s="1068">
        <f t="shared" si="60"/>
        <v>32.847035709375</v>
      </c>
      <c r="BV14" s="1068">
        <f t="shared" si="61"/>
        <v>52.555257135000005</v>
      </c>
      <c r="BW14" s="1068">
        <f t="shared" si="62"/>
        <v>52.555257135000005</v>
      </c>
      <c r="BX14" s="1068">
        <f t="shared" si="63"/>
        <v>7.2993412687500001</v>
      </c>
      <c r="BY14" s="1068">
        <f t="shared" si="64"/>
        <v>7.2993412687500001</v>
      </c>
      <c r="BZ14" s="1068">
        <f t="shared" si="65"/>
        <v>18.248353171874999</v>
      </c>
      <c r="CA14" s="1068">
        <f t="shared" si="66"/>
        <v>18.248353171874999</v>
      </c>
      <c r="CB14" s="1068">
        <f t="shared" si="67"/>
        <v>29.197365075</v>
      </c>
      <c r="CC14" s="1068">
        <f t="shared" si="68"/>
        <v>29.197365075</v>
      </c>
      <c r="CD14" s="1068">
        <f t="shared" si="18"/>
        <v>0</v>
      </c>
      <c r="CE14" s="1068">
        <f t="shared" si="19"/>
        <v>0</v>
      </c>
      <c r="CF14" s="1069">
        <f t="shared" si="20"/>
        <v>0</v>
      </c>
      <c r="CG14" s="599"/>
      <c r="CH14" s="1067">
        <f t="shared" si="69"/>
        <v>1.536703425</v>
      </c>
      <c r="CI14" s="1067">
        <f t="shared" si="70"/>
        <v>1.536703425</v>
      </c>
      <c r="CJ14" s="1068">
        <f t="shared" si="71"/>
        <v>3.8417585624999999</v>
      </c>
      <c r="CK14" s="1068">
        <f t="shared" si="72"/>
        <v>3.8417585624999999</v>
      </c>
      <c r="CL14" s="1068">
        <f t="shared" si="73"/>
        <v>6.1468137</v>
      </c>
      <c r="CM14" s="1068">
        <f t="shared" si="74"/>
        <v>6.1468137</v>
      </c>
      <c r="CN14" s="1068">
        <f t="shared" si="75"/>
        <v>0.85372412499999994</v>
      </c>
      <c r="CO14" s="1068">
        <f t="shared" si="76"/>
        <v>0.85372412499999994</v>
      </c>
      <c r="CP14" s="1068">
        <f t="shared" si="77"/>
        <v>2.1343103124999998</v>
      </c>
      <c r="CQ14" s="1069">
        <f t="shared" si="78"/>
        <v>2.1343103124999998</v>
      </c>
      <c r="CR14" s="1069">
        <f t="shared" si="79"/>
        <v>3.4148964999999998</v>
      </c>
      <c r="CS14" s="1069">
        <f t="shared" si="80"/>
        <v>3.4148964999999998</v>
      </c>
      <c r="CV14" s="345">
        <v>1964</v>
      </c>
      <c r="CW14" s="1097">
        <f>SUM('POSF Inventory'!HF19,'POSF Inventory'!HH19,'POSF Inventory'!HJ19)*$CY$1</f>
        <v>2.1711197625</v>
      </c>
      <c r="CX14" s="1098">
        <f>SUM('POSF Inventory'!HG19,'POSF Inventory'!HI19,'POSF Inventory'!HK19)*$CY$2</f>
        <v>2.1762585075000001</v>
      </c>
      <c r="CY14" s="1097">
        <f>SUM('POSF Inventory'!HL19,'POSF Inventory'!HN19,'POSF Inventory'!HP19)*$CY$1</f>
        <v>3.0419980564999998</v>
      </c>
      <c r="CZ14" s="1098">
        <f>SUM('POSF Inventory'!HM19,'POSF Inventory'!HO19,'POSF Inventory'!HQ19)*$CY$2</f>
        <v>9.0998224239999992</v>
      </c>
      <c r="DA14" s="1097">
        <f>SUM('POSF Inventory'!HR19,'POSF Inventory'!HT19,'POSF Inventory'!HV19)*$CY$3</f>
        <v>0.81984735153129995</v>
      </c>
      <c r="DB14" s="1098">
        <f>SUM('POSF Inventory'!HS19,'POSF Inventory'!HU19,'POSF Inventory'!HW19)*$CY$4</f>
        <v>16.218289706289752</v>
      </c>
      <c r="DC14" s="1046">
        <f t="shared" si="81"/>
        <v>6.0329651705313001</v>
      </c>
      <c r="DD14" s="1050">
        <f t="shared" si="82"/>
        <v>27.49437063778975</v>
      </c>
      <c r="DI14" s="345">
        <v>101</v>
      </c>
      <c r="DJ14" s="1041">
        <v>89.2141710625</v>
      </c>
    </row>
    <row r="15" spans="2:118" x14ac:dyDescent="0.2">
      <c r="B15" s="345">
        <v>1965</v>
      </c>
      <c r="C15" s="774">
        <f>SUM('POSF Inventory'!FF20,'POSF Inventory'!FH20)</f>
        <v>102.23461764999999</v>
      </c>
      <c r="D15" s="774">
        <f>SUM('POSF Inventory'!FB20,'POSF Inventory'!FD20)</f>
        <v>83.646505349999984</v>
      </c>
      <c r="E15" s="774">
        <f>SUM('POSF Inventory'!FC20,'POSF Inventory'!FE20)</f>
        <v>83.646505349999984</v>
      </c>
      <c r="F15" s="774">
        <f>SUM('POSF Inventory'!FB20,'POSF Inventory'!FD20,'POSF Inventory'!J20)</f>
        <v>83.646505349999984</v>
      </c>
      <c r="G15" s="774">
        <f>SUM('POSF Inventory'!FC20,'POSF Inventory'!FE20,'POSF Inventory'!K20)</f>
        <v>83.646505349999984</v>
      </c>
      <c r="H15" s="1106">
        <f>SUM('POSF Inventory'!DL20,'POSF Inventory'!DN20)</f>
        <v>9.7832170000000005</v>
      </c>
      <c r="I15" s="1041">
        <f>SUM('POSF Inventory'!DM20,'POSF Inventory'!DO20)</f>
        <v>9.7832170000000005</v>
      </c>
      <c r="J15" s="592"/>
      <c r="K15" s="1046">
        <f t="shared" si="0"/>
        <v>10.223461765</v>
      </c>
      <c r="L15" s="1047">
        <f t="shared" si="1"/>
        <v>92.011155884999994</v>
      </c>
      <c r="M15" s="1046">
        <f t="shared" si="2"/>
        <v>51.117308824999995</v>
      </c>
      <c r="N15" s="1047">
        <f t="shared" si="3"/>
        <v>51.117308824999995</v>
      </c>
      <c r="O15" s="1046">
        <f t="shared" si="4"/>
        <v>102.23461764999999</v>
      </c>
      <c r="P15" s="889">
        <f t="shared" si="5"/>
        <v>0</v>
      </c>
      <c r="Q15" s="1048"/>
      <c r="R15" s="889">
        <f t="shared" si="21"/>
        <v>8.3646505349999991</v>
      </c>
      <c r="S15" s="889">
        <f t="shared" si="22"/>
        <v>8.3646505349999991</v>
      </c>
      <c r="T15" s="1047">
        <f t="shared" si="23"/>
        <v>75.281854814999988</v>
      </c>
      <c r="U15" s="1047">
        <f t="shared" si="24"/>
        <v>75.281854814999988</v>
      </c>
      <c r="V15" s="1046">
        <f t="shared" si="25"/>
        <v>41.823252674999992</v>
      </c>
      <c r="W15" s="1046">
        <f t="shared" si="26"/>
        <v>41.823252674999992</v>
      </c>
      <c r="X15" s="1047">
        <f t="shared" si="27"/>
        <v>41.823252674999992</v>
      </c>
      <c r="Y15" s="1047">
        <f t="shared" si="28"/>
        <v>41.823252674999992</v>
      </c>
      <c r="Z15" s="1049">
        <f t="shared" si="29"/>
        <v>83.646505349999984</v>
      </c>
      <c r="AA15" s="1049">
        <f t="shared" si="30"/>
        <v>83.646505349999984</v>
      </c>
      <c r="AB15" s="1050">
        <f t="shared" si="31"/>
        <v>0</v>
      </c>
      <c r="AC15" s="1050">
        <f t="shared" si="32"/>
        <v>0</v>
      </c>
      <c r="AD15" s="898"/>
      <c r="AE15" s="1046">
        <f t="shared" si="33"/>
        <v>18.588112299999999</v>
      </c>
      <c r="AF15" s="1046">
        <f t="shared" si="34"/>
        <v>18.588112299999999</v>
      </c>
      <c r="AG15" s="1046">
        <f t="shared" si="35"/>
        <v>167.29301069999997</v>
      </c>
      <c r="AH15" s="889">
        <f t="shared" si="36"/>
        <v>167.29301069999997</v>
      </c>
      <c r="AI15" s="889">
        <f t="shared" si="37"/>
        <v>92.940561499999987</v>
      </c>
      <c r="AJ15" s="889">
        <f t="shared" si="38"/>
        <v>92.940561499999987</v>
      </c>
      <c r="AK15" s="889">
        <f t="shared" si="39"/>
        <v>92.940561499999987</v>
      </c>
      <c r="AL15" s="889">
        <f t="shared" si="40"/>
        <v>92.940561499999987</v>
      </c>
      <c r="AM15" s="889">
        <f t="shared" si="41"/>
        <v>185.88112299999997</v>
      </c>
      <c r="AN15" s="1050">
        <f t="shared" si="42"/>
        <v>185.88112299999997</v>
      </c>
      <c r="AO15" s="1050">
        <f t="shared" si="43"/>
        <v>0</v>
      </c>
      <c r="AP15" s="1050">
        <f t="shared" si="44"/>
        <v>0</v>
      </c>
      <c r="AR15" s="1067">
        <f t="shared" si="45"/>
        <v>33.458602139999996</v>
      </c>
      <c r="AS15" s="1067">
        <f t="shared" si="46"/>
        <v>33.458602139999996</v>
      </c>
      <c r="AT15" s="1068">
        <f t="shared" si="47"/>
        <v>83.646505349999984</v>
      </c>
      <c r="AU15" s="1068">
        <f t="shared" si="48"/>
        <v>83.646505349999984</v>
      </c>
      <c r="AV15" s="1068">
        <f t="shared" si="49"/>
        <v>133.83440855999999</v>
      </c>
      <c r="AW15" s="1068">
        <f t="shared" si="50"/>
        <v>133.83440855999999</v>
      </c>
      <c r="AX15" s="1068">
        <f t="shared" si="51"/>
        <v>18.588112299999999</v>
      </c>
      <c r="AY15" s="1068">
        <f t="shared" si="52"/>
        <v>18.588112299999999</v>
      </c>
      <c r="AZ15" s="1068">
        <f t="shared" si="53"/>
        <v>46.470280749999993</v>
      </c>
      <c r="BA15" s="1068">
        <f t="shared" si="54"/>
        <v>46.470280749999993</v>
      </c>
      <c r="BB15" s="1068">
        <f t="shared" si="55"/>
        <v>74.352449199999995</v>
      </c>
      <c r="BC15" s="1068">
        <f t="shared" si="56"/>
        <v>74.352449199999995</v>
      </c>
      <c r="BD15" s="1068">
        <f t="shared" si="6"/>
        <v>0</v>
      </c>
      <c r="BE15" s="1068">
        <f t="shared" si="7"/>
        <v>0</v>
      </c>
      <c r="BF15" s="1069">
        <f t="shared" si="8"/>
        <v>0</v>
      </c>
      <c r="BH15" s="1067">
        <f t="shared" si="9"/>
        <v>18.402231177000001</v>
      </c>
      <c r="BI15" s="1068">
        <f t="shared" si="10"/>
        <v>46.005577942499997</v>
      </c>
      <c r="BJ15" s="1068">
        <f t="shared" si="11"/>
        <v>73.608924708000004</v>
      </c>
      <c r="BK15" s="1068">
        <f t="shared" si="12"/>
        <v>10.223461765</v>
      </c>
      <c r="BL15" s="1068">
        <f t="shared" si="13"/>
        <v>25.558654412499997</v>
      </c>
      <c r="BM15" s="1068">
        <f t="shared" si="14"/>
        <v>40.893847059999999</v>
      </c>
      <c r="BN15" s="1068">
        <f t="shared" si="15"/>
        <v>0</v>
      </c>
      <c r="BO15" s="1068">
        <f t="shared" si="16"/>
        <v>0</v>
      </c>
      <c r="BP15" s="1069">
        <f t="shared" si="17"/>
        <v>0</v>
      </c>
      <c r="BR15" s="1067">
        <f t="shared" si="57"/>
        <v>15.056370962999999</v>
      </c>
      <c r="BS15" s="1067">
        <f t="shared" si="58"/>
        <v>15.056370962999999</v>
      </c>
      <c r="BT15" s="1068">
        <f t="shared" si="59"/>
        <v>37.640927407499994</v>
      </c>
      <c r="BU15" s="1068">
        <f t="shared" si="60"/>
        <v>37.640927407499994</v>
      </c>
      <c r="BV15" s="1068">
        <f t="shared" si="61"/>
        <v>60.225483851999996</v>
      </c>
      <c r="BW15" s="1068">
        <f t="shared" si="62"/>
        <v>60.225483851999996</v>
      </c>
      <c r="BX15" s="1068">
        <f t="shared" si="63"/>
        <v>8.3646505349999991</v>
      </c>
      <c r="BY15" s="1068">
        <f t="shared" si="64"/>
        <v>8.3646505349999991</v>
      </c>
      <c r="BZ15" s="1068">
        <f t="shared" si="65"/>
        <v>20.911626337499996</v>
      </c>
      <c r="CA15" s="1068">
        <f t="shared" si="66"/>
        <v>20.911626337499996</v>
      </c>
      <c r="CB15" s="1068">
        <f t="shared" si="67"/>
        <v>33.458602139999996</v>
      </c>
      <c r="CC15" s="1068">
        <f t="shared" si="68"/>
        <v>33.458602139999996</v>
      </c>
      <c r="CD15" s="1068">
        <f t="shared" si="18"/>
        <v>0</v>
      </c>
      <c r="CE15" s="1068">
        <f t="shared" si="19"/>
        <v>0</v>
      </c>
      <c r="CF15" s="1069">
        <f t="shared" si="20"/>
        <v>0</v>
      </c>
      <c r="CG15" s="599"/>
      <c r="CH15" s="1067">
        <f t="shared" si="69"/>
        <v>1.7609790600000002</v>
      </c>
      <c r="CI15" s="1067">
        <f t="shared" si="70"/>
        <v>1.7609790600000002</v>
      </c>
      <c r="CJ15" s="1068">
        <f t="shared" si="71"/>
        <v>4.40244765</v>
      </c>
      <c r="CK15" s="1068">
        <f t="shared" si="72"/>
        <v>4.40244765</v>
      </c>
      <c r="CL15" s="1068">
        <f t="shared" si="73"/>
        <v>7.0439162400000006</v>
      </c>
      <c r="CM15" s="1068">
        <f t="shared" si="74"/>
        <v>7.0439162400000006</v>
      </c>
      <c r="CN15" s="1068">
        <f t="shared" si="75"/>
        <v>0.97832170000000007</v>
      </c>
      <c r="CO15" s="1068">
        <f t="shared" si="76"/>
        <v>0.97832170000000007</v>
      </c>
      <c r="CP15" s="1068">
        <f t="shared" si="77"/>
        <v>2.4458042500000001</v>
      </c>
      <c r="CQ15" s="1069">
        <f t="shared" si="78"/>
        <v>2.4458042500000001</v>
      </c>
      <c r="CR15" s="1069">
        <f t="shared" si="79"/>
        <v>3.9132868000000003</v>
      </c>
      <c r="CS15" s="1069">
        <f t="shared" si="80"/>
        <v>3.9132868000000003</v>
      </c>
      <c r="CV15" s="345">
        <v>1965</v>
      </c>
      <c r="CW15" s="1097">
        <f>SUM('POSF Inventory'!HF20,'POSF Inventory'!HH20,'POSF Inventory'!HJ20)*$CY$1</f>
        <v>2.48798589</v>
      </c>
      <c r="CX15" s="1098">
        <f>SUM('POSF Inventory'!HG20,'POSF Inventory'!HI20,'POSF Inventory'!HK20)*$CY$2</f>
        <v>2.4938746139999997</v>
      </c>
      <c r="CY15" s="1097">
        <f>SUM('POSF Inventory'!HL20,'POSF Inventory'!HN20,'POSF Inventory'!HP20)*$CY$1</f>
        <v>3.4914140210625</v>
      </c>
      <c r="CZ15" s="1098">
        <f>SUM('POSF Inventory'!HM20,'POSF Inventory'!HO20,'POSF Inventory'!HQ20)*$CY$2</f>
        <v>10.482520384875</v>
      </c>
      <c r="DA15" s="1097">
        <f>SUM('POSF Inventory'!HR20,'POSF Inventory'!HT20,'POSF Inventory'!HV20)*$CY$3</f>
        <v>0.94317568706853749</v>
      </c>
      <c r="DB15" s="1098">
        <f>SUM('POSF Inventory'!HS20,'POSF Inventory'!HU20,'POSF Inventory'!HW20)*$CY$4</f>
        <v>18.936886918308815</v>
      </c>
      <c r="DC15" s="1046">
        <f t="shared" si="81"/>
        <v>6.9225755981310373</v>
      </c>
      <c r="DD15" s="1050">
        <f t="shared" si="82"/>
        <v>31.913281917183816</v>
      </c>
      <c r="DI15" s="345">
        <v>116</v>
      </c>
      <c r="DJ15" s="1041">
        <v>102.23461764999999</v>
      </c>
    </row>
    <row r="16" spans="2:118" x14ac:dyDescent="0.2">
      <c r="B16" s="345">
        <v>1966</v>
      </c>
      <c r="C16" s="774">
        <f>SUM('POSF Inventory'!FF21,'POSF Inventory'!FH21)</f>
        <v>114.772825475</v>
      </c>
      <c r="D16" s="774">
        <f>SUM('POSF Inventory'!FB21,'POSF Inventory'!FD21)</f>
        <v>93.905039025000008</v>
      </c>
      <c r="E16" s="774">
        <f>SUM('POSF Inventory'!FC21,'POSF Inventory'!FE21)</f>
        <v>93.905039025000008</v>
      </c>
      <c r="F16" s="774">
        <f>SUM('POSF Inventory'!FB21,'POSF Inventory'!FD21,'POSF Inventory'!J21)</f>
        <v>93.905039025000008</v>
      </c>
      <c r="G16" s="774">
        <f>SUM('POSF Inventory'!FC21,'POSF Inventory'!FE21,'POSF Inventory'!K21)</f>
        <v>93.905039025000008</v>
      </c>
      <c r="H16" s="1106">
        <f>SUM('POSF Inventory'!DL21,'POSF Inventory'!DN21)</f>
        <v>10.983045500000001</v>
      </c>
      <c r="I16" s="1041">
        <f>SUM('POSF Inventory'!DM21,'POSF Inventory'!DO21)</f>
        <v>10.983045500000001</v>
      </c>
      <c r="J16" s="592"/>
      <c r="K16" s="1046">
        <f t="shared" si="0"/>
        <v>11.477282547500002</v>
      </c>
      <c r="L16" s="1047">
        <f t="shared" si="1"/>
        <v>103.29554292750001</v>
      </c>
      <c r="M16" s="1046">
        <f t="shared" si="2"/>
        <v>57.386412737500002</v>
      </c>
      <c r="N16" s="1047">
        <f t="shared" si="3"/>
        <v>57.386412737500002</v>
      </c>
      <c r="O16" s="1046">
        <f t="shared" si="4"/>
        <v>114.772825475</v>
      </c>
      <c r="P16" s="889">
        <f t="shared" si="5"/>
        <v>0</v>
      </c>
      <c r="Q16" s="1048"/>
      <c r="R16" s="889">
        <f t="shared" si="21"/>
        <v>9.3905039025000008</v>
      </c>
      <c r="S16" s="889">
        <f t="shared" si="22"/>
        <v>9.3905039025000008</v>
      </c>
      <c r="T16" s="1047">
        <f t="shared" si="23"/>
        <v>84.514535122500007</v>
      </c>
      <c r="U16" s="1047">
        <f t="shared" si="24"/>
        <v>84.514535122500007</v>
      </c>
      <c r="V16" s="1046">
        <f t="shared" si="25"/>
        <v>46.952519512500004</v>
      </c>
      <c r="W16" s="1046">
        <f t="shared" si="26"/>
        <v>46.952519512500004</v>
      </c>
      <c r="X16" s="1047">
        <f t="shared" si="27"/>
        <v>46.952519512500004</v>
      </c>
      <c r="Y16" s="1047">
        <f t="shared" si="28"/>
        <v>46.952519512500004</v>
      </c>
      <c r="Z16" s="1049">
        <f t="shared" si="29"/>
        <v>93.905039025000008</v>
      </c>
      <c r="AA16" s="1049">
        <f t="shared" si="30"/>
        <v>93.905039025000008</v>
      </c>
      <c r="AB16" s="1050">
        <f t="shared" si="31"/>
        <v>0</v>
      </c>
      <c r="AC16" s="1050">
        <f t="shared" si="32"/>
        <v>0</v>
      </c>
      <c r="AD16" s="898"/>
      <c r="AE16" s="1046">
        <f t="shared" si="33"/>
        <v>20.867786450000004</v>
      </c>
      <c r="AF16" s="1046">
        <f t="shared" si="34"/>
        <v>20.867786450000004</v>
      </c>
      <c r="AG16" s="1046">
        <f t="shared" si="35"/>
        <v>187.81007805000002</v>
      </c>
      <c r="AH16" s="889">
        <f t="shared" si="36"/>
        <v>187.81007805000002</v>
      </c>
      <c r="AI16" s="889">
        <f t="shared" si="37"/>
        <v>104.33893225</v>
      </c>
      <c r="AJ16" s="889">
        <f t="shared" si="38"/>
        <v>104.33893225</v>
      </c>
      <c r="AK16" s="889">
        <f t="shared" si="39"/>
        <v>104.33893225</v>
      </c>
      <c r="AL16" s="889">
        <f t="shared" si="40"/>
        <v>104.33893225</v>
      </c>
      <c r="AM16" s="889">
        <f t="shared" si="41"/>
        <v>208.6778645</v>
      </c>
      <c r="AN16" s="1050">
        <f t="shared" si="42"/>
        <v>208.6778645</v>
      </c>
      <c r="AO16" s="1050">
        <f t="shared" si="43"/>
        <v>0</v>
      </c>
      <c r="AP16" s="1050">
        <f t="shared" si="44"/>
        <v>0</v>
      </c>
      <c r="AR16" s="1067">
        <f t="shared" si="45"/>
        <v>37.562015610000003</v>
      </c>
      <c r="AS16" s="1067">
        <f t="shared" si="46"/>
        <v>37.562015610000003</v>
      </c>
      <c r="AT16" s="1068">
        <f t="shared" si="47"/>
        <v>93.905039025000008</v>
      </c>
      <c r="AU16" s="1068">
        <f t="shared" si="48"/>
        <v>93.905039025000008</v>
      </c>
      <c r="AV16" s="1068">
        <f t="shared" si="49"/>
        <v>150.24806244000001</v>
      </c>
      <c r="AW16" s="1068">
        <f t="shared" si="50"/>
        <v>150.24806244000001</v>
      </c>
      <c r="AX16" s="1068">
        <f t="shared" si="51"/>
        <v>20.867786450000001</v>
      </c>
      <c r="AY16" s="1068">
        <f t="shared" si="52"/>
        <v>20.867786450000001</v>
      </c>
      <c r="AZ16" s="1068">
        <f t="shared" si="53"/>
        <v>52.169466125</v>
      </c>
      <c r="BA16" s="1068">
        <f t="shared" si="54"/>
        <v>52.169466125</v>
      </c>
      <c r="BB16" s="1068">
        <f t="shared" si="55"/>
        <v>83.471145800000002</v>
      </c>
      <c r="BC16" s="1068">
        <f t="shared" si="56"/>
        <v>83.471145800000002</v>
      </c>
      <c r="BD16" s="1068">
        <f t="shared" si="6"/>
        <v>0</v>
      </c>
      <c r="BE16" s="1068">
        <f t="shared" si="7"/>
        <v>0</v>
      </c>
      <c r="BF16" s="1069">
        <f t="shared" si="8"/>
        <v>0</v>
      </c>
      <c r="BH16" s="1067">
        <f t="shared" si="9"/>
        <v>20.659108585500004</v>
      </c>
      <c r="BI16" s="1068">
        <f t="shared" si="10"/>
        <v>51.647771463750004</v>
      </c>
      <c r="BJ16" s="1068">
        <f t="shared" si="11"/>
        <v>82.636434342000015</v>
      </c>
      <c r="BK16" s="1068">
        <f t="shared" si="12"/>
        <v>11.477282547500002</v>
      </c>
      <c r="BL16" s="1068">
        <f t="shared" si="13"/>
        <v>28.693206368750001</v>
      </c>
      <c r="BM16" s="1068">
        <f t="shared" si="14"/>
        <v>45.909130190000006</v>
      </c>
      <c r="BN16" s="1068">
        <f t="shared" si="15"/>
        <v>0</v>
      </c>
      <c r="BO16" s="1068">
        <f t="shared" si="16"/>
        <v>0</v>
      </c>
      <c r="BP16" s="1069">
        <f t="shared" si="17"/>
        <v>0</v>
      </c>
      <c r="BR16" s="1067">
        <f t="shared" si="57"/>
        <v>16.902907024500003</v>
      </c>
      <c r="BS16" s="1067">
        <f t="shared" si="58"/>
        <v>16.902907024500003</v>
      </c>
      <c r="BT16" s="1068">
        <f t="shared" si="59"/>
        <v>42.257267561250003</v>
      </c>
      <c r="BU16" s="1068">
        <f t="shared" si="60"/>
        <v>42.257267561250003</v>
      </c>
      <c r="BV16" s="1068">
        <f t="shared" si="61"/>
        <v>67.611628098000011</v>
      </c>
      <c r="BW16" s="1068">
        <f t="shared" si="62"/>
        <v>67.611628098000011</v>
      </c>
      <c r="BX16" s="1068">
        <f t="shared" si="63"/>
        <v>9.3905039025000008</v>
      </c>
      <c r="BY16" s="1068">
        <f t="shared" si="64"/>
        <v>9.3905039025000008</v>
      </c>
      <c r="BZ16" s="1068">
        <f t="shared" si="65"/>
        <v>23.476259756250002</v>
      </c>
      <c r="CA16" s="1068">
        <f t="shared" si="66"/>
        <v>23.476259756250002</v>
      </c>
      <c r="CB16" s="1068">
        <f t="shared" si="67"/>
        <v>37.562015610000003</v>
      </c>
      <c r="CC16" s="1068">
        <f t="shared" si="68"/>
        <v>37.562015610000003</v>
      </c>
      <c r="CD16" s="1068">
        <f t="shared" si="18"/>
        <v>0</v>
      </c>
      <c r="CE16" s="1068">
        <f t="shared" si="19"/>
        <v>0</v>
      </c>
      <c r="CF16" s="1069">
        <f t="shared" si="20"/>
        <v>0</v>
      </c>
      <c r="CG16" s="599"/>
      <c r="CH16" s="1067">
        <f t="shared" si="69"/>
        <v>1.9769481900000003</v>
      </c>
      <c r="CI16" s="1067">
        <f t="shared" si="70"/>
        <v>1.9769481900000003</v>
      </c>
      <c r="CJ16" s="1068">
        <f t="shared" si="71"/>
        <v>4.9423704750000006</v>
      </c>
      <c r="CK16" s="1068">
        <f t="shared" si="72"/>
        <v>4.9423704750000006</v>
      </c>
      <c r="CL16" s="1068">
        <f t="shared" si="73"/>
        <v>7.9077927600000013</v>
      </c>
      <c r="CM16" s="1068">
        <f t="shared" si="74"/>
        <v>7.9077927600000013</v>
      </c>
      <c r="CN16" s="1068">
        <f t="shared" si="75"/>
        <v>1.0983045500000002</v>
      </c>
      <c r="CO16" s="1068">
        <f t="shared" si="76"/>
        <v>1.0983045500000002</v>
      </c>
      <c r="CP16" s="1068">
        <f t="shared" si="77"/>
        <v>2.7457613750000003</v>
      </c>
      <c r="CQ16" s="1069">
        <f t="shared" si="78"/>
        <v>2.7457613750000003</v>
      </c>
      <c r="CR16" s="1069">
        <f t="shared" si="79"/>
        <v>4.3932182000000006</v>
      </c>
      <c r="CS16" s="1069">
        <f t="shared" si="80"/>
        <v>4.3932182000000006</v>
      </c>
      <c r="CV16" s="345">
        <v>1966</v>
      </c>
      <c r="CW16" s="1097">
        <f>SUM('POSF Inventory'!HF21,'POSF Inventory'!HH21,'POSF Inventory'!HJ21)*$CY$1</f>
        <v>2.7931162349999998</v>
      </c>
      <c r="CX16" s="1098">
        <f>SUM('POSF Inventory'!HG21,'POSF Inventory'!HI21,'POSF Inventory'!HK21)*$CY$2</f>
        <v>2.7997271609999999</v>
      </c>
      <c r="CY16" s="1097">
        <f>SUM('POSF Inventory'!HL21,'POSF Inventory'!HN21,'POSF Inventory'!HP21)*$CY$1</f>
        <v>3.9280121806250001</v>
      </c>
      <c r="CZ16" s="1098">
        <f>SUM('POSF Inventory'!HM21,'POSF Inventory'!HO21,'POSF Inventory'!HQ21)*$CY$2</f>
        <v>11.852370202750002</v>
      </c>
      <c r="DA16" s="1097">
        <f>SUM('POSF Inventory'!HR21,'POSF Inventory'!HT21,'POSF Inventory'!HV21)*$CY$3</f>
        <v>1.064366408268375</v>
      </c>
      <c r="DB16" s="1098">
        <f>SUM('POSF Inventory'!HS21,'POSF Inventory'!HU21,'POSF Inventory'!HW21)*$CY$4</f>
        <v>21.708289450422498</v>
      </c>
      <c r="DC16" s="1046">
        <f t="shared" si="81"/>
        <v>7.7854948238933748</v>
      </c>
      <c r="DD16" s="1050">
        <f t="shared" si="82"/>
        <v>36.3603868141725</v>
      </c>
      <c r="DI16" s="345">
        <v>130</v>
      </c>
      <c r="DJ16" s="1041">
        <v>114.772825475</v>
      </c>
    </row>
    <row r="17" spans="2:114" x14ac:dyDescent="0.2">
      <c r="B17" s="345">
        <v>1967</v>
      </c>
      <c r="C17" s="774">
        <f>SUM('POSF Inventory'!FF22,'POSF Inventory'!FH22)</f>
        <v>127.79327206249999</v>
      </c>
      <c r="D17" s="774">
        <f>SUM('POSF Inventory'!FB22,'POSF Inventory'!FD22)</f>
        <v>104.55813168749999</v>
      </c>
      <c r="E17" s="774">
        <f>SUM('POSF Inventory'!FC22,'POSF Inventory'!FE22)</f>
        <v>104.55813168749999</v>
      </c>
      <c r="F17" s="774">
        <f>SUM('POSF Inventory'!FB22,'POSF Inventory'!FD22,'POSF Inventory'!J22)</f>
        <v>104.55813168749999</v>
      </c>
      <c r="G17" s="774">
        <f>SUM('POSF Inventory'!FC22,'POSF Inventory'!FE22,'POSF Inventory'!K22)</f>
        <v>104.55813168749999</v>
      </c>
      <c r="H17" s="1106">
        <f>SUM('POSF Inventory'!DL22,'POSF Inventory'!DN22)</f>
        <v>12.229021250000001</v>
      </c>
      <c r="I17" s="1041">
        <f>SUM('POSF Inventory'!DM22,'POSF Inventory'!DO22)</f>
        <v>12.229021250000001</v>
      </c>
      <c r="J17" s="592"/>
      <c r="K17" s="1046">
        <f t="shared" si="0"/>
        <v>12.779327206250001</v>
      </c>
      <c r="L17" s="1047">
        <f t="shared" si="1"/>
        <v>115.01394485624999</v>
      </c>
      <c r="M17" s="1046">
        <f t="shared" si="2"/>
        <v>63.896636031249997</v>
      </c>
      <c r="N17" s="1047">
        <f t="shared" si="3"/>
        <v>63.896636031249997</v>
      </c>
      <c r="O17" s="1046">
        <f t="shared" si="4"/>
        <v>127.79327206249999</v>
      </c>
      <c r="P17" s="889">
        <f t="shared" si="5"/>
        <v>0</v>
      </c>
      <c r="Q17" s="1048"/>
      <c r="R17" s="889">
        <f t="shared" si="21"/>
        <v>10.45581316875</v>
      </c>
      <c r="S17" s="889">
        <f t="shared" si="22"/>
        <v>10.45581316875</v>
      </c>
      <c r="T17" s="1047">
        <f t="shared" si="23"/>
        <v>94.102318518749996</v>
      </c>
      <c r="U17" s="1047">
        <f t="shared" si="24"/>
        <v>94.102318518749996</v>
      </c>
      <c r="V17" s="1046">
        <f t="shared" si="25"/>
        <v>52.279065843749997</v>
      </c>
      <c r="W17" s="1046">
        <f t="shared" si="26"/>
        <v>52.279065843749997</v>
      </c>
      <c r="X17" s="1047">
        <f t="shared" si="27"/>
        <v>52.279065843749997</v>
      </c>
      <c r="Y17" s="1047">
        <f t="shared" si="28"/>
        <v>52.279065843749997</v>
      </c>
      <c r="Z17" s="1049">
        <f t="shared" si="29"/>
        <v>104.55813168749999</v>
      </c>
      <c r="AA17" s="1049">
        <f t="shared" si="30"/>
        <v>104.55813168749999</v>
      </c>
      <c r="AB17" s="1050">
        <f t="shared" si="31"/>
        <v>0</v>
      </c>
      <c r="AC17" s="1050">
        <f t="shared" si="32"/>
        <v>0</v>
      </c>
      <c r="AD17" s="898"/>
      <c r="AE17" s="1046">
        <f t="shared" si="33"/>
        <v>23.235140375</v>
      </c>
      <c r="AF17" s="1046">
        <f t="shared" si="34"/>
        <v>23.235140375</v>
      </c>
      <c r="AG17" s="1046">
        <f t="shared" si="35"/>
        <v>209.11626337499999</v>
      </c>
      <c r="AH17" s="889">
        <f t="shared" si="36"/>
        <v>209.11626337499999</v>
      </c>
      <c r="AI17" s="889">
        <f t="shared" si="37"/>
        <v>116.17570187499999</v>
      </c>
      <c r="AJ17" s="889">
        <f t="shared" si="38"/>
        <v>116.17570187499999</v>
      </c>
      <c r="AK17" s="889">
        <f t="shared" si="39"/>
        <v>116.17570187499999</v>
      </c>
      <c r="AL17" s="889">
        <f t="shared" si="40"/>
        <v>116.17570187499999</v>
      </c>
      <c r="AM17" s="889">
        <f t="shared" si="41"/>
        <v>232.35140374999997</v>
      </c>
      <c r="AN17" s="1050">
        <f t="shared" si="42"/>
        <v>232.35140374999997</v>
      </c>
      <c r="AO17" s="1050">
        <f t="shared" si="43"/>
        <v>0</v>
      </c>
      <c r="AP17" s="1050">
        <f t="shared" si="44"/>
        <v>0</v>
      </c>
      <c r="AR17" s="1067">
        <f t="shared" si="45"/>
        <v>41.823252674999999</v>
      </c>
      <c r="AS17" s="1067">
        <f t="shared" si="46"/>
        <v>41.823252674999999</v>
      </c>
      <c r="AT17" s="1068">
        <f t="shared" si="47"/>
        <v>104.55813168749999</v>
      </c>
      <c r="AU17" s="1068">
        <f t="shared" si="48"/>
        <v>104.55813168749999</v>
      </c>
      <c r="AV17" s="1068">
        <f t="shared" si="49"/>
        <v>167.2930107</v>
      </c>
      <c r="AW17" s="1068">
        <f t="shared" si="50"/>
        <v>167.2930107</v>
      </c>
      <c r="AX17" s="1068">
        <f t="shared" si="51"/>
        <v>23.235140375</v>
      </c>
      <c r="AY17" s="1068">
        <f t="shared" si="52"/>
        <v>23.235140375</v>
      </c>
      <c r="AZ17" s="1068">
        <f t="shared" si="53"/>
        <v>58.087850937499994</v>
      </c>
      <c r="BA17" s="1068">
        <f t="shared" si="54"/>
        <v>58.087850937499994</v>
      </c>
      <c r="BB17" s="1068">
        <f t="shared" si="55"/>
        <v>92.940561500000001</v>
      </c>
      <c r="BC17" s="1068">
        <f t="shared" si="56"/>
        <v>92.940561500000001</v>
      </c>
      <c r="BD17" s="1068">
        <f t="shared" si="6"/>
        <v>0</v>
      </c>
      <c r="BE17" s="1068">
        <f t="shared" si="7"/>
        <v>0</v>
      </c>
      <c r="BF17" s="1069">
        <f t="shared" si="8"/>
        <v>0</v>
      </c>
      <c r="BH17" s="1067">
        <f t="shared" si="9"/>
        <v>23.002788971249998</v>
      </c>
      <c r="BI17" s="1068">
        <f t="shared" si="10"/>
        <v>57.506972428124996</v>
      </c>
      <c r="BJ17" s="1068">
        <f t="shared" si="11"/>
        <v>92.011155884999994</v>
      </c>
      <c r="BK17" s="1068">
        <f t="shared" si="12"/>
        <v>12.779327206250001</v>
      </c>
      <c r="BL17" s="1068">
        <f t="shared" si="13"/>
        <v>31.948318015624999</v>
      </c>
      <c r="BM17" s="1068">
        <f t="shared" si="14"/>
        <v>51.117308825000002</v>
      </c>
      <c r="BN17" s="1068">
        <f t="shared" si="15"/>
        <v>0</v>
      </c>
      <c r="BO17" s="1068">
        <f t="shared" si="16"/>
        <v>0</v>
      </c>
      <c r="BP17" s="1069">
        <f t="shared" si="17"/>
        <v>0</v>
      </c>
      <c r="BR17" s="1067">
        <f t="shared" si="57"/>
        <v>18.820463703750001</v>
      </c>
      <c r="BS17" s="1067">
        <f t="shared" si="58"/>
        <v>18.820463703750001</v>
      </c>
      <c r="BT17" s="1068">
        <f t="shared" si="59"/>
        <v>47.051159259374998</v>
      </c>
      <c r="BU17" s="1068">
        <f t="shared" si="60"/>
        <v>47.051159259374998</v>
      </c>
      <c r="BV17" s="1068">
        <f t="shared" si="61"/>
        <v>75.281854815000003</v>
      </c>
      <c r="BW17" s="1068">
        <f t="shared" si="62"/>
        <v>75.281854815000003</v>
      </c>
      <c r="BX17" s="1068">
        <f t="shared" si="63"/>
        <v>10.45581316875</v>
      </c>
      <c r="BY17" s="1068">
        <f t="shared" si="64"/>
        <v>10.45581316875</v>
      </c>
      <c r="BZ17" s="1068">
        <f t="shared" si="65"/>
        <v>26.139532921874999</v>
      </c>
      <c r="CA17" s="1068">
        <f t="shared" si="66"/>
        <v>26.139532921874999</v>
      </c>
      <c r="CB17" s="1068">
        <f t="shared" si="67"/>
        <v>41.823252674999999</v>
      </c>
      <c r="CC17" s="1068">
        <f t="shared" si="68"/>
        <v>41.823252674999999</v>
      </c>
      <c r="CD17" s="1068">
        <f t="shared" si="18"/>
        <v>0</v>
      </c>
      <c r="CE17" s="1068">
        <f t="shared" si="19"/>
        <v>0</v>
      </c>
      <c r="CF17" s="1069">
        <f t="shared" si="20"/>
        <v>0</v>
      </c>
      <c r="CG17" s="599"/>
      <c r="CH17" s="1067">
        <f t="shared" si="69"/>
        <v>2.2012238250000005</v>
      </c>
      <c r="CI17" s="1067">
        <f t="shared" si="70"/>
        <v>2.2012238250000005</v>
      </c>
      <c r="CJ17" s="1068">
        <f t="shared" si="71"/>
        <v>5.5030595625000007</v>
      </c>
      <c r="CK17" s="1068">
        <f t="shared" si="72"/>
        <v>5.5030595625000007</v>
      </c>
      <c r="CL17" s="1068">
        <f t="shared" si="73"/>
        <v>8.8048953000000019</v>
      </c>
      <c r="CM17" s="1068">
        <f t="shared" si="74"/>
        <v>8.8048953000000019</v>
      </c>
      <c r="CN17" s="1068">
        <f t="shared" si="75"/>
        <v>1.2229021250000001</v>
      </c>
      <c r="CO17" s="1068">
        <f t="shared" si="76"/>
        <v>1.2229021250000001</v>
      </c>
      <c r="CP17" s="1068">
        <f t="shared" si="77"/>
        <v>3.0572553125000002</v>
      </c>
      <c r="CQ17" s="1069">
        <f t="shared" si="78"/>
        <v>3.0572553125000002</v>
      </c>
      <c r="CR17" s="1069">
        <f t="shared" si="79"/>
        <v>4.8916085000000002</v>
      </c>
      <c r="CS17" s="1069">
        <f t="shared" si="80"/>
        <v>4.8916085000000002</v>
      </c>
      <c r="CV17" s="345">
        <v>1967</v>
      </c>
      <c r="CW17" s="1097">
        <f>SUM('POSF Inventory'!HF22,'POSF Inventory'!HH22,'POSF Inventory'!HJ22)*$CY$1</f>
        <v>3.1099823624999994</v>
      </c>
      <c r="CX17" s="1098">
        <f>SUM('POSF Inventory'!HG22,'POSF Inventory'!HI22,'POSF Inventory'!HK22)*$CY$2</f>
        <v>3.1173432674999995</v>
      </c>
      <c r="CY17" s="1097">
        <f>SUM('POSF Inventory'!HL22,'POSF Inventory'!HN22,'POSF Inventory'!HP22)*$CY$1</f>
        <v>4.3774281451875003</v>
      </c>
      <c r="CZ17" s="1098">
        <f>SUM('POSF Inventory'!HM22,'POSF Inventory'!HO22,'POSF Inventory'!HQ22)*$CY$2</f>
        <v>13.235068163625002</v>
      </c>
      <c r="DA17" s="1097">
        <f>SUM('POSF Inventory'!HR22,'POSF Inventory'!HT22,'POSF Inventory'!HV22)*$CY$3</f>
        <v>1.1878992130409125</v>
      </c>
      <c r="DB17" s="1098">
        <f>SUM('POSF Inventory'!HS22,'POSF Inventory'!HU22,'POSF Inventory'!HW22)*$CY$4</f>
        <v>24.553274208511375</v>
      </c>
      <c r="DC17" s="1046">
        <f t="shared" si="81"/>
        <v>8.6753097207284124</v>
      </c>
      <c r="DD17" s="1050">
        <f t="shared" si="82"/>
        <v>40.905685639636374</v>
      </c>
      <c r="DI17" s="345">
        <v>144</v>
      </c>
      <c r="DJ17" s="1041">
        <v>127.79327206249999</v>
      </c>
    </row>
    <row r="18" spans="2:114" x14ac:dyDescent="0.2">
      <c r="B18" s="345">
        <v>1968</v>
      </c>
      <c r="C18" s="774">
        <f>SUM('POSF Inventory'!FF23,'POSF Inventory'!FH23)</f>
        <v>140.33147988750002</v>
      </c>
      <c r="D18" s="774">
        <f>SUM('POSF Inventory'!FB23,'POSF Inventory'!FD23)</f>
        <v>114.8166653625</v>
      </c>
      <c r="E18" s="774">
        <f>SUM('POSF Inventory'!FC23,'POSF Inventory'!FE23)</f>
        <v>114.8166653625</v>
      </c>
      <c r="F18" s="774">
        <f>SUM('POSF Inventory'!FB23,'POSF Inventory'!FD23,'POSF Inventory'!J23)</f>
        <v>114.8166653625</v>
      </c>
      <c r="G18" s="774">
        <f>SUM('POSF Inventory'!FC23,'POSF Inventory'!FE23,'POSF Inventory'!K23)</f>
        <v>114.8166653625</v>
      </c>
      <c r="H18" s="1106">
        <f>SUM('POSF Inventory'!DL23,'POSF Inventory'!DN23)</f>
        <v>13.428849750000001</v>
      </c>
      <c r="I18" s="1041">
        <f>SUM('POSF Inventory'!DM23,'POSF Inventory'!DO23)</f>
        <v>13.428849750000001</v>
      </c>
      <c r="J18" s="592"/>
      <c r="K18" s="1046">
        <f t="shared" si="0"/>
        <v>14.033147988750002</v>
      </c>
      <c r="L18" s="1047">
        <f t="shared" si="1"/>
        <v>126.29833189875002</v>
      </c>
      <c r="M18" s="1046">
        <f t="shared" si="2"/>
        <v>70.165739943750012</v>
      </c>
      <c r="N18" s="1047">
        <f t="shared" si="3"/>
        <v>70.165739943750012</v>
      </c>
      <c r="O18" s="1046">
        <f t="shared" si="4"/>
        <v>140.33147988750002</v>
      </c>
      <c r="P18" s="889">
        <f t="shared" si="5"/>
        <v>0</v>
      </c>
      <c r="Q18" s="1048"/>
      <c r="R18" s="889">
        <f t="shared" si="21"/>
        <v>11.481666536250001</v>
      </c>
      <c r="S18" s="889">
        <f t="shared" si="22"/>
        <v>11.481666536250001</v>
      </c>
      <c r="T18" s="1047">
        <f t="shared" si="23"/>
        <v>103.33499882625</v>
      </c>
      <c r="U18" s="1047">
        <f t="shared" si="24"/>
        <v>103.33499882625</v>
      </c>
      <c r="V18" s="1046">
        <f t="shared" si="25"/>
        <v>57.408332681250002</v>
      </c>
      <c r="W18" s="1046">
        <f t="shared" si="26"/>
        <v>57.408332681250002</v>
      </c>
      <c r="X18" s="1047">
        <f t="shared" si="27"/>
        <v>57.408332681250002</v>
      </c>
      <c r="Y18" s="1047">
        <f t="shared" si="28"/>
        <v>57.408332681250002</v>
      </c>
      <c r="Z18" s="1049">
        <f t="shared" si="29"/>
        <v>114.8166653625</v>
      </c>
      <c r="AA18" s="1049">
        <f t="shared" si="30"/>
        <v>114.8166653625</v>
      </c>
      <c r="AB18" s="1050">
        <f t="shared" si="31"/>
        <v>0</v>
      </c>
      <c r="AC18" s="1050">
        <f t="shared" si="32"/>
        <v>0</v>
      </c>
      <c r="AD18" s="898"/>
      <c r="AE18" s="1046">
        <f t="shared" si="33"/>
        <v>25.514814525000006</v>
      </c>
      <c r="AF18" s="1046">
        <f t="shared" si="34"/>
        <v>25.514814525000006</v>
      </c>
      <c r="AG18" s="1046">
        <f t="shared" si="35"/>
        <v>229.63333072500001</v>
      </c>
      <c r="AH18" s="889">
        <f t="shared" si="36"/>
        <v>229.63333072500001</v>
      </c>
      <c r="AI18" s="889">
        <f t="shared" si="37"/>
        <v>127.57407262500001</v>
      </c>
      <c r="AJ18" s="889">
        <f t="shared" si="38"/>
        <v>127.57407262500001</v>
      </c>
      <c r="AK18" s="889">
        <f t="shared" si="39"/>
        <v>127.57407262500001</v>
      </c>
      <c r="AL18" s="889">
        <f t="shared" si="40"/>
        <v>127.57407262500001</v>
      </c>
      <c r="AM18" s="889">
        <f t="shared" si="41"/>
        <v>255.14814525000003</v>
      </c>
      <c r="AN18" s="1050">
        <f t="shared" si="42"/>
        <v>255.14814525000003</v>
      </c>
      <c r="AO18" s="1050">
        <f t="shared" si="43"/>
        <v>0</v>
      </c>
      <c r="AP18" s="1050">
        <f t="shared" si="44"/>
        <v>0</v>
      </c>
      <c r="AR18" s="1067">
        <f t="shared" si="45"/>
        <v>45.926666145000006</v>
      </c>
      <c r="AS18" s="1067">
        <f t="shared" si="46"/>
        <v>45.926666145000006</v>
      </c>
      <c r="AT18" s="1068">
        <f t="shared" si="47"/>
        <v>114.8166653625</v>
      </c>
      <c r="AU18" s="1068">
        <f t="shared" si="48"/>
        <v>114.8166653625</v>
      </c>
      <c r="AV18" s="1068">
        <f t="shared" si="49"/>
        <v>183.70666458000002</v>
      </c>
      <c r="AW18" s="1068">
        <f t="shared" si="50"/>
        <v>183.70666458000002</v>
      </c>
      <c r="AX18" s="1068">
        <f t="shared" si="51"/>
        <v>25.514814525000006</v>
      </c>
      <c r="AY18" s="1068">
        <f t="shared" si="52"/>
        <v>25.514814525000006</v>
      </c>
      <c r="AZ18" s="1068">
        <f t="shared" si="53"/>
        <v>63.787036312500007</v>
      </c>
      <c r="BA18" s="1068">
        <f t="shared" si="54"/>
        <v>63.787036312500007</v>
      </c>
      <c r="BB18" s="1068">
        <f t="shared" si="55"/>
        <v>102.05925810000002</v>
      </c>
      <c r="BC18" s="1068">
        <f t="shared" si="56"/>
        <v>102.05925810000002</v>
      </c>
      <c r="BD18" s="1068">
        <f t="shared" si="6"/>
        <v>0</v>
      </c>
      <c r="BE18" s="1068">
        <f t="shared" si="7"/>
        <v>0</v>
      </c>
      <c r="BF18" s="1069">
        <f t="shared" si="8"/>
        <v>0</v>
      </c>
      <c r="BH18" s="1067">
        <f t="shared" si="9"/>
        <v>25.259666379750005</v>
      </c>
      <c r="BI18" s="1068">
        <f t="shared" si="10"/>
        <v>63.149165949375011</v>
      </c>
      <c r="BJ18" s="1068">
        <f t="shared" si="11"/>
        <v>101.03866551900002</v>
      </c>
      <c r="BK18" s="1068">
        <f t="shared" si="12"/>
        <v>14.033147988750002</v>
      </c>
      <c r="BL18" s="1068">
        <f t="shared" si="13"/>
        <v>35.082869971875006</v>
      </c>
      <c r="BM18" s="1068">
        <f t="shared" si="14"/>
        <v>56.132591955000009</v>
      </c>
      <c r="BN18" s="1068">
        <f t="shared" si="15"/>
        <v>0</v>
      </c>
      <c r="BO18" s="1068">
        <f t="shared" si="16"/>
        <v>0</v>
      </c>
      <c r="BP18" s="1069">
        <f t="shared" si="17"/>
        <v>0</v>
      </c>
      <c r="BR18" s="1067">
        <f t="shared" si="57"/>
        <v>20.666999765250001</v>
      </c>
      <c r="BS18" s="1067">
        <f t="shared" si="58"/>
        <v>20.666999765250001</v>
      </c>
      <c r="BT18" s="1068">
        <f t="shared" si="59"/>
        <v>51.667499413125</v>
      </c>
      <c r="BU18" s="1068">
        <f t="shared" si="60"/>
        <v>51.667499413125</v>
      </c>
      <c r="BV18" s="1068">
        <f t="shared" si="61"/>
        <v>82.667999061000003</v>
      </c>
      <c r="BW18" s="1068">
        <f t="shared" si="62"/>
        <v>82.667999061000003</v>
      </c>
      <c r="BX18" s="1068">
        <f t="shared" si="63"/>
        <v>11.481666536250001</v>
      </c>
      <c r="BY18" s="1068">
        <f t="shared" si="64"/>
        <v>11.481666536250001</v>
      </c>
      <c r="BZ18" s="1068">
        <f t="shared" si="65"/>
        <v>28.704166340625001</v>
      </c>
      <c r="CA18" s="1068">
        <f t="shared" si="66"/>
        <v>28.704166340625001</v>
      </c>
      <c r="CB18" s="1068">
        <f t="shared" si="67"/>
        <v>45.926666145000006</v>
      </c>
      <c r="CC18" s="1068">
        <f t="shared" si="68"/>
        <v>45.926666145000006</v>
      </c>
      <c r="CD18" s="1068">
        <f t="shared" si="18"/>
        <v>0</v>
      </c>
      <c r="CE18" s="1068">
        <f t="shared" si="19"/>
        <v>0</v>
      </c>
      <c r="CF18" s="1069">
        <f t="shared" si="20"/>
        <v>0</v>
      </c>
      <c r="CG18" s="599"/>
      <c r="CH18" s="1067">
        <f t="shared" si="69"/>
        <v>2.4171929550000004</v>
      </c>
      <c r="CI18" s="1067">
        <f t="shared" si="70"/>
        <v>2.4171929550000004</v>
      </c>
      <c r="CJ18" s="1068">
        <f t="shared" si="71"/>
        <v>6.0429823875000004</v>
      </c>
      <c r="CK18" s="1068">
        <f t="shared" si="72"/>
        <v>6.0429823875000004</v>
      </c>
      <c r="CL18" s="1068">
        <f t="shared" si="73"/>
        <v>9.6687718200000017</v>
      </c>
      <c r="CM18" s="1068">
        <f t="shared" si="74"/>
        <v>9.6687718200000017</v>
      </c>
      <c r="CN18" s="1068">
        <f t="shared" si="75"/>
        <v>1.3428849750000003</v>
      </c>
      <c r="CO18" s="1068">
        <f t="shared" si="76"/>
        <v>1.3428849750000003</v>
      </c>
      <c r="CP18" s="1068">
        <f t="shared" si="77"/>
        <v>3.3572124375000003</v>
      </c>
      <c r="CQ18" s="1069">
        <f t="shared" si="78"/>
        <v>3.3572124375000003</v>
      </c>
      <c r="CR18" s="1069">
        <f t="shared" si="79"/>
        <v>5.371539900000001</v>
      </c>
      <c r="CS18" s="1069">
        <f t="shared" si="80"/>
        <v>5.371539900000001</v>
      </c>
      <c r="CV18" s="345">
        <v>1968</v>
      </c>
      <c r="CW18" s="1097">
        <f>SUM('POSF Inventory'!HF23,'POSF Inventory'!HH23,'POSF Inventory'!HJ23)*$CY$1</f>
        <v>3.4151127075000001</v>
      </c>
      <c r="CX18" s="1098">
        <f>SUM('POSF Inventory'!HG23,'POSF Inventory'!HI23,'POSF Inventory'!HK23)*$CY$2</f>
        <v>3.4231958145000001</v>
      </c>
      <c r="CY18" s="1097">
        <f>SUM('POSF Inventory'!HL23,'POSF Inventory'!HN23,'POSF Inventory'!HP23)*$CY$1</f>
        <v>4.8140263047500005</v>
      </c>
      <c r="CZ18" s="1098">
        <f>SUM('POSF Inventory'!HM23,'POSF Inventory'!HO23,'POSF Inventory'!HQ23)*$CY$2</f>
        <v>14.6049179815</v>
      </c>
      <c r="DA18" s="1097">
        <f>SUM('POSF Inventory'!HR23,'POSF Inventory'!HT23,'POSF Inventory'!HV23)*$CY$3</f>
        <v>1.30919409781345</v>
      </c>
      <c r="DB18" s="1098">
        <f>SUM('POSF Inventory'!HS23,'POSF Inventory'!HU23,'POSF Inventory'!HW23)*$CY$4</f>
        <v>27.389062849000254</v>
      </c>
      <c r="DC18" s="1046">
        <f t="shared" si="81"/>
        <v>9.5383331100634496</v>
      </c>
      <c r="DD18" s="1050">
        <f t="shared" si="82"/>
        <v>45.417176645000254</v>
      </c>
      <c r="DI18" s="345">
        <v>159</v>
      </c>
      <c r="DJ18" s="1041">
        <v>140.33147988750002</v>
      </c>
    </row>
    <row r="19" spans="2:114" x14ac:dyDescent="0.2">
      <c r="B19" s="345">
        <v>1969</v>
      </c>
      <c r="C19" s="774">
        <f>SUM('POSF Inventory'!FF24,'POSF Inventory'!FH24)</f>
        <v>153.35192647500003</v>
      </c>
      <c r="D19" s="774">
        <f>SUM('POSF Inventory'!FB24,'POSF Inventory'!FD24)</f>
        <v>125.469758025</v>
      </c>
      <c r="E19" s="774">
        <f>SUM('POSF Inventory'!FC24,'POSF Inventory'!FE24)</f>
        <v>125.469758025</v>
      </c>
      <c r="F19" s="774">
        <f>SUM('POSF Inventory'!FB24,'POSF Inventory'!FD24,'POSF Inventory'!J24)</f>
        <v>125.469758025</v>
      </c>
      <c r="G19" s="774">
        <f>SUM('POSF Inventory'!FC24,'POSF Inventory'!FE24,'POSF Inventory'!K24)</f>
        <v>125.469758025</v>
      </c>
      <c r="H19" s="1106">
        <f>SUM('POSF Inventory'!DL24,'POSF Inventory'!DN24)</f>
        <v>14.674825500000001</v>
      </c>
      <c r="I19" s="1041">
        <f>SUM('POSF Inventory'!DM24,'POSF Inventory'!DO24)</f>
        <v>14.674825500000001</v>
      </c>
      <c r="J19" s="592"/>
      <c r="K19" s="1046">
        <f t="shared" si="0"/>
        <v>15.335192647500003</v>
      </c>
      <c r="L19" s="1047">
        <f t="shared" si="1"/>
        <v>138.01673382750002</v>
      </c>
      <c r="M19" s="1046">
        <f t="shared" si="2"/>
        <v>76.675963237500014</v>
      </c>
      <c r="N19" s="1047">
        <f t="shared" si="3"/>
        <v>76.675963237500014</v>
      </c>
      <c r="O19" s="1046">
        <f t="shared" si="4"/>
        <v>153.35192647500003</v>
      </c>
      <c r="P19" s="889">
        <f t="shared" si="5"/>
        <v>0</v>
      </c>
      <c r="Q19" s="1048"/>
      <c r="R19" s="889">
        <f t="shared" si="21"/>
        <v>12.5469758025</v>
      </c>
      <c r="S19" s="889">
        <f t="shared" si="22"/>
        <v>12.5469758025</v>
      </c>
      <c r="T19" s="1047">
        <f t="shared" si="23"/>
        <v>112.9227822225</v>
      </c>
      <c r="U19" s="1047">
        <f t="shared" si="24"/>
        <v>112.9227822225</v>
      </c>
      <c r="V19" s="1046">
        <f t="shared" si="25"/>
        <v>62.734879012500002</v>
      </c>
      <c r="W19" s="1046">
        <f t="shared" si="26"/>
        <v>62.734879012500002</v>
      </c>
      <c r="X19" s="1047">
        <f t="shared" si="27"/>
        <v>62.734879012500002</v>
      </c>
      <c r="Y19" s="1047">
        <f t="shared" si="28"/>
        <v>62.734879012500002</v>
      </c>
      <c r="Z19" s="1049">
        <f t="shared" si="29"/>
        <v>125.469758025</v>
      </c>
      <c r="AA19" s="1049">
        <f t="shared" si="30"/>
        <v>125.469758025</v>
      </c>
      <c r="AB19" s="1050">
        <f t="shared" si="31"/>
        <v>0</v>
      </c>
      <c r="AC19" s="1050">
        <f t="shared" si="32"/>
        <v>0</v>
      </c>
      <c r="AD19" s="898"/>
      <c r="AE19" s="1046">
        <f t="shared" si="33"/>
        <v>27.882168450000002</v>
      </c>
      <c r="AF19" s="1046">
        <f t="shared" si="34"/>
        <v>27.882168450000002</v>
      </c>
      <c r="AG19" s="1046">
        <f t="shared" si="35"/>
        <v>250.93951605000001</v>
      </c>
      <c r="AH19" s="889">
        <f t="shared" si="36"/>
        <v>250.93951605000001</v>
      </c>
      <c r="AI19" s="889">
        <f t="shared" si="37"/>
        <v>139.41084225000003</v>
      </c>
      <c r="AJ19" s="889">
        <f t="shared" si="38"/>
        <v>139.41084225000003</v>
      </c>
      <c r="AK19" s="889">
        <f t="shared" si="39"/>
        <v>139.41084225000003</v>
      </c>
      <c r="AL19" s="889">
        <f t="shared" si="40"/>
        <v>139.41084225000003</v>
      </c>
      <c r="AM19" s="889">
        <f t="shared" si="41"/>
        <v>278.82168450000006</v>
      </c>
      <c r="AN19" s="1050">
        <f t="shared" si="42"/>
        <v>278.82168450000006</v>
      </c>
      <c r="AO19" s="1050">
        <f t="shared" si="43"/>
        <v>0</v>
      </c>
      <c r="AP19" s="1050">
        <f t="shared" si="44"/>
        <v>0</v>
      </c>
      <c r="AR19" s="1067">
        <f t="shared" si="45"/>
        <v>50.187903210000002</v>
      </c>
      <c r="AS19" s="1067">
        <f t="shared" si="46"/>
        <v>50.187903210000002</v>
      </c>
      <c r="AT19" s="1068">
        <f t="shared" si="47"/>
        <v>125.469758025</v>
      </c>
      <c r="AU19" s="1068">
        <f t="shared" si="48"/>
        <v>125.469758025</v>
      </c>
      <c r="AV19" s="1068">
        <f t="shared" si="49"/>
        <v>200.75161284000001</v>
      </c>
      <c r="AW19" s="1068">
        <f t="shared" si="50"/>
        <v>200.75161284000001</v>
      </c>
      <c r="AX19" s="1068">
        <f t="shared" si="51"/>
        <v>27.882168450000009</v>
      </c>
      <c r="AY19" s="1068">
        <f t="shared" si="52"/>
        <v>27.882168450000009</v>
      </c>
      <c r="AZ19" s="1068">
        <f t="shared" si="53"/>
        <v>69.705421125000015</v>
      </c>
      <c r="BA19" s="1068">
        <f t="shared" si="54"/>
        <v>69.705421125000015</v>
      </c>
      <c r="BB19" s="1068">
        <f t="shared" si="55"/>
        <v>111.52867380000004</v>
      </c>
      <c r="BC19" s="1068">
        <f t="shared" si="56"/>
        <v>111.52867380000004</v>
      </c>
      <c r="BD19" s="1068">
        <f t="shared" si="6"/>
        <v>0</v>
      </c>
      <c r="BE19" s="1068">
        <f t="shared" si="7"/>
        <v>0</v>
      </c>
      <c r="BF19" s="1069">
        <f t="shared" si="8"/>
        <v>0</v>
      </c>
      <c r="BH19" s="1067">
        <f t="shared" si="9"/>
        <v>27.603346765500007</v>
      </c>
      <c r="BI19" s="1068">
        <f t="shared" si="10"/>
        <v>69.00836691375001</v>
      </c>
      <c r="BJ19" s="1068">
        <f t="shared" si="11"/>
        <v>110.41338706200003</v>
      </c>
      <c r="BK19" s="1068">
        <f t="shared" si="12"/>
        <v>15.335192647500003</v>
      </c>
      <c r="BL19" s="1068">
        <f t="shared" si="13"/>
        <v>38.337981618750007</v>
      </c>
      <c r="BM19" s="1068">
        <f t="shared" si="14"/>
        <v>61.340770590000012</v>
      </c>
      <c r="BN19" s="1068">
        <f t="shared" si="15"/>
        <v>0</v>
      </c>
      <c r="BO19" s="1068">
        <f t="shared" si="16"/>
        <v>0</v>
      </c>
      <c r="BP19" s="1069">
        <f t="shared" si="17"/>
        <v>0</v>
      </c>
      <c r="BR19" s="1067">
        <f t="shared" si="57"/>
        <v>22.584556444500002</v>
      </c>
      <c r="BS19" s="1067">
        <f t="shared" si="58"/>
        <v>22.584556444500002</v>
      </c>
      <c r="BT19" s="1068">
        <f t="shared" si="59"/>
        <v>56.461391111250002</v>
      </c>
      <c r="BU19" s="1068">
        <f t="shared" si="60"/>
        <v>56.461391111250002</v>
      </c>
      <c r="BV19" s="1068">
        <f t="shared" si="61"/>
        <v>90.338225778000009</v>
      </c>
      <c r="BW19" s="1068">
        <f t="shared" si="62"/>
        <v>90.338225778000009</v>
      </c>
      <c r="BX19" s="1068">
        <f t="shared" si="63"/>
        <v>12.5469758025</v>
      </c>
      <c r="BY19" s="1068">
        <f t="shared" si="64"/>
        <v>12.5469758025</v>
      </c>
      <c r="BZ19" s="1068">
        <f t="shared" si="65"/>
        <v>31.367439506250001</v>
      </c>
      <c r="CA19" s="1068">
        <f t="shared" si="66"/>
        <v>31.367439506250001</v>
      </c>
      <c r="CB19" s="1068">
        <f t="shared" si="67"/>
        <v>50.187903210000002</v>
      </c>
      <c r="CC19" s="1068">
        <f t="shared" si="68"/>
        <v>50.187903210000002</v>
      </c>
      <c r="CD19" s="1068">
        <f t="shared" si="18"/>
        <v>0</v>
      </c>
      <c r="CE19" s="1068">
        <f t="shared" si="19"/>
        <v>0</v>
      </c>
      <c r="CF19" s="1069">
        <f t="shared" si="20"/>
        <v>0</v>
      </c>
      <c r="CG19" s="599"/>
      <c r="CH19" s="1067">
        <f t="shared" si="69"/>
        <v>2.6414685900000006</v>
      </c>
      <c r="CI19" s="1067">
        <f t="shared" si="70"/>
        <v>2.6414685900000006</v>
      </c>
      <c r="CJ19" s="1068">
        <f t="shared" si="71"/>
        <v>6.6036714750000005</v>
      </c>
      <c r="CK19" s="1068">
        <f t="shared" si="72"/>
        <v>6.6036714750000005</v>
      </c>
      <c r="CL19" s="1068">
        <f t="shared" si="73"/>
        <v>10.565874360000002</v>
      </c>
      <c r="CM19" s="1068">
        <f t="shared" si="74"/>
        <v>10.565874360000002</v>
      </c>
      <c r="CN19" s="1068">
        <f t="shared" si="75"/>
        <v>1.4674825500000002</v>
      </c>
      <c r="CO19" s="1068">
        <f t="shared" si="76"/>
        <v>1.4674825500000002</v>
      </c>
      <c r="CP19" s="1068">
        <f t="shared" si="77"/>
        <v>3.6687063750000002</v>
      </c>
      <c r="CQ19" s="1069">
        <f t="shared" si="78"/>
        <v>3.6687063750000002</v>
      </c>
      <c r="CR19" s="1069">
        <f t="shared" si="79"/>
        <v>5.8699302000000007</v>
      </c>
      <c r="CS19" s="1069">
        <f t="shared" si="80"/>
        <v>5.8699302000000007</v>
      </c>
      <c r="CV19" s="345">
        <v>1969</v>
      </c>
      <c r="CW19" s="1097">
        <f>SUM('POSF Inventory'!HF24,'POSF Inventory'!HH24,'POSF Inventory'!HJ24)*$CY$1</f>
        <v>3.7319788349999996</v>
      </c>
      <c r="CX19" s="1098">
        <f>SUM('POSF Inventory'!HG24,'POSF Inventory'!HI24,'POSF Inventory'!HK24)*$CY$2</f>
        <v>3.7408119209999997</v>
      </c>
      <c r="CY19" s="1097">
        <f>SUM('POSF Inventory'!HL24,'POSF Inventory'!HN24,'POSF Inventory'!HP24)*$CY$1</f>
        <v>5.2634422693125007</v>
      </c>
      <c r="CZ19" s="1098">
        <f>SUM('POSF Inventory'!HM24,'POSF Inventory'!HO24,'POSF Inventory'!HQ24)*$CY$2</f>
        <v>15.987615942374999</v>
      </c>
      <c r="DA19" s="1097">
        <f>SUM('POSF Inventory'!HR24,'POSF Inventory'!HT24,'POSF Inventory'!HV24)*$CY$3</f>
        <v>1.4327269025859879</v>
      </c>
      <c r="DB19" s="1098">
        <f>SUM('POSF Inventory'!HS24,'POSF Inventory'!HU24,'POSF Inventory'!HW24)*$CY$4</f>
        <v>30.234047607089124</v>
      </c>
      <c r="DC19" s="1046">
        <f t="shared" si="81"/>
        <v>10.428148006898489</v>
      </c>
      <c r="DD19" s="1050">
        <f t="shared" si="82"/>
        <v>49.962475470464128</v>
      </c>
      <c r="DI19" s="345">
        <v>173</v>
      </c>
      <c r="DJ19" s="1041">
        <v>153.35192647500003</v>
      </c>
    </row>
    <row r="20" spans="2:114" x14ac:dyDescent="0.2">
      <c r="B20" s="345">
        <v>1970</v>
      </c>
      <c r="C20" s="774">
        <f>SUM('POSF Inventory'!FF25,'POSF Inventory'!FH25)</f>
        <v>165.89013429999997</v>
      </c>
      <c r="D20" s="774">
        <f>SUM('POSF Inventory'!FB25,'POSF Inventory'!FD25)</f>
        <v>135.72829169999997</v>
      </c>
      <c r="E20" s="774">
        <f>SUM('POSF Inventory'!FC25,'POSF Inventory'!FE25)</f>
        <v>135.72829169999997</v>
      </c>
      <c r="F20" s="774">
        <f>SUM('POSF Inventory'!FB25,'POSF Inventory'!FD25,'POSF Inventory'!J25)</f>
        <v>135.72829169999997</v>
      </c>
      <c r="G20" s="774">
        <f>SUM('POSF Inventory'!FC25,'POSF Inventory'!FE25,'POSF Inventory'!K25)</f>
        <v>135.72829169999997</v>
      </c>
      <c r="H20" s="1106">
        <f>SUM('POSF Inventory'!DL25,'POSF Inventory'!DN25)</f>
        <v>15.874654</v>
      </c>
      <c r="I20" s="1041">
        <f>SUM('POSF Inventory'!DM25,'POSF Inventory'!DO25)</f>
        <v>15.874654</v>
      </c>
      <c r="J20" s="592"/>
      <c r="K20" s="1046">
        <f t="shared" si="0"/>
        <v>16.589013429999998</v>
      </c>
      <c r="L20" s="1047">
        <f t="shared" si="1"/>
        <v>149.30112086999998</v>
      </c>
      <c r="M20" s="1046">
        <f t="shared" si="2"/>
        <v>82.945067149999986</v>
      </c>
      <c r="N20" s="1047">
        <f t="shared" si="3"/>
        <v>82.945067149999986</v>
      </c>
      <c r="O20" s="1046">
        <f t="shared" si="4"/>
        <v>165.89013429999997</v>
      </c>
      <c r="P20" s="889">
        <f t="shared" si="5"/>
        <v>0</v>
      </c>
      <c r="Q20" s="1048"/>
      <c r="R20" s="889">
        <f t="shared" si="21"/>
        <v>13.572829169999999</v>
      </c>
      <c r="S20" s="889">
        <f t="shared" si="22"/>
        <v>13.572829169999999</v>
      </c>
      <c r="T20" s="1047">
        <f t="shared" si="23"/>
        <v>122.15546252999998</v>
      </c>
      <c r="U20" s="1047">
        <f t="shared" si="24"/>
        <v>122.15546252999998</v>
      </c>
      <c r="V20" s="1046">
        <f t="shared" si="25"/>
        <v>67.864145849999986</v>
      </c>
      <c r="W20" s="1046">
        <f t="shared" si="26"/>
        <v>67.864145849999986</v>
      </c>
      <c r="X20" s="1047">
        <f t="shared" si="27"/>
        <v>67.864145849999986</v>
      </c>
      <c r="Y20" s="1047">
        <f t="shared" si="28"/>
        <v>67.864145849999986</v>
      </c>
      <c r="Z20" s="1049">
        <f t="shared" si="29"/>
        <v>135.72829169999997</v>
      </c>
      <c r="AA20" s="1049">
        <f t="shared" si="30"/>
        <v>135.72829169999997</v>
      </c>
      <c r="AB20" s="1050">
        <f t="shared" si="31"/>
        <v>0</v>
      </c>
      <c r="AC20" s="1050">
        <f t="shared" si="32"/>
        <v>0</v>
      </c>
      <c r="AD20" s="898"/>
      <c r="AE20" s="1046">
        <f t="shared" si="33"/>
        <v>30.161842599999996</v>
      </c>
      <c r="AF20" s="1046">
        <f t="shared" si="34"/>
        <v>30.161842599999996</v>
      </c>
      <c r="AG20" s="1046">
        <f t="shared" si="35"/>
        <v>271.45658339999994</v>
      </c>
      <c r="AH20" s="889">
        <f t="shared" si="36"/>
        <v>271.45658339999994</v>
      </c>
      <c r="AI20" s="889">
        <f t="shared" si="37"/>
        <v>150.80921299999997</v>
      </c>
      <c r="AJ20" s="889">
        <f t="shared" si="38"/>
        <v>150.80921299999997</v>
      </c>
      <c r="AK20" s="889">
        <f t="shared" si="39"/>
        <v>150.80921299999997</v>
      </c>
      <c r="AL20" s="889">
        <f t="shared" si="40"/>
        <v>150.80921299999997</v>
      </c>
      <c r="AM20" s="889">
        <f t="shared" si="41"/>
        <v>301.61842599999994</v>
      </c>
      <c r="AN20" s="1050">
        <f t="shared" si="42"/>
        <v>301.61842599999994</v>
      </c>
      <c r="AO20" s="1050">
        <f t="shared" si="43"/>
        <v>0</v>
      </c>
      <c r="AP20" s="1050">
        <f t="shared" si="44"/>
        <v>0</v>
      </c>
      <c r="AR20" s="1067">
        <f t="shared" si="45"/>
        <v>54.291316679999994</v>
      </c>
      <c r="AS20" s="1067">
        <f t="shared" si="46"/>
        <v>54.291316679999994</v>
      </c>
      <c r="AT20" s="1068">
        <f t="shared" si="47"/>
        <v>135.72829169999997</v>
      </c>
      <c r="AU20" s="1068">
        <f t="shared" si="48"/>
        <v>135.72829169999997</v>
      </c>
      <c r="AV20" s="1068">
        <f t="shared" si="49"/>
        <v>217.16526671999998</v>
      </c>
      <c r="AW20" s="1068">
        <f t="shared" si="50"/>
        <v>217.16526671999998</v>
      </c>
      <c r="AX20" s="1068">
        <f t="shared" si="51"/>
        <v>30.161842599999996</v>
      </c>
      <c r="AY20" s="1068">
        <f t="shared" si="52"/>
        <v>30.161842599999996</v>
      </c>
      <c r="AZ20" s="1068">
        <f t="shared" si="53"/>
        <v>75.404606499999986</v>
      </c>
      <c r="BA20" s="1068">
        <f t="shared" si="54"/>
        <v>75.404606499999986</v>
      </c>
      <c r="BB20" s="1068">
        <f t="shared" si="55"/>
        <v>120.64737039999999</v>
      </c>
      <c r="BC20" s="1068">
        <f t="shared" si="56"/>
        <v>120.64737039999999</v>
      </c>
      <c r="BD20" s="1068">
        <f t="shared" si="6"/>
        <v>0</v>
      </c>
      <c r="BE20" s="1068">
        <f t="shared" si="7"/>
        <v>0</v>
      </c>
      <c r="BF20" s="1069">
        <f t="shared" si="8"/>
        <v>0</v>
      </c>
      <c r="BH20" s="1067">
        <f t="shared" si="9"/>
        <v>29.860224173999995</v>
      </c>
      <c r="BI20" s="1068">
        <f t="shared" si="10"/>
        <v>74.650560434999989</v>
      </c>
      <c r="BJ20" s="1068">
        <f t="shared" si="11"/>
        <v>119.44089669599998</v>
      </c>
      <c r="BK20" s="1068">
        <f t="shared" si="12"/>
        <v>16.589013429999998</v>
      </c>
      <c r="BL20" s="1068">
        <f t="shared" si="13"/>
        <v>41.472533574999993</v>
      </c>
      <c r="BM20" s="1068">
        <f t="shared" si="14"/>
        <v>66.356053719999991</v>
      </c>
      <c r="BN20" s="1068">
        <f t="shared" si="15"/>
        <v>0</v>
      </c>
      <c r="BO20" s="1068">
        <f t="shared" si="16"/>
        <v>0</v>
      </c>
      <c r="BP20" s="1069">
        <f t="shared" si="17"/>
        <v>0</v>
      </c>
      <c r="BR20" s="1067">
        <f t="shared" si="57"/>
        <v>24.431092505999999</v>
      </c>
      <c r="BS20" s="1067">
        <f t="shared" si="58"/>
        <v>24.431092505999999</v>
      </c>
      <c r="BT20" s="1068">
        <f t="shared" si="59"/>
        <v>61.07773126499999</v>
      </c>
      <c r="BU20" s="1068">
        <f t="shared" si="60"/>
        <v>61.07773126499999</v>
      </c>
      <c r="BV20" s="1068">
        <f t="shared" si="61"/>
        <v>97.724370023999995</v>
      </c>
      <c r="BW20" s="1068">
        <f t="shared" si="62"/>
        <v>97.724370023999995</v>
      </c>
      <c r="BX20" s="1068">
        <f t="shared" si="63"/>
        <v>13.572829169999999</v>
      </c>
      <c r="BY20" s="1068">
        <f t="shared" si="64"/>
        <v>13.572829169999999</v>
      </c>
      <c r="BZ20" s="1068">
        <f t="shared" si="65"/>
        <v>33.932072924999993</v>
      </c>
      <c r="CA20" s="1068">
        <f t="shared" si="66"/>
        <v>33.932072924999993</v>
      </c>
      <c r="CB20" s="1068">
        <f t="shared" si="67"/>
        <v>54.291316679999994</v>
      </c>
      <c r="CC20" s="1068">
        <f t="shared" si="68"/>
        <v>54.291316679999994</v>
      </c>
      <c r="CD20" s="1068">
        <f t="shared" si="18"/>
        <v>0</v>
      </c>
      <c r="CE20" s="1068">
        <f t="shared" si="19"/>
        <v>0</v>
      </c>
      <c r="CF20" s="1069">
        <f t="shared" si="20"/>
        <v>0</v>
      </c>
      <c r="CG20" s="599"/>
      <c r="CH20" s="1067">
        <f t="shared" si="69"/>
        <v>2.8574377200000001</v>
      </c>
      <c r="CI20" s="1067">
        <f t="shared" si="70"/>
        <v>2.8574377200000001</v>
      </c>
      <c r="CJ20" s="1068">
        <f t="shared" si="71"/>
        <v>7.1435943000000002</v>
      </c>
      <c r="CK20" s="1068">
        <f t="shared" si="72"/>
        <v>7.1435943000000002</v>
      </c>
      <c r="CL20" s="1068">
        <f t="shared" si="73"/>
        <v>11.42975088</v>
      </c>
      <c r="CM20" s="1068">
        <f t="shared" si="74"/>
        <v>11.42975088</v>
      </c>
      <c r="CN20" s="1068">
        <f t="shared" si="75"/>
        <v>1.5874654000000001</v>
      </c>
      <c r="CO20" s="1068">
        <f t="shared" si="76"/>
        <v>1.5874654000000001</v>
      </c>
      <c r="CP20" s="1068">
        <f t="shared" si="77"/>
        <v>3.9686634999999999</v>
      </c>
      <c r="CQ20" s="1069">
        <f t="shared" si="78"/>
        <v>3.9686634999999999</v>
      </c>
      <c r="CR20" s="1069">
        <f t="shared" si="79"/>
        <v>6.3498616000000005</v>
      </c>
      <c r="CS20" s="1069">
        <f t="shared" si="80"/>
        <v>6.3498616000000005</v>
      </c>
      <c r="CV20" s="345">
        <v>1970</v>
      </c>
      <c r="CW20" s="1097">
        <f>SUM('POSF Inventory'!HF25,'POSF Inventory'!HH25,'POSF Inventory'!HJ25)*$CY$1</f>
        <v>4.0371091799999999</v>
      </c>
      <c r="CX20" s="1098">
        <f>SUM('POSF Inventory'!HG25,'POSF Inventory'!HI25,'POSF Inventory'!HK25)*$CY$2</f>
        <v>4.0466644679999995</v>
      </c>
      <c r="CY20" s="1097">
        <f>SUM('POSF Inventory'!HL25,'POSF Inventory'!HN25,'POSF Inventory'!HP25)*$CY$1</f>
        <v>5.700040428875</v>
      </c>
      <c r="CZ20" s="1098">
        <f>SUM('POSF Inventory'!HM25,'POSF Inventory'!HO25,'POSF Inventory'!HQ25)*$CY$2</f>
        <v>17.357465760249998</v>
      </c>
      <c r="DA20" s="1097">
        <f>SUM('POSF Inventory'!HR25,'POSF Inventory'!HT25,'POSF Inventory'!HV25)*$CY$3</f>
        <v>1.5540217873585249</v>
      </c>
      <c r="DB20" s="1098">
        <f>SUM('POSF Inventory'!HS25,'POSF Inventory'!HU25,'POSF Inventory'!HW25)*$CY$4</f>
        <v>33.069836247578003</v>
      </c>
      <c r="DC20" s="1046">
        <f t="shared" si="81"/>
        <v>11.291171396233526</v>
      </c>
      <c r="DD20" s="1050">
        <f t="shared" si="82"/>
        <v>54.473966475828</v>
      </c>
      <c r="DI20" s="345">
        <v>187</v>
      </c>
      <c r="DJ20" s="1041">
        <v>165.89013429999997</v>
      </c>
    </row>
    <row r="21" spans="2:114" x14ac:dyDescent="0.2">
      <c r="B21" s="345">
        <v>1971</v>
      </c>
      <c r="C21" s="774">
        <f>SUM('POSF Inventory'!FF26,'POSF Inventory'!FH26)</f>
        <v>178.428342125</v>
      </c>
      <c r="D21" s="774">
        <f>SUM('POSF Inventory'!FB26,'POSF Inventory'!FD26)</f>
        <v>145.986825375</v>
      </c>
      <c r="E21" s="774">
        <f>SUM('POSF Inventory'!FC26,'POSF Inventory'!FE26)</f>
        <v>145.986825375</v>
      </c>
      <c r="F21" s="774">
        <f>SUM('POSF Inventory'!FB26,'POSF Inventory'!FD26,'POSF Inventory'!J26)</f>
        <v>145.986825375</v>
      </c>
      <c r="G21" s="774">
        <f>SUM('POSF Inventory'!FC26,'POSF Inventory'!FE26,'POSF Inventory'!K26)</f>
        <v>145.986825375</v>
      </c>
      <c r="H21" s="1106">
        <f>SUM('POSF Inventory'!DL26,'POSF Inventory'!DN26)</f>
        <v>17.074482499999998</v>
      </c>
      <c r="I21" s="1041">
        <f>SUM('POSF Inventory'!DM26,'POSF Inventory'!DO26)</f>
        <v>17.074482499999998</v>
      </c>
      <c r="J21" s="592"/>
      <c r="K21" s="1046">
        <f t="shared" si="0"/>
        <v>17.842834212500001</v>
      </c>
      <c r="L21" s="1047">
        <f t="shared" si="1"/>
        <v>160.58550791249999</v>
      </c>
      <c r="M21" s="1046">
        <f t="shared" si="2"/>
        <v>89.2141710625</v>
      </c>
      <c r="N21" s="1047">
        <f t="shared" si="3"/>
        <v>89.2141710625</v>
      </c>
      <c r="O21" s="1046">
        <f t="shared" si="4"/>
        <v>178.428342125</v>
      </c>
      <c r="P21" s="889">
        <f t="shared" si="5"/>
        <v>0</v>
      </c>
      <c r="Q21" s="1048"/>
      <c r="R21" s="889">
        <f t="shared" si="21"/>
        <v>14.5986825375</v>
      </c>
      <c r="S21" s="889">
        <f t="shared" si="22"/>
        <v>14.5986825375</v>
      </c>
      <c r="T21" s="1047">
        <f t="shared" si="23"/>
        <v>131.3881428375</v>
      </c>
      <c r="U21" s="1047">
        <f t="shared" si="24"/>
        <v>131.3881428375</v>
      </c>
      <c r="V21" s="1046">
        <f t="shared" si="25"/>
        <v>72.993412687499998</v>
      </c>
      <c r="W21" s="1046">
        <f t="shared" si="26"/>
        <v>72.993412687499998</v>
      </c>
      <c r="X21" s="1047">
        <f t="shared" si="27"/>
        <v>72.993412687499998</v>
      </c>
      <c r="Y21" s="1047">
        <f t="shared" si="28"/>
        <v>72.993412687499998</v>
      </c>
      <c r="Z21" s="1049">
        <f t="shared" si="29"/>
        <v>145.986825375</v>
      </c>
      <c r="AA21" s="1049">
        <f t="shared" si="30"/>
        <v>145.986825375</v>
      </c>
      <c r="AB21" s="1050">
        <f t="shared" si="31"/>
        <v>0</v>
      </c>
      <c r="AC21" s="1050">
        <f t="shared" si="32"/>
        <v>0</v>
      </c>
      <c r="AD21" s="898"/>
      <c r="AE21" s="1046">
        <f t="shared" si="33"/>
        <v>32.441516750000005</v>
      </c>
      <c r="AF21" s="1046">
        <f t="shared" si="34"/>
        <v>32.441516750000005</v>
      </c>
      <c r="AG21" s="1046">
        <f t="shared" si="35"/>
        <v>291.97365074999999</v>
      </c>
      <c r="AH21" s="889">
        <f t="shared" si="36"/>
        <v>291.97365074999999</v>
      </c>
      <c r="AI21" s="889">
        <f t="shared" si="37"/>
        <v>162.20758375</v>
      </c>
      <c r="AJ21" s="889">
        <f t="shared" si="38"/>
        <v>162.20758375</v>
      </c>
      <c r="AK21" s="889">
        <f t="shared" si="39"/>
        <v>162.20758375</v>
      </c>
      <c r="AL21" s="889">
        <f t="shared" si="40"/>
        <v>162.20758375</v>
      </c>
      <c r="AM21" s="889">
        <f t="shared" si="41"/>
        <v>324.4151675</v>
      </c>
      <c r="AN21" s="1050">
        <f t="shared" si="42"/>
        <v>324.4151675</v>
      </c>
      <c r="AO21" s="1050">
        <f t="shared" si="43"/>
        <v>0</v>
      </c>
      <c r="AP21" s="1050">
        <f t="shared" si="44"/>
        <v>0</v>
      </c>
      <c r="AR21" s="1067">
        <f t="shared" si="45"/>
        <v>58.394730150000001</v>
      </c>
      <c r="AS21" s="1067">
        <f t="shared" si="46"/>
        <v>58.394730150000001</v>
      </c>
      <c r="AT21" s="1068">
        <f t="shared" si="47"/>
        <v>145.986825375</v>
      </c>
      <c r="AU21" s="1068">
        <f t="shared" si="48"/>
        <v>145.986825375</v>
      </c>
      <c r="AV21" s="1068">
        <f t="shared" si="49"/>
        <v>233.5789206</v>
      </c>
      <c r="AW21" s="1068">
        <f t="shared" si="50"/>
        <v>233.5789206</v>
      </c>
      <c r="AX21" s="1068">
        <f t="shared" si="51"/>
        <v>32.441516749999998</v>
      </c>
      <c r="AY21" s="1068">
        <f t="shared" si="52"/>
        <v>32.441516749999998</v>
      </c>
      <c r="AZ21" s="1068">
        <f t="shared" si="53"/>
        <v>81.103791874999999</v>
      </c>
      <c r="BA21" s="1068">
        <f t="shared" si="54"/>
        <v>81.103791874999999</v>
      </c>
      <c r="BB21" s="1068">
        <f t="shared" si="55"/>
        <v>129.76606699999999</v>
      </c>
      <c r="BC21" s="1068">
        <f t="shared" si="56"/>
        <v>129.76606699999999</v>
      </c>
      <c r="BD21" s="1068">
        <f t="shared" si="6"/>
        <v>0</v>
      </c>
      <c r="BE21" s="1068">
        <f t="shared" si="7"/>
        <v>0</v>
      </c>
      <c r="BF21" s="1069">
        <f t="shared" si="8"/>
        <v>0</v>
      </c>
      <c r="BH21" s="1067">
        <f t="shared" si="9"/>
        <v>32.117101582499998</v>
      </c>
      <c r="BI21" s="1068">
        <f t="shared" si="10"/>
        <v>80.292753956249996</v>
      </c>
      <c r="BJ21" s="1068">
        <f t="shared" si="11"/>
        <v>128.46840632999999</v>
      </c>
      <c r="BK21" s="1068">
        <f t="shared" si="12"/>
        <v>17.842834212500001</v>
      </c>
      <c r="BL21" s="1068">
        <f t="shared" si="13"/>
        <v>44.60708553125</v>
      </c>
      <c r="BM21" s="1068">
        <f t="shared" si="14"/>
        <v>71.371336850000006</v>
      </c>
      <c r="BN21" s="1068">
        <f t="shared" si="15"/>
        <v>0</v>
      </c>
      <c r="BO21" s="1068">
        <f t="shared" si="16"/>
        <v>0</v>
      </c>
      <c r="BP21" s="1069">
        <f t="shared" si="17"/>
        <v>0</v>
      </c>
      <c r="BR21" s="1067">
        <f t="shared" si="57"/>
        <v>26.277628567500003</v>
      </c>
      <c r="BS21" s="1067">
        <f t="shared" si="58"/>
        <v>26.277628567500003</v>
      </c>
      <c r="BT21" s="1068">
        <f t="shared" si="59"/>
        <v>65.694071418749999</v>
      </c>
      <c r="BU21" s="1068">
        <f t="shared" si="60"/>
        <v>65.694071418749999</v>
      </c>
      <c r="BV21" s="1068">
        <f t="shared" si="61"/>
        <v>105.11051427000001</v>
      </c>
      <c r="BW21" s="1068">
        <f t="shared" si="62"/>
        <v>105.11051427000001</v>
      </c>
      <c r="BX21" s="1068">
        <f t="shared" si="63"/>
        <v>14.5986825375</v>
      </c>
      <c r="BY21" s="1068">
        <f t="shared" si="64"/>
        <v>14.5986825375</v>
      </c>
      <c r="BZ21" s="1068">
        <f t="shared" si="65"/>
        <v>36.496706343749999</v>
      </c>
      <c r="CA21" s="1068">
        <f t="shared" si="66"/>
        <v>36.496706343749999</v>
      </c>
      <c r="CB21" s="1068">
        <f t="shared" si="67"/>
        <v>58.394730150000001</v>
      </c>
      <c r="CC21" s="1068">
        <f t="shared" si="68"/>
        <v>58.394730150000001</v>
      </c>
      <c r="CD21" s="1068">
        <f t="shared" si="18"/>
        <v>0</v>
      </c>
      <c r="CE21" s="1068">
        <f t="shared" si="19"/>
        <v>0</v>
      </c>
      <c r="CF21" s="1069">
        <f t="shared" si="20"/>
        <v>0</v>
      </c>
      <c r="CG21" s="599"/>
      <c r="CH21" s="1067">
        <f t="shared" si="69"/>
        <v>3.07340685</v>
      </c>
      <c r="CI21" s="1067">
        <f t="shared" si="70"/>
        <v>3.07340685</v>
      </c>
      <c r="CJ21" s="1068">
        <f t="shared" si="71"/>
        <v>7.6835171249999998</v>
      </c>
      <c r="CK21" s="1068">
        <f t="shared" si="72"/>
        <v>7.6835171249999998</v>
      </c>
      <c r="CL21" s="1068">
        <f t="shared" si="73"/>
        <v>12.2936274</v>
      </c>
      <c r="CM21" s="1068">
        <f t="shared" si="74"/>
        <v>12.2936274</v>
      </c>
      <c r="CN21" s="1068">
        <f t="shared" si="75"/>
        <v>1.7074482499999999</v>
      </c>
      <c r="CO21" s="1068">
        <f t="shared" si="76"/>
        <v>1.7074482499999999</v>
      </c>
      <c r="CP21" s="1068">
        <f t="shared" si="77"/>
        <v>4.2686206249999996</v>
      </c>
      <c r="CQ21" s="1069">
        <f t="shared" si="78"/>
        <v>4.2686206249999996</v>
      </c>
      <c r="CR21" s="1069">
        <f t="shared" si="79"/>
        <v>6.8297929999999996</v>
      </c>
      <c r="CS21" s="1069">
        <f t="shared" si="80"/>
        <v>6.8297929999999996</v>
      </c>
      <c r="CV21" s="345">
        <v>1971</v>
      </c>
      <c r="CW21" s="1097">
        <f>SUM('POSF Inventory'!HF26,'POSF Inventory'!HH26,'POSF Inventory'!HJ26)*$CY$1</f>
        <v>4.3422395250000001</v>
      </c>
      <c r="CX21" s="1098">
        <f>SUM('POSF Inventory'!HG26,'POSF Inventory'!HI26,'POSF Inventory'!HK26)*$CY$2</f>
        <v>4.3525170150000001</v>
      </c>
      <c r="CY21" s="1097">
        <f>SUM('POSF Inventory'!HL26,'POSF Inventory'!HN26,'POSF Inventory'!HP26)*$CY$1</f>
        <v>6.1346888671249991</v>
      </c>
      <c r="CZ21" s="1098">
        <f>SUM('POSF Inventory'!HM26,'POSF Inventory'!HO26,'POSF Inventory'!HQ26)*$CY$2</f>
        <v>18.707772217749998</v>
      </c>
      <c r="DA21" s="1097">
        <f>SUM('POSF Inventory'!HR26,'POSF Inventory'!HT26,'POSF Inventory'!HV26)*$CY$3</f>
        <v>1.6741413685870747</v>
      </c>
      <c r="DB21" s="1098">
        <f>SUM('POSF Inventory'!HS26,'POSF Inventory'!HU26,'POSF Inventory'!HW26)*$CY$4</f>
        <v>35.866169427715754</v>
      </c>
      <c r="DC21" s="1046">
        <f t="shared" si="81"/>
        <v>12.151069760712074</v>
      </c>
      <c r="DD21" s="1050">
        <f t="shared" si="82"/>
        <v>58.926458660465755</v>
      </c>
      <c r="DI21" s="345">
        <v>202</v>
      </c>
      <c r="DJ21" s="1041">
        <v>178.428342125</v>
      </c>
    </row>
    <row r="22" spans="2:114" x14ac:dyDescent="0.2">
      <c r="B22" s="345">
        <v>1972</v>
      </c>
      <c r="C22" s="774">
        <f>SUM('POSF Inventory'!FF27,'POSF Inventory'!FH27)</f>
        <v>191.44878871250003</v>
      </c>
      <c r="D22" s="774">
        <f>SUM('POSF Inventory'!FB27,'POSF Inventory'!FD27)</f>
        <v>156.63991803750002</v>
      </c>
      <c r="E22" s="774">
        <f>SUM('POSF Inventory'!FC27,'POSF Inventory'!FE27)</f>
        <v>156.63991803750002</v>
      </c>
      <c r="F22" s="774">
        <f>SUM('POSF Inventory'!FB27,'POSF Inventory'!FD27,'POSF Inventory'!J27)</f>
        <v>156.63991803750002</v>
      </c>
      <c r="G22" s="774">
        <f>SUM('POSF Inventory'!FC27,'POSF Inventory'!FE27,'POSF Inventory'!K27)</f>
        <v>156.63991803750002</v>
      </c>
      <c r="H22" s="1106">
        <f>SUM('POSF Inventory'!DL27,'POSF Inventory'!DN27)</f>
        <v>18.320458250000001</v>
      </c>
      <c r="I22" s="1041">
        <f>SUM('POSF Inventory'!DM27,'POSF Inventory'!DO27)</f>
        <v>18.320458250000001</v>
      </c>
      <c r="J22" s="592"/>
      <c r="K22" s="1046">
        <f t="shared" si="0"/>
        <v>19.144878871250004</v>
      </c>
      <c r="L22" s="1047">
        <f t="shared" si="1"/>
        <v>172.30390984125003</v>
      </c>
      <c r="M22" s="1046">
        <f t="shared" si="2"/>
        <v>95.724394356250016</v>
      </c>
      <c r="N22" s="1047">
        <f t="shared" si="3"/>
        <v>95.724394356250016</v>
      </c>
      <c r="O22" s="1046">
        <f t="shared" si="4"/>
        <v>191.44878871250003</v>
      </c>
      <c r="P22" s="889">
        <f t="shared" si="5"/>
        <v>0</v>
      </c>
      <c r="Q22" s="1048"/>
      <c r="R22" s="889">
        <f t="shared" si="21"/>
        <v>15.663991803750003</v>
      </c>
      <c r="S22" s="889">
        <f t="shared" si="22"/>
        <v>15.663991803750003</v>
      </c>
      <c r="T22" s="1047">
        <f t="shared" si="23"/>
        <v>140.97592623375002</v>
      </c>
      <c r="U22" s="1047">
        <f t="shared" si="24"/>
        <v>140.97592623375002</v>
      </c>
      <c r="V22" s="1046">
        <f t="shared" si="25"/>
        <v>78.319959018750012</v>
      </c>
      <c r="W22" s="1046">
        <f t="shared" si="26"/>
        <v>78.319959018750012</v>
      </c>
      <c r="X22" s="1047">
        <f t="shared" si="27"/>
        <v>78.319959018750012</v>
      </c>
      <c r="Y22" s="1047">
        <f t="shared" si="28"/>
        <v>78.319959018750012</v>
      </c>
      <c r="Z22" s="1049">
        <f t="shared" si="29"/>
        <v>156.63991803750002</v>
      </c>
      <c r="AA22" s="1049">
        <f t="shared" si="30"/>
        <v>156.63991803750002</v>
      </c>
      <c r="AB22" s="1050">
        <f t="shared" si="31"/>
        <v>0</v>
      </c>
      <c r="AC22" s="1050">
        <f t="shared" si="32"/>
        <v>0</v>
      </c>
      <c r="AD22" s="898"/>
      <c r="AE22" s="1046">
        <f t="shared" si="33"/>
        <v>34.808870675000009</v>
      </c>
      <c r="AF22" s="1046">
        <f t="shared" si="34"/>
        <v>34.808870675000009</v>
      </c>
      <c r="AG22" s="1046">
        <f t="shared" si="35"/>
        <v>313.27983607500005</v>
      </c>
      <c r="AH22" s="889">
        <f t="shared" si="36"/>
        <v>313.27983607500005</v>
      </c>
      <c r="AI22" s="889">
        <f t="shared" si="37"/>
        <v>174.04435337500001</v>
      </c>
      <c r="AJ22" s="889">
        <f t="shared" si="38"/>
        <v>174.04435337500001</v>
      </c>
      <c r="AK22" s="889">
        <f t="shared" si="39"/>
        <v>174.04435337500001</v>
      </c>
      <c r="AL22" s="889">
        <f t="shared" si="40"/>
        <v>174.04435337500001</v>
      </c>
      <c r="AM22" s="889">
        <f t="shared" si="41"/>
        <v>348.08870675000003</v>
      </c>
      <c r="AN22" s="1050">
        <f t="shared" si="42"/>
        <v>348.08870675000003</v>
      </c>
      <c r="AO22" s="1050">
        <f t="shared" si="43"/>
        <v>0</v>
      </c>
      <c r="AP22" s="1050">
        <f t="shared" si="44"/>
        <v>0</v>
      </c>
      <c r="AR22" s="1067">
        <f t="shared" si="45"/>
        <v>62.655967215000011</v>
      </c>
      <c r="AS22" s="1067">
        <f t="shared" si="46"/>
        <v>62.655967215000011</v>
      </c>
      <c r="AT22" s="1068">
        <f t="shared" si="47"/>
        <v>156.63991803750002</v>
      </c>
      <c r="AU22" s="1068">
        <f t="shared" si="48"/>
        <v>156.63991803750002</v>
      </c>
      <c r="AV22" s="1068">
        <f t="shared" si="49"/>
        <v>250.62386886000004</v>
      </c>
      <c r="AW22" s="1068">
        <f t="shared" si="50"/>
        <v>250.62386886000004</v>
      </c>
      <c r="AX22" s="1068">
        <f t="shared" si="51"/>
        <v>34.808870675000001</v>
      </c>
      <c r="AY22" s="1068">
        <f t="shared" si="52"/>
        <v>34.808870675000001</v>
      </c>
      <c r="AZ22" s="1068">
        <f t="shared" si="53"/>
        <v>87.022176687500007</v>
      </c>
      <c r="BA22" s="1068">
        <f t="shared" si="54"/>
        <v>87.022176687500007</v>
      </c>
      <c r="BB22" s="1068">
        <f t="shared" si="55"/>
        <v>139.23548270000001</v>
      </c>
      <c r="BC22" s="1068">
        <f t="shared" si="56"/>
        <v>139.23548270000001</v>
      </c>
      <c r="BD22" s="1068">
        <f t="shared" si="6"/>
        <v>0</v>
      </c>
      <c r="BE22" s="1068">
        <f t="shared" si="7"/>
        <v>0</v>
      </c>
      <c r="BF22" s="1069">
        <f t="shared" si="8"/>
        <v>0</v>
      </c>
      <c r="BH22" s="1067">
        <f t="shared" si="9"/>
        <v>34.460781968250011</v>
      </c>
      <c r="BI22" s="1068">
        <f t="shared" si="10"/>
        <v>86.151954920625016</v>
      </c>
      <c r="BJ22" s="1068">
        <f t="shared" si="11"/>
        <v>137.84312787300004</v>
      </c>
      <c r="BK22" s="1068">
        <f t="shared" si="12"/>
        <v>19.144878871250004</v>
      </c>
      <c r="BL22" s="1068">
        <f t="shared" si="13"/>
        <v>47.862197178125008</v>
      </c>
      <c r="BM22" s="1068">
        <f t="shared" si="14"/>
        <v>76.579515485000016</v>
      </c>
      <c r="BN22" s="1068">
        <f t="shared" si="15"/>
        <v>0</v>
      </c>
      <c r="BO22" s="1068">
        <f t="shared" si="16"/>
        <v>0</v>
      </c>
      <c r="BP22" s="1069">
        <f t="shared" si="17"/>
        <v>0</v>
      </c>
      <c r="BR22" s="1067">
        <f t="shared" si="57"/>
        <v>28.195185246750004</v>
      </c>
      <c r="BS22" s="1067">
        <f t="shared" si="58"/>
        <v>28.195185246750004</v>
      </c>
      <c r="BT22" s="1068">
        <f t="shared" si="59"/>
        <v>70.487963116875008</v>
      </c>
      <c r="BU22" s="1068">
        <f t="shared" si="60"/>
        <v>70.487963116875008</v>
      </c>
      <c r="BV22" s="1068">
        <f t="shared" si="61"/>
        <v>112.78074098700002</v>
      </c>
      <c r="BW22" s="1068">
        <f t="shared" si="62"/>
        <v>112.78074098700002</v>
      </c>
      <c r="BX22" s="1068">
        <f t="shared" si="63"/>
        <v>15.663991803750003</v>
      </c>
      <c r="BY22" s="1068">
        <f t="shared" si="64"/>
        <v>15.663991803750003</v>
      </c>
      <c r="BZ22" s="1068">
        <f t="shared" si="65"/>
        <v>39.159979509375006</v>
      </c>
      <c r="CA22" s="1068">
        <f t="shared" si="66"/>
        <v>39.159979509375006</v>
      </c>
      <c r="CB22" s="1068">
        <f t="shared" si="67"/>
        <v>62.655967215000011</v>
      </c>
      <c r="CC22" s="1068">
        <f t="shared" si="68"/>
        <v>62.655967215000011</v>
      </c>
      <c r="CD22" s="1068">
        <f t="shared" si="18"/>
        <v>0</v>
      </c>
      <c r="CE22" s="1068">
        <f t="shared" si="19"/>
        <v>0</v>
      </c>
      <c r="CF22" s="1069">
        <f t="shared" si="20"/>
        <v>0</v>
      </c>
      <c r="CG22" s="599"/>
      <c r="CH22" s="1067">
        <f t="shared" si="69"/>
        <v>3.2976824850000011</v>
      </c>
      <c r="CI22" s="1067">
        <f t="shared" si="70"/>
        <v>3.2976824850000011</v>
      </c>
      <c r="CJ22" s="1068">
        <f t="shared" si="71"/>
        <v>8.2442062125000017</v>
      </c>
      <c r="CK22" s="1068">
        <f t="shared" si="72"/>
        <v>8.2442062125000017</v>
      </c>
      <c r="CL22" s="1068">
        <f t="shared" si="73"/>
        <v>13.190729940000004</v>
      </c>
      <c r="CM22" s="1068">
        <f t="shared" si="74"/>
        <v>13.190729940000004</v>
      </c>
      <c r="CN22" s="1068">
        <f t="shared" si="75"/>
        <v>1.8320458250000002</v>
      </c>
      <c r="CO22" s="1068">
        <f t="shared" si="76"/>
        <v>1.8320458250000002</v>
      </c>
      <c r="CP22" s="1068">
        <f t="shared" si="77"/>
        <v>4.5801145625000004</v>
      </c>
      <c r="CQ22" s="1069">
        <f t="shared" si="78"/>
        <v>4.5801145625000004</v>
      </c>
      <c r="CR22" s="1069">
        <f t="shared" si="79"/>
        <v>7.328183300000001</v>
      </c>
      <c r="CS22" s="1069">
        <f t="shared" si="80"/>
        <v>7.328183300000001</v>
      </c>
      <c r="CV22" s="345">
        <v>1972</v>
      </c>
      <c r="CW22" s="1097">
        <f>SUM('POSF Inventory'!HF27,'POSF Inventory'!HH27,'POSF Inventory'!HJ27)*$CY$1</f>
        <v>4.6591056525000001</v>
      </c>
      <c r="CX22" s="1098">
        <f>SUM('POSF Inventory'!HG27,'POSF Inventory'!HI27,'POSF Inventory'!HK27)*$CY$2</f>
        <v>4.6701331215000002</v>
      </c>
      <c r="CY22" s="1097">
        <f>SUM('POSF Inventory'!HL27,'POSF Inventory'!HN27,'POSF Inventory'!HP27)*$CY$1</f>
        <v>6.584104831687501</v>
      </c>
      <c r="CZ22" s="1098">
        <f>SUM('POSF Inventory'!HM27,'POSF Inventory'!HO27,'POSF Inventory'!HQ27)*$CY$2</f>
        <v>20.090470178625001</v>
      </c>
      <c r="DA22" s="1097">
        <f>SUM('POSF Inventory'!HR27,'POSF Inventory'!HT27,'POSF Inventory'!HV27)*$CY$3</f>
        <v>1.7976741733596127</v>
      </c>
      <c r="DB22" s="1098">
        <f>SUM('POSF Inventory'!HS27,'POSF Inventory'!HU27,'POSF Inventory'!HW27)*$CY$4</f>
        <v>38.711154185804638</v>
      </c>
      <c r="DC22" s="1046">
        <f t="shared" si="81"/>
        <v>13.040884657547114</v>
      </c>
      <c r="DD22" s="1050">
        <f t="shared" si="82"/>
        <v>63.471757485929643</v>
      </c>
      <c r="DI22" s="345">
        <v>216</v>
      </c>
      <c r="DJ22" s="1041">
        <v>191.44878871250003</v>
      </c>
    </row>
    <row r="23" spans="2:114" x14ac:dyDescent="0.2">
      <c r="B23" s="345">
        <v>1973</v>
      </c>
      <c r="C23" s="774">
        <f>SUM('POSF Inventory'!FF28,'POSF Inventory'!FH28)</f>
        <v>203.9869965375</v>
      </c>
      <c r="D23" s="774">
        <f>SUM('POSF Inventory'!FB28,'POSF Inventory'!FD28)</f>
        <v>166.89845171249999</v>
      </c>
      <c r="E23" s="774">
        <f>SUM('POSF Inventory'!FC28,'POSF Inventory'!FE28)</f>
        <v>166.89845171249999</v>
      </c>
      <c r="F23" s="774">
        <f>SUM('POSF Inventory'!FB28,'POSF Inventory'!FD28,'POSF Inventory'!J28)</f>
        <v>166.89845171249999</v>
      </c>
      <c r="G23" s="774">
        <f>SUM('POSF Inventory'!FC28,'POSF Inventory'!FE28,'POSF Inventory'!K28)</f>
        <v>166.89845171249999</v>
      </c>
      <c r="H23" s="1106">
        <f>SUM('POSF Inventory'!DL28,'POSF Inventory'!DN28)</f>
        <v>19.52028675</v>
      </c>
      <c r="I23" s="1041">
        <f>SUM('POSF Inventory'!DM28,'POSF Inventory'!DO28)</f>
        <v>19.52028675</v>
      </c>
      <c r="J23" s="592"/>
      <c r="K23" s="1046">
        <f t="shared" si="0"/>
        <v>20.39869965375</v>
      </c>
      <c r="L23" s="1047">
        <f t="shared" si="1"/>
        <v>183.58829688375002</v>
      </c>
      <c r="M23" s="1046">
        <f t="shared" si="2"/>
        <v>101.99349826875</v>
      </c>
      <c r="N23" s="1047">
        <f t="shared" si="3"/>
        <v>101.99349826875</v>
      </c>
      <c r="O23" s="1046">
        <f t="shared" si="4"/>
        <v>203.9869965375</v>
      </c>
      <c r="P23" s="889">
        <f t="shared" si="5"/>
        <v>0</v>
      </c>
      <c r="Q23" s="1048"/>
      <c r="R23" s="889">
        <f t="shared" si="21"/>
        <v>16.689845171249999</v>
      </c>
      <c r="S23" s="889">
        <f t="shared" si="22"/>
        <v>16.689845171249999</v>
      </c>
      <c r="T23" s="1047">
        <f t="shared" si="23"/>
        <v>150.20860654124999</v>
      </c>
      <c r="U23" s="1047">
        <f t="shared" si="24"/>
        <v>150.20860654124999</v>
      </c>
      <c r="V23" s="1046">
        <f t="shared" si="25"/>
        <v>83.449225856249996</v>
      </c>
      <c r="W23" s="1046">
        <f t="shared" si="26"/>
        <v>83.449225856249996</v>
      </c>
      <c r="X23" s="1047">
        <f t="shared" si="27"/>
        <v>83.449225856249996</v>
      </c>
      <c r="Y23" s="1047">
        <f t="shared" si="28"/>
        <v>83.449225856249996</v>
      </c>
      <c r="Z23" s="1049">
        <f t="shared" si="29"/>
        <v>166.89845171249999</v>
      </c>
      <c r="AA23" s="1049">
        <f t="shared" si="30"/>
        <v>166.89845171249999</v>
      </c>
      <c r="AB23" s="1050">
        <f t="shared" si="31"/>
        <v>0</v>
      </c>
      <c r="AC23" s="1050">
        <f t="shared" si="32"/>
        <v>0</v>
      </c>
      <c r="AD23" s="898"/>
      <c r="AE23" s="1046">
        <f t="shared" si="33"/>
        <v>37.088544825</v>
      </c>
      <c r="AF23" s="1046">
        <f t="shared" si="34"/>
        <v>37.088544825</v>
      </c>
      <c r="AG23" s="1046">
        <f t="shared" si="35"/>
        <v>333.79690342499998</v>
      </c>
      <c r="AH23" s="889">
        <f t="shared" si="36"/>
        <v>333.79690342499998</v>
      </c>
      <c r="AI23" s="889">
        <f t="shared" si="37"/>
        <v>185.44272412499998</v>
      </c>
      <c r="AJ23" s="889">
        <f t="shared" si="38"/>
        <v>185.44272412499998</v>
      </c>
      <c r="AK23" s="889">
        <f t="shared" si="39"/>
        <v>185.44272412499998</v>
      </c>
      <c r="AL23" s="889">
        <f t="shared" si="40"/>
        <v>185.44272412499998</v>
      </c>
      <c r="AM23" s="889">
        <f t="shared" si="41"/>
        <v>370.88544824999997</v>
      </c>
      <c r="AN23" s="1050">
        <f t="shared" si="42"/>
        <v>370.88544824999997</v>
      </c>
      <c r="AO23" s="1050">
        <f t="shared" si="43"/>
        <v>0</v>
      </c>
      <c r="AP23" s="1050">
        <f t="shared" si="44"/>
        <v>0</v>
      </c>
      <c r="AR23" s="1067">
        <f t="shared" si="45"/>
        <v>66.759380684999996</v>
      </c>
      <c r="AS23" s="1067">
        <f t="shared" si="46"/>
        <v>66.759380684999996</v>
      </c>
      <c r="AT23" s="1068">
        <f t="shared" si="47"/>
        <v>166.89845171249999</v>
      </c>
      <c r="AU23" s="1068">
        <f t="shared" si="48"/>
        <v>166.89845171249999</v>
      </c>
      <c r="AV23" s="1068">
        <f t="shared" si="49"/>
        <v>267.03752273999999</v>
      </c>
      <c r="AW23" s="1068">
        <f t="shared" si="50"/>
        <v>267.03752273999999</v>
      </c>
      <c r="AX23" s="1068">
        <f t="shared" si="51"/>
        <v>37.088544825</v>
      </c>
      <c r="AY23" s="1068">
        <f t="shared" si="52"/>
        <v>37.088544825</v>
      </c>
      <c r="AZ23" s="1068">
        <f t="shared" si="53"/>
        <v>92.721362062499992</v>
      </c>
      <c r="BA23" s="1068">
        <f t="shared" si="54"/>
        <v>92.721362062499992</v>
      </c>
      <c r="BB23" s="1068">
        <f t="shared" si="55"/>
        <v>148.3541793</v>
      </c>
      <c r="BC23" s="1068">
        <f t="shared" si="56"/>
        <v>148.3541793</v>
      </c>
      <c r="BD23" s="1068">
        <f t="shared" si="6"/>
        <v>0</v>
      </c>
      <c r="BE23" s="1068">
        <f t="shared" si="7"/>
        <v>0</v>
      </c>
      <c r="BF23" s="1069">
        <f t="shared" si="8"/>
        <v>0</v>
      </c>
      <c r="BH23" s="1067">
        <f t="shared" si="9"/>
        <v>36.717659376750007</v>
      </c>
      <c r="BI23" s="1068">
        <f t="shared" si="10"/>
        <v>91.794148441875009</v>
      </c>
      <c r="BJ23" s="1068">
        <f t="shared" si="11"/>
        <v>146.87063750700003</v>
      </c>
      <c r="BK23" s="1068">
        <f t="shared" si="12"/>
        <v>20.39869965375</v>
      </c>
      <c r="BL23" s="1068">
        <f t="shared" si="13"/>
        <v>50.996749134375001</v>
      </c>
      <c r="BM23" s="1068">
        <f t="shared" si="14"/>
        <v>81.594798615000002</v>
      </c>
      <c r="BN23" s="1068">
        <f t="shared" si="15"/>
        <v>0</v>
      </c>
      <c r="BO23" s="1068">
        <f t="shared" si="16"/>
        <v>0</v>
      </c>
      <c r="BP23" s="1069">
        <f t="shared" si="17"/>
        <v>0</v>
      </c>
      <c r="BR23" s="1067">
        <f t="shared" si="57"/>
        <v>30.041721308250001</v>
      </c>
      <c r="BS23" s="1067">
        <f t="shared" si="58"/>
        <v>30.041721308250001</v>
      </c>
      <c r="BT23" s="1068">
        <f t="shared" si="59"/>
        <v>75.104303270624996</v>
      </c>
      <c r="BU23" s="1068">
        <f t="shared" si="60"/>
        <v>75.104303270624996</v>
      </c>
      <c r="BV23" s="1068">
        <f t="shared" si="61"/>
        <v>120.166885233</v>
      </c>
      <c r="BW23" s="1068">
        <f t="shared" si="62"/>
        <v>120.166885233</v>
      </c>
      <c r="BX23" s="1068">
        <f t="shared" si="63"/>
        <v>16.689845171249999</v>
      </c>
      <c r="BY23" s="1068">
        <f t="shared" si="64"/>
        <v>16.689845171249999</v>
      </c>
      <c r="BZ23" s="1068">
        <f t="shared" si="65"/>
        <v>41.724612928124998</v>
      </c>
      <c r="CA23" s="1068">
        <f t="shared" si="66"/>
        <v>41.724612928124998</v>
      </c>
      <c r="CB23" s="1068">
        <f t="shared" si="67"/>
        <v>66.759380684999996</v>
      </c>
      <c r="CC23" s="1068">
        <f t="shared" si="68"/>
        <v>66.759380684999996</v>
      </c>
      <c r="CD23" s="1068">
        <f t="shared" si="18"/>
        <v>0</v>
      </c>
      <c r="CE23" s="1068">
        <f t="shared" si="19"/>
        <v>0</v>
      </c>
      <c r="CF23" s="1069">
        <f t="shared" si="20"/>
        <v>0</v>
      </c>
      <c r="CG23" s="599"/>
      <c r="CH23" s="1067">
        <f t="shared" si="69"/>
        <v>3.5136516150000001</v>
      </c>
      <c r="CI23" s="1067">
        <f t="shared" si="70"/>
        <v>3.5136516150000001</v>
      </c>
      <c r="CJ23" s="1068">
        <f t="shared" si="71"/>
        <v>8.7841290374999996</v>
      </c>
      <c r="CK23" s="1068">
        <f t="shared" si="72"/>
        <v>8.7841290374999996</v>
      </c>
      <c r="CL23" s="1068">
        <f t="shared" si="73"/>
        <v>14.05460646</v>
      </c>
      <c r="CM23" s="1068">
        <f t="shared" si="74"/>
        <v>14.05460646</v>
      </c>
      <c r="CN23" s="1068">
        <f t="shared" si="75"/>
        <v>1.9520286750000002</v>
      </c>
      <c r="CO23" s="1068">
        <f t="shared" si="76"/>
        <v>1.9520286750000002</v>
      </c>
      <c r="CP23" s="1068">
        <f t="shared" si="77"/>
        <v>4.8800716875000001</v>
      </c>
      <c r="CQ23" s="1069">
        <f t="shared" si="78"/>
        <v>4.8800716875000001</v>
      </c>
      <c r="CR23" s="1069">
        <f t="shared" si="79"/>
        <v>7.8081147000000009</v>
      </c>
      <c r="CS23" s="1069">
        <f t="shared" si="80"/>
        <v>7.8081147000000009</v>
      </c>
      <c r="CV23" s="345">
        <v>1973</v>
      </c>
      <c r="CW23" s="1097">
        <f>SUM('POSF Inventory'!HF28,'POSF Inventory'!HH28,'POSF Inventory'!HJ28)*$CY$1</f>
        <v>4.9642359974999994</v>
      </c>
      <c r="CX23" s="1098">
        <f>SUM('POSF Inventory'!HG28,'POSF Inventory'!HI28,'POSF Inventory'!HK28)*$CY$2</f>
        <v>4.9759856684999999</v>
      </c>
      <c r="CY23" s="1097">
        <f>SUM('POSF Inventory'!HL28,'POSF Inventory'!HN28,'POSF Inventory'!HP28)*$CY$1</f>
        <v>7.0207029912500012</v>
      </c>
      <c r="CZ23" s="1098">
        <f>SUM('POSF Inventory'!HM28,'POSF Inventory'!HO28,'POSF Inventory'!HQ28)*$CY$2</f>
        <v>21.460319996499997</v>
      </c>
      <c r="DA23" s="1097">
        <f>SUM('POSF Inventory'!HR28,'POSF Inventory'!HT28,'POSF Inventory'!HV28)*$CY$3</f>
        <v>1.9189652002220499</v>
      </c>
      <c r="DB23" s="1098">
        <f>SUM('POSF Inventory'!HS28,'POSF Inventory'!HU28,'POSF Inventory'!HW28)*$CY$4</f>
        <v>41.544558155612954</v>
      </c>
      <c r="DC23" s="1046">
        <f t="shared" si="81"/>
        <v>13.903904188972051</v>
      </c>
      <c r="DD23" s="1050">
        <f t="shared" si="82"/>
        <v>67.980863820612953</v>
      </c>
      <c r="DI23" s="345">
        <v>231</v>
      </c>
      <c r="DJ23" s="1041">
        <v>203.9869965375</v>
      </c>
    </row>
    <row r="24" spans="2:114" x14ac:dyDescent="0.2">
      <c r="B24" s="345">
        <v>1974</v>
      </c>
      <c r="C24" s="774">
        <f>SUM('POSF Inventory'!FF29,'POSF Inventory'!FH29)</f>
        <v>217.00744312499998</v>
      </c>
      <c r="D24" s="774">
        <f>SUM('POSF Inventory'!FB29,'POSF Inventory'!FD29)</f>
        <v>177.55154437499999</v>
      </c>
      <c r="E24" s="774">
        <f>SUM('POSF Inventory'!FC29,'POSF Inventory'!FE29)</f>
        <v>177.55154437499999</v>
      </c>
      <c r="F24" s="774">
        <f>SUM('POSF Inventory'!FB29,'POSF Inventory'!FD29,'POSF Inventory'!J29)</f>
        <v>177.55154437499999</v>
      </c>
      <c r="G24" s="774">
        <f>SUM('POSF Inventory'!FC29,'POSF Inventory'!FE29,'POSF Inventory'!K29)</f>
        <v>177.55154437499999</v>
      </c>
      <c r="H24" s="1106">
        <f>SUM('POSF Inventory'!DL29,'POSF Inventory'!DN29)</f>
        <v>20.7662625</v>
      </c>
      <c r="I24" s="1041">
        <f>SUM('POSF Inventory'!DM29,'POSF Inventory'!DO29)</f>
        <v>20.7662625</v>
      </c>
      <c r="J24" s="592"/>
      <c r="K24" s="1046">
        <f t="shared" si="0"/>
        <v>21.700744312499999</v>
      </c>
      <c r="L24" s="1047">
        <f t="shared" si="1"/>
        <v>195.30669881249997</v>
      </c>
      <c r="M24" s="1046">
        <f t="shared" si="2"/>
        <v>108.50372156249999</v>
      </c>
      <c r="N24" s="1047">
        <f t="shared" si="3"/>
        <v>108.50372156249999</v>
      </c>
      <c r="O24" s="1046">
        <f t="shared" si="4"/>
        <v>217.00744312499998</v>
      </c>
      <c r="P24" s="889">
        <f t="shared" si="5"/>
        <v>0</v>
      </c>
      <c r="Q24" s="1048"/>
      <c r="R24" s="889">
        <f t="shared" si="21"/>
        <v>17.7551544375</v>
      </c>
      <c r="S24" s="889">
        <f t="shared" si="22"/>
        <v>17.7551544375</v>
      </c>
      <c r="T24" s="1047">
        <f t="shared" si="23"/>
        <v>159.79638993750001</v>
      </c>
      <c r="U24" s="1047">
        <f t="shared" si="24"/>
        <v>159.79638993750001</v>
      </c>
      <c r="V24" s="1046">
        <f t="shared" si="25"/>
        <v>88.775772187499996</v>
      </c>
      <c r="W24" s="1046">
        <f t="shared" si="26"/>
        <v>88.775772187499996</v>
      </c>
      <c r="X24" s="1047">
        <f t="shared" si="27"/>
        <v>88.775772187499996</v>
      </c>
      <c r="Y24" s="1047">
        <f t="shared" si="28"/>
        <v>88.775772187499996</v>
      </c>
      <c r="Z24" s="1049">
        <f t="shared" si="29"/>
        <v>177.55154437499999</v>
      </c>
      <c r="AA24" s="1049">
        <f t="shared" si="30"/>
        <v>177.55154437499999</v>
      </c>
      <c r="AB24" s="1050">
        <f t="shared" si="31"/>
        <v>0</v>
      </c>
      <c r="AC24" s="1050">
        <f t="shared" si="32"/>
        <v>0</v>
      </c>
      <c r="AD24" s="898"/>
      <c r="AE24" s="1046">
        <f t="shared" si="33"/>
        <v>39.455898750000003</v>
      </c>
      <c r="AF24" s="1046">
        <f t="shared" si="34"/>
        <v>39.455898750000003</v>
      </c>
      <c r="AG24" s="1046">
        <f t="shared" si="35"/>
        <v>355.10308874999998</v>
      </c>
      <c r="AH24" s="889">
        <f t="shared" si="36"/>
        <v>355.10308874999998</v>
      </c>
      <c r="AI24" s="889">
        <f t="shared" si="37"/>
        <v>197.27949374999997</v>
      </c>
      <c r="AJ24" s="889">
        <f t="shared" si="38"/>
        <v>197.27949374999997</v>
      </c>
      <c r="AK24" s="889">
        <f t="shared" si="39"/>
        <v>197.27949374999997</v>
      </c>
      <c r="AL24" s="889">
        <f t="shared" si="40"/>
        <v>197.27949374999997</v>
      </c>
      <c r="AM24" s="889">
        <f t="shared" si="41"/>
        <v>394.55898749999994</v>
      </c>
      <c r="AN24" s="1050">
        <f t="shared" si="42"/>
        <v>394.55898749999994</v>
      </c>
      <c r="AO24" s="1050">
        <f t="shared" si="43"/>
        <v>0</v>
      </c>
      <c r="AP24" s="1050">
        <f t="shared" si="44"/>
        <v>0</v>
      </c>
      <c r="AR24" s="1067">
        <f t="shared" si="45"/>
        <v>71.02061775</v>
      </c>
      <c r="AS24" s="1067">
        <f t="shared" si="46"/>
        <v>71.02061775</v>
      </c>
      <c r="AT24" s="1068">
        <f t="shared" si="47"/>
        <v>177.55154437499999</v>
      </c>
      <c r="AU24" s="1068">
        <f t="shared" si="48"/>
        <v>177.55154437499999</v>
      </c>
      <c r="AV24" s="1068">
        <f t="shared" si="49"/>
        <v>284.082471</v>
      </c>
      <c r="AW24" s="1068">
        <f t="shared" si="50"/>
        <v>284.082471</v>
      </c>
      <c r="AX24" s="1068">
        <f t="shared" si="51"/>
        <v>39.455898749999996</v>
      </c>
      <c r="AY24" s="1068">
        <f t="shared" si="52"/>
        <v>39.455898749999996</v>
      </c>
      <c r="AZ24" s="1068">
        <f t="shared" si="53"/>
        <v>98.639746874999986</v>
      </c>
      <c r="BA24" s="1068">
        <f t="shared" si="54"/>
        <v>98.639746874999986</v>
      </c>
      <c r="BB24" s="1068">
        <f t="shared" si="55"/>
        <v>157.82359499999998</v>
      </c>
      <c r="BC24" s="1068">
        <f t="shared" si="56"/>
        <v>157.82359499999998</v>
      </c>
      <c r="BD24" s="1068">
        <f t="shared" si="6"/>
        <v>0</v>
      </c>
      <c r="BE24" s="1068">
        <f t="shared" si="7"/>
        <v>0</v>
      </c>
      <c r="BF24" s="1069">
        <f t="shared" si="8"/>
        <v>0</v>
      </c>
      <c r="BH24" s="1067">
        <f t="shared" si="9"/>
        <v>39.061339762499998</v>
      </c>
      <c r="BI24" s="1068">
        <f t="shared" si="10"/>
        <v>97.653349406249987</v>
      </c>
      <c r="BJ24" s="1068">
        <f t="shared" si="11"/>
        <v>156.24535904999999</v>
      </c>
      <c r="BK24" s="1068">
        <f t="shared" si="12"/>
        <v>21.700744312499999</v>
      </c>
      <c r="BL24" s="1068">
        <f t="shared" si="13"/>
        <v>54.251860781249995</v>
      </c>
      <c r="BM24" s="1068">
        <f t="shared" si="14"/>
        <v>86.802977249999998</v>
      </c>
      <c r="BN24" s="1068">
        <f t="shared" si="15"/>
        <v>0</v>
      </c>
      <c r="BO24" s="1068">
        <f t="shared" si="16"/>
        <v>0</v>
      </c>
      <c r="BP24" s="1069">
        <f t="shared" si="17"/>
        <v>0</v>
      </c>
      <c r="BR24" s="1067">
        <f t="shared" si="57"/>
        <v>31.959277987500002</v>
      </c>
      <c r="BS24" s="1067">
        <f t="shared" si="58"/>
        <v>31.959277987500002</v>
      </c>
      <c r="BT24" s="1068">
        <f t="shared" si="59"/>
        <v>79.898194968750005</v>
      </c>
      <c r="BU24" s="1068">
        <f t="shared" si="60"/>
        <v>79.898194968750005</v>
      </c>
      <c r="BV24" s="1068">
        <f t="shared" si="61"/>
        <v>127.83711195000001</v>
      </c>
      <c r="BW24" s="1068">
        <f t="shared" si="62"/>
        <v>127.83711195000001</v>
      </c>
      <c r="BX24" s="1068">
        <f t="shared" si="63"/>
        <v>17.7551544375</v>
      </c>
      <c r="BY24" s="1068">
        <f t="shared" si="64"/>
        <v>17.7551544375</v>
      </c>
      <c r="BZ24" s="1068">
        <f t="shared" si="65"/>
        <v>44.387886093749998</v>
      </c>
      <c r="CA24" s="1068">
        <f t="shared" si="66"/>
        <v>44.387886093749998</v>
      </c>
      <c r="CB24" s="1068">
        <f t="shared" si="67"/>
        <v>71.02061775</v>
      </c>
      <c r="CC24" s="1068">
        <f t="shared" si="68"/>
        <v>71.02061775</v>
      </c>
      <c r="CD24" s="1068">
        <f t="shared" si="18"/>
        <v>0</v>
      </c>
      <c r="CE24" s="1068">
        <f t="shared" si="19"/>
        <v>0</v>
      </c>
      <c r="CF24" s="1069">
        <f t="shared" si="20"/>
        <v>0</v>
      </c>
      <c r="CG24" s="599"/>
      <c r="CH24" s="1067">
        <f t="shared" si="69"/>
        <v>3.7379272500000003</v>
      </c>
      <c r="CI24" s="1067">
        <f t="shared" si="70"/>
        <v>3.7379272500000003</v>
      </c>
      <c r="CJ24" s="1068">
        <f t="shared" si="71"/>
        <v>9.3448181249999998</v>
      </c>
      <c r="CK24" s="1068">
        <f t="shared" si="72"/>
        <v>9.3448181249999998</v>
      </c>
      <c r="CL24" s="1068">
        <f t="shared" si="73"/>
        <v>14.951709000000001</v>
      </c>
      <c r="CM24" s="1068">
        <f t="shared" si="74"/>
        <v>14.951709000000001</v>
      </c>
      <c r="CN24" s="1068">
        <f t="shared" si="75"/>
        <v>2.0766262499999999</v>
      </c>
      <c r="CO24" s="1068">
        <f t="shared" si="76"/>
        <v>2.0766262499999999</v>
      </c>
      <c r="CP24" s="1068">
        <f t="shared" si="77"/>
        <v>5.191565625</v>
      </c>
      <c r="CQ24" s="1069">
        <f t="shared" si="78"/>
        <v>5.191565625</v>
      </c>
      <c r="CR24" s="1069">
        <f t="shared" si="79"/>
        <v>8.3065049999999996</v>
      </c>
      <c r="CS24" s="1069">
        <f t="shared" si="80"/>
        <v>8.3065049999999996</v>
      </c>
      <c r="CV24" s="345">
        <v>1974</v>
      </c>
      <c r="CW24" s="1097">
        <f>SUM('POSF Inventory'!HF29,'POSF Inventory'!HH29,'POSF Inventory'!HJ29)*$CY$1</f>
        <v>5.2811021249999994</v>
      </c>
      <c r="CX24" s="1098">
        <f>SUM('POSF Inventory'!HG29,'POSF Inventory'!HI29,'POSF Inventory'!HK29)*$CY$2</f>
        <v>5.2936017749999991</v>
      </c>
      <c r="CY24" s="1097">
        <f>SUM('POSF Inventory'!HL29,'POSF Inventory'!HN29,'POSF Inventory'!HP29)*$CY$1</f>
        <v>7.4701189558125005</v>
      </c>
      <c r="CZ24" s="1098">
        <f>SUM('POSF Inventory'!HM29,'POSF Inventory'!HO29,'POSF Inventory'!HQ29)*$CY$2</f>
        <v>22.843017957375</v>
      </c>
      <c r="DA24" s="1097">
        <f>SUM('POSF Inventory'!HR29,'POSF Inventory'!HT29,'POSF Inventory'!HV29)*$CY$3</f>
        <v>2.0424980049945876</v>
      </c>
      <c r="DB24" s="1098">
        <f>SUM('POSF Inventory'!HS29,'POSF Inventory'!HU29,'POSF Inventory'!HW29)*$CY$4</f>
        <v>44.38954291370181</v>
      </c>
      <c r="DC24" s="1046">
        <f t="shared" si="81"/>
        <v>14.793719085807087</v>
      </c>
      <c r="DD24" s="1050">
        <f t="shared" si="82"/>
        <v>72.526162646076813</v>
      </c>
      <c r="DI24" s="345">
        <v>245</v>
      </c>
      <c r="DJ24" s="1041">
        <v>217.00744312499998</v>
      </c>
    </row>
    <row r="25" spans="2:114" x14ac:dyDescent="0.2">
      <c r="B25" s="345">
        <v>1975</v>
      </c>
      <c r="C25" s="774">
        <f>SUM('POSF Inventory'!FF30,'POSF Inventory'!FH30)</f>
        <v>229.54565095000001</v>
      </c>
      <c r="D25" s="774">
        <f>SUM('POSF Inventory'!FB30,'POSF Inventory'!FD30)</f>
        <v>187.81007805000002</v>
      </c>
      <c r="E25" s="774">
        <f>SUM('POSF Inventory'!FC30,'POSF Inventory'!FE30)</f>
        <v>187.81007805000002</v>
      </c>
      <c r="F25" s="774">
        <f>SUM('POSF Inventory'!FB30,'POSF Inventory'!FD30,'POSF Inventory'!J30)</f>
        <v>187.81007805000002</v>
      </c>
      <c r="G25" s="774">
        <f>SUM('POSF Inventory'!FC30,'POSF Inventory'!FE30,'POSF Inventory'!K30)</f>
        <v>187.81007805000002</v>
      </c>
      <c r="H25" s="1106">
        <f>SUM('POSF Inventory'!DL30,'POSF Inventory'!DN30)</f>
        <v>21.966091000000002</v>
      </c>
      <c r="I25" s="1041">
        <f>SUM('POSF Inventory'!DM30,'POSF Inventory'!DO30)</f>
        <v>21.966091000000002</v>
      </c>
      <c r="J25" s="592"/>
      <c r="K25" s="1046">
        <f t="shared" si="0"/>
        <v>22.954565095000003</v>
      </c>
      <c r="L25" s="1047">
        <f t="shared" si="1"/>
        <v>206.59108585500002</v>
      </c>
      <c r="M25" s="1046">
        <f t="shared" si="2"/>
        <v>114.772825475</v>
      </c>
      <c r="N25" s="1047">
        <f t="shared" si="3"/>
        <v>114.772825475</v>
      </c>
      <c r="O25" s="1046">
        <f t="shared" si="4"/>
        <v>229.54565095000001</v>
      </c>
      <c r="P25" s="889">
        <f t="shared" si="5"/>
        <v>0</v>
      </c>
      <c r="Q25" s="1048"/>
      <c r="R25" s="889">
        <f t="shared" si="21"/>
        <v>18.781007805000002</v>
      </c>
      <c r="S25" s="889">
        <f t="shared" si="22"/>
        <v>18.781007805000002</v>
      </c>
      <c r="T25" s="1047">
        <f t="shared" si="23"/>
        <v>169.02907024500001</v>
      </c>
      <c r="U25" s="1047">
        <f t="shared" si="24"/>
        <v>169.02907024500001</v>
      </c>
      <c r="V25" s="1046">
        <f t="shared" si="25"/>
        <v>93.905039025000008</v>
      </c>
      <c r="W25" s="1046">
        <f t="shared" si="26"/>
        <v>93.905039025000008</v>
      </c>
      <c r="X25" s="1047">
        <f t="shared" si="27"/>
        <v>93.905039025000008</v>
      </c>
      <c r="Y25" s="1047">
        <f t="shared" si="28"/>
        <v>93.905039025000008</v>
      </c>
      <c r="Z25" s="1049">
        <f t="shared" si="29"/>
        <v>187.81007805000002</v>
      </c>
      <c r="AA25" s="1049">
        <f t="shared" si="30"/>
        <v>187.81007805000002</v>
      </c>
      <c r="AB25" s="1050">
        <f t="shared" si="31"/>
        <v>0</v>
      </c>
      <c r="AC25" s="1050">
        <f t="shared" si="32"/>
        <v>0</v>
      </c>
      <c r="AD25" s="898"/>
      <c r="AE25" s="1046">
        <f t="shared" si="33"/>
        <v>41.735572900000008</v>
      </c>
      <c r="AF25" s="1046">
        <f t="shared" si="34"/>
        <v>41.735572900000008</v>
      </c>
      <c r="AG25" s="1046">
        <f t="shared" si="35"/>
        <v>375.62015610000003</v>
      </c>
      <c r="AH25" s="889">
        <f t="shared" si="36"/>
        <v>375.62015610000003</v>
      </c>
      <c r="AI25" s="889">
        <f t="shared" si="37"/>
        <v>208.6778645</v>
      </c>
      <c r="AJ25" s="889">
        <f t="shared" si="38"/>
        <v>208.6778645</v>
      </c>
      <c r="AK25" s="889">
        <f t="shared" si="39"/>
        <v>208.6778645</v>
      </c>
      <c r="AL25" s="889">
        <f t="shared" si="40"/>
        <v>208.6778645</v>
      </c>
      <c r="AM25" s="889">
        <f t="shared" si="41"/>
        <v>417.355729</v>
      </c>
      <c r="AN25" s="1050">
        <f t="shared" si="42"/>
        <v>417.355729</v>
      </c>
      <c r="AO25" s="1050">
        <f t="shared" si="43"/>
        <v>0</v>
      </c>
      <c r="AP25" s="1050">
        <f t="shared" si="44"/>
        <v>0</v>
      </c>
      <c r="AR25" s="1067">
        <f t="shared" si="45"/>
        <v>75.124031220000006</v>
      </c>
      <c r="AS25" s="1067">
        <f t="shared" si="46"/>
        <v>75.124031220000006</v>
      </c>
      <c r="AT25" s="1068">
        <f t="shared" si="47"/>
        <v>187.81007805000002</v>
      </c>
      <c r="AU25" s="1068">
        <f t="shared" si="48"/>
        <v>187.81007805000002</v>
      </c>
      <c r="AV25" s="1068">
        <f t="shared" si="49"/>
        <v>300.49612488000002</v>
      </c>
      <c r="AW25" s="1068">
        <f t="shared" si="50"/>
        <v>300.49612488000002</v>
      </c>
      <c r="AX25" s="1068">
        <f t="shared" si="51"/>
        <v>41.735572900000001</v>
      </c>
      <c r="AY25" s="1068">
        <f t="shared" si="52"/>
        <v>41.735572900000001</v>
      </c>
      <c r="AZ25" s="1068">
        <f t="shared" si="53"/>
        <v>104.33893225</v>
      </c>
      <c r="BA25" s="1068">
        <f t="shared" si="54"/>
        <v>104.33893225</v>
      </c>
      <c r="BB25" s="1068">
        <f t="shared" si="55"/>
        <v>166.9422916</v>
      </c>
      <c r="BC25" s="1068">
        <f t="shared" si="56"/>
        <v>166.9422916</v>
      </c>
      <c r="BD25" s="1068">
        <f t="shared" si="6"/>
        <v>0</v>
      </c>
      <c r="BE25" s="1068">
        <f t="shared" si="7"/>
        <v>0</v>
      </c>
      <c r="BF25" s="1069">
        <f t="shared" si="8"/>
        <v>0</v>
      </c>
      <c r="BH25" s="1067">
        <f t="shared" si="9"/>
        <v>41.318217171000008</v>
      </c>
      <c r="BI25" s="1068">
        <f t="shared" si="10"/>
        <v>103.29554292750001</v>
      </c>
      <c r="BJ25" s="1068">
        <f t="shared" si="11"/>
        <v>165.27286868400003</v>
      </c>
      <c r="BK25" s="1068">
        <f t="shared" si="12"/>
        <v>22.954565095000003</v>
      </c>
      <c r="BL25" s="1068">
        <f t="shared" si="13"/>
        <v>57.386412737500002</v>
      </c>
      <c r="BM25" s="1068">
        <f t="shared" si="14"/>
        <v>91.818260380000012</v>
      </c>
      <c r="BN25" s="1068">
        <f t="shared" si="15"/>
        <v>0</v>
      </c>
      <c r="BO25" s="1068">
        <f t="shared" si="16"/>
        <v>0</v>
      </c>
      <c r="BP25" s="1069">
        <f t="shared" si="17"/>
        <v>0</v>
      </c>
      <c r="BR25" s="1067">
        <f t="shared" si="57"/>
        <v>33.805814049000006</v>
      </c>
      <c r="BS25" s="1067">
        <f t="shared" si="58"/>
        <v>33.805814049000006</v>
      </c>
      <c r="BT25" s="1068">
        <f t="shared" si="59"/>
        <v>84.514535122500007</v>
      </c>
      <c r="BU25" s="1068">
        <f t="shared" si="60"/>
        <v>84.514535122500007</v>
      </c>
      <c r="BV25" s="1068">
        <f t="shared" si="61"/>
        <v>135.22325619600002</v>
      </c>
      <c r="BW25" s="1068">
        <f t="shared" si="62"/>
        <v>135.22325619600002</v>
      </c>
      <c r="BX25" s="1068">
        <f t="shared" si="63"/>
        <v>18.781007805000002</v>
      </c>
      <c r="BY25" s="1068">
        <f t="shared" si="64"/>
        <v>18.781007805000002</v>
      </c>
      <c r="BZ25" s="1068">
        <f t="shared" si="65"/>
        <v>46.952519512500004</v>
      </c>
      <c r="CA25" s="1068">
        <f t="shared" si="66"/>
        <v>46.952519512500004</v>
      </c>
      <c r="CB25" s="1068">
        <f t="shared" si="67"/>
        <v>75.124031220000006</v>
      </c>
      <c r="CC25" s="1068">
        <f t="shared" si="68"/>
        <v>75.124031220000006</v>
      </c>
      <c r="CD25" s="1068">
        <f t="shared" si="18"/>
        <v>0</v>
      </c>
      <c r="CE25" s="1068">
        <f t="shared" si="19"/>
        <v>0</v>
      </c>
      <c r="CF25" s="1069">
        <f t="shared" si="20"/>
        <v>0</v>
      </c>
      <c r="CG25" s="599"/>
      <c r="CH25" s="1067">
        <f t="shared" si="69"/>
        <v>3.9538963800000007</v>
      </c>
      <c r="CI25" s="1067">
        <f t="shared" si="70"/>
        <v>3.9538963800000007</v>
      </c>
      <c r="CJ25" s="1068">
        <f t="shared" si="71"/>
        <v>9.8847409500000012</v>
      </c>
      <c r="CK25" s="1068">
        <f t="shared" si="72"/>
        <v>9.8847409500000012</v>
      </c>
      <c r="CL25" s="1068">
        <f t="shared" si="73"/>
        <v>15.815585520000003</v>
      </c>
      <c r="CM25" s="1068">
        <f t="shared" si="74"/>
        <v>15.815585520000003</v>
      </c>
      <c r="CN25" s="1068">
        <f t="shared" si="75"/>
        <v>2.1966091000000003</v>
      </c>
      <c r="CO25" s="1068">
        <f t="shared" si="76"/>
        <v>2.1966091000000003</v>
      </c>
      <c r="CP25" s="1068">
        <f t="shared" si="77"/>
        <v>5.4915227500000006</v>
      </c>
      <c r="CQ25" s="1069">
        <f t="shared" si="78"/>
        <v>5.4915227500000006</v>
      </c>
      <c r="CR25" s="1069">
        <f t="shared" si="79"/>
        <v>8.7864364000000013</v>
      </c>
      <c r="CS25" s="1069">
        <f t="shared" si="80"/>
        <v>8.7864364000000013</v>
      </c>
      <c r="CV25" s="345">
        <v>1975</v>
      </c>
      <c r="CW25" s="1097">
        <f>SUM('POSF Inventory'!HF30,'POSF Inventory'!HH30,'POSF Inventory'!HJ30)*$CY$1</f>
        <v>5.5862324699999997</v>
      </c>
      <c r="CX25" s="1098">
        <f>SUM('POSF Inventory'!HG30,'POSF Inventory'!HI30,'POSF Inventory'!HK30)*$CY$2</f>
        <v>5.5994543219999997</v>
      </c>
      <c r="CY25" s="1097">
        <f>SUM('POSF Inventory'!HL30,'POSF Inventory'!HN30,'POSF Inventory'!HP30)*$CY$1</f>
        <v>7.9067171153750007</v>
      </c>
      <c r="CZ25" s="1098">
        <f>SUM('POSF Inventory'!HM30,'POSF Inventory'!HO30,'POSF Inventory'!HQ30)*$CY$2</f>
        <v>24.21286777525</v>
      </c>
      <c r="DA25" s="1097">
        <f>SUM('POSF Inventory'!HR30,'POSF Inventory'!HT30,'POSF Inventory'!HV30)*$CY$3</f>
        <v>2.163789031857025</v>
      </c>
      <c r="DB25" s="1098">
        <f>SUM('POSF Inventory'!HS30,'POSF Inventory'!HU30,'POSF Inventory'!HW30)*$CY$4</f>
        <v>47.222946883510126</v>
      </c>
      <c r="DC25" s="1046">
        <f t="shared" si="81"/>
        <v>15.656738617232026</v>
      </c>
      <c r="DD25" s="1050">
        <f t="shared" si="82"/>
        <v>77.035268980760122</v>
      </c>
      <c r="DI25" s="345">
        <v>259</v>
      </c>
      <c r="DJ25" s="1041">
        <v>229.54565095000001</v>
      </c>
    </row>
    <row r="26" spans="2:114" x14ac:dyDescent="0.2">
      <c r="B26" s="345">
        <v>1976</v>
      </c>
      <c r="C26" s="774">
        <f>SUM('POSF Inventory'!FF31,'POSF Inventory'!FH31)</f>
        <v>321.65325458750004</v>
      </c>
      <c r="D26" s="774">
        <f>SUM('POSF Inventory'!FB31,'POSF Inventory'!FD31)</f>
        <v>263.17084466250003</v>
      </c>
      <c r="E26" s="774">
        <f>SUM('POSF Inventory'!FC31,'POSF Inventory'!FE31)</f>
        <v>263.17084466250003</v>
      </c>
      <c r="F26" s="774">
        <f>SUM('POSF Inventory'!FB31,'POSF Inventory'!FD31,'POSF Inventory'!J31)</f>
        <v>263.17084466250003</v>
      </c>
      <c r="G26" s="774">
        <f>SUM('POSF Inventory'!FC31,'POSF Inventory'!FE31,'POSF Inventory'!K31)</f>
        <v>263.17084466250003</v>
      </c>
      <c r="H26" s="1106">
        <f>SUM('POSF Inventory'!DL31,'POSF Inventory'!DN31)</f>
        <v>30.780215750000004</v>
      </c>
      <c r="I26" s="1041">
        <f>SUM('POSF Inventory'!DM31,'POSF Inventory'!DO31)</f>
        <v>30.780215750000004</v>
      </c>
      <c r="J26" s="592"/>
      <c r="K26" s="1046">
        <f t="shared" si="0"/>
        <v>32.165325458750004</v>
      </c>
      <c r="L26" s="1047">
        <f t="shared" si="1"/>
        <v>289.48792912875007</v>
      </c>
      <c r="M26" s="1046">
        <f t="shared" si="2"/>
        <v>160.82662729375002</v>
      </c>
      <c r="N26" s="1047">
        <f t="shared" si="3"/>
        <v>160.82662729375002</v>
      </c>
      <c r="O26" s="1046">
        <f t="shared" si="4"/>
        <v>321.65325458750004</v>
      </c>
      <c r="P26" s="889">
        <f t="shared" si="5"/>
        <v>0</v>
      </c>
      <c r="Q26" s="1048"/>
      <c r="R26" s="889">
        <f t="shared" si="21"/>
        <v>26.317084466250005</v>
      </c>
      <c r="S26" s="889">
        <f t="shared" si="22"/>
        <v>26.317084466250005</v>
      </c>
      <c r="T26" s="1047">
        <f t="shared" si="23"/>
        <v>236.85376019625002</v>
      </c>
      <c r="U26" s="1047">
        <f t="shared" si="24"/>
        <v>236.85376019625002</v>
      </c>
      <c r="V26" s="1046">
        <f t="shared" si="25"/>
        <v>131.58542233125002</v>
      </c>
      <c r="W26" s="1046">
        <f t="shared" si="26"/>
        <v>131.58542233125002</v>
      </c>
      <c r="X26" s="1047">
        <f t="shared" si="27"/>
        <v>131.58542233125002</v>
      </c>
      <c r="Y26" s="1047">
        <f t="shared" si="28"/>
        <v>131.58542233125002</v>
      </c>
      <c r="Z26" s="1049">
        <f t="shared" si="29"/>
        <v>263.17084466250003</v>
      </c>
      <c r="AA26" s="1049">
        <f t="shared" si="30"/>
        <v>263.17084466250003</v>
      </c>
      <c r="AB26" s="1050">
        <f t="shared" si="31"/>
        <v>0</v>
      </c>
      <c r="AC26" s="1050">
        <f t="shared" si="32"/>
        <v>0</v>
      </c>
      <c r="AD26" s="898"/>
      <c r="AE26" s="1046">
        <f t="shared" si="33"/>
        <v>58.482409925000013</v>
      </c>
      <c r="AF26" s="1046">
        <f t="shared" si="34"/>
        <v>58.482409925000013</v>
      </c>
      <c r="AG26" s="1046">
        <f t="shared" si="35"/>
        <v>526.34168932500006</v>
      </c>
      <c r="AH26" s="889">
        <f t="shared" si="36"/>
        <v>526.34168932500006</v>
      </c>
      <c r="AI26" s="889">
        <f t="shared" si="37"/>
        <v>292.41204962500001</v>
      </c>
      <c r="AJ26" s="889">
        <f t="shared" si="38"/>
        <v>292.41204962500001</v>
      </c>
      <c r="AK26" s="889">
        <f t="shared" si="39"/>
        <v>292.41204962500001</v>
      </c>
      <c r="AL26" s="889">
        <f t="shared" si="40"/>
        <v>292.41204962500001</v>
      </c>
      <c r="AM26" s="889">
        <f t="shared" si="41"/>
        <v>584.82409925000002</v>
      </c>
      <c r="AN26" s="1050">
        <f t="shared" si="42"/>
        <v>584.82409925000002</v>
      </c>
      <c r="AO26" s="1050">
        <f t="shared" si="43"/>
        <v>0</v>
      </c>
      <c r="AP26" s="1050">
        <f t="shared" si="44"/>
        <v>0</v>
      </c>
      <c r="AR26" s="1067">
        <f t="shared" si="45"/>
        <v>105.26833786500002</v>
      </c>
      <c r="AS26" s="1067">
        <f t="shared" si="46"/>
        <v>105.26833786500002</v>
      </c>
      <c r="AT26" s="1068">
        <f t="shared" si="47"/>
        <v>263.17084466250003</v>
      </c>
      <c r="AU26" s="1068">
        <f t="shared" si="48"/>
        <v>263.17084466250003</v>
      </c>
      <c r="AV26" s="1068">
        <f t="shared" si="49"/>
        <v>421.07335146000008</v>
      </c>
      <c r="AW26" s="1068">
        <f t="shared" si="50"/>
        <v>421.07335146000008</v>
      </c>
      <c r="AX26" s="1068">
        <f t="shared" si="51"/>
        <v>58.482409925000006</v>
      </c>
      <c r="AY26" s="1068">
        <f t="shared" si="52"/>
        <v>58.482409925000006</v>
      </c>
      <c r="AZ26" s="1068">
        <f t="shared" si="53"/>
        <v>146.2060248125</v>
      </c>
      <c r="BA26" s="1068">
        <f t="shared" si="54"/>
        <v>146.2060248125</v>
      </c>
      <c r="BB26" s="1068">
        <f t="shared" si="55"/>
        <v>233.92963970000002</v>
      </c>
      <c r="BC26" s="1068">
        <f t="shared" si="56"/>
        <v>233.92963970000002</v>
      </c>
      <c r="BD26" s="1068">
        <f t="shared" si="6"/>
        <v>0</v>
      </c>
      <c r="BE26" s="1068">
        <f t="shared" si="7"/>
        <v>0</v>
      </c>
      <c r="BF26" s="1069">
        <f t="shared" si="8"/>
        <v>0</v>
      </c>
      <c r="BH26" s="1067">
        <f t="shared" si="9"/>
        <v>57.897585825750014</v>
      </c>
      <c r="BI26" s="1068">
        <f t="shared" si="10"/>
        <v>144.74396456437503</v>
      </c>
      <c r="BJ26" s="1068">
        <f t="shared" si="11"/>
        <v>231.59034330300005</v>
      </c>
      <c r="BK26" s="1068">
        <f t="shared" si="12"/>
        <v>32.165325458750004</v>
      </c>
      <c r="BL26" s="1068">
        <f t="shared" si="13"/>
        <v>80.413313646875011</v>
      </c>
      <c r="BM26" s="1068">
        <f t="shared" si="14"/>
        <v>128.66130183500002</v>
      </c>
      <c r="BN26" s="1068">
        <f t="shared" si="15"/>
        <v>0</v>
      </c>
      <c r="BO26" s="1068">
        <f t="shared" si="16"/>
        <v>0</v>
      </c>
      <c r="BP26" s="1069">
        <f t="shared" si="17"/>
        <v>0</v>
      </c>
      <c r="BR26" s="1067">
        <f t="shared" si="57"/>
        <v>47.370752039250007</v>
      </c>
      <c r="BS26" s="1067">
        <f t="shared" si="58"/>
        <v>47.370752039250007</v>
      </c>
      <c r="BT26" s="1068">
        <f t="shared" si="59"/>
        <v>118.42688009812501</v>
      </c>
      <c r="BU26" s="1068">
        <f t="shared" si="60"/>
        <v>118.42688009812501</v>
      </c>
      <c r="BV26" s="1068">
        <f t="shared" si="61"/>
        <v>189.48300815700003</v>
      </c>
      <c r="BW26" s="1068">
        <f t="shared" si="62"/>
        <v>189.48300815700003</v>
      </c>
      <c r="BX26" s="1068">
        <f t="shared" si="63"/>
        <v>26.317084466250005</v>
      </c>
      <c r="BY26" s="1068">
        <f t="shared" si="64"/>
        <v>26.317084466250005</v>
      </c>
      <c r="BZ26" s="1068">
        <f t="shared" si="65"/>
        <v>65.792711165625008</v>
      </c>
      <c r="CA26" s="1068">
        <f t="shared" si="66"/>
        <v>65.792711165625008</v>
      </c>
      <c r="CB26" s="1068">
        <f t="shared" si="67"/>
        <v>105.26833786500002</v>
      </c>
      <c r="CC26" s="1068">
        <f t="shared" si="68"/>
        <v>105.26833786500002</v>
      </c>
      <c r="CD26" s="1068">
        <f t="shared" si="18"/>
        <v>0</v>
      </c>
      <c r="CE26" s="1068">
        <f t="shared" si="19"/>
        <v>0</v>
      </c>
      <c r="CF26" s="1069">
        <f t="shared" si="20"/>
        <v>0</v>
      </c>
      <c r="CG26" s="599"/>
      <c r="CH26" s="1067">
        <f t="shared" si="69"/>
        <v>5.5404388350000007</v>
      </c>
      <c r="CI26" s="1067">
        <f t="shared" si="70"/>
        <v>5.5404388350000007</v>
      </c>
      <c r="CJ26" s="1068">
        <f t="shared" si="71"/>
        <v>13.851097087500001</v>
      </c>
      <c r="CK26" s="1068">
        <f t="shared" si="72"/>
        <v>13.851097087500001</v>
      </c>
      <c r="CL26" s="1068">
        <f t="shared" si="73"/>
        <v>22.161755340000003</v>
      </c>
      <c r="CM26" s="1068">
        <f t="shared" si="74"/>
        <v>22.161755340000003</v>
      </c>
      <c r="CN26" s="1068">
        <f t="shared" si="75"/>
        <v>3.0780215750000006</v>
      </c>
      <c r="CO26" s="1068">
        <f t="shared" si="76"/>
        <v>3.0780215750000006</v>
      </c>
      <c r="CP26" s="1068">
        <f t="shared" si="77"/>
        <v>7.6950539375000009</v>
      </c>
      <c r="CQ26" s="1069">
        <f t="shared" si="78"/>
        <v>7.6950539375000009</v>
      </c>
      <c r="CR26" s="1069">
        <f t="shared" si="79"/>
        <v>12.312086300000002</v>
      </c>
      <c r="CS26" s="1069">
        <f t="shared" si="80"/>
        <v>12.312086300000002</v>
      </c>
      <c r="CV26" s="345">
        <v>1976</v>
      </c>
      <c r="CW26" s="1097">
        <f>SUM('POSF Inventory'!HF31,'POSF Inventory'!HH31,'POSF Inventory'!HJ31)*$CY$1</f>
        <v>7.8277669274999999</v>
      </c>
      <c r="CX26" s="1098">
        <f>SUM('POSF Inventory'!HG31,'POSF Inventory'!HI31,'POSF Inventory'!HK31)*$CY$2</f>
        <v>7.8462941864999998</v>
      </c>
      <c r="CY26" s="1097">
        <f>SUM('POSF Inventory'!HL31,'POSF Inventory'!HN31,'POSF Inventory'!HP31)*$CY$1</f>
        <v>10.778007395187499</v>
      </c>
      <c r="CZ26" s="1098">
        <f>SUM('POSF Inventory'!HM31,'POSF Inventory'!HO31,'POSF Inventory'!HQ31)*$CY$2</f>
        <v>30.907772289624997</v>
      </c>
      <c r="DA26" s="1097">
        <f>SUM('POSF Inventory'!HR31,'POSF Inventory'!HT31,'POSF Inventory'!HV31)*$CY$3</f>
        <v>2.8470904978435128</v>
      </c>
      <c r="DB26" s="1098">
        <f>SUM('POSF Inventory'!HS31,'POSF Inventory'!HU31,'POSF Inventory'!HW31)*$CY$4</f>
        <v>58.046790425583517</v>
      </c>
      <c r="DC26" s="1046">
        <f t="shared" si="81"/>
        <v>21.452864820531012</v>
      </c>
      <c r="DD26" s="1050">
        <f t="shared" si="82"/>
        <v>96.800856901708514</v>
      </c>
      <c r="DI26" s="345">
        <v>364</v>
      </c>
      <c r="DJ26" s="1041">
        <v>321.65325458750004</v>
      </c>
    </row>
    <row r="27" spans="2:114" x14ac:dyDescent="0.2">
      <c r="B27" s="345">
        <v>1977</v>
      </c>
      <c r="C27" s="774">
        <f>SUM('POSF Inventory'!FF32,'POSF Inventory'!FH32)</f>
        <v>413.27861946249999</v>
      </c>
      <c r="D27" s="774">
        <f>SUM('POSF Inventory'!FB32,'POSF Inventory'!FD32)</f>
        <v>338.13705228749996</v>
      </c>
      <c r="E27" s="774">
        <f>SUM('POSF Inventory'!FC32,'POSF Inventory'!FE32)</f>
        <v>338.13705228749996</v>
      </c>
      <c r="F27" s="774">
        <f>SUM('POSF Inventory'!FB32,'POSF Inventory'!FD32,'POSF Inventory'!J32)</f>
        <v>338.13705228749996</v>
      </c>
      <c r="G27" s="774">
        <f>SUM('POSF Inventory'!FC32,'POSF Inventory'!FE32,'POSF Inventory'!K32)</f>
        <v>338.13705228749996</v>
      </c>
      <c r="H27" s="1106">
        <f>SUM('POSF Inventory'!DL32,'POSF Inventory'!DN32)</f>
        <v>39.548193249999997</v>
      </c>
      <c r="I27" s="1041">
        <f>SUM('POSF Inventory'!DM32,'POSF Inventory'!DO32)</f>
        <v>39.548193249999997</v>
      </c>
      <c r="J27" s="592"/>
      <c r="K27" s="1046">
        <f t="shared" si="0"/>
        <v>41.327861946250003</v>
      </c>
      <c r="L27" s="1047">
        <f t="shared" si="1"/>
        <v>371.95075751625001</v>
      </c>
      <c r="M27" s="1046">
        <f t="shared" si="2"/>
        <v>206.63930973124999</v>
      </c>
      <c r="N27" s="1047">
        <f t="shared" si="3"/>
        <v>206.63930973124999</v>
      </c>
      <c r="O27" s="1046">
        <f t="shared" si="4"/>
        <v>413.27861946249999</v>
      </c>
      <c r="P27" s="889">
        <f t="shared" si="5"/>
        <v>0</v>
      </c>
      <c r="Q27" s="1048"/>
      <c r="R27" s="889">
        <f t="shared" si="21"/>
        <v>33.813705228749996</v>
      </c>
      <c r="S27" s="889">
        <f t="shared" si="22"/>
        <v>33.813705228749996</v>
      </c>
      <c r="T27" s="1047">
        <f t="shared" si="23"/>
        <v>304.32334705874996</v>
      </c>
      <c r="U27" s="1047">
        <f t="shared" si="24"/>
        <v>304.32334705874996</v>
      </c>
      <c r="V27" s="1046">
        <f t="shared" si="25"/>
        <v>169.06852614374998</v>
      </c>
      <c r="W27" s="1046">
        <f t="shared" si="26"/>
        <v>169.06852614374998</v>
      </c>
      <c r="X27" s="1047">
        <f t="shared" si="27"/>
        <v>169.06852614374998</v>
      </c>
      <c r="Y27" s="1047">
        <f t="shared" si="28"/>
        <v>169.06852614374998</v>
      </c>
      <c r="Z27" s="1049">
        <f t="shared" si="29"/>
        <v>338.13705228749996</v>
      </c>
      <c r="AA27" s="1049">
        <f t="shared" si="30"/>
        <v>338.13705228749996</v>
      </c>
      <c r="AB27" s="1050">
        <f t="shared" si="31"/>
        <v>0</v>
      </c>
      <c r="AC27" s="1050">
        <f t="shared" si="32"/>
        <v>0</v>
      </c>
      <c r="AD27" s="898"/>
      <c r="AE27" s="1046">
        <f t="shared" si="33"/>
        <v>75.141567175000006</v>
      </c>
      <c r="AF27" s="1046">
        <f t="shared" si="34"/>
        <v>75.141567175000006</v>
      </c>
      <c r="AG27" s="1046">
        <f t="shared" si="35"/>
        <v>676.27410457499991</v>
      </c>
      <c r="AH27" s="889">
        <f t="shared" si="36"/>
        <v>676.27410457499991</v>
      </c>
      <c r="AI27" s="889">
        <f t="shared" si="37"/>
        <v>375.707835875</v>
      </c>
      <c r="AJ27" s="889">
        <f t="shared" si="38"/>
        <v>375.707835875</v>
      </c>
      <c r="AK27" s="889">
        <f t="shared" si="39"/>
        <v>375.707835875</v>
      </c>
      <c r="AL27" s="889">
        <f t="shared" si="40"/>
        <v>375.707835875</v>
      </c>
      <c r="AM27" s="889">
        <f t="shared" si="41"/>
        <v>751.41567175</v>
      </c>
      <c r="AN27" s="1050">
        <f t="shared" si="42"/>
        <v>751.41567175</v>
      </c>
      <c r="AO27" s="1050">
        <f t="shared" si="43"/>
        <v>0</v>
      </c>
      <c r="AP27" s="1050">
        <f t="shared" si="44"/>
        <v>0</v>
      </c>
      <c r="AR27" s="1067">
        <f t="shared" si="45"/>
        <v>135.25482091499998</v>
      </c>
      <c r="AS27" s="1067">
        <f t="shared" si="46"/>
        <v>135.25482091499998</v>
      </c>
      <c r="AT27" s="1068">
        <f t="shared" si="47"/>
        <v>338.13705228749996</v>
      </c>
      <c r="AU27" s="1068">
        <f t="shared" si="48"/>
        <v>338.13705228749996</v>
      </c>
      <c r="AV27" s="1068">
        <f t="shared" si="49"/>
        <v>541.01928365999993</v>
      </c>
      <c r="AW27" s="1068">
        <f t="shared" si="50"/>
        <v>541.01928365999993</v>
      </c>
      <c r="AX27" s="1068">
        <f t="shared" si="51"/>
        <v>75.141567175000006</v>
      </c>
      <c r="AY27" s="1068">
        <f t="shared" si="52"/>
        <v>75.141567175000006</v>
      </c>
      <c r="AZ27" s="1068">
        <f t="shared" si="53"/>
        <v>187.8539179375</v>
      </c>
      <c r="BA27" s="1068">
        <f t="shared" si="54"/>
        <v>187.8539179375</v>
      </c>
      <c r="BB27" s="1068">
        <f t="shared" si="55"/>
        <v>300.56626870000002</v>
      </c>
      <c r="BC27" s="1068">
        <f t="shared" si="56"/>
        <v>300.56626870000002</v>
      </c>
      <c r="BD27" s="1068">
        <f t="shared" si="6"/>
        <v>0</v>
      </c>
      <c r="BE27" s="1068">
        <f t="shared" si="7"/>
        <v>0</v>
      </c>
      <c r="BF27" s="1069">
        <f t="shared" si="8"/>
        <v>0</v>
      </c>
      <c r="BH27" s="1067">
        <f t="shared" si="9"/>
        <v>74.39015150325001</v>
      </c>
      <c r="BI27" s="1068">
        <f t="shared" si="10"/>
        <v>185.975378758125</v>
      </c>
      <c r="BJ27" s="1068">
        <f t="shared" si="11"/>
        <v>297.56060601300004</v>
      </c>
      <c r="BK27" s="1068">
        <f t="shared" si="12"/>
        <v>41.327861946250003</v>
      </c>
      <c r="BL27" s="1068">
        <f t="shared" si="13"/>
        <v>103.319654865625</v>
      </c>
      <c r="BM27" s="1068">
        <f t="shared" si="14"/>
        <v>165.31144778500001</v>
      </c>
      <c r="BN27" s="1068">
        <f t="shared" si="15"/>
        <v>0</v>
      </c>
      <c r="BO27" s="1068">
        <f t="shared" si="16"/>
        <v>0</v>
      </c>
      <c r="BP27" s="1069">
        <f t="shared" si="17"/>
        <v>0</v>
      </c>
      <c r="BR27" s="1067">
        <f t="shared" si="57"/>
        <v>60.864669411749993</v>
      </c>
      <c r="BS27" s="1067">
        <f t="shared" si="58"/>
        <v>60.864669411749993</v>
      </c>
      <c r="BT27" s="1068">
        <f t="shared" si="59"/>
        <v>152.16167352937498</v>
      </c>
      <c r="BU27" s="1068">
        <f t="shared" si="60"/>
        <v>152.16167352937498</v>
      </c>
      <c r="BV27" s="1068">
        <f t="shared" si="61"/>
        <v>243.45867764699997</v>
      </c>
      <c r="BW27" s="1068">
        <f t="shared" si="62"/>
        <v>243.45867764699997</v>
      </c>
      <c r="BX27" s="1068">
        <f t="shared" si="63"/>
        <v>33.813705228749996</v>
      </c>
      <c r="BY27" s="1068">
        <f t="shared" si="64"/>
        <v>33.813705228749996</v>
      </c>
      <c r="BZ27" s="1068">
        <f t="shared" si="65"/>
        <v>84.534263071874989</v>
      </c>
      <c r="CA27" s="1068">
        <f t="shared" si="66"/>
        <v>84.534263071874989</v>
      </c>
      <c r="CB27" s="1068">
        <f t="shared" si="67"/>
        <v>135.25482091499998</v>
      </c>
      <c r="CC27" s="1068">
        <f t="shared" si="68"/>
        <v>135.25482091499998</v>
      </c>
      <c r="CD27" s="1068">
        <f t="shared" si="18"/>
        <v>0</v>
      </c>
      <c r="CE27" s="1068">
        <f t="shared" si="19"/>
        <v>0</v>
      </c>
      <c r="CF27" s="1069">
        <f t="shared" si="20"/>
        <v>0</v>
      </c>
      <c r="CG27" s="599"/>
      <c r="CH27" s="1067">
        <f t="shared" si="69"/>
        <v>7.1186747850000005</v>
      </c>
      <c r="CI27" s="1067">
        <f t="shared" si="70"/>
        <v>7.1186747850000005</v>
      </c>
      <c r="CJ27" s="1068">
        <f t="shared" si="71"/>
        <v>17.796686962500001</v>
      </c>
      <c r="CK27" s="1068">
        <f t="shared" si="72"/>
        <v>17.796686962500001</v>
      </c>
      <c r="CL27" s="1068">
        <f t="shared" si="73"/>
        <v>28.474699140000002</v>
      </c>
      <c r="CM27" s="1068">
        <f t="shared" si="74"/>
        <v>28.474699140000002</v>
      </c>
      <c r="CN27" s="1068">
        <f t="shared" si="75"/>
        <v>3.9548193249999999</v>
      </c>
      <c r="CO27" s="1068">
        <f t="shared" si="76"/>
        <v>3.9548193249999999</v>
      </c>
      <c r="CP27" s="1068">
        <f t="shared" si="77"/>
        <v>9.8870483124999993</v>
      </c>
      <c r="CQ27" s="1069">
        <f t="shared" si="78"/>
        <v>9.8870483124999993</v>
      </c>
      <c r="CR27" s="1069">
        <f t="shared" si="79"/>
        <v>15.8192773</v>
      </c>
      <c r="CS27" s="1069">
        <f t="shared" si="80"/>
        <v>15.8192773</v>
      </c>
      <c r="CV27" s="345">
        <v>1977</v>
      </c>
      <c r="CW27" s="1097">
        <f>SUM('POSF Inventory'!HF32,'POSF Inventory'!HH32,'POSF Inventory'!HJ32)*$CY$1</f>
        <v>10.057565602499999</v>
      </c>
      <c r="CX27" s="1098">
        <f>SUM('POSF Inventory'!HG32,'POSF Inventory'!HI32,'POSF Inventory'!HK32)*$CY$2</f>
        <v>10.0813704915</v>
      </c>
      <c r="CY27" s="1097">
        <f>SUM('POSF Inventory'!HL32,'POSF Inventory'!HN32,'POSF Inventory'!HP32)*$CY$1</f>
        <v>13.956234165250001</v>
      </c>
      <c r="CZ27" s="1098">
        <f>SUM('POSF Inventory'!HM32,'POSF Inventory'!HO32,'POSF Inventory'!HQ32)*$CY$2</f>
        <v>40.794939762499993</v>
      </c>
      <c r="DA27" s="1097">
        <f>SUM('POSF Inventory'!HR32,'POSF Inventory'!HT32,'POSF Inventory'!HV32)*$CY$3</f>
        <v>3.7208999671338505</v>
      </c>
      <c r="DB27" s="1098">
        <f>SUM('POSF Inventory'!HS32,'POSF Inventory'!HU32,'POSF Inventory'!HW32)*$CY$4</f>
        <v>75.329748676960818</v>
      </c>
      <c r="DC27" s="1046">
        <f t="shared" si="81"/>
        <v>27.734699734883851</v>
      </c>
      <c r="DD27" s="1050">
        <f t="shared" si="82"/>
        <v>126.20605893096081</v>
      </c>
      <c r="DI27" s="345">
        <v>467</v>
      </c>
      <c r="DJ27" s="1041">
        <v>413.27861946249999</v>
      </c>
    </row>
    <row r="28" spans="2:114" x14ac:dyDescent="0.2">
      <c r="B28" s="345">
        <v>1978</v>
      </c>
      <c r="C28" s="774">
        <f>SUM('POSF Inventory'!FF33,'POSF Inventory'!FH33)</f>
        <v>505.3862231</v>
      </c>
      <c r="D28" s="774">
        <f>SUM('POSF Inventory'!FB33,'POSF Inventory'!FD33)</f>
        <v>413.49781889999997</v>
      </c>
      <c r="E28" s="774">
        <f>SUM('POSF Inventory'!FC33,'POSF Inventory'!FE33)</f>
        <v>413.49781889999997</v>
      </c>
      <c r="F28" s="774">
        <f>SUM('POSF Inventory'!FB33,'POSF Inventory'!FD33,'POSF Inventory'!J33)</f>
        <v>413.49781889999997</v>
      </c>
      <c r="G28" s="774">
        <f>SUM('POSF Inventory'!FC33,'POSF Inventory'!FE33,'POSF Inventory'!K33)</f>
        <v>413.49781889999997</v>
      </c>
      <c r="H28" s="1106">
        <f>SUM('POSF Inventory'!DL33,'POSF Inventory'!DN33)</f>
        <v>48.362318000000002</v>
      </c>
      <c r="I28" s="1041">
        <f>SUM('POSF Inventory'!DM33,'POSF Inventory'!DO33)</f>
        <v>48.362318000000002</v>
      </c>
      <c r="J28" s="592"/>
      <c r="K28" s="1046">
        <f t="shared" si="0"/>
        <v>50.538622310000001</v>
      </c>
      <c r="L28" s="1047">
        <f t="shared" si="1"/>
        <v>454.84760079</v>
      </c>
      <c r="M28" s="1046">
        <f t="shared" si="2"/>
        <v>252.69311155</v>
      </c>
      <c r="N28" s="1047">
        <f t="shared" si="3"/>
        <v>252.69311155</v>
      </c>
      <c r="O28" s="1046">
        <f t="shared" si="4"/>
        <v>505.3862231</v>
      </c>
      <c r="P28" s="889">
        <f t="shared" si="5"/>
        <v>0</v>
      </c>
      <c r="Q28" s="1048"/>
      <c r="R28" s="889">
        <f t="shared" si="21"/>
        <v>41.349781890000003</v>
      </c>
      <c r="S28" s="889">
        <f t="shared" si="22"/>
        <v>41.349781890000003</v>
      </c>
      <c r="T28" s="1047">
        <f t="shared" si="23"/>
        <v>372.14803701</v>
      </c>
      <c r="U28" s="1047">
        <f t="shared" si="24"/>
        <v>372.14803701</v>
      </c>
      <c r="V28" s="1046">
        <f t="shared" si="25"/>
        <v>206.74890944999999</v>
      </c>
      <c r="W28" s="1046">
        <f t="shared" si="26"/>
        <v>206.74890944999999</v>
      </c>
      <c r="X28" s="1047">
        <f t="shared" si="27"/>
        <v>206.74890944999999</v>
      </c>
      <c r="Y28" s="1047">
        <f t="shared" si="28"/>
        <v>206.74890944999999</v>
      </c>
      <c r="Z28" s="1049">
        <f t="shared" si="29"/>
        <v>413.49781889999997</v>
      </c>
      <c r="AA28" s="1049">
        <f t="shared" si="30"/>
        <v>413.49781889999997</v>
      </c>
      <c r="AB28" s="1050">
        <f t="shared" si="31"/>
        <v>0</v>
      </c>
      <c r="AC28" s="1050">
        <f t="shared" si="32"/>
        <v>0</v>
      </c>
      <c r="AD28" s="898"/>
      <c r="AE28" s="1046">
        <f t="shared" si="33"/>
        <v>91.888404199999997</v>
      </c>
      <c r="AF28" s="1046">
        <f t="shared" si="34"/>
        <v>91.888404199999997</v>
      </c>
      <c r="AG28" s="1046">
        <f t="shared" si="35"/>
        <v>826.99563779999994</v>
      </c>
      <c r="AH28" s="889">
        <f t="shared" si="36"/>
        <v>826.99563779999994</v>
      </c>
      <c r="AI28" s="889">
        <f t="shared" si="37"/>
        <v>459.44202099999995</v>
      </c>
      <c r="AJ28" s="889">
        <f t="shared" si="38"/>
        <v>459.44202099999995</v>
      </c>
      <c r="AK28" s="889">
        <f t="shared" si="39"/>
        <v>459.44202099999995</v>
      </c>
      <c r="AL28" s="889">
        <f t="shared" si="40"/>
        <v>459.44202099999995</v>
      </c>
      <c r="AM28" s="889">
        <f t="shared" si="41"/>
        <v>918.88404199999991</v>
      </c>
      <c r="AN28" s="1050">
        <f t="shared" si="42"/>
        <v>918.88404199999991</v>
      </c>
      <c r="AO28" s="1050">
        <f t="shared" si="43"/>
        <v>0</v>
      </c>
      <c r="AP28" s="1050">
        <f t="shared" si="44"/>
        <v>0</v>
      </c>
      <c r="AR28" s="1067">
        <f t="shared" si="45"/>
        <v>165.39912756000001</v>
      </c>
      <c r="AS28" s="1067">
        <f t="shared" si="46"/>
        <v>165.39912756000001</v>
      </c>
      <c r="AT28" s="1068">
        <f t="shared" si="47"/>
        <v>413.49781889999997</v>
      </c>
      <c r="AU28" s="1068">
        <f t="shared" si="48"/>
        <v>413.49781889999997</v>
      </c>
      <c r="AV28" s="1068">
        <f t="shared" si="49"/>
        <v>661.59651024000004</v>
      </c>
      <c r="AW28" s="1068">
        <f t="shared" si="50"/>
        <v>661.59651024000004</v>
      </c>
      <c r="AX28" s="1068">
        <f t="shared" si="51"/>
        <v>91.888404199999997</v>
      </c>
      <c r="AY28" s="1068">
        <f t="shared" si="52"/>
        <v>91.888404199999997</v>
      </c>
      <c r="AZ28" s="1068">
        <f t="shared" si="53"/>
        <v>229.72101049999998</v>
      </c>
      <c r="BA28" s="1068">
        <f t="shared" si="54"/>
        <v>229.72101049999998</v>
      </c>
      <c r="BB28" s="1068">
        <f t="shared" si="55"/>
        <v>367.55361679999999</v>
      </c>
      <c r="BC28" s="1068">
        <f t="shared" si="56"/>
        <v>367.55361679999999</v>
      </c>
      <c r="BD28" s="1068">
        <f t="shared" si="6"/>
        <v>0</v>
      </c>
      <c r="BE28" s="1068">
        <f t="shared" si="7"/>
        <v>0</v>
      </c>
      <c r="BF28" s="1069">
        <f t="shared" si="8"/>
        <v>0</v>
      </c>
      <c r="BH28" s="1067">
        <f t="shared" si="9"/>
        <v>90.969520158000009</v>
      </c>
      <c r="BI28" s="1068">
        <f t="shared" si="10"/>
        <v>227.423800395</v>
      </c>
      <c r="BJ28" s="1068">
        <f t="shared" si="11"/>
        <v>363.87808063200004</v>
      </c>
      <c r="BK28" s="1068">
        <f t="shared" si="12"/>
        <v>50.538622310000001</v>
      </c>
      <c r="BL28" s="1068">
        <f t="shared" si="13"/>
        <v>126.346555775</v>
      </c>
      <c r="BM28" s="1068">
        <f t="shared" si="14"/>
        <v>202.15448924</v>
      </c>
      <c r="BN28" s="1068">
        <f t="shared" si="15"/>
        <v>0</v>
      </c>
      <c r="BO28" s="1068">
        <f t="shared" si="16"/>
        <v>0</v>
      </c>
      <c r="BP28" s="1069">
        <f t="shared" si="17"/>
        <v>0</v>
      </c>
      <c r="BR28" s="1067">
        <f t="shared" si="57"/>
        <v>74.429607402000002</v>
      </c>
      <c r="BS28" s="1067">
        <f t="shared" si="58"/>
        <v>74.429607402000002</v>
      </c>
      <c r="BT28" s="1068">
        <f t="shared" si="59"/>
        <v>186.074018505</v>
      </c>
      <c r="BU28" s="1068">
        <f t="shared" si="60"/>
        <v>186.074018505</v>
      </c>
      <c r="BV28" s="1068">
        <f t="shared" si="61"/>
        <v>297.71842960800001</v>
      </c>
      <c r="BW28" s="1068">
        <f t="shared" si="62"/>
        <v>297.71842960800001</v>
      </c>
      <c r="BX28" s="1068">
        <f t="shared" si="63"/>
        <v>41.349781890000003</v>
      </c>
      <c r="BY28" s="1068">
        <f t="shared" si="64"/>
        <v>41.349781890000003</v>
      </c>
      <c r="BZ28" s="1068">
        <f t="shared" si="65"/>
        <v>103.37445472499999</v>
      </c>
      <c r="CA28" s="1068">
        <f t="shared" si="66"/>
        <v>103.37445472499999</v>
      </c>
      <c r="CB28" s="1068">
        <f t="shared" si="67"/>
        <v>165.39912756000001</v>
      </c>
      <c r="CC28" s="1068">
        <f t="shared" si="68"/>
        <v>165.39912756000001</v>
      </c>
      <c r="CD28" s="1068">
        <f t="shared" si="18"/>
        <v>0</v>
      </c>
      <c r="CE28" s="1068">
        <f t="shared" si="19"/>
        <v>0</v>
      </c>
      <c r="CF28" s="1069">
        <f t="shared" si="20"/>
        <v>0</v>
      </c>
      <c r="CG28" s="599"/>
      <c r="CH28" s="1067">
        <f t="shared" si="69"/>
        <v>8.7052172400000014</v>
      </c>
      <c r="CI28" s="1067">
        <f t="shared" si="70"/>
        <v>8.7052172400000014</v>
      </c>
      <c r="CJ28" s="1068">
        <f t="shared" si="71"/>
        <v>21.763043100000001</v>
      </c>
      <c r="CK28" s="1068">
        <f t="shared" si="72"/>
        <v>21.763043100000001</v>
      </c>
      <c r="CL28" s="1068">
        <f t="shared" si="73"/>
        <v>34.820868960000006</v>
      </c>
      <c r="CM28" s="1068">
        <f t="shared" si="74"/>
        <v>34.820868960000006</v>
      </c>
      <c r="CN28" s="1068">
        <f t="shared" si="75"/>
        <v>4.8362318000000002</v>
      </c>
      <c r="CO28" s="1068">
        <f t="shared" si="76"/>
        <v>4.8362318000000002</v>
      </c>
      <c r="CP28" s="1068">
        <f t="shared" si="77"/>
        <v>12.0905795</v>
      </c>
      <c r="CQ28" s="1069">
        <f t="shared" si="78"/>
        <v>12.0905795</v>
      </c>
      <c r="CR28" s="1069">
        <f t="shared" si="79"/>
        <v>19.344927200000001</v>
      </c>
      <c r="CS28" s="1069">
        <f t="shared" si="80"/>
        <v>19.344927200000001</v>
      </c>
      <c r="CV28" s="345">
        <v>1978</v>
      </c>
      <c r="CW28" s="1097">
        <f>SUM('POSF Inventory'!HF33,'POSF Inventory'!HH33,'POSF Inventory'!HJ33)*$CY$1</f>
        <v>12.299100059999999</v>
      </c>
      <c r="CX28" s="1098">
        <f>SUM('POSF Inventory'!HG33,'POSF Inventory'!HI33,'POSF Inventory'!HK33)*$CY$2</f>
        <v>12.328210356</v>
      </c>
      <c r="CY28" s="1097">
        <f>SUM('POSF Inventory'!HL33,'POSF Inventory'!HN33,'POSF Inventory'!HP33)*$CY$1</f>
        <v>17.147278740312498</v>
      </c>
      <c r="CZ28" s="1098">
        <f>SUM('POSF Inventory'!HM33,'POSF Inventory'!HO33,'POSF Inventory'!HQ33)*$CY$2</f>
        <v>50.694955378374999</v>
      </c>
      <c r="DA28" s="1097">
        <f>SUM('POSF Inventory'!HR33,'POSF Inventory'!HT33,'POSF Inventory'!HV33)*$CY$3</f>
        <v>4.5975839115906867</v>
      </c>
      <c r="DB28" s="1098">
        <f>SUM('POSF Inventory'!HS33,'POSF Inventory'!HU33,'POSF Inventory'!HW33)*$CY$4</f>
        <v>93.015373708230925</v>
      </c>
      <c r="DC28" s="1046">
        <f t="shared" si="81"/>
        <v>34.043962711903184</v>
      </c>
      <c r="DD28" s="1050">
        <f t="shared" si="82"/>
        <v>156.03853944260592</v>
      </c>
      <c r="DI28" s="345">
        <v>571</v>
      </c>
      <c r="DJ28" s="1041">
        <v>505.3862231</v>
      </c>
    </row>
    <row r="29" spans="2:114" x14ac:dyDescent="0.2">
      <c r="B29" s="345">
        <v>1979</v>
      </c>
      <c r="C29" s="774">
        <f>SUM('POSF Inventory'!FF34,'POSF Inventory'!FH34)</f>
        <v>597.011587975</v>
      </c>
      <c r="D29" s="774">
        <f>SUM('POSF Inventory'!FB34,'POSF Inventory'!FD34)</f>
        <v>488.46402652499995</v>
      </c>
      <c r="E29" s="774">
        <f>SUM('POSF Inventory'!FC34,'POSF Inventory'!FE34)</f>
        <v>488.46402652499995</v>
      </c>
      <c r="F29" s="774">
        <f>SUM('POSF Inventory'!FB34,'POSF Inventory'!FD34,'POSF Inventory'!J34)</f>
        <v>488.46402652499995</v>
      </c>
      <c r="G29" s="774">
        <f>SUM('POSF Inventory'!FC34,'POSF Inventory'!FE34,'POSF Inventory'!K34)</f>
        <v>488.46402652499995</v>
      </c>
      <c r="H29" s="1106">
        <f>SUM('POSF Inventory'!DL34,'POSF Inventory'!DN34)</f>
        <v>57.130295500000003</v>
      </c>
      <c r="I29" s="1041">
        <f>SUM('POSF Inventory'!DM34,'POSF Inventory'!DO34)</f>
        <v>57.130295500000003</v>
      </c>
      <c r="J29" s="592"/>
      <c r="K29" s="1046">
        <f t="shared" si="0"/>
        <v>59.7011587975</v>
      </c>
      <c r="L29" s="1047">
        <f t="shared" si="1"/>
        <v>537.31042917750005</v>
      </c>
      <c r="M29" s="1046">
        <f t="shared" si="2"/>
        <v>298.5057939875</v>
      </c>
      <c r="N29" s="1047">
        <f t="shared" si="3"/>
        <v>298.5057939875</v>
      </c>
      <c r="O29" s="1046">
        <f t="shared" si="4"/>
        <v>597.011587975</v>
      </c>
      <c r="P29" s="889">
        <f t="shared" si="5"/>
        <v>0</v>
      </c>
      <c r="Q29" s="1048"/>
      <c r="R29" s="889">
        <f t="shared" si="21"/>
        <v>48.846402652499997</v>
      </c>
      <c r="S29" s="889">
        <f t="shared" si="22"/>
        <v>48.846402652499997</v>
      </c>
      <c r="T29" s="1047">
        <f t="shared" si="23"/>
        <v>439.61762387249996</v>
      </c>
      <c r="U29" s="1047">
        <f t="shared" si="24"/>
        <v>439.61762387249996</v>
      </c>
      <c r="V29" s="1046">
        <f t="shared" si="25"/>
        <v>244.23201326249998</v>
      </c>
      <c r="W29" s="1046">
        <f t="shared" si="26"/>
        <v>244.23201326249998</v>
      </c>
      <c r="X29" s="1047">
        <f t="shared" si="27"/>
        <v>244.23201326249998</v>
      </c>
      <c r="Y29" s="1047">
        <f t="shared" si="28"/>
        <v>244.23201326249998</v>
      </c>
      <c r="Z29" s="1049">
        <f t="shared" si="29"/>
        <v>488.46402652499995</v>
      </c>
      <c r="AA29" s="1049">
        <f t="shared" si="30"/>
        <v>488.46402652499995</v>
      </c>
      <c r="AB29" s="1050">
        <f t="shared" si="31"/>
        <v>0</v>
      </c>
      <c r="AC29" s="1050">
        <f t="shared" si="32"/>
        <v>0</v>
      </c>
      <c r="AD29" s="898"/>
      <c r="AE29" s="1046">
        <f t="shared" si="33"/>
        <v>108.54756144999999</v>
      </c>
      <c r="AF29" s="1046">
        <f t="shared" si="34"/>
        <v>108.54756144999999</v>
      </c>
      <c r="AG29" s="1046">
        <f t="shared" si="35"/>
        <v>976.92805305000002</v>
      </c>
      <c r="AH29" s="889">
        <f t="shared" si="36"/>
        <v>976.92805305000002</v>
      </c>
      <c r="AI29" s="889">
        <f t="shared" si="37"/>
        <v>542.73780724999995</v>
      </c>
      <c r="AJ29" s="889">
        <f t="shared" si="38"/>
        <v>542.73780724999995</v>
      </c>
      <c r="AK29" s="889">
        <f t="shared" si="39"/>
        <v>542.73780724999995</v>
      </c>
      <c r="AL29" s="889">
        <f t="shared" si="40"/>
        <v>542.73780724999995</v>
      </c>
      <c r="AM29" s="889">
        <f t="shared" si="41"/>
        <v>1085.4756144999999</v>
      </c>
      <c r="AN29" s="1050">
        <f t="shared" si="42"/>
        <v>1085.4756144999999</v>
      </c>
      <c r="AO29" s="1050">
        <f t="shared" si="43"/>
        <v>0</v>
      </c>
      <c r="AP29" s="1050">
        <f t="shared" si="44"/>
        <v>0</v>
      </c>
      <c r="AR29" s="1067">
        <f t="shared" si="45"/>
        <v>195.38561061000001</v>
      </c>
      <c r="AS29" s="1067">
        <f t="shared" si="46"/>
        <v>195.38561061000001</v>
      </c>
      <c r="AT29" s="1068">
        <f t="shared" si="47"/>
        <v>488.46402652500001</v>
      </c>
      <c r="AU29" s="1068">
        <f t="shared" si="48"/>
        <v>488.46402652500001</v>
      </c>
      <c r="AV29" s="1068">
        <f t="shared" si="49"/>
        <v>781.54244244000006</v>
      </c>
      <c r="AW29" s="1068">
        <f t="shared" si="50"/>
        <v>781.54244244000006</v>
      </c>
      <c r="AX29" s="1068">
        <f t="shared" si="51"/>
        <v>108.54756144999999</v>
      </c>
      <c r="AY29" s="1068">
        <f t="shared" si="52"/>
        <v>108.54756144999999</v>
      </c>
      <c r="AZ29" s="1068">
        <f t="shared" si="53"/>
        <v>271.36890362499997</v>
      </c>
      <c r="BA29" s="1068">
        <f t="shared" si="54"/>
        <v>271.36890362499997</v>
      </c>
      <c r="BB29" s="1068">
        <f t="shared" si="55"/>
        <v>434.19024579999996</v>
      </c>
      <c r="BC29" s="1068">
        <f t="shared" si="56"/>
        <v>434.19024579999996</v>
      </c>
      <c r="BD29" s="1068">
        <f t="shared" si="6"/>
        <v>0</v>
      </c>
      <c r="BE29" s="1068">
        <f t="shared" si="7"/>
        <v>0</v>
      </c>
      <c r="BF29" s="1069">
        <f t="shared" si="8"/>
        <v>0</v>
      </c>
      <c r="BH29" s="1067">
        <f t="shared" si="9"/>
        <v>107.46208583550002</v>
      </c>
      <c r="BI29" s="1068">
        <f t="shared" si="10"/>
        <v>268.65521458875003</v>
      </c>
      <c r="BJ29" s="1068">
        <f t="shared" si="11"/>
        <v>429.84834334200008</v>
      </c>
      <c r="BK29" s="1068">
        <f t="shared" si="12"/>
        <v>59.7011587975</v>
      </c>
      <c r="BL29" s="1068">
        <f t="shared" si="13"/>
        <v>149.25289699375</v>
      </c>
      <c r="BM29" s="1068">
        <f t="shared" si="14"/>
        <v>238.80463519</v>
      </c>
      <c r="BN29" s="1068">
        <f t="shared" si="15"/>
        <v>0</v>
      </c>
      <c r="BO29" s="1068">
        <f t="shared" si="16"/>
        <v>0</v>
      </c>
      <c r="BP29" s="1069">
        <f t="shared" si="17"/>
        <v>0</v>
      </c>
      <c r="BR29" s="1067">
        <f t="shared" si="57"/>
        <v>87.923524774499995</v>
      </c>
      <c r="BS29" s="1067">
        <f t="shared" si="58"/>
        <v>87.923524774499995</v>
      </c>
      <c r="BT29" s="1068">
        <f t="shared" si="59"/>
        <v>219.80881193624998</v>
      </c>
      <c r="BU29" s="1068">
        <f t="shared" si="60"/>
        <v>219.80881193624998</v>
      </c>
      <c r="BV29" s="1068">
        <f t="shared" si="61"/>
        <v>351.69409909799998</v>
      </c>
      <c r="BW29" s="1068">
        <f t="shared" si="62"/>
        <v>351.69409909799998</v>
      </c>
      <c r="BX29" s="1068">
        <f t="shared" si="63"/>
        <v>48.846402652499997</v>
      </c>
      <c r="BY29" s="1068">
        <f t="shared" si="64"/>
        <v>48.846402652499997</v>
      </c>
      <c r="BZ29" s="1068">
        <f t="shared" si="65"/>
        <v>122.11600663124999</v>
      </c>
      <c r="CA29" s="1068">
        <f t="shared" si="66"/>
        <v>122.11600663124999</v>
      </c>
      <c r="CB29" s="1068">
        <f t="shared" si="67"/>
        <v>195.38561060999999</v>
      </c>
      <c r="CC29" s="1068">
        <f t="shared" si="68"/>
        <v>195.38561060999999</v>
      </c>
      <c r="CD29" s="1068">
        <f t="shared" si="18"/>
        <v>0</v>
      </c>
      <c r="CE29" s="1068">
        <f t="shared" si="19"/>
        <v>0</v>
      </c>
      <c r="CF29" s="1069">
        <f t="shared" si="20"/>
        <v>0</v>
      </c>
      <c r="CG29" s="599"/>
      <c r="CH29" s="1067">
        <f t="shared" si="69"/>
        <v>10.283453190000001</v>
      </c>
      <c r="CI29" s="1067">
        <f t="shared" si="70"/>
        <v>10.283453190000001</v>
      </c>
      <c r="CJ29" s="1068">
        <f t="shared" si="71"/>
        <v>25.708632975</v>
      </c>
      <c r="CK29" s="1068">
        <f t="shared" si="72"/>
        <v>25.708632975</v>
      </c>
      <c r="CL29" s="1068">
        <f t="shared" si="73"/>
        <v>41.133812760000005</v>
      </c>
      <c r="CM29" s="1068">
        <f t="shared" si="74"/>
        <v>41.133812760000005</v>
      </c>
      <c r="CN29" s="1068">
        <f t="shared" si="75"/>
        <v>5.7130295500000008</v>
      </c>
      <c r="CO29" s="1068">
        <f t="shared" si="76"/>
        <v>5.7130295500000008</v>
      </c>
      <c r="CP29" s="1068">
        <f t="shared" si="77"/>
        <v>14.282573875000001</v>
      </c>
      <c r="CQ29" s="1069">
        <f t="shared" si="78"/>
        <v>14.282573875000001</v>
      </c>
      <c r="CR29" s="1069">
        <f t="shared" si="79"/>
        <v>22.852118200000003</v>
      </c>
      <c r="CS29" s="1069">
        <f t="shared" si="80"/>
        <v>22.852118200000003</v>
      </c>
      <c r="CV29" s="345">
        <v>1979</v>
      </c>
      <c r="CW29" s="1097">
        <f>SUM('POSF Inventory'!HF34,'POSF Inventory'!HH34,'POSF Inventory'!HJ34)*$CY$1</f>
        <v>14.528898735</v>
      </c>
      <c r="CX29" s="1098">
        <f>SUM('POSF Inventory'!HG34,'POSF Inventory'!HI34,'POSF Inventory'!HK34)*$CY$2</f>
        <v>14.563286660999999</v>
      </c>
      <c r="CY29" s="1097">
        <f>SUM('POSF Inventory'!HL34,'POSF Inventory'!HN34,'POSF Inventory'!HP34)*$CY$1</f>
        <v>20.325505510375002</v>
      </c>
      <c r="CZ29" s="1098">
        <f>SUM('POSF Inventory'!HM34,'POSF Inventory'!HO34,'POSF Inventory'!HQ34)*$CY$2</f>
        <v>60.582122851250006</v>
      </c>
      <c r="DA29" s="1097">
        <f>SUM('POSF Inventory'!HR34,'POSF Inventory'!HT34,'POSF Inventory'!HV34)*$CY$3</f>
        <v>5.4726587753938247</v>
      </c>
      <c r="DB29" s="1098">
        <f>SUM('POSF Inventory'!HS34,'POSF Inventory'!HU34,'POSF Inventory'!HW34)*$CY$4</f>
        <v>111.08050394283273</v>
      </c>
      <c r="DC29" s="1046">
        <f t="shared" si="81"/>
        <v>40.327063020768826</v>
      </c>
      <c r="DD29" s="1050">
        <f t="shared" si="82"/>
        <v>186.22591345508275</v>
      </c>
      <c r="DI29" s="345">
        <v>675</v>
      </c>
      <c r="DJ29" s="1041">
        <v>597.011587975</v>
      </c>
    </row>
    <row r="30" spans="2:114" x14ac:dyDescent="0.2">
      <c r="B30" s="345">
        <v>1980</v>
      </c>
      <c r="C30" s="774">
        <f>SUM('POSF Inventory'!FF35,'POSF Inventory'!FH35)</f>
        <v>689.11919161250012</v>
      </c>
      <c r="D30" s="774">
        <f>SUM('POSF Inventory'!FB35,'POSF Inventory'!FD35)</f>
        <v>563.82479313750002</v>
      </c>
      <c r="E30" s="774">
        <f>SUM('POSF Inventory'!FC35,'POSF Inventory'!FE35)</f>
        <v>563.82479313750002</v>
      </c>
      <c r="F30" s="774">
        <f>SUM('POSF Inventory'!FB35,'POSF Inventory'!FD35,'POSF Inventory'!J35)</f>
        <v>563.82479313750002</v>
      </c>
      <c r="G30" s="774">
        <f>SUM('POSF Inventory'!FC35,'POSF Inventory'!FE35,'POSF Inventory'!K35)</f>
        <v>563.82479313750002</v>
      </c>
      <c r="H30" s="1106">
        <f>SUM('POSF Inventory'!DL35,'POSF Inventory'!DN35)</f>
        <v>65.944420250000007</v>
      </c>
      <c r="I30" s="1041">
        <f>SUM('POSF Inventory'!DM35,'POSF Inventory'!DO35)</f>
        <v>65.944420250000007</v>
      </c>
      <c r="J30" s="592"/>
      <c r="K30" s="1046">
        <f t="shared" si="0"/>
        <v>68.911919161250012</v>
      </c>
      <c r="L30" s="1047">
        <f t="shared" si="1"/>
        <v>620.20727245125011</v>
      </c>
      <c r="M30" s="1046">
        <f t="shared" si="2"/>
        <v>344.55959580625006</v>
      </c>
      <c r="N30" s="1047">
        <f t="shared" si="3"/>
        <v>344.55959580625006</v>
      </c>
      <c r="O30" s="1046">
        <f t="shared" si="4"/>
        <v>689.11919161250012</v>
      </c>
      <c r="P30" s="889">
        <f t="shared" si="5"/>
        <v>0</v>
      </c>
      <c r="Q30" s="1048"/>
      <c r="R30" s="889">
        <f t="shared" si="21"/>
        <v>56.382479313750004</v>
      </c>
      <c r="S30" s="889">
        <f t="shared" si="22"/>
        <v>56.382479313750004</v>
      </c>
      <c r="T30" s="1047">
        <f t="shared" si="23"/>
        <v>507.44231382375006</v>
      </c>
      <c r="U30" s="1047">
        <f t="shared" si="24"/>
        <v>507.44231382375006</v>
      </c>
      <c r="V30" s="1046">
        <f t="shared" si="25"/>
        <v>281.91239656875001</v>
      </c>
      <c r="W30" s="1046">
        <f t="shared" si="26"/>
        <v>281.91239656875001</v>
      </c>
      <c r="X30" s="1047">
        <f t="shared" si="27"/>
        <v>281.91239656875001</v>
      </c>
      <c r="Y30" s="1047">
        <f t="shared" si="28"/>
        <v>281.91239656875001</v>
      </c>
      <c r="Z30" s="1049">
        <f t="shared" si="29"/>
        <v>563.82479313750002</v>
      </c>
      <c r="AA30" s="1049">
        <f t="shared" si="30"/>
        <v>563.82479313750002</v>
      </c>
      <c r="AB30" s="1050">
        <f t="shared" si="31"/>
        <v>0</v>
      </c>
      <c r="AC30" s="1050">
        <f t="shared" si="32"/>
        <v>0</v>
      </c>
      <c r="AD30" s="898"/>
      <c r="AE30" s="1046">
        <f t="shared" si="33"/>
        <v>125.29439847500001</v>
      </c>
      <c r="AF30" s="1046">
        <f t="shared" si="34"/>
        <v>125.29439847500001</v>
      </c>
      <c r="AG30" s="1046">
        <f t="shared" si="35"/>
        <v>1127.6495862750003</v>
      </c>
      <c r="AH30" s="889">
        <f t="shared" si="36"/>
        <v>1127.6495862750003</v>
      </c>
      <c r="AI30" s="889">
        <f t="shared" si="37"/>
        <v>626.47199237500013</v>
      </c>
      <c r="AJ30" s="889">
        <f t="shared" si="38"/>
        <v>626.47199237500013</v>
      </c>
      <c r="AK30" s="889">
        <f t="shared" si="39"/>
        <v>626.47199237500013</v>
      </c>
      <c r="AL30" s="889">
        <f t="shared" si="40"/>
        <v>626.47199237500013</v>
      </c>
      <c r="AM30" s="889">
        <f t="shared" si="41"/>
        <v>1252.9439847500003</v>
      </c>
      <c r="AN30" s="1050">
        <f t="shared" si="42"/>
        <v>1252.9439847500003</v>
      </c>
      <c r="AO30" s="1050">
        <f t="shared" si="43"/>
        <v>0</v>
      </c>
      <c r="AP30" s="1050">
        <f t="shared" si="44"/>
        <v>0</v>
      </c>
      <c r="AR30" s="1067">
        <f t="shared" si="45"/>
        <v>225.52991725500007</v>
      </c>
      <c r="AS30" s="1067">
        <f t="shared" si="46"/>
        <v>225.52991725500007</v>
      </c>
      <c r="AT30" s="1068">
        <f t="shared" si="47"/>
        <v>563.82479313750014</v>
      </c>
      <c r="AU30" s="1068">
        <f t="shared" si="48"/>
        <v>563.82479313750014</v>
      </c>
      <c r="AV30" s="1068">
        <f t="shared" si="49"/>
        <v>902.11966902000029</v>
      </c>
      <c r="AW30" s="1068">
        <f t="shared" si="50"/>
        <v>902.11966902000029</v>
      </c>
      <c r="AX30" s="1068">
        <f t="shared" si="51"/>
        <v>125.29439847500004</v>
      </c>
      <c r="AY30" s="1068">
        <f t="shared" si="52"/>
        <v>125.29439847500004</v>
      </c>
      <c r="AZ30" s="1068">
        <f t="shared" si="53"/>
        <v>313.23599618750006</v>
      </c>
      <c r="BA30" s="1068">
        <f t="shared" si="54"/>
        <v>313.23599618750006</v>
      </c>
      <c r="BB30" s="1068">
        <f t="shared" si="55"/>
        <v>501.17759390000015</v>
      </c>
      <c r="BC30" s="1068">
        <f t="shared" si="56"/>
        <v>501.17759390000015</v>
      </c>
      <c r="BD30" s="1068">
        <f t="shared" si="6"/>
        <v>0</v>
      </c>
      <c r="BE30" s="1068">
        <f t="shared" si="7"/>
        <v>0</v>
      </c>
      <c r="BF30" s="1069">
        <f t="shared" si="8"/>
        <v>0</v>
      </c>
      <c r="BH30" s="1067">
        <f t="shared" si="9"/>
        <v>124.04145449025003</v>
      </c>
      <c r="BI30" s="1068">
        <f t="shared" si="10"/>
        <v>310.10363622562505</v>
      </c>
      <c r="BJ30" s="1068">
        <f t="shared" si="11"/>
        <v>496.16581796100013</v>
      </c>
      <c r="BK30" s="1068">
        <f t="shared" si="12"/>
        <v>68.911919161250012</v>
      </c>
      <c r="BL30" s="1068">
        <f t="shared" si="13"/>
        <v>172.27979790312503</v>
      </c>
      <c r="BM30" s="1068">
        <f t="shared" si="14"/>
        <v>275.64767664500005</v>
      </c>
      <c r="BN30" s="1068">
        <f t="shared" si="15"/>
        <v>0</v>
      </c>
      <c r="BO30" s="1068">
        <f t="shared" si="16"/>
        <v>0</v>
      </c>
      <c r="BP30" s="1069">
        <f t="shared" si="17"/>
        <v>0</v>
      </c>
      <c r="BR30" s="1067">
        <f t="shared" si="57"/>
        <v>101.48846276475001</v>
      </c>
      <c r="BS30" s="1067">
        <f t="shared" si="58"/>
        <v>101.48846276475001</v>
      </c>
      <c r="BT30" s="1068">
        <f t="shared" si="59"/>
        <v>253.72115691187503</v>
      </c>
      <c r="BU30" s="1068">
        <f t="shared" si="60"/>
        <v>253.72115691187503</v>
      </c>
      <c r="BV30" s="1068">
        <f t="shared" si="61"/>
        <v>405.95385105900004</v>
      </c>
      <c r="BW30" s="1068">
        <f t="shared" si="62"/>
        <v>405.95385105900004</v>
      </c>
      <c r="BX30" s="1068">
        <f t="shared" si="63"/>
        <v>56.382479313750004</v>
      </c>
      <c r="BY30" s="1068">
        <f t="shared" si="64"/>
        <v>56.382479313750004</v>
      </c>
      <c r="BZ30" s="1068">
        <f t="shared" si="65"/>
        <v>140.95619828437501</v>
      </c>
      <c r="CA30" s="1068">
        <f t="shared" si="66"/>
        <v>140.95619828437501</v>
      </c>
      <c r="CB30" s="1068">
        <f t="shared" si="67"/>
        <v>225.52991725500002</v>
      </c>
      <c r="CC30" s="1068">
        <f t="shared" si="68"/>
        <v>225.52991725500002</v>
      </c>
      <c r="CD30" s="1068">
        <f t="shared" si="18"/>
        <v>0</v>
      </c>
      <c r="CE30" s="1068">
        <f t="shared" si="19"/>
        <v>0</v>
      </c>
      <c r="CF30" s="1069">
        <f t="shared" si="20"/>
        <v>0</v>
      </c>
      <c r="CG30" s="599"/>
      <c r="CH30" s="1067">
        <f t="shared" si="69"/>
        <v>11.869995645000003</v>
      </c>
      <c r="CI30" s="1067">
        <f t="shared" si="70"/>
        <v>11.869995645000003</v>
      </c>
      <c r="CJ30" s="1068">
        <f t="shared" si="71"/>
        <v>29.674989112500004</v>
      </c>
      <c r="CK30" s="1068">
        <f t="shared" si="72"/>
        <v>29.674989112500004</v>
      </c>
      <c r="CL30" s="1068">
        <f t="shared" si="73"/>
        <v>47.479982580000012</v>
      </c>
      <c r="CM30" s="1068">
        <f t="shared" si="74"/>
        <v>47.479982580000012</v>
      </c>
      <c r="CN30" s="1068">
        <f t="shared" si="75"/>
        <v>6.5944420250000011</v>
      </c>
      <c r="CO30" s="1068">
        <f t="shared" si="76"/>
        <v>6.5944420250000011</v>
      </c>
      <c r="CP30" s="1068">
        <f t="shared" si="77"/>
        <v>16.486105062500002</v>
      </c>
      <c r="CQ30" s="1069">
        <f t="shared" si="78"/>
        <v>16.486105062500002</v>
      </c>
      <c r="CR30" s="1069">
        <f t="shared" si="79"/>
        <v>26.377768100000004</v>
      </c>
      <c r="CS30" s="1069">
        <f t="shared" si="80"/>
        <v>26.377768100000004</v>
      </c>
      <c r="CV30" s="345">
        <v>1980</v>
      </c>
      <c r="CW30" s="1097">
        <f>SUM('POSF Inventory'!HF35,'POSF Inventory'!HH35,'POSF Inventory'!HJ35)*$CY$1</f>
        <v>16.770433192499997</v>
      </c>
      <c r="CX30" s="1098">
        <f>SUM('POSF Inventory'!HG35,'POSF Inventory'!HI35,'POSF Inventory'!HK35)*$CY$2</f>
        <v>16.810126525499996</v>
      </c>
      <c r="CY30" s="1097">
        <f>SUM('POSF Inventory'!HL35,'POSF Inventory'!HN35,'POSF Inventory'!HP35)*$CY$1</f>
        <v>23.516550085437501</v>
      </c>
      <c r="CZ30" s="1098">
        <f>SUM('POSF Inventory'!HM35,'POSF Inventory'!HO35,'POSF Inventory'!HQ35)*$CY$2</f>
        <v>70.482138467124997</v>
      </c>
      <c r="DA30" s="1097">
        <f>SUM('POSF Inventory'!HR35,'POSF Inventory'!HT35,'POSF Inventory'!HV35)*$CY$3</f>
        <v>6.350608114363463</v>
      </c>
      <c r="DB30" s="1098">
        <f>SUM('POSF Inventory'!HS35,'POSF Inventory'!HU35,'POSF Inventory'!HW35)*$CY$4</f>
        <v>129.54830095732737</v>
      </c>
      <c r="DC30" s="1046">
        <f t="shared" si="81"/>
        <v>46.637591392300955</v>
      </c>
      <c r="DD30" s="1050">
        <f t="shared" si="82"/>
        <v>216.84056594995235</v>
      </c>
      <c r="DI30" s="345">
        <v>779</v>
      </c>
      <c r="DJ30" s="1041">
        <v>689.11919161250012</v>
      </c>
    </row>
    <row r="31" spans="2:114" x14ac:dyDescent="0.2">
      <c r="B31" s="345">
        <v>1981</v>
      </c>
      <c r="C31" s="774">
        <f>SUM('POSF Inventory'!FF36,'POSF Inventory'!FH36)</f>
        <v>780.74455648749995</v>
      </c>
      <c r="D31" s="774">
        <f>SUM('POSF Inventory'!FB36,'POSF Inventory'!FD36)</f>
        <v>638.79100076249995</v>
      </c>
      <c r="E31" s="774">
        <f>SUM('POSF Inventory'!FC36,'POSF Inventory'!FE36)</f>
        <v>638.79100076249995</v>
      </c>
      <c r="F31" s="774">
        <f>SUM('POSF Inventory'!FB36,'POSF Inventory'!FD36,'POSF Inventory'!J36)</f>
        <v>638.79100076249995</v>
      </c>
      <c r="G31" s="774">
        <f>SUM('POSF Inventory'!FC36,'POSF Inventory'!FE36,'POSF Inventory'!K36)</f>
        <v>638.79100076249995</v>
      </c>
      <c r="H31" s="1106">
        <f>SUM('POSF Inventory'!DL36,'POSF Inventory'!DN36)</f>
        <v>74.712397749999994</v>
      </c>
      <c r="I31" s="1041">
        <f>SUM('POSF Inventory'!DM36,'POSF Inventory'!DO36)</f>
        <v>74.712397749999994</v>
      </c>
      <c r="J31" s="592"/>
      <c r="K31" s="1046">
        <f t="shared" si="0"/>
        <v>78.074455648750003</v>
      </c>
      <c r="L31" s="1047">
        <f t="shared" si="1"/>
        <v>702.67010083874993</v>
      </c>
      <c r="M31" s="1046">
        <f t="shared" si="2"/>
        <v>390.37227824374997</v>
      </c>
      <c r="N31" s="1047">
        <f t="shared" si="3"/>
        <v>390.37227824374997</v>
      </c>
      <c r="O31" s="1046">
        <f t="shared" si="4"/>
        <v>780.74455648749995</v>
      </c>
      <c r="P31" s="889">
        <f t="shared" si="5"/>
        <v>0</v>
      </c>
      <c r="Q31" s="1048"/>
      <c r="R31" s="889">
        <f t="shared" si="21"/>
        <v>63.879100076249998</v>
      </c>
      <c r="S31" s="889">
        <f t="shared" si="22"/>
        <v>63.879100076249998</v>
      </c>
      <c r="T31" s="1047">
        <f t="shared" si="23"/>
        <v>574.91190068624996</v>
      </c>
      <c r="U31" s="1047">
        <f t="shared" si="24"/>
        <v>574.91190068624996</v>
      </c>
      <c r="V31" s="1046">
        <f t="shared" si="25"/>
        <v>319.39550038124997</v>
      </c>
      <c r="W31" s="1046">
        <f t="shared" si="26"/>
        <v>319.39550038124997</v>
      </c>
      <c r="X31" s="1047">
        <f t="shared" si="27"/>
        <v>319.39550038124997</v>
      </c>
      <c r="Y31" s="1047">
        <f t="shared" si="28"/>
        <v>319.39550038124997</v>
      </c>
      <c r="Z31" s="1049">
        <f t="shared" si="29"/>
        <v>638.79100076249995</v>
      </c>
      <c r="AA31" s="1049">
        <f t="shared" si="30"/>
        <v>638.79100076249995</v>
      </c>
      <c r="AB31" s="1050">
        <f t="shared" si="31"/>
        <v>0</v>
      </c>
      <c r="AC31" s="1050">
        <f t="shared" si="32"/>
        <v>0</v>
      </c>
      <c r="AD31" s="898"/>
      <c r="AE31" s="1046">
        <f t="shared" si="33"/>
        <v>141.953555725</v>
      </c>
      <c r="AF31" s="1046">
        <f t="shared" si="34"/>
        <v>141.953555725</v>
      </c>
      <c r="AG31" s="1046">
        <f t="shared" si="35"/>
        <v>1277.5820015249999</v>
      </c>
      <c r="AH31" s="889">
        <f t="shared" si="36"/>
        <v>1277.5820015249999</v>
      </c>
      <c r="AI31" s="889">
        <f t="shared" si="37"/>
        <v>709.76777862499989</v>
      </c>
      <c r="AJ31" s="889">
        <f t="shared" si="38"/>
        <v>709.76777862499989</v>
      </c>
      <c r="AK31" s="889">
        <f t="shared" si="39"/>
        <v>709.76777862499989</v>
      </c>
      <c r="AL31" s="889">
        <f t="shared" si="40"/>
        <v>709.76777862499989</v>
      </c>
      <c r="AM31" s="889">
        <f t="shared" si="41"/>
        <v>1419.5355572499998</v>
      </c>
      <c r="AN31" s="1050">
        <f t="shared" si="42"/>
        <v>1419.5355572499998</v>
      </c>
      <c r="AO31" s="1050">
        <f t="shared" si="43"/>
        <v>0</v>
      </c>
      <c r="AP31" s="1050">
        <f t="shared" si="44"/>
        <v>0</v>
      </c>
      <c r="AR31" s="1067">
        <f t="shared" si="45"/>
        <v>255.51640030499999</v>
      </c>
      <c r="AS31" s="1067">
        <f t="shared" si="46"/>
        <v>255.51640030499999</v>
      </c>
      <c r="AT31" s="1068">
        <f t="shared" si="47"/>
        <v>638.79100076249995</v>
      </c>
      <c r="AU31" s="1068">
        <f t="shared" si="48"/>
        <v>638.79100076249995</v>
      </c>
      <c r="AV31" s="1068">
        <f t="shared" si="49"/>
        <v>1022.06560122</v>
      </c>
      <c r="AW31" s="1068">
        <f t="shared" si="50"/>
        <v>1022.06560122</v>
      </c>
      <c r="AX31" s="1068">
        <f t="shared" si="51"/>
        <v>141.95355572499997</v>
      </c>
      <c r="AY31" s="1068">
        <f t="shared" si="52"/>
        <v>141.95355572499997</v>
      </c>
      <c r="AZ31" s="1068">
        <f t="shared" si="53"/>
        <v>354.88388931249995</v>
      </c>
      <c r="BA31" s="1068">
        <f t="shared" si="54"/>
        <v>354.88388931249995</v>
      </c>
      <c r="BB31" s="1068">
        <f t="shared" si="55"/>
        <v>567.81422289999989</v>
      </c>
      <c r="BC31" s="1068">
        <f t="shared" si="56"/>
        <v>567.81422289999989</v>
      </c>
      <c r="BD31" s="1068">
        <f t="shared" si="6"/>
        <v>0</v>
      </c>
      <c r="BE31" s="1068">
        <f t="shared" si="7"/>
        <v>0</v>
      </c>
      <c r="BF31" s="1069">
        <f t="shared" si="8"/>
        <v>0</v>
      </c>
      <c r="BH31" s="1067">
        <f t="shared" si="9"/>
        <v>140.53402016774999</v>
      </c>
      <c r="BI31" s="1068">
        <f t="shared" si="10"/>
        <v>351.33505041937497</v>
      </c>
      <c r="BJ31" s="1068">
        <f t="shared" si="11"/>
        <v>562.13608067099995</v>
      </c>
      <c r="BK31" s="1068">
        <f t="shared" si="12"/>
        <v>78.074455648750003</v>
      </c>
      <c r="BL31" s="1068">
        <f t="shared" si="13"/>
        <v>195.18613912187499</v>
      </c>
      <c r="BM31" s="1068">
        <f t="shared" si="14"/>
        <v>312.29782259500001</v>
      </c>
      <c r="BN31" s="1068">
        <f t="shared" si="15"/>
        <v>0</v>
      </c>
      <c r="BO31" s="1068">
        <f t="shared" si="16"/>
        <v>0</v>
      </c>
      <c r="BP31" s="1069">
        <f t="shared" si="17"/>
        <v>0</v>
      </c>
      <c r="BR31" s="1067">
        <f t="shared" si="57"/>
        <v>114.98238013725</v>
      </c>
      <c r="BS31" s="1067">
        <f t="shared" si="58"/>
        <v>114.98238013725</v>
      </c>
      <c r="BT31" s="1068">
        <f t="shared" si="59"/>
        <v>287.45595034312498</v>
      </c>
      <c r="BU31" s="1068">
        <f t="shared" si="60"/>
        <v>287.45595034312498</v>
      </c>
      <c r="BV31" s="1068">
        <f t="shared" si="61"/>
        <v>459.92952054900002</v>
      </c>
      <c r="BW31" s="1068">
        <f t="shared" si="62"/>
        <v>459.92952054900002</v>
      </c>
      <c r="BX31" s="1068">
        <f t="shared" si="63"/>
        <v>63.879100076249998</v>
      </c>
      <c r="BY31" s="1068">
        <f t="shared" si="64"/>
        <v>63.879100076249998</v>
      </c>
      <c r="BZ31" s="1068">
        <f t="shared" si="65"/>
        <v>159.69775019062499</v>
      </c>
      <c r="CA31" s="1068">
        <f t="shared" si="66"/>
        <v>159.69775019062499</v>
      </c>
      <c r="CB31" s="1068">
        <f t="shared" si="67"/>
        <v>255.51640030499999</v>
      </c>
      <c r="CC31" s="1068">
        <f t="shared" si="68"/>
        <v>255.51640030499999</v>
      </c>
      <c r="CD31" s="1068">
        <f t="shared" si="18"/>
        <v>0</v>
      </c>
      <c r="CE31" s="1068">
        <f t="shared" si="19"/>
        <v>0</v>
      </c>
      <c r="CF31" s="1069">
        <f t="shared" si="20"/>
        <v>0</v>
      </c>
      <c r="CG31" s="599"/>
      <c r="CH31" s="1067">
        <f t="shared" si="69"/>
        <v>13.448231594999999</v>
      </c>
      <c r="CI31" s="1067">
        <f t="shared" si="70"/>
        <v>13.448231594999999</v>
      </c>
      <c r="CJ31" s="1068">
        <f t="shared" si="71"/>
        <v>33.620578987499997</v>
      </c>
      <c r="CK31" s="1068">
        <f t="shared" si="72"/>
        <v>33.620578987499997</v>
      </c>
      <c r="CL31" s="1068">
        <f t="shared" si="73"/>
        <v>53.792926379999997</v>
      </c>
      <c r="CM31" s="1068">
        <f t="shared" si="74"/>
        <v>53.792926379999997</v>
      </c>
      <c r="CN31" s="1068">
        <f t="shared" si="75"/>
        <v>7.4712397749999999</v>
      </c>
      <c r="CO31" s="1068">
        <f t="shared" si="76"/>
        <v>7.4712397749999999</v>
      </c>
      <c r="CP31" s="1068">
        <f t="shared" si="77"/>
        <v>18.678099437499998</v>
      </c>
      <c r="CQ31" s="1069">
        <f t="shared" si="78"/>
        <v>18.678099437499998</v>
      </c>
      <c r="CR31" s="1069">
        <f t="shared" si="79"/>
        <v>29.8849591</v>
      </c>
      <c r="CS31" s="1069">
        <f t="shared" si="80"/>
        <v>29.8849591</v>
      </c>
      <c r="CV31" s="345">
        <v>1981</v>
      </c>
      <c r="CW31" s="1097">
        <f>SUM('POSF Inventory'!HF36,'POSF Inventory'!HH36,'POSF Inventory'!HJ36)*$CY$1</f>
        <v>19.000231867499998</v>
      </c>
      <c r="CX31" s="1098">
        <f>SUM('POSF Inventory'!HG36,'POSF Inventory'!HI36,'POSF Inventory'!HK36)*$CY$2</f>
        <v>19.045202830499999</v>
      </c>
      <c r="CY31" s="1097">
        <f>SUM('POSF Inventory'!HL36,'POSF Inventory'!HN36,'POSF Inventory'!HP36)*$CY$1</f>
        <v>26.694776855499999</v>
      </c>
      <c r="CZ31" s="1098">
        <f>SUM('POSF Inventory'!HM36,'POSF Inventory'!HO36,'POSF Inventory'!HQ36)*$CY$2</f>
        <v>80.36930593999999</v>
      </c>
      <c r="DA31" s="1097">
        <f>SUM('POSF Inventory'!HR36,'POSF Inventory'!HT36,'POSF Inventory'!HV36)*$CY$3</f>
        <v>7.2269522305895002</v>
      </c>
      <c r="DB31" s="1098">
        <f>SUM('POSF Inventory'!HS36,'POSF Inventory'!HU36,'POSF Inventory'!HW36)*$CY$4</f>
        <v>148.39798784583425</v>
      </c>
      <c r="DC31" s="1046">
        <f t="shared" si="81"/>
        <v>52.921960953589505</v>
      </c>
      <c r="DD31" s="1050">
        <f t="shared" si="82"/>
        <v>247.81249661633424</v>
      </c>
      <c r="DI31" s="345">
        <v>882</v>
      </c>
      <c r="DJ31" s="1041">
        <v>780.74455648749995</v>
      </c>
    </row>
    <row r="32" spans="2:114" x14ac:dyDescent="0.2">
      <c r="B32" s="345">
        <v>1982</v>
      </c>
      <c r="C32" s="774">
        <f>SUM('POSF Inventory'!FF37,'POSF Inventory'!FH37)</f>
        <v>872.85216012500007</v>
      </c>
      <c r="D32" s="774">
        <f>SUM('POSF Inventory'!FB37,'POSF Inventory'!FD37)</f>
        <v>714.15176737499996</v>
      </c>
      <c r="E32" s="774">
        <f>SUM('POSF Inventory'!FC37,'POSF Inventory'!FE37)</f>
        <v>714.15176737499996</v>
      </c>
      <c r="F32" s="774">
        <f>SUM('POSF Inventory'!FB37,'POSF Inventory'!FD37,'POSF Inventory'!J37)</f>
        <v>714.15176737499996</v>
      </c>
      <c r="G32" s="774">
        <f>SUM('POSF Inventory'!FC37,'POSF Inventory'!FE37,'POSF Inventory'!K37)</f>
        <v>714.15176737499996</v>
      </c>
      <c r="H32" s="1106">
        <f>SUM('POSF Inventory'!DL37,'POSF Inventory'!DN37)</f>
        <v>83.526522499999999</v>
      </c>
      <c r="I32" s="1041">
        <f>SUM('POSF Inventory'!DM37,'POSF Inventory'!DO37)</f>
        <v>83.526522499999999</v>
      </c>
      <c r="J32" s="592"/>
      <c r="K32" s="1046">
        <f t="shared" si="0"/>
        <v>87.285216012500015</v>
      </c>
      <c r="L32" s="1047">
        <f t="shared" si="1"/>
        <v>785.5669441125001</v>
      </c>
      <c r="M32" s="1046">
        <f t="shared" si="2"/>
        <v>436.42608006250003</v>
      </c>
      <c r="N32" s="1047">
        <f t="shared" si="3"/>
        <v>436.42608006250003</v>
      </c>
      <c r="O32" s="1046">
        <f t="shared" si="4"/>
        <v>872.85216012500007</v>
      </c>
      <c r="P32" s="889">
        <f t="shared" si="5"/>
        <v>0</v>
      </c>
      <c r="Q32" s="1048"/>
      <c r="R32" s="889">
        <f t="shared" si="21"/>
        <v>71.415176737500005</v>
      </c>
      <c r="S32" s="889">
        <f t="shared" si="22"/>
        <v>71.415176737500005</v>
      </c>
      <c r="T32" s="1047">
        <f t="shared" si="23"/>
        <v>642.73659063749994</v>
      </c>
      <c r="U32" s="1047">
        <f t="shared" si="24"/>
        <v>642.73659063749994</v>
      </c>
      <c r="V32" s="1046">
        <f t="shared" si="25"/>
        <v>357.07588368749998</v>
      </c>
      <c r="W32" s="1046">
        <f t="shared" si="26"/>
        <v>357.07588368749998</v>
      </c>
      <c r="X32" s="1047">
        <f t="shared" si="27"/>
        <v>357.07588368749998</v>
      </c>
      <c r="Y32" s="1047">
        <f t="shared" si="28"/>
        <v>357.07588368749998</v>
      </c>
      <c r="Z32" s="1049">
        <f t="shared" si="29"/>
        <v>714.15176737499996</v>
      </c>
      <c r="AA32" s="1049">
        <f t="shared" si="30"/>
        <v>714.15176737499996</v>
      </c>
      <c r="AB32" s="1050">
        <f t="shared" si="31"/>
        <v>0</v>
      </c>
      <c r="AC32" s="1050">
        <f t="shared" si="32"/>
        <v>0</v>
      </c>
      <c r="AD32" s="898"/>
      <c r="AE32" s="1046">
        <f t="shared" si="33"/>
        <v>158.70039275000002</v>
      </c>
      <c r="AF32" s="1046">
        <f t="shared" si="34"/>
        <v>158.70039275000002</v>
      </c>
      <c r="AG32" s="1046">
        <f t="shared" si="35"/>
        <v>1428.3035347499999</v>
      </c>
      <c r="AH32" s="889">
        <f t="shared" si="36"/>
        <v>1428.3035347499999</v>
      </c>
      <c r="AI32" s="889">
        <f t="shared" si="37"/>
        <v>793.50196374999996</v>
      </c>
      <c r="AJ32" s="889">
        <f t="shared" si="38"/>
        <v>793.50196374999996</v>
      </c>
      <c r="AK32" s="889">
        <f t="shared" si="39"/>
        <v>793.50196374999996</v>
      </c>
      <c r="AL32" s="889">
        <f t="shared" si="40"/>
        <v>793.50196374999996</v>
      </c>
      <c r="AM32" s="889">
        <f t="shared" si="41"/>
        <v>1587.0039274999999</v>
      </c>
      <c r="AN32" s="1050">
        <f t="shared" si="42"/>
        <v>1587.0039274999999</v>
      </c>
      <c r="AO32" s="1050">
        <f t="shared" si="43"/>
        <v>0</v>
      </c>
      <c r="AP32" s="1050">
        <f t="shared" si="44"/>
        <v>0</v>
      </c>
      <c r="AR32" s="1067">
        <f t="shared" si="45"/>
        <v>285.66070695000002</v>
      </c>
      <c r="AS32" s="1067">
        <f t="shared" si="46"/>
        <v>285.66070695000002</v>
      </c>
      <c r="AT32" s="1068">
        <f t="shared" si="47"/>
        <v>714.15176737499996</v>
      </c>
      <c r="AU32" s="1068">
        <f t="shared" si="48"/>
        <v>714.15176737499996</v>
      </c>
      <c r="AV32" s="1068">
        <f t="shared" si="49"/>
        <v>1142.6428278000001</v>
      </c>
      <c r="AW32" s="1068">
        <f t="shared" si="50"/>
        <v>1142.6428278000001</v>
      </c>
      <c r="AX32" s="1068">
        <f t="shared" si="51"/>
        <v>158.70039274999999</v>
      </c>
      <c r="AY32" s="1068">
        <f t="shared" si="52"/>
        <v>158.70039274999999</v>
      </c>
      <c r="AZ32" s="1068">
        <f t="shared" si="53"/>
        <v>396.75098187499998</v>
      </c>
      <c r="BA32" s="1068">
        <f t="shared" si="54"/>
        <v>396.75098187499998</v>
      </c>
      <c r="BB32" s="1068">
        <f t="shared" si="55"/>
        <v>634.80157099999997</v>
      </c>
      <c r="BC32" s="1068">
        <f t="shared" si="56"/>
        <v>634.80157099999997</v>
      </c>
      <c r="BD32" s="1068">
        <f t="shared" si="6"/>
        <v>0</v>
      </c>
      <c r="BE32" s="1068">
        <f t="shared" si="7"/>
        <v>0</v>
      </c>
      <c r="BF32" s="1069">
        <f t="shared" si="8"/>
        <v>0</v>
      </c>
      <c r="BH32" s="1067">
        <f t="shared" si="9"/>
        <v>157.11338882250004</v>
      </c>
      <c r="BI32" s="1068">
        <f t="shared" si="10"/>
        <v>392.78347205625005</v>
      </c>
      <c r="BJ32" s="1068">
        <f t="shared" si="11"/>
        <v>628.45355529000017</v>
      </c>
      <c r="BK32" s="1068">
        <f t="shared" si="12"/>
        <v>87.285216012500015</v>
      </c>
      <c r="BL32" s="1068">
        <f t="shared" si="13"/>
        <v>218.21304003125002</v>
      </c>
      <c r="BM32" s="1068">
        <f t="shared" si="14"/>
        <v>349.14086405000006</v>
      </c>
      <c r="BN32" s="1068">
        <f t="shared" si="15"/>
        <v>0</v>
      </c>
      <c r="BO32" s="1068">
        <f t="shared" si="16"/>
        <v>0</v>
      </c>
      <c r="BP32" s="1069">
        <f t="shared" si="17"/>
        <v>0</v>
      </c>
      <c r="BR32" s="1067">
        <f t="shared" si="57"/>
        <v>128.54731812750001</v>
      </c>
      <c r="BS32" s="1067">
        <f t="shared" si="58"/>
        <v>128.54731812750001</v>
      </c>
      <c r="BT32" s="1068">
        <f t="shared" si="59"/>
        <v>321.36829531874997</v>
      </c>
      <c r="BU32" s="1068">
        <f t="shared" si="60"/>
        <v>321.36829531874997</v>
      </c>
      <c r="BV32" s="1068">
        <f t="shared" si="61"/>
        <v>514.18927251000002</v>
      </c>
      <c r="BW32" s="1068">
        <f t="shared" si="62"/>
        <v>514.18927251000002</v>
      </c>
      <c r="BX32" s="1068">
        <f t="shared" si="63"/>
        <v>71.415176737500005</v>
      </c>
      <c r="BY32" s="1068">
        <f t="shared" si="64"/>
        <v>71.415176737500005</v>
      </c>
      <c r="BZ32" s="1068">
        <f t="shared" si="65"/>
        <v>178.53794184374999</v>
      </c>
      <c r="CA32" s="1068">
        <f t="shared" si="66"/>
        <v>178.53794184374999</v>
      </c>
      <c r="CB32" s="1068">
        <f t="shared" si="67"/>
        <v>285.66070695000002</v>
      </c>
      <c r="CC32" s="1068">
        <f t="shared" si="68"/>
        <v>285.66070695000002</v>
      </c>
      <c r="CD32" s="1068">
        <f t="shared" si="18"/>
        <v>0</v>
      </c>
      <c r="CE32" s="1068">
        <f t="shared" si="19"/>
        <v>0</v>
      </c>
      <c r="CF32" s="1069">
        <f t="shared" si="20"/>
        <v>0</v>
      </c>
      <c r="CG32" s="599"/>
      <c r="CH32" s="1067">
        <f t="shared" si="69"/>
        <v>15.034774050000003</v>
      </c>
      <c r="CI32" s="1067">
        <f t="shared" si="70"/>
        <v>15.034774050000003</v>
      </c>
      <c r="CJ32" s="1068">
        <f t="shared" si="71"/>
        <v>37.586935125000004</v>
      </c>
      <c r="CK32" s="1068">
        <f t="shared" si="72"/>
        <v>37.586935125000004</v>
      </c>
      <c r="CL32" s="1068">
        <f t="shared" si="73"/>
        <v>60.139096200000012</v>
      </c>
      <c r="CM32" s="1068">
        <f t="shared" si="74"/>
        <v>60.139096200000012</v>
      </c>
      <c r="CN32" s="1068">
        <f t="shared" si="75"/>
        <v>8.3526522500000002</v>
      </c>
      <c r="CO32" s="1068">
        <f t="shared" si="76"/>
        <v>8.3526522500000002</v>
      </c>
      <c r="CP32" s="1068">
        <f t="shared" si="77"/>
        <v>20.881630625</v>
      </c>
      <c r="CQ32" s="1069">
        <f t="shared" si="78"/>
        <v>20.881630625</v>
      </c>
      <c r="CR32" s="1069">
        <f t="shared" si="79"/>
        <v>33.410609000000001</v>
      </c>
      <c r="CS32" s="1069">
        <f t="shared" si="80"/>
        <v>33.410609000000001</v>
      </c>
      <c r="CV32" s="345">
        <v>1982</v>
      </c>
      <c r="CW32" s="1097">
        <f>SUM('POSF Inventory'!HF37,'POSF Inventory'!HH37,'POSF Inventory'!HJ37)*$CY$1</f>
        <v>21.241766325</v>
      </c>
      <c r="CX32" s="1098">
        <f>SUM('POSF Inventory'!HG37,'POSF Inventory'!HI37,'POSF Inventory'!HK37)*$CY$2</f>
        <v>21.292042694999999</v>
      </c>
      <c r="CY32" s="1097">
        <f>SUM('POSF Inventory'!HL37,'POSF Inventory'!HN37,'POSF Inventory'!HP37)*$CY$1</f>
        <v>29.885821430562498</v>
      </c>
      <c r="CZ32" s="1098">
        <f>SUM('POSF Inventory'!HM37,'POSF Inventory'!HO37,'POSF Inventory'!HQ37)*$CY$2</f>
        <v>90.269321555874996</v>
      </c>
      <c r="DA32" s="1097">
        <f>SUM('POSF Inventory'!HR37,'POSF Inventory'!HT37,'POSF Inventory'!HV37)*$CY$3</f>
        <v>8.1061669640719369</v>
      </c>
      <c r="DB32" s="1098">
        <f>SUM('POSF Inventory'!HS37,'POSF Inventory'!HU37,'POSF Inventory'!HW37)*$CY$4</f>
        <v>167.64795684355337</v>
      </c>
      <c r="DC32" s="1046">
        <f t="shared" si="81"/>
        <v>59.23375471963444</v>
      </c>
      <c r="DD32" s="1050">
        <f t="shared" si="82"/>
        <v>279.20932109442833</v>
      </c>
      <c r="DI32" s="345">
        <v>987</v>
      </c>
      <c r="DJ32" s="1041">
        <v>872.85216012500007</v>
      </c>
    </row>
    <row r="33" spans="2:114" x14ac:dyDescent="0.2">
      <c r="B33" s="345">
        <v>1983</v>
      </c>
      <c r="C33" s="774">
        <f>SUM('POSF Inventory'!FF38,'POSF Inventory'!FH38)</f>
        <v>964.47752500000001</v>
      </c>
      <c r="D33" s="774">
        <f>SUM('POSF Inventory'!FB38,'POSF Inventory'!FD38)</f>
        <v>789.117975</v>
      </c>
      <c r="E33" s="774">
        <f>SUM('POSF Inventory'!FC38,'POSF Inventory'!FE38)</f>
        <v>789.117975</v>
      </c>
      <c r="F33" s="774">
        <f>SUM('POSF Inventory'!FB38,'POSF Inventory'!FD38,'POSF Inventory'!J38)</f>
        <v>789.117975</v>
      </c>
      <c r="G33" s="774">
        <f>SUM('POSF Inventory'!FC38,'POSF Inventory'!FE38,'POSF Inventory'!K38)</f>
        <v>789.117975</v>
      </c>
      <c r="H33" s="1106">
        <f>SUM('POSF Inventory'!DL38,'POSF Inventory'!DN38)</f>
        <v>92.294500000000014</v>
      </c>
      <c r="I33" s="1041">
        <f>SUM('POSF Inventory'!DM38,'POSF Inventory'!DO38)</f>
        <v>92.294500000000014</v>
      </c>
      <c r="J33" s="592"/>
      <c r="K33" s="1046">
        <f t="shared" si="0"/>
        <v>96.447752500000007</v>
      </c>
      <c r="L33" s="1047">
        <f t="shared" si="1"/>
        <v>868.02977250000004</v>
      </c>
      <c r="M33" s="1046">
        <f t="shared" si="2"/>
        <v>482.23876250000001</v>
      </c>
      <c r="N33" s="1047">
        <f t="shared" si="3"/>
        <v>482.23876250000001</v>
      </c>
      <c r="O33" s="1046">
        <f t="shared" si="4"/>
        <v>964.47752500000001</v>
      </c>
      <c r="P33" s="889">
        <f t="shared" si="5"/>
        <v>0</v>
      </c>
      <c r="Q33" s="1048"/>
      <c r="R33" s="889">
        <f t="shared" si="21"/>
        <v>78.911797500000006</v>
      </c>
      <c r="S33" s="889">
        <f t="shared" si="22"/>
        <v>78.911797500000006</v>
      </c>
      <c r="T33" s="1047">
        <f t="shared" si="23"/>
        <v>710.20617749999997</v>
      </c>
      <c r="U33" s="1047">
        <f t="shared" si="24"/>
        <v>710.20617749999997</v>
      </c>
      <c r="V33" s="1046">
        <f t="shared" si="25"/>
        <v>394.5589875</v>
      </c>
      <c r="W33" s="1046">
        <f t="shared" si="26"/>
        <v>394.5589875</v>
      </c>
      <c r="X33" s="1047">
        <f t="shared" si="27"/>
        <v>394.5589875</v>
      </c>
      <c r="Y33" s="1047">
        <f t="shared" si="28"/>
        <v>394.5589875</v>
      </c>
      <c r="Z33" s="1049">
        <f t="shared" si="29"/>
        <v>789.117975</v>
      </c>
      <c r="AA33" s="1049">
        <f t="shared" si="30"/>
        <v>789.117975</v>
      </c>
      <c r="AB33" s="1050">
        <f t="shared" si="31"/>
        <v>0</v>
      </c>
      <c r="AC33" s="1050">
        <f t="shared" si="32"/>
        <v>0</v>
      </c>
      <c r="AD33" s="898"/>
      <c r="AE33" s="1046">
        <f t="shared" si="33"/>
        <v>175.35955000000001</v>
      </c>
      <c r="AF33" s="1046">
        <f t="shared" si="34"/>
        <v>175.35955000000001</v>
      </c>
      <c r="AG33" s="1046">
        <f t="shared" si="35"/>
        <v>1578.23595</v>
      </c>
      <c r="AH33" s="889">
        <f t="shared" si="36"/>
        <v>1578.23595</v>
      </c>
      <c r="AI33" s="889">
        <f t="shared" si="37"/>
        <v>876.79774999999995</v>
      </c>
      <c r="AJ33" s="889">
        <f t="shared" si="38"/>
        <v>876.79774999999995</v>
      </c>
      <c r="AK33" s="889">
        <f t="shared" si="39"/>
        <v>876.79774999999995</v>
      </c>
      <c r="AL33" s="889">
        <f t="shared" si="40"/>
        <v>876.79774999999995</v>
      </c>
      <c r="AM33" s="889">
        <f t="shared" si="41"/>
        <v>1753.5954999999999</v>
      </c>
      <c r="AN33" s="1050">
        <f t="shared" si="42"/>
        <v>1753.5954999999999</v>
      </c>
      <c r="AO33" s="1050">
        <f t="shared" si="43"/>
        <v>0</v>
      </c>
      <c r="AP33" s="1050">
        <f t="shared" si="44"/>
        <v>0</v>
      </c>
      <c r="AR33" s="1067">
        <f t="shared" si="45"/>
        <v>315.64719000000002</v>
      </c>
      <c r="AS33" s="1067">
        <f t="shared" si="46"/>
        <v>315.64719000000002</v>
      </c>
      <c r="AT33" s="1068">
        <f t="shared" si="47"/>
        <v>789.117975</v>
      </c>
      <c r="AU33" s="1068">
        <f t="shared" si="48"/>
        <v>789.117975</v>
      </c>
      <c r="AV33" s="1068">
        <f t="shared" si="49"/>
        <v>1262.5887600000001</v>
      </c>
      <c r="AW33" s="1068">
        <f t="shared" si="50"/>
        <v>1262.5887600000001</v>
      </c>
      <c r="AX33" s="1068">
        <f t="shared" si="51"/>
        <v>175.35955000000001</v>
      </c>
      <c r="AY33" s="1068">
        <f t="shared" si="52"/>
        <v>175.35955000000001</v>
      </c>
      <c r="AZ33" s="1068">
        <f t="shared" si="53"/>
        <v>438.39887499999998</v>
      </c>
      <c r="BA33" s="1068">
        <f t="shared" si="54"/>
        <v>438.39887499999998</v>
      </c>
      <c r="BB33" s="1068">
        <f t="shared" si="55"/>
        <v>701.43820000000005</v>
      </c>
      <c r="BC33" s="1068">
        <f t="shared" si="56"/>
        <v>701.43820000000005</v>
      </c>
      <c r="BD33" s="1068">
        <f t="shared" si="6"/>
        <v>0</v>
      </c>
      <c r="BE33" s="1068">
        <f t="shared" si="7"/>
        <v>0</v>
      </c>
      <c r="BF33" s="1069">
        <f t="shared" si="8"/>
        <v>0</v>
      </c>
      <c r="BH33" s="1067">
        <f t="shared" si="9"/>
        <v>173.60595450000002</v>
      </c>
      <c r="BI33" s="1068">
        <f t="shared" si="10"/>
        <v>434.01488625000002</v>
      </c>
      <c r="BJ33" s="1068">
        <f t="shared" si="11"/>
        <v>694.4238180000001</v>
      </c>
      <c r="BK33" s="1068">
        <f t="shared" si="12"/>
        <v>96.447752500000007</v>
      </c>
      <c r="BL33" s="1068">
        <f t="shared" si="13"/>
        <v>241.11938125</v>
      </c>
      <c r="BM33" s="1068">
        <f t="shared" si="14"/>
        <v>385.79101000000003</v>
      </c>
      <c r="BN33" s="1068">
        <f t="shared" si="15"/>
        <v>0</v>
      </c>
      <c r="BO33" s="1068">
        <f t="shared" si="16"/>
        <v>0</v>
      </c>
      <c r="BP33" s="1069">
        <f t="shared" si="17"/>
        <v>0</v>
      </c>
      <c r="BR33" s="1067">
        <f t="shared" si="57"/>
        <v>142.0412355</v>
      </c>
      <c r="BS33" s="1067">
        <f t="shared" si="58"/>
        <v>142.0412355</v>
      </c>
      <c r="BT33" s="1068">
        <f t="shared" si="59"/>
        <v>355.10308874999998</v>
      </c>
      <c r="BU33" s="1068">
        <f t="shared" si="60"/>
        <v>355.10308874999998</v>
      </c>
      <c r="BV33" s="1068">
        <f t="shared" si="61"/>
        <v>568.164942</v>
      </c>
      <c r="BW33" s="1068">
        <f t="shared" si="62"/>
        <v>568.164942</v>
      </c>
      <c r="BX33" s="1068">
        <f t="shared" si="63"/>
        <v>78.911797500000006</v>
      </c>
      <c r="BY33" s="1068">
        <f t="shared" si="64"/>
        <v>78.911797500000006</v>
      </c>
      <c r="BZ33" s="1068">
        <f t="shared" si="65"/>
        <v>197.27949375</v>
      </c>
      <c r="CA33" s="1068">
        <f t="shared" si="66"/>
        <v>197.27949375</v>
      </c>
      <c r="CB33" s="1068">
        <f t="shared" si="67"/>
        <v>315.64719000000002</v>
      </c>
      <c r="CC33" s="1068">
        <f t="shared" si="68"/>
        <v>315.64719000000002</v>
      </c>
      <c r="CD33" s="1068">
        <f t="shared" si="18"/>
        <v>0</v>
      </c>
      <c r="CE33" s="1068">
        <f t="shared" si="19"/>
        <v>0</v>
      </c>
      <c r="CF33" s="1069">
        <f t="shared" si="20"/>
        <v>0</v>
      </c>
      <c r="CG33" s="599"/>
      <c r="CH33" s="1067">
        <f t="shared" si="69"/>
        <v>16.613010000000003</v>
      </c>
      <c r="CI33" s="1067">
        <f t="shared" si="70"/>
        <v>16.613010000000003</v>
      </c>
      <c r="CJ33" s="1068">
        <f t="shared" si="71"/>
        <v>41.532525000000007</v>
      </c>
      <c r="CK33" s="1068">
        <f t="shared" si="72"/>
        <v>41.532525000000007</v>
      </c>
      <c r="CL33" s="1068">
        <f t="shared" si="73"/>
        <v>66.452040000000011</v>
      </c>
      <c r="CM33" s="1068">
        <f t="shared" si="74"/>
        <v>66.452040000000011</v>
      </c>
      <c r="CN33" s="1068">
        <f t="shared" si="75"/>
        <v>9.2294500000000017</v>
      </c>
      <c r="CO33" s="1068">
        <f t="shared" si="76"/>
        <v>9.2294500000000017</v>
      </c>
      <c r="CP33" s="1068">
        <f t="shared" si="77"/>
        <v>23.073625000000003</v>
      </c>
      <c r="CQ33" s="1069">
        <f t="shared" si="78"/>
        <v>23.073625000000003</v>
      </c>
      <c r="CR33" s="1069">
        <f t="shared" si="79"/>
        <v>36.917800000000007</v>
      </c>
      <c r="CS33" s="1069">
        <f t="shared" si="80"/>
        <v>36.917800000000007</v>
      </c>
      <c r="CV33" s="345">
        <v>1983</v>
      </c>
      <c r="CW33" s="1097">
        <f>SUM('POSF Inventory'!HF38,'POSF Inventory'!HH38,'POSF Inventory'!HJ38)*$CY$1</f>
        <v>23.471565000000002</v>
      </c>
      <c r="CX33" s="1098">
        <f>SUM('POSF Inventory'!HG38,'POSF Inventory'!HI38,'POSF Inventory'!HK38)*$CY$2</f>
        <v>23.527118999999999</v>
      </c>
      <c r="CY33" s="1097">
        <f>SUM('POSF Inventory'!HL38,'POSF Inventory'!HN38,'POSF Inventory'!HP38)*$CY$1</f>
        <v>33.064048200625002</v>
      </c>
      <c r="CZ33" s="1098">
        <f>SUM('POSF Inventory'!HM38,'POSF Inventory'!HO38,'POSF Inventory'!HQ38)*$CY$2</f>
        <v>100.15648902875002</v>
      </c>
      <c r="DA33" s="1097">
        <f>SUM('POSF Inventory'!HR38,'POSF Inventory'!HT38,'POSF Inventory'!HV38)*$CY$3</f>
        <v>8.9837764748107762</v>
      </c>
      <c r="DB33" s="1098">
        <f>SUM('POSF Inventory'!HS38,'POSF Inventory'!HU38,'POSF Inventory'!HW38)*$CY$4</f>
        <v>187.2798157152848</v>
      </c>
      <c r="DC33" s="1046">
        <f t="shared" si="81"/>
        <v>65.519389675435789</v>
      </c>
      <c r="DD33" s="1050">
        <f t="shared" si="82"/>
        <v>310.9634237440348</v>
      </c>
      <c r="DI33" s="345">
        <v>1090</v>
      </c>
      <c r="DJ33" s="1041">
        <v>964.47752500000001</v>
      </c>
    </row>
    <row r="34" spans="2:114" x14ac:dyDescent="0.2">
      <c r="B34" s="345">
        <v>1984</v>
      </c>
      <c r="C34" s="774">
        <f>SUM('POSF Inventory'!FF39,'POSF Inventory'!FH39)</f>
        <v>1056.5851286375</v>
      </c>
      <c r="D34" s="774">
        <f>SUM('POSF Inventory'!FB39,'POSF Inventory'!FD39)</f>
        <v>864.4787416124999</v>
      </c>
      <c r="E34" s="774">
        <f>SUM('POSF Inventory'!FC39,'POSF Inventory'!FE39)</f>
        <v>864.4787416124999</v>
      </c>
      <c r="F34" s="774">
        <f>SUM('POSF Inventory'!FB39,'POSF Inventory'!FD39,'POSF Inventory'!J39)</f>
        <v>864.4787416124999</v>
      </c>
      <c r="G34" s="774">
        <f>SUM('POSF Inventory'!FC39,'POSF Inventory'!FE39,'POSF Inventory'!K39)</f>
        <v>864.4787416124999</v>
      </c>
      <c r="H34" s="1106">
        <f>SUM('POSF Inventory'!DL39,'POSF Inventory'!DN39)</f>
        <v>101.10862474999999</v>
      </c>
      <c r="I34" s="1041">
        <f>SUM('POSF Inventory'!DM39,'POSF Inventory'!DO39)</f>
        <v>101.10862474999999</v>
      </c>
      <c r="J34" s="592"/>
      <c r="K34" s="1046">
        <f t="shared" si="0"/>
        <v>105.65851286375</v>
      </c>
      <c r="L34" s="1047">
        <f t="shared" si="1"/>
        <v>950.92661577375009</v>
      </c>
      <c r="M34" s="1046">
        <f t="shared" si="2"/>
        <v>528.29256431875001</v>
      </c>
      <c r="N34" s="1047">
        <f t="shared" si="3"/>
        <v>528.29256431875001</v>
      </c>
      <c r="O34" s="1046">
        <f t="shared" si="4"/>
        <v>1056.5851286375</v>
      </c>
      <c r="P34" s="889">
        <f t="shared" si="5"/>
        <v>0</v>
      </c>
      <c r="Q34" s="1048"/>
      <c r="R34" s="889">
        <f t="shared" si="21"/>
        <v>86.447874161249999</v>
      </c>
      <c r="S34" s="889">
        <f t="shared" si="22"/>
        <v>86.447874161249999</v>
      </c>
      <c r="T34" s="1047">
        <f t="shared" si="23"/>
        <v>778.03086745124995</v>
      </c>
      <c r="U34" s="1047">
        <f t="shared" si="24"/>
        <v>778.03086745124995</v>
      </c>
      <c r="V34" s="1046">
        <f t="shared" si="25"/>
        <v>432.23937080624995</v>
      </c>
      <c r="W34" s="1046">
        <f t="shared" si="26"/>
        <v>432.23937080624995</v>
      </c>
      <c r="X34" s="1047">
        <f t="shared" si="27"/>
        <v>432.23937080624995</v>
      </c>
      <c r="Y34" s="1047">
        <f t="shared" si="28"/>
        <v>432.23937080624995</v>
      </c>
      <c r="Z34" s="1049">
        <f t="shared" si="29"/>
        <v>864.4787416124999</v>
      </c>
      <c r="AA34" s="1049">
        <f t="shared" si="30"/>
        <v>864.4787416124999</v>
      </c>
      <c r="AB34" s="1050">
        <f t="shared" si="31"/>
        <v>0</v>
      </c>
      <c r="AC34" s="1050">
        <f t="shared" si="32"/>
        <v>0</v>
      </c>
      <c r="AD34" s="898"/>
      <c r="AE34" s="1046">
        <f t="shared" si="33"/>
        <v>192.106387025</v>
      </c>
      <c r="AF34" s="1046">
        <f t="shared" si="34"/>
        <v>192.106387025</v>
      </c>
      <c r="AG34" s="1046">
        <f t="shared" si="35"/>
        <v>1728.957483225</v>
      </c>
      <c r="AH34" s="889">
        <f t="shared" si="36"/>
        <v>1728.957483225</v>
      </c>
      <c r="AI34" s="889">
        <f t="shared" si="37"/>
        <v>960.53193512500002</v>
      </c>
      <c r="AJ34" s="889">
        <f t="shared" si="38"/>
        <v>960.53193512500002</v>
      </c>
      <c r="AK34" s="889">
        <f t="shared" si="39"/>
        <v>960.53193512500002</v>
      </c>
      <c r="AL34" s="889">
        <f t="shared" si="40"/>
        <v>960.53193512500002</v>
      </c>
      <c r="AM34" s="889">
        <f t="shared" si="41"/>
        <v>1921.06387025</v>
      </c>
      <c r="AN34" s="1050">
        <f t="shared" si="42"/>
        <v>1921.06387025</v>
      </c>
      <c r="AO34" s="1050">
        <f t="shared" si="43"/>
        <v>0</v>
      </c>
      <c r="AP34" s="1050">
        <f t="shared" si="44"/>
        <v>0</v>
      </c>
      <c r="AR34" s="1067">
        <f t="shared" si="45"/>
        <v>345.79149664500005</v>
      </c>
      <c r="AS34" s="1067">
        <f t="shared" si="46"/>
        <v>345.79149664500005</v>
      </c>
      <c r="AT34" s="1068">
        <f t="shared" si="47"/>
        <v>864.47874161250002</v>
      </c>
      <c r="AU34" s="1068">
        <f t="shared" si="48"/>
        <v>864.47874161250002</v>
      </c>
      <c r="AV34" s="1068">
        <f t="shared" si="49"/>
        <v>1383.1659865800002</v>
      </c>
      <c r="AW34" s="1068">
        <f t="shared" si="50"/>
        <v>1383.1659865800002</v>
      </c>
      <c r="AX34" s="1068">
        <f t="shared" si="51"/>
        <v>192.106387025</v>
      </c>
      <c r="AY34" s="1068">
        <f t="shared" si="52"/>
        <v>192.106387025</v>
      </c>
      <c r="AZ34" s="1068">
        <f t="shared" si="53"/>
        <v>480.26596756250001</v>
      </c>
      <c r="BA34" s="1068">
        <f t="shared" si="54"/>
        <v>480.26596756250001</v>
      </c>
      <c r="BB34" s="1068">
        <f t="shared" si="55"/>
        <v>768.42554810000001</v>
      </c>
      <c r="BC34" s="1068">
        <f t="shared" si="56"/>
        <v>768.42554810000001</v>
      </c>
      <c r="BD34" s="1068">
        <f t="shared" si="6"/>
        <v>0</v>
      </c>
      <c r="BE34" s="1068">
        <f t="shared" si="7"/>
        <v>0</v>
      </c>
      <c r="BF34" s="1069">
        <f t="shared" si="8"/>
        <v>0</v>
      </c>
      <c r="BH34" s="1067">
        <f t="shared" si="9"/>
        <v>190.18532315475002</v>
      </c>
      <c r="BI34" s="1068">
        <f t="shared" si="10"/>
        <v>475.46330788687504</v>
      </c>
      <c r="BJ34" s="1068">
        <f t="shared" si="11"/>
        <v>760.74129261900009</v>
      </c>
      <c r="BK34" s="1068">
        <f t="shared" si="12"/>
        <v>105.65851286375</v>
      </c>
      <c r="BL34" s="1068">
        <f t="shared" si="13"/>
        <v>264.146282159375</v>
      </c>
      <c r="BM34" s="1068">
        <f t="shared" si="14"/>
        <v>422.63405145500002</v>
      </c>
      <c r="BN34" s="1068">
        <f t="shared" si="15"/>
        <v>0</v>
      </c>
      <c r="BO34" s="1068">
        <f t="shared" si="16"/>
        <v>0</v>
      </c>
      <c r="BP34" s="1069">
        <f t="shared" si="17"/>
        <v>0</v>
      </c>
      <c r="BR34" s="1067">
        <f t="shared" si="57"/>
        <v>155.60617349025</v>
      </c>
      <c r="BS34" s="1067">
        <f t="shared" si="58"/>
        <v>155.60617349025</v>
      </c>
      <c r="BT34" s="1068">
        <f t="shared" si="59"/>
        <v>389.01543372562497</v>
      </c>
      <c r="BU34" s="1068">
        <f t="shared" si="60"/>
        <v>389.01543372562497</v>
      </c>
      <c r="BV34" s="1068">
        <f t="shared" si="61"/>
        <v>622.424693961</v>
      </c>
      <c r="BW34" s="1068">
        <f t="shared" si="62"/>
        <v>622.424693961</v>
      </c>
      <c r="BX34" s="1068">
        <f t="shared" si="63"/>
        <v>86.447874161249999</v>
      </c>
      <c r="BY34" s="1068">
        <f t="shared" si="64"/>
        <v>86.447874161249999</v>
      </c>
      <c r="BZ34" s="1068">
        <f t="shared" si="65"/>
        <v>216.11968540312498</v>
      </c>
      <c r="CA34" s="1068">
        <f t="shared" si="66"/>
        <v>216.11968540312498</v>
      </c>
      <c r="CB34" s="1068">
        <f t="shared" si="67"/>
        <v>345.791496645</v>
      </c>
      <c r="CC34" s="1068">
        <f t="shared" si="68"/>
        <v>345.791496645</v>
      </c>
      <c r="CD34" s="1068">
        <f t="shared" si="18"/>
        <v>0</v>
      </c>
      <c r="CE34" s="1068">
        <f t="shared" si="19"/>
        <v>0</v>
      </c>
      <c r="CF34" s="1069">
        <f t="shared" si="20"/>
        <v>0</v>
      </c>
      <c r="CG34" s="599"/>
      <c r="CH34" s="1067">
        <f t="shared" si="69"/>
        <v>18.199552454999999</v>
      </c>
      <c r="CI34" s="1067">
        <f t="shared" si="70"/>
        <v>18.199552454999999</v>
      </c>
      <c r="CJ34" s="1068">
        <f t="shared" si="71"/>
        <v>45.4988811375</v>
      </c>
      <c r="CK34" s="1068">
        <f t="shared" si="72"/>
        <v>45.4988811375</v>
      </c>
      <c r="CL34" s="1068">
        <f t="shared" si="73"/>
        <v>72.798209819999997</v>
      </c>
      <c r="CM34" s="1068">
        <f t="shared" si="74"/>
        <v>72.798209819999997</v>
      </c>
      <c r="CN34" s="1068">
        <f t="shared" si="75"/>
        <v>10.110862474999999</v>
      </c>
      <c r="CO34" s="1068">
        <f t="shared" si="76"/>
        <v>10.110862474999999</v>
      </c>
      <c r="CP34" s="1068">
        <f t="shared" si="77"/>
        <v>25.277156187499997</v>
      </c>
      <c r="CQ34" s="1069">
        <f t="shared" si="78"/>
        <v>25.277156187499997</v>
      </c>
      <c r="CR34" s="1069">
        <f t="shared" si="79"/>
        <v>40.443449899999997</v>
      </c>
      <c r="CS34" s="1069">
        <f t="shared" si="80"/>
        <v>40.443449899999997</v>
      </c>
      <c r="CV34" s="345">
        <v>1984</v>
      </c>
      <c r="CW34" s="1097">
        <f>SUM('POSF Inventory'!HF39,'POSF Inventory'!HH39,'POSF Inventory'!HJ39)*$CY$1</f>
        <v>25.713099457499997</v>
      </c>
      <c r="CX34" s="1098">
        <f>SUM('POSF Inventory'!HG39,'POSF Inventory'!HI39,'POSF Inventory'!HK39)*$CY$2</f>
        <v>25.773958864499996</v>
      </c>
      <c r="CY34" s="1097">
        <f>SUM('POSF Inventory'!HL39,'POSF Inventory'!HN39,'POSF Inventory'!HP39)*$CY$1</f>
        <v>36.255092775687501</v>
      </c>
      <c r="CZ34" s="1098">
        <f>SUM('POSF Inventory'!HM39,'POSF Inventory'!HO39,'POSF Inventory'!HQ39)*$CY$2</f>
        <v>110.05650464462499</v>
      </c>
      <c r="DA34" s="1097">
        <f>SUM('POSF Inventory'!HR39,'POSF Inventory'!HT39,'POSF Inventory'!HV39)*$CY$3</f>
        <v>9.8642566028060124</v>
      </c>
      <c r="DB34" s="1098">
        <f>SUM('POSF Inventory'!HS39,'POSF Inventory'!HU39,'POSF Inventory'!HW39)*$CY$4</f>
        <v>207.31195669622838</v>
      </c>
      <c r="DC34" s="1046">
        <f t="shared" si="81"/>
        <v>71.832448835993503</v>
      </c>
      <c r="DD34" s="1050">
        <f t="shared" si="82"/>
        <v>343.14242020535335</v>
      </c>
      <c r="DI34" s="345">
        <v>1194</v>
      </c>
      <c r="DJ34" s="1041">
        <v>1056.5851286375</v>
      </c>
    </row>
    <row r="35" spans="2:114" x14ac:dyDescent="0.2">
      <c r="B35" s="345">
        <v>1985</v>
      </c>
      <c r="C35" s="774">
        <f>SUM('POSF Inventory'!FF40,'POSF Inventory'!FH40)</f>
        <v>1148.2104935125001</v>
      </c>
      <c r="D35" s="774">
        <f>SUM('POSF Inventory'!FB40,'POSF Inventory'!FD40)</f>
        <v>939.44494923750005</v>
      </c>
      <c r="E35" s="774">
        <f>SUM('POSF Inventory'!FC40,'POSF Inventory'!FE40)</f>
        <v>939.44494923750005</v>
      </c>
      <c r="F35" s="774">
        <f>SUM('POSF Inventory'!FB40,'POSF Inventory'!FD40,'POSF Inventory'!J40)</f>
        <v>939.44494923750005</v>
      </c>
      <c r="G35" s="774">
        <f>SUM('POSF Inventory'!FC40,'POSF Inventory'!FE40,'POSF Inventory'!K40)</f>
        <v>939.44494923750005</v>
      </c>
      <c r="H35" s="1106">
        <f>SUM('POSF Inventory'!DL40,'POSF Inventory'!DN40)</f>
        <v>109.87660225</v>
      </c>
      <c r="I35" s="1041">
        <f>SUM('POSF Inventory'!DM40,'POSF Inventory'!DO40)</f>
        <v>109.87660225</v>
      </c>
      <c r="J35" s="592"/>
      <c r="K35" s="1046">
        <f t="shared" si="0"/>
        <v>114.82104935125001</v>
      </c>
      <c r="L35" s="1047">
        <f t="shared" si="1"/>
        <v>1033.3894441612501</v>
      </c>
      <c r="M35" s="1046">
        <f t="shared" si="2"/>
        <v>574.10524675625004</v>
      </c>
      <c r="N35" s="1047">
        <f t="shared" si="3"/>
        <v>574.10524675625004</v>
      </c>
      <c r="O35" s="1046">
        <f t="shared" si="4"/>
        <v>1148.2104935125001</v>
      </c>
      <c r="P35" s="889">
        <f t="shared" si="5"/>
        <v>0</v>
      </c>
      <c r="Q35" s="1048"/>
      <c r="R35" s="889">
        <f t="shared" si="21"/>
        <v>93.944494923750014</v>
      </c>
      <c r="S35" s="889">
        <f t="shared" si="22"/>
        <v>93.944494923750014</v>
      </c>
      <c r="T35" s="1047">
        <f t="shared" si="23"/>
        <v>845.50045431375008</v>
      </c>
      <c r="U35" s="1047">
        <f t="shared" si="24"/>
        <v>845.50045431375008</v>
      </c>
      <c r="V35" s="1046">
        <f t="shared" si="25"/>
        <v>469.72247461875003</v>
      </c>
      <c r="W35" s="1046">
        <f t="shared" si="26"/>
        <v>469.72247461875003</v>
      </c>
      <c r="X35" s="1047">
        <f t="shared" si="27"/>
        <v>469.72247461875003</v>
      </c>
      <c r="Y35" s="1047">
        <f t="shared" si="28"/>
        <v>469.72247461875003</v>
      </c>
      <c r="Z35" s="1049">
        <f t="shared" si="29"/>
        <v>939.44494923750005</v>
      </c>
      <c r="AA35" s="1049">
        <f t="shared" si="30"/>
        <v>939.44494923750005</v>
      </c>
      <c r="AB35" s="1050">
        <f t="shared" si="31"/>
        <v>0</v>
      </c>
      <c r="AC35" s="1050">
        <f t="shared" si="32"/>
        <v>0</v>
      </c>
      <c r="AD35" s="898"/>
      <c r="AE35" s="1046">
        <f t="shared" si="33"/>
        <v>208.76554427500002</v>
      </c>
      <c r="AF35" s="1046">
        <f t="shared" si="34"/>
        <v>208.76554427500002</v>
      </c>
      <c r="AG35" s="1046">
        <f t="shared" si="35"/>
        <v>1878.8898984750003</v>
      </c>
      <c r="AH35" s="889">
        <f t="shared" si="36"/>
        <v>1878.8898984750003</v>
      </c>
      <c r="AI35" s="889">
        <f t="shared" si="37"/>
        <v>1043.827721375</v>
      </c>
      <c r="AJ35" s="889">
        <f t="shared" si="38"/>
        <v>1043.827721375</v>
      </c>
      <c r="AK35" s="889">
        <f t="shared" si="39"/>
        <v>1043.827721375</v>
      </c>
      <c r="AL35" s="889">
        <f t="shared" si="40"/>
        <v>1043.827721375</v>
      </c>
      <c r="AM35" s="889">
        <f t="shared" si="41"/>
        <v>2087.65544275</v>
      </c>
      <c r="AN35" s="1050">
        <f t="shared" si="42"/>
        <v>2087.65544275</v>
      </c>
      <c r="AO35" s="1050">
        <f t="shared" si="43"/>
        <v>0</v>
      </c>
      <c r="AP35" s="1050">
        <f t="shared" si="44"/>
        <v>0</v>
      </c>
      <c r="AR35" s="1067">
        <f t="shared" si="45"/>
        <v>375.77797969500011</v>
      </c>
      <c r="AS35" s="1067">
        <f t="shared" si="46"/>
        <v>375.77797969500011</v>
      </c>
      <c r="AT35" s="1068">
        <f t="shared" si="47"/>
        <v>939.44494923750017</v>
      </c>
      <c r="AU35" s="1068">
        <f t="shared" si="48"/>
        <v>939.44494923750017</v>
      </c>
      <c r="AV35" s="1068">
        <f t="shared" si="49"/>
        <v>1503.1119187800005</v>
      </c>
      <c r="AW35" s="1068">
        <f t="shared" si="50"/>
        <v>1503.1119187800005</v>
      </c>
      <c r="AX35" s="1068">
        <f t="shared" si="51"/>
        <v>208.76554427500002</v>
      </c>
      <c r="AY35" s="1068">
        <f t="shared" si="52"/>
        <v>208.76554427500002</v>
      </c>
      <c r="AZ35" s="1068">
        <f t="shared" si="53"/>
        <v>521.91386068750001</v>
      </c>
      <c r="BA35" s="1068">
        <f t="shared" si="54"/>
        <v>521.91386068750001</v>
      </c>
      <c r="BB35" s="1068">
        <f t="shared" si="55"/>
        <v>835.0621771000001</v>
      </c>
      <c r="BC35" s="1068">
        <f t="shared" si="56"/>
        <v>835.0621771000001</v>
      </c>
      <c r="BD35" s="1068">
        <f t="shared" si="6"/>
        <v>0</v>
      </c>
      <c r="BE35" s="1068">
        <f t="shared" si="7"/>
        <v>0</v>
      </c>
      <c r="BF35" s="1069">
        <f t="shared" si="8"/>
        <v>0</v>
      </c>
      <c r="BH35" s="1067">
        <f t="shared" si="9"/>
        <v>206.67788883225003</v>
      </c>
      <c r="BI35" s="1068">
        <f t="shared" si="10"/>
        <v>516.69472208062507</v>
      </c>
      <c r="BJ35" s="1068">
        <f t="shared" si="11"/>
        <v>826.71155532900013</v>
      </c>
      <c r="BK35" s="1068">
        <f t="shared" si="12"/>
        <v>114.82104935125001</v>
      </c>
      <c r="BL35" s="1068">
        <f t="shared" si="13"/>
        <v>287.05262337812502</v>
      </c>
      <c r="BM35" s="1068">
        <f t="shared" si="14"/>
        <v>459.28419740500004</v>
      </c>
      <c r="BN35" s="1068">
        <f t="shared" si="15"/>
        <v>0</v>
      </c>
      <c r="BO35" s="1068">
        <f t="shared" si="16"/>
        <v>0</v>
      </c>
      <c r="BP35" s="1069">
        <f t="shared" si="17"/>
        <v>0</v>
      </c>
      <c r="BR35" s="1067">
        <f t="shared" si="57"/>
        <v>169.10009086275002</v>
      </c>
      <c r="BS35" s="1067">
        <f t="shared" si="58"/>
        <v>169.10009086275002</v>
      </c>
      <c r="BT35" s="1068">
        <f t="shared" si="59"/>
        <v>422.75022715687504</v>
      </c>
      <c r="BU35" s="1068">
        <f t="shared" si="60"/>
        <v>422.75022715687504</v>
      </c>
      <c r="BV35" s="1068">
        <f t="shared" si="61"/>
        <v>676.40036345100009</v>
      </c>
      <c r="BW35" s="1068">
        <f t="shared" si="62"/>
        <v>676.40036345100009</v>
      </c>
      <c r="BX35" s="1068">
        <f t="shared" si="63"/>
        <v>93.944494923750014</v>
      </c>
      <c r="BY35" s="1068">
        <f t="shared" si="64"/>
        <v>93.944494923750014</v>
      </c>
      <c r="BZ35" s="1068">
        <f t="shared" si="65"/>
        <v>234.86123730937501</v>
      </c>
      <c r="CA35" s="1068">
        <f t="shared" si="66"/>
        <v>234.86123730937501</v>
      </c>
      <c r="CB35" s="1068">
        <f t="shared" si="67"/>
        <v>375.77797969500006</v>
      </c>
      <c r="CC35" s="1068">
        <f t="shared" si="68"/>
        <v>375.77797969500006</v>
      </c>
      <c r="CD35" s="1068">
        <f t="shared" si="18"/>
        <v>0</v>
      </c>
      <c r="CE35" s="1068">
        <f t="shared" si="19"/>
        <v>0</v>
      </c>
      <c r="CF35" s="1069">
        <f t="shared" si="20"/>
        <v>0</v>
      </c>
      <c r="CG35" s="599"/>
      <c r="CH35" s="1067">
        <f t="shared" si="69"/>
        <v>19.777788405000003</v>
      </c>
      <c r="CI35" s="1067">
        <f t="shared" si="70"/>
        <v>19.777788405000003</v>
      </c>
      <c r="CJ35" s="1068">
        <f t="shared" si="71"/>
        <v>49.444471012500003</v>
      </c>
      <c r="CK35" s="1068">
        <f t="shared" si="72"/>
        <v>49.444471012500003</v>
      </c>
      <c r="CL35" s="1068">
        <f t="shared" si="73"/>
        <v>79.11115362000001</v>
      </c>
      <c r="CM35" s="1068">
        <f t="shared" si="74"/>
        <v>79.11115362000001</v>
      </c>
      <c r="CN35" s="1068">
        <f t="shared" si="75"/>
        <v>10.987660225000001</v>
      </c>
      <c r="CO35" s="1068">
        <f t="shared" si="76"/>
        <v>10.987660225000001</v>
      </c>
      <c r="CP35" s="1068">
        <f t="shared" si="77"/>
        <v>27.469150562500001</v>
      </c>
      <c r="CQ35" s="1069">
        <f t="shared" si="78"/>
        <v>27.469150562500001</v>
      </c>
      <c r="CR35" s="1069">
        <f t="shared" si="79"/>
        <v>43.950640900000003</v>
      </c>
      <c r="CS35" s="1069">
        <f t="shared" si="80"/>
        <v>43.950640900000003</v>
      </c>
      <c r="CV35" s="345">
        <v>1985</v>
      </c>
      <c r="CW35" s="1097">
        <f>SUM('POSF Inventory'!HF40,'POSF Inventory'!HH40,'POSF Inventory'!HJ40)*$CY$1</f>
        <v>27.942898132499995</v>
      </c>
      <c r="CX35" s="1098">
        <f>SUM('POSF Inventory'!HG40,'POSF Inventory'!HI40,'POSF Inventory'!HK40)*$CY$2</f>
        <v>28.009035169499995</v>
      </c>
      <c r="CY35" s="1097">
        <f>SUM('POSF Inventory'!HL40,'POSF Inventory'!HN40,'POSF Inventory'!HP40)*$CY$1</f>
        <v>39.433319545749995</v>
      </c>
      <c r="CZ35" s="1098">
        <f>SUM('POSF Inventory'!HM40,'POSF Inventory'!HO40,'POSF Inventory'!HQ40)*$CY$2</f>
        <v>119.9436721175</v>
      </c>
      <c r="DA35" s="1097">
        <f>SUM('POSF Inventory'!HR40,'POSF Inventory'!HT40,'POSF Inventory'!HV40)*$CY$3</f>
        <v>10.743131508057651</v>
      </c>
      <c r="DB35" s="1098">
        <f>SUM('POSF Inventory'!HS40,'POSF Inventory'!HU40,'POSF Inventory'!HW40)*$CY$4</f>
        <v>227.72598755118429</v>
      </c>
      <c r="DC35" s="1046">
        <f t="shared" si="81"/>
        <v>78.11934918630763</v>
      </c>
      <c r="DD35" s="1050">
        <f t="shared" si="82"/>
        <v>375.6786948381843</v>
      </c>
      <c r="DI35" s="345">
        <v>1298</v>
      </c>
      <c r="DJ35" s="1041">
        <v>1148.2104935125001</v>
      </c>
    </row>
    <row r="36" spans="2:114" x14ac:dyDescent="0.2">
      <c r="B36" s="345">
        <v>1986</v>
      </c>
      <c r="C36" s="774">
        <f>SUM('POSF Inventory'!FF41,'POSF Inventory'!FH41)</f>
        <v>1148.2104935125001</v>
      </c>
      <c r="D36" s="774">
        <f>SUM('POSF Inventory'!FB41,'POSF Inventory'!FD41)</f>
        <v>939.44494923750005</v>
      </c>
      <c r="E36" s="774">
        <f>SUM('POSF Inventory'!FC41,'POSF Inventory'!FE41)</f>
        <v>939.44494923750005</v>
      </c>
      <c r="F36" s="774">
        <f>SUM('POSF Inventory'!FB41,'POSF Inventory'!FD41,'POSF Inventory'!J41)</f>
        <v>939.44494923750005</v>
      </c>
      <c r="G36" s="774">
        <f>SUM('POSF Inventory'!FC41,'POSF Inventory'!FE41,'POSF Inventory'!K41)</f>
        <v>939.44494923750005</v>
      </c>
      <c r="H36" s="1106">
        <f>SUM('POSF Inventory'!DL41,'POSF Inventory'!DN41)</f>
        <v>109.87660225</v>
      </c>
      <c r="I36" s="1041">
        <f>SUM('POSF Inventory'!DM41,'POSF Inventory'!DO41)</f>
        <v>109.87660225</v>
      </c>
      <c r="J36" s="592"/>
      <c r="K36" s="1046">
        <f t="shared" si="0"/>
        <v>114.82104935125001</v>
      </c>
      <c r="L36" s="1047">
        <f t="shared" si="1"/>
        <v>1033.3894441612501</v>
      </c>
      <c r="M36" s="1046">
        <f t="shared" si="2"/>
        <v>574.10524675625004</v>
      </c>
      <c r="N36" s="1047">
        <f t="shared" si="3"/>
        <v>574.10524675625004</v>
      </c>
      <c r="O36" s="1046">
        <f t="shared" si="4"/>
        <v>1148.2104935125001</v>
      </c>
      <c r="P36" s="889">
        <f t="shared" si="5"/>
        <v>0</v>
      </c>
      <c r="Q36" s="1048"/>
      <c r="R36" s="889">
        <f t="shared" si="21"/>
        <v>93.944494923750014</v>
      </c>
      <c r="S36" s="889">
        <f t="shared" si="22"/>
        <v>93.944494923750014</v>
      </c>
      <c r="T36" s="1047">
        <f t="shared" si="23"/>
        <v>845.50045431375008</v>
      </c>
      <c r="U36" s="1047">
        <f t="shared" si="24"/>
        <v>845.50045431375008</v>
      </c>
      <c r="V36" s="1046">
        <f t="shared" si="25"/>
        <v>469.72247461875003</v>
      </c>
      <c r="W36" s="1046">
        <f t="shared" si="26"/>
        <v>469.72247461875003</v>
      </c>
      <c r="X36" s="1047">
        <f t="shared" si="27"/>
        <v>469.72247461875003</v>
      </c>
      <c r="Y36" s="1047">
        <f t="shared" si="28"/>
        <v>469.72247461875003</v>
      </c>
      <c r="Z36" s="1049">
        <f t="shared" si="29"/>
        <v>939.44494923750005</v>
      </c>
      <c r="AA36" s="1049">
        <f t="shared" si="30"/>
        <v>939.44494923750005</v>
      </c>
      <c r="AB36" s="1050">
        <f t="shared" si="31"/>
        <v>0</v>
      </c>
      <c r="AC36" s="1050">
        <f t="shared" si="32"/>
        <v>0</v>
      </c>
      <c r="AD36" s="898"/>
      <c r="AE36" s="1046">
        <f t="shared" si="33"/>
        <v>208.76554427500002</v>
      </c>
      <c r="AF36" s="1046">
        <f t="shared" si="34"/>
        <v>208.76554427500002</v>
      </c>
      <c r="AG36" s="1046">
        <f t="shared" si="35"/>
        <v>1878.8898984750003</v>
      </c>
      <c r="AH36" s="889">
        <f t="shared" si="36"/>
        <v>1878.8898984750003</v>
      </c>
      <c r="AI36" s="889">
        <f t="shared" si="37"/>
        <v>1043.827721375</v>
      </c>
      <c r="AJ36" s="889">
        <f t="shared" si="38"/>
        <v>1043.827721375</v>
      </c>
      <c r="AK36" s="889">
        <f t="shared" si="39"/>
        <v>1043.827721375</v>
      </c>
      <c r="AL36" s="889">
        <f t="shared" si="40"/>
        <v>1043.827721375</v>
      </c>
      <c r="AM36" s="889">
        <f t="shared" si="41"/>
        <v>2087.65544275</v>
      </c>
      <c r="AN36" s="1050">
        <f t="shared" si="42"/>
        <v>2087.65544275</v>
      </c>
      <c r="AO36" s="1050">
        <f t="shared" si="43"/>
        <v>0</v>
      </c>
      <c r="AP36" s="1050">
        <f t="shared" si="44"/>
        <v>0</v>
      </c>
      <c r="AR36" s="1067">
        <f t="shared" si="45"/>
        <v>375.77797969500011</v>
      </c>
      <c r="AS36" s="1067">
        <f t="shared" si="46"/>
        <v>375.77797969500011</v>
      </c>
      <c r="AT36" s="1068">
        <f t="shared" si="47"/>
        <v>939.44494923750017</v>
      </c>
      <c r="AU36" s="1068">
        <f t="shared" si="48"/>
        <v>939.44494923750017</v>
      </c>
      <c r="AV36" s="1068">
        <f t="shared" si="49"/>
        <v>1503.1119187800005</v>
      </c>
      <c r="AW36" s="1068">
        <f t="shared" si="50"/>
        <v>1503.1119187800005</v>
      </c>
      <c r="AX36" s="1068">
        <f t="shared" si="51"/>
        <v>208.76554427500002</v>
      </c>
      <c r="AY36" s="1068">
        <f t="shared" si="52"/>
        <v>208.76554427500002</v>
      </c>
      <c r="AZ36" s="1068">
        <f t="shared" si="53"/>
        <v>521.91386068750001</v>
      </c>
      <c r="BA36" s="1068">
        <f t="shared" si="54"/>
        <v>521.91386068750001</v>
      </c>
      <c r="BB36" s="1068">
        <f t="shared" si="55"/>
        <v>835.0621771000001</v>
      </c>
      <c r="BC36" s="1068">
        <f t="shared" si="56"/>
        <v>835.0621771000001</v>
      </c>
      <c r="BD36" s="1068">
        <f t="shared" si="6"/>
        <v>0</v>
      </c>
      <c r="BE36" s="1068">
        <f t="shared" si="7"/>
        <v>0</v>
      </c>
      <c r="BF36" s="1069">
        <f t="shared" si="8"/>
        <v>0</v>
      </c>
      <c r="BH36" s="1067">
        <f t="shared" si="9"/>
        <v>206.67788883225003</v>
      </c>
      <c r="BI36" s="1068">
        <f t="shared" si="10"/>
        <v>516.69472208062507</v>
      </c>
      <c r="BJ36" s="1068">
        <f t="shared" si="11"/>
        <v>826.71155532900013</v>
      </c>
      <c r="BK36" s="1068">
        <f t="shared" si="12"/>
        <v>114.82104935125001</v>
      </c>
      <c r="BL36" s="1068">
        <f t="shared" si="13"/>
        <v>287.05262337812502</v>
      </c>
      <c r="BM36" s="1068">
        <f t="shared" si="14"/>
        <v>459.28419740500004</v>
      </c>
      <c r="BN36" s="1068">
        <f t="shared" si="15"/>
        <v>0</v>
      </c>
      <c r="BO36" s="1068">
        <f t="shared" si="16"/>
        <v>0</v>
      </c>
      <c r="BP36" s="1069">
        <f t="shared" si="17"/>
        <v>0</v>
      </c>
      <c r="BR36" s="1067">
        <f t="shared" si="57"/>
        <v>169.10009086275002</v>
      </c>
      <c r="BS36" s="1067">
        <f t="shared" si="58"/>
        <v>169.10009086275002</v>
      </c>
      <c r="BT36" s="1068">
        <f t="shared" si="59"/>
        <v>422.75022715687504</v>
      </c>
      <c r="BU36" s="1068">
        <f t="shared" si="60"/>
        <v>422.75022715687504</v>
      </c>
      <c r="BV36" s="1068">
        <f t="shared" si="61"/>
        <v>676.40036345100009</v>
      </c>
      <c r="BW36" s="1068">
        <f t="shared" si="62"/>
        <v>676.40036345100009</v>
      </c>
      <c r="BX36" s="1068">
        <f t="shared" si="63"/>
        <v>93.944494923750014</v>
      </c>
      <c r="BY36" s="1068">
        <f t="shared" si="64"/>
        <v>93.944494923750014</v>
      </c>
      <c r="BZ36" s="1068">
        <f t="shared" si="65"/>
        <v>234.86123730937501</v>
      </c>
      <c r="CA36" s="1068">
        <f t="shared" si="66"/>
        <v>234.86123730937501</v>
      </c>
      <c r="CB36" s="1068">
        <f t="shared" si="67"/>
        <v>375.77797969500006</v>
      </c>
      <c r="CC36" s="1068">
        <f t="shared" si="68"/>
        <v>375.77797969500006</v>
      </c>
      <c r="CD36" s="1068">
        <f t="shared" si="18"/>
        <v>0</v>
      </c>
      <c r="CE36" s="1068">
        <f t="shared" si="19"/>
        <v>0</v>
      </c>
      <c r="CF36" s="1069">
        <f t="shared" si="20"/>
        <v>0</v>
      </c>
      <c r="CG36" s="599"/>
      <c r="CH36" s="1067">
        <f t="shared" si="69"/>
        <v>19.777788405000003</v>
      </c>
      <c r="CI36" s="1067">
        <f t="shared" si="70"/>
        <v>19.777788405000003</v>
      </c>
      <c r="CJ36" s="1068">
        <f t="shared" si="71"/>
        <v>49.444471012500003</v>
      </c>
      <c r="CK36" s="1068">
        <f t="shared" si="72"/>
        <v>49.444471012500003</v>
      </c>
      <c r="CL36" s="1068">
        <f t="shared" si="73"/>
        <v>79.11115362000001</v>
      </c>
      <c r="CM36" s="1068">
        <f t="shared" si="74"/>
        <v>79.11115362000001</v>
      </c>
      <c r="CN36" s="1068">
        <f t="shared" si="75"/>
        <v>10.987660225000001</v>
      </c>
      <c r="CO36" s="1068">
        <f t="shared" si="76"/>
        <v>10.987660225000001</v>
      </c>
      <c r="CP36" s="1068">
        <f t="shared" si="77"/>
        <v>27.469150562500001</v>
      </c>
      <c r="CQ36" s="1069">
        <f t="shared" si="78"/>
        <v>27.469150562500001</v>
      </c>
      <c r="CR36" s="1069">
        <f t="shared" si="79"/>
        <v>43.950640900000003</v>
      </c>
      <c r="CS36" s="1069">
        <f t="shared" si="80"/>
        <v>43.950640900000003</v>
      </c>
      <c r="CV36" s="345">
        <v>1986</v>
      </c>
      <c r="CW36" s="1097">
        <f>SUM('POSF Inventory'!HF41,'POSF Inventory'!HH41,'POSF Inventory'!HJ41)*$CY$1</f>
        <v>27.942898132499995</v>
      </c>
      <c r="CX36" s="1098">
        <f>SUM('POSF Inventory'!HG41,'POSF Inventory'!HI41,'POSF Inventory'!HK41)*$CY$2</f>
        <v>28.009035169499995</v>
      </c>
      <c r="CY36" s="1097">
        <f>SUM('POSF Inventory'!HL41,'POSF Inventory'!HN41,'POSF Inventory'!HP41)*$CY$1</f>
        <v>39.803766595124998</v>
      </c>
      <c r="CZ36" s="1098">
        <f>SUM('POSF Inventory'!HM41,'POSF Inventory'!HO41,'POSF Inventory'!HQ41)*$CY$2</f>
        <v>123.65691058875001</v>
      </c>
      <c r="DA36" s="1097">
        <f>SUM('POSF Inventory'!HR41,'POSF Inventory'!HT41,'POSF Inventory'!HV41)*$CY$3</f>
        <v>10.972318636407676</v>
      </c>
      <c r="DB36" s="1098">
        <f>SUM('POSF Inventory'!HS41,'POSF Inventory'!HU41,'POSF Inventory'!HW41)*$CY$4</f>
        <v>238.85676313507531</v>
      </c>
      <c r="DC36" s="1046">
        <f t="shared" si="81"/>
        <v>78.718983364032667</v>
      </c>
      <c r="DD36" s="1050">
        <f t="shared" si="82"/>
        <v>390.52270889332533</v>
      </c>
      <c r="DI36" s="345">
        <v>1298</v>
      </c>
      <c r="DJ36" s="1041">
        <v>1148.2104935125001</v>
      </c>
    </row>
    <row r="37" spans="2:114" x14ac:dyDescent="0.2">
      <c r="B37" s="345">
        <v>1987</v>
      </c>
      <c r="C37" s="774">
        <f>SUM('POSF Inventory'!FF42,'POSF Inventory'!FH42)</f>
        <v>1148.2104935125001</v>
      </c>
      <c r="D37" s="774">
        <f>SUM('POSF Inventory'!FB42,'POSF Inventory'!FD42)</f>
        <v>939.44494923750005</v>
      </c>
      <c r="E37" s="774">
        <f>SUM('POSF Inventory'!FC42,'POSF Inventory'!FE42)</f>
        <v>939.44494923750005</v>
      </c>
      <c r="F37" s="774">
        <f>SUM('POSF Inventory'!FB42,'POSF Inventory'!FD42,'POSF Inventory'!J42)</f>
        <v>939.44494923750005</v>
      </c>
      <c r="G37" s="774">
        <f>SUM('POSF Inventory'!FC42,'POSF Inventory'!FE42,'POSF Inventory'!K42)</f>
        <v>939.44494923750005</v>
      </c>
      <c r="H37" s="1106">
        <f>SUM('POSF Inventory'!DL42,'POSF Inventory'!DN42)</f>
        <v>109.87660225</v>
      </c>
      <c r="I37" s="1041">
        <f>SUM('POSF Inventory'!DM42,'POSF Inventory'!DO42)</f>
        <v>109.87660225</v>
      </c>
      <c r="J37" s="592"/>
      <c r="K37" s="1046">
        <f t="shared" si="0"/>
        <v>114.82104935125001</v>
      </c>
      <c r="L37" s="1047">
        <f t="shared" si="1"/>
        <v>1033.3894441612501</v>
      </c>
      <c r="M37" s="1046">
        <f t="shared" si="2"/>
        <v>574.10524675625004</v>
      </c>
      <c r="N37" s="1047">
        <f t="shared" si="3"/>
        <v>574.10524675625004</v>
      </c>
      <c r="O37" s="1046">
        <f t="shared" si="4"/>
        <v>1148.2104935125001</v>
      </c>
      <c r="P37" s="889">
        <f t="shared" si="5"/>
        <v>0</v>
      </c>
      <c r="Q37" s="1048"/>
      <c r="R37" s="889">
        <f t="shared" si="21"/>
        <v>93.944494923750014</v>
      </c>
      <c r="S37" s="889">
        <f t="shared" si="22"/>
        <v>93.944494923750014</v>
      </c>
      <c r="T37" s="1047">
        <f t="shared" si="23"/>
        <v>845.50045431375008</v>
      </c>
      <c r="U37" s="1047">
        <f t="shared" si="24"/>
        <v>845.50045431375008</v>
      </c>
      <c r="V37" s="1046">
        <f t="shared" si="25"/>
        <v>469.72247461875003</v>
      </c>
      <c r="W37" s="1046">
        <f t="shared" si="26"/>
        <v>469.72247461875003</v>
      </c>
      <c r="X37" s="1047">
        <f t="shared" si="27"/>
        <v>469.72247461875003</v>
      </c>
      <c r="Y37" s="1047">
        <f t="shared" si="28"/>
        <v>469.72247461875003</v>
      </c>
      <c r="Z37" s="1049">
        <f t="shared" si="29"/>
        <v>939.44494923750005</v>
      </c>
      <c r="AA37" s="1049">
        <f t="shared" si="30"/>
        <v>939.44494923750005</v>
      </c>
      <c r="AB37" s="1050">
        <f t="shared" si="31"/>
        <v>0</v>
      </c>
      <c r="AC37" s="1050">
        <f t="shared" si="32"/>
        <v>0</v>
      </c>
      <c r="AD37" s="898"/>
      <c r="AE37" s="1046">
        <f t="shared" si="33"/>
        <v>208.76554427500002</v>
      </c>
      <c r="AF37" s="1046">
        <f t="shared" si="34"/>
        <v>208.76554427500002</v>
      </c>
      <c r="AG37" s="1046">
        <f t="shared" si="35"/>
        <v>1878.8898984750003</v>
      </c>
      <c r="AH37" s="889">
        <f t="shared" si="36"/>
        <v>1878.8898984750003</v>
      </c>
      <c r="AI37" s="889">
        <f t="shared" si="37"/>
        <v>1043.827721375</v>
      </c>
      <c r="AJ37" s="889">
        <f t="shared" si="38"/>
        <v>1043.827721375</v>
      </c>
      <c r="AK37" s="889">
        <f t="shared" si="39"/>
        <v>1043.827721375</v>
      </c>
      <c r="AL37" s="889">
        <f t="shared" si="40"/>
        <v>1043.827721375</v>
      </c>
      <c r="AM37" s="889">
        <f t="shared" si="41"/>
        <v>2087.65544275</v>
      </c>
      <c r="AN37" s="1050">
        <f t="shared" si="42"/>
        <v>2087.65544275</v>
      </c>
      <c r="AO37" s="1050">
        <f t="shared" si="43"/>
        <v>0</v>
      </c>
      <c r="AP37" s="1050">
        <f t="shared" si="44"/>
        <v>0</v>
      </c>
      <c r="AR37" s="1067">
        <f t="shared" si="45"/>
        <v>375.77797969500011</v>
      </c>
      <c r="AS37" s="1067">
        <f t="shared" si="46"/>
        <v>375.77797969500011</v>
      </c>
      <c r="AT37" s="1068">
        <f t="shared" si="47"/>
        <v>939.44494923750017</v>
      </c>
      <c r="AU37" s="1068">
        <f t="shared" si="48"/>
        <v>939.44494923750017</v>
      </c>
      <c r="AV37" s="1068">
        <f t="shared" si="49"/>
        <v>1503.1119187800005</v>
      </c>
      <c r="AW37" s="1068">
        <f t="shared" si="50"/>
        <v>1503.1119187800005</v>
      </c>
      <c r="AX37" s="1068">
        <f t="shared" si="51"/>
        <v>208.76554427500002</v>
      </c>
      <c r="AY37" s="1068">
        <f t="shared" si="52"/>
        <v>208.76554427500002</v>
      </c>
      <c r="AZ37" s="1068">
        <f t="shared" si="53"/>
        <v>521.91386068750001</v>
      </c>
      <c r="BA37" s="1068">
        <f t="shared" si="54"/>
        <v>521.91386068750001</v>
      </c>
      <c r="BB37" s="1068">
        <f t="shared" si="55"/>
        <v>835.0621771000001</v>
      </c>
      <c r="BC37" s="1068">
        <f t="shared" si="56"/>
        <v>835.0621771000001</v>
      </c>
      <c r="BD37" s="1068">
        <f t="shared" si="6"/>
        <v>0</v>
      </c>
      <c r="BE37" s="1068">
        <f t="shared" si="7"/>
        <v>0</v>
      </c>
      <c r="BF37" s="1069">
        <f t="shared" si="8"/>
        <v>0</v>
      </c>
      <c r="BH37" s="1067">
        <f t="shared" si="9"/>
        <v>206.67788883225003</v>
      </c>
      <c r="BI37" s="1068">
        <f t="shared" si="10"/>
        <v>516.69472208062507</v>
      </c>
      <c r="BJ37" s="1068">
        <f t="shared" si="11"/>
        <v>826.71155532900013</v>
      </c>
      <c r="BK37" s="1068">
        <f t="shared" si="12"/>
        <v>114.82104935125001</v>
      </c>
      <c r="BL37" s="1068">
        <f t="shared" si="13"/>
        <v>287.05262337812502</v>
      </c>
      <c r="BM37" s="1068">
        <f t="shared" si="14"/>
        <v>459.28419740500004</v>
      </c>
      <c r="BN37" s="1068">
        <f t="shared" si="15"/>
        <v>0</v>
      </c>
      <c r="BO37" s="1068">
        <f t="shared" si="16"/>
        <v>0</v>
      </c>
      <c r="BP37" s="1069">
        <f t="shared" si="17"/>
        <v>0</v>
      </c>
      <c r="BR37" s="1067">
        <f t="shared" si="57"/>
        <v>169.10009086275002</v>
      </c>
      <c r="BS37" s="1067">
        <f t="shared" si="58"/>
        <v>169.10009086275002</v>
      </c>
      <c r="BT37" s="1068">
        <f t="shared" si="59"/>
        <v>422.75022715687504</v>
      </c>
      <c r="BU37" s="1068">
        <f t="shared" si="60"/>
        <v>422.75022715687504</v>
      </c>
      <c r="BV37" s="1068">
        <f t="shared" si="61"/>
        <v>676.40036345100009</v>
      </c>
      <c r="BW37" s="1068">
        <f t="shared" si="62"/>
        <v>676.40036345100009</v>
      </c>
      <c r="BX37" s="1068">
        <f t="shared" si="63"/>
        <v>93.944494923750014</v>
      </c>
      <c r="BY37" s="1068">
        <f t="shared" si="64"/>
        <v>93.944494923750014</v>
      </c>
      <c r="BZ37" s="1068">
        <f t="shared" si="65"/>
        <v>234.86123730937501</v>
      </c>
      <c r="CA37" s="1068">
        <f t="shared" si="66"/>
        <v>234.86123730937501</v>
      </c>
      <c r="CB37" s="1068">
        <f t="shared" si="67"/>
        <v>375.77797969500006</v>
      </c>
      <c r="CC37" s="1068">
        <f t="shared" si="68"/>
        <v>375.77797969500006</v>
      </c>
      <c r="CD37" s="1068">
        <f t="shared" si="18"/>
        <v>0</v>
      </c>
      <c r="CE37" s="1068">
        <f t="shared" si="19"/>
        <v>0</v>
      </c>
      <c r="CF37" s="1069">
        <f t="shared" si="20"/>
        <v>0</v>
      </c>
      <c r="CG37" s="599"/>
      <c r="CH37" s="1067">
        <f t="shared" si="69"/>
        <v>19.777788405000003</v>
      </c>
      <c r="CI37" s="1067">
        <f t="shared" si="70"/>
        <v>19.777788405000003</v>
      </c>
      <c r="CJ37" s="1068">
        <f t="shared" si="71"/>
        <v>49.444471012500003</v>
      </c>
      <c r="CK37" s="1068">
        <f t="shared" si="72"/>
        <v>49.444471012500003</v>
      </c>
      <c r="CL37" s="1068">
        <f t="shared" si="73"/>
        <v>79.11115362000001</v>
      </c>
      <c r="CM37" s="1068">
        <f t="shared" si="74"/>
        <v>79.11115362000001</v>
      </c>
      <c r="CN37" s="1068">
        <f t="shared" si="75"/>
        <v>10.987660225000001</v>
      </c>
      <c r="CO37" s="1068">
        <f t="shared" si="76"/>
        <v>10.987660225000001</v>
      </c>
      <c r="CP37" s="1068">
        <f t="shared" si="77"/>
        <v>27.469150562500001</v>
      </c>
      <c r="CQ37" s="1069">
        <f t="shared" si="78"/>
        <v>27.469150562500001</v>
      </c>
      <c r="CR37" s="1069">
        <f t="shared" si="79"/>
        <v>43.950640900000003</v>
      </c>
      <c r="CS37" s="1069">
        <f t="shared" si="80"/>
        <v>43.950640900000003</v>
      </c>
      <c r="CV37" s="345">
        <v>1987</v>
      </c>
      <c r="CW37" s="1097">
        <f>SUM('POSF Inventory'!HF42,'POSF Inventory'!HH42,'POSF Inventory'!HJ42)*$CY$1</f>
        <v>27.942898132499995</v>
      </c>
      <c r="CX37" s="1098">
        <f>SUM('POSF Inventory'!HG42,'POSF Inventory'!HI42,'POSF Inventory'!HK42)*$CY$2</f>
        <v>28.009035169499995</v>
      </c>
      <c r="CY37" s="1097">
        <f>SUM('POSF Inventory'!HL42,'POSF Inventory'!HN42,'POSF Inventory'!HP42)*$CY$1</f>
        <v>39.803766595124998</v>
      </c>
      <c r="CZ37" s="1098">
        <f>SUM('POSF Inventory'!HM42,'POSF Inventory'!HO42,'POSF Inventory'!HQ42)*$CY$2</f>
        <v>123.65691058875001</v>
      </c>
      <c r="DA37" s="1097">
        <f>SUM('POSF Inventory'!HR42,'POSF Inventory'!HT42,'POSF Inventory'!HV42)*$CY$3</f>
        <v>10.978198091400076</v>
      </c>
      <c r="DB37" s="1098">
        <f>SUM('POSF Inventory'!HS42,'POSF Inventory'!HU42,'POSF Inventory'!HW42)*$CY$4</f>
        <v>242.49100125225254</v>
      </c>
      <c r="DC37" s="1046">
        <f t="shared" si="81"/>
        <v>78.724862819025063</v>
      </c>
      <c r="DD37" s="1050">
        <f t="shared" si="82"/>
        <v>394.15694701050256</v>
      </c>
      <c r="DI37" s="345">
        <v>1298</v>
      </c>
      <c r="DJ37" s="1041">
        <v>1148.2104935125001</v>
      </c>
    </row>
    <row r="38" spans="2:114" x14ac:dyDescent="0.2">
      <c r="B38" s="345">
        <v>1988</v>
      </c>
      <c r="C38" s="774">
        <f>SUM('POSF Inventory'!FF43,'POSF Inventory'!FH43)</f>
        <v>1148.2104935125001</v>
      </c>
      <c r="D38" s="774">
        <f>SUM('POSF Inventory'!FB43,'POSF Inventory'!FD43)</f>
        <v>939.44494923750005</v>
      </c>
      <c r="E38" s="774">
        <f>SUM('POSF Inventory'!FC43,'POSF Inventory'!FE43)</f>
        <v>939.44494923750005</v>
      </c>
      <c r="F38" s="774">
        <f>SUM('POSF Inventory'!FB43,'POSF Inventory'!FD43,'POSF Inventory'!J43)</f>
        <v>939.44494923750005</v>
      </c>
      <c r="G38" s="774">
        <f>SUM('POSF Inventory'!FC43,'POSF Inventory'!FE43,'POSF Inventory'!K43)</f>
        <v>939.44494923750005</v>
      </c>
      <c r="H38" s="1106">
        <f>SUM('POSF Inventory'!DL43,'POSF Inventory'!DN43)</f>
        <v>109.87660225</v>
      </c>
      <c r="I38" s="1041">
        <f>SUM('POSF Inventory'!DM43,'POSF Inventory'!DO43)</f>
        <v>109.87660225</v>
      </c>
      <c r="J38" s="592"/>
      <c r="K38" s="1046">
        <f t="shared" si="0"/>
        <v>114.82104935125001</v>
      </c>
      <c r="L38" s="1047">
        <f t="shared" si="1"/>
        <v>1033.3894441612501</v>
      </c>
      <c r="M38" s="1046">
        <f t="shared" si="2"/>
        <v>574.10524675625004</v>
      </c>
      <c r="N38" s="1047">
        <f t="shared" si="3"/>
        <v>574.10524675625004</v>
      </c>
      <c r="O38" s="1046">
        <f t="shared" si="4"/>
        <v>1148.2104935125001</v>
      </c>
      <c r="P38" s="889">
        <f t="shared" si="5"/>
        <v>0</v>
      </c>
      <c r="Q38" s="1048"/>
      <c r="R38" s="889">
        <f t="shared" si="21"/>
        <v>93.944494923750014</v>
      </c>
      <c r="S38" s="889">
        <f t="shared" si="22"/>
        <v>93.944494923750014</v>
      </c>
      <c r="T38" s="1047">
        <f t="shared" si="23"/>
        <v>845.50045431375008</v>
      </c>
      <c r="U38" s="1047">
        <f t="shared" si="24"/>
        <v>845.50045431375008</v>
      </c>
      <c r="V38" s="1046">
        <f t="shared" si="25"/>
        <v>469.72247461875003</v>
      </c>
      <c r="W38" s="1046">
        <f t="shared" si="26"/>
        <v>469.72247461875003</v>
      </c>
      <c r="X38" s="1047">
        <f t="shared" si="27"/>
        <v>469.72247461875003</v>
      </c>
      <c r="Y38" s="1047">
        <f t="shared" si="28"/>
        <v>469.72247461875003</v>
      </c>
      <c r="Z38" s="1049">
        <f t="shared" si="29"/>
        <v>939.44494923750005</v>
      </c>
      <c r="AA38" s="1049">
        <f t="shared" si="30"/>
        <v>939.44494923750005</v>
      </c>
      <c r="AB38" s="1050">
        <f t="shared" si="31"/>
        <v>0</v>
      </c>
      <c r="AC38" s="1050">
        <f t="shared" si="32"/>
        <v>0</v>
      </c>
      <c r="AD38" s="898"/>
      <c r="AE38" s="1046">
        <f t="shared" si="33"/>
        <v>208.76554427500002</v>
      </c>
      <c r="AF38" s="1046">
        <f t="shared" si="34"/>
        <v>208.76554427500002</v>
      </c>
      <c r="AG38" s="1046">
        <f t="shared" si="35"/>
        <v>1878.8898984750003</v>
      </c>
      <c r="AH38" s="889">
        <f t="shared" si="36"/>
        <v>1878.8898984750003</v>
      </c>
      <c r="AI38" s="889">
        <f t="shared" si="37"/>
        <v>1043.827721375</v>
      </c>
      <c r="AJ38" s="889">
        <f t="shared" si="38"/>
        <v>1043.827721375</v>
      </c>
      <c r="AK38" s="889">
        <f t="shared" si="39"/>
        <v>1043.827721375</v>
      </c>
      <c r="AL38" s="889">
        <f t="shared" si="40"/>
        <v>1043.827721375</v>
      </c>
      <c r="AM38" s="889">
        <f t="shared" si="41"/>
        <v>2087.65544275</v>
      </c>
      <c r="AN38" s="1050">
        <f t="shared" si="42"/>
        <v>2087.65544275</v>
      </c>
      <c r="AO38" s="1050">
        <f t="shared" si="43"/>
        <v>0</v>
      </c>
      <c r="AP38" s="1050">
        <f t="shared" si="44"/>
        <v>0</v>
      </c>
      <c r="AR38" s="1067">
        <f t="shared" si="45"/>
        <v>375.77797969500011</v>
      </c>
      <c r="AS38" s="1067">
        <f t="shared" si="46"/>
        <v>375.77797969500011</v>
      </c>
      <c r="AT38" s="1068">
        <f t="shared" si="47"/>
        <v>939.44494923750017</v>
      </c>
      <c r="AU38" s="1068">
        <f t="shared" si="48"/>
        <v>939.44494923750017</v>
      </c>
      <c r="AV38" s="1068">
        <f t="shared" si="49"/>
        <v>1503.1119187800005</v>
      </c>
      <c r="AW38" s="1068">
        <f t="shared" si="50"/>
        <v>1503.1119187800005</v>
      </c>
      <c r="AX38" s="1068">
        <f t="shared" si="51"/>
        <v>208.76554427500002</v>
      </c>
      <c r="AY38" s="1068">
        <f t="shared" si="52"/>
        <v>208.76554427500002</v>
      </c>
      <c r="AZ38" s="1068">
        <f t="shared" si="53"/>
        <v>521.91386068750001</v>
      </c>
      <c r="BA38" s="1068">
        <f t="shared" si="54"/>
        <v>521.91386068750001</v>
      </c>
      <c r="BB38" s="1068">
        <f t="shared" si="55"/>
        <v>835.0621771000001</v>
      </c>
      <c r="BC38" s="1068">
        <f t="shared" si="56"/>
        <v>835.0621771000001</v>
      </c>
      <c r="BD38" s="1068">
        <f t="shared" si="6"/>
        <v>0</v>
      </c>
      <c r="BE38" s="1068">
        <f t="shared" si="7"/>
        <v>0</v>
      </c>
      <c r="BF38" s="1069">
        <f t="shared" si="8"/>
        <v>0</v>
      </c>
      <c r="BH38" s="1067">
        <f t="shared" si="9"/>
        <v>206.67788883225003</v>
      </c>
      <c r="BI38" s="1068">
        <f t="shared" si="10"/>
        <v>516.69472208062507</v>
      </c>
      <c r="BJ38" s="1068">
        <f t="shared" si="11"/>
        <v>826.71155532900013</v>
      </c>
      <c r="BK38" s="1068">
        <f t="shared" si="12"/>
        <v>114.82104935125001</v>
      </c>
      <c r="BL38" s="1068">
        <f t="shared" si="13"/>
        <v>287.05262337812502</v>
      </c>
      <c r="BM38" s="1068">
        <f t="shared" si="14"/>
        <v>459.28419740500004</v>
      </c>
      <c r="BN38" s="1068">
        <f t="shared" si="15"/>
        <v>0</v>
      </c>
      <c r="BO38" s="1068">
        <f t="shared" si="16"/>
        <v>0</v>
      </c>
      <c r="BP38" s="1069">
        <f t="shared" si="17"/>
        <v>0</v>
      </c>
      <c r="BR38" s="1067">
        <f t="shared" si="57"/>
        <v>169.10009086275002</v>
      </c>
      <c r="BS38" s="1067">
        <f t="shared" si="58"/>
        <v>169.10009086275002</v>
      </c>
      <c r="BT38" s="1068">
        <f t="shared" si="59"/>
        <v>422.75022715687504</v>
      </c>
      <c r="BU38" s="1068">
        <f t="shared" si="60"/>
        <v>422.75022715687504</v>
      </c>
      <c r="BV38" s="1068">
        <f t="shared" si="61"/>
        <v>676.40036345100009</v>
      </c>
      <c r="BW38" s="1068">
        <f t="shared" si="62"/>
        <v>676.40036345100009</v>
      </c>
      <c r="BX38" s="1068">
        <f t="shared" si="63"/>
        <v>93.944494923750014</v>
      </c>
      <c r="BY38" s="1068">
        <f t="shared" si="64"/>
        <v>93.944494923750014</v>
      </c>
      <c r="BZ38" s="1068">
        <f t="shared" si="65"/>
        <v>234.86123730937501</v>
      </c>
      <c r="CA38" s="1068">
        <f t="shared" si="66"/>
        <v>234.86123730937501</v>
      </c>
      <c r="CB38" s="1068">
        <f t="shared" si="67"/>
        <v>375.77797969500006</v>
      </c>
      <c r="CC38" s="1068">
        <f t="shared" si="68"/>
        <v>375.77797969500006</v>
      </c>
      <c r="CD38" s="1068">
        <f t="shared" si="18"/>
        <v>0</v>
      </c>
      <c r="CE38" s="1068">
        <f t="shared" si="19"/>
        <v>0</v>
      </c>
      <c r="CF38" s="1069">
        <f t="shared" si="20"/>
        <v>0</v>
      </c>
      <c r="CG38" s="599"/>
      <c r="CH38" s="1067">
        <f t="shared" si="69"/>
        <v>19.777788405000003</v>
      </c>
      <c r="CI38" s="1067">
        <f t="shared" si="70"/>
        <v>19.777788405000003</v>
      </c>
      <c r="CJ38" s="1068">
        <f t="shared" si="71"/>
        <v>49.444471012500003</v>
      </c>
      <c r="CK38" s="1068">
        <f t="shared" si="72"/>
        <v>49.444471012500003</v>
      </c>
      <c r="CL38" s="1068">
        <f t="shared" si="73"/>
        <v>79.11115362000001</v>
      </c>
      <c r="CM38" s="1068">
        <f t="shared" si="74"/>
        <v>79.11115362000001</v>
      </c>
      <c r="CN38" s="1068">
        <f t="shared" si="75"/>
        <v>10.987660225000001</v>
      </c>
      <c r="CO38" s="1068">
        <f t="shared" si="76"/>
        <v>10.987660225000001</v>
      </c>
      <c r="CP38" s="1068">
        <f t="shared" si="77"/>
        <v>27.469150562500001</v>
      </c>
      <c r="CQ38" s="1069">
        <f t="shared" si="78"/>
        <v>27.469150562500001</v>
      </c>
      <c r="CR38" s="1069">
        <f t="shared" si="79"/>
        <v>43.950640900000003</v>
      </c>
      <c r="CS38" s="1069">
        <f t="shared" si="80"/>
        <v>43.950640900000003</v>
      </c>
      <c r="CV38" s="345">
        <v>1988</v>
      </c>
      <c r="CW38" s="1097">
        <f>SUM('POSF Inventory'!HF43,'POSF Inventory'!HH43,'POSF Inventory'!HJ43)*$CY$1</f>
        <v>27.942898132499995</v>
      </c>
      <c r="CX38" s="1098">
        <f>SUM('POSF Inventory'!HG43,'POSF Inventory'!HI43,'POSF Inventory'!HK43)*$CY$2</f>
        <v>28.009035169499995</v>
      </c>
      <c r="CY38" s="1097">
        <f>SUM('POSF Inventory'!HL43,'POSF Inventory'!HN43,'POSF Inventory'!HP43)*$CY$1</f>
        <v>39.803766595124998</v>
      </c>
      <c r="CZ38" s="1098">
        <f>SUM('POSF Inventory'!HM43,'POSF Inventory'!HO43,'POSF Inventory'!HQ43)*$CY$2</f>
        <v>123.65691058875001</v>
      </c>
      <c r="DA38" s="1097">
        <f>SUM('POSF Inventory'!HR43,'POSF Inventory'!HT43,'POSF Inventory'!HV43)*$CY$3</f>
        <v>10.983340685563377</v>
      </c>
      <c r="DB38" s="1098">
        <f>SUM('POSF Inventory'!HS43,'POSF Inventory'!HU43,'POSF Inventory'!HW43)*$CY$4</f>
        <v>245.66976726944236</v>
      </c>
      <c r="DC38" s="1046">
        <f t="shared" si="81"/>
        <v>78.730005413188366</v>
      </c>
      <c r="DD38" s="1050">
        <f t="shared" si="82"/>
        <v>397.33571302769235</v>
      </c>
      <c r="DI38" s="345">
        <v>1298</v>
      </c>
      <c r="DJ38" s="1041">
        <v>1148.2104935125001</v>
      </c>
    </row>
    <row r="39" spans="2:114" x14ac:dyDescent="0.2">
      <c r="B39" s="345">
        <v>1989</v>
      </c>
      <c r="C39" s="774">
        <f>SUM('POSF Inventory'!FF44,'POSF Inventory'!FH44)</f>
        <v>1148.2104935125001</v>
      </c>
      <c r="D39" s="774">
        <f>SUM('POSF Inventory'!FB44,'POSF Inventory'!FD44)</f>
        <v>939.44494923750005</v>
      </c>
      <c r="E39" s="774">
        <f>SUM('POSF Inventory'!FC44,'POSF Inventory'!FE44)</f>
        <v>939.44494923750005</v>
      </c>
      <c r="F39" s="774">
        <f>SUM('POSF Inventory'!FB44,'POSF Inventory'!FD44,'POSF Inventory'!J44)</f>
        <v>939.44494923750005</v>
      </c>
      <c r="G39" s="774">
        <f>SUM('POSF Inventory'!FC44,'POSF Inventory'!FE44,'POSF Inventory'!K44)</f>
        <v>939.44494923750005</v>
      </c>
      <c r="H39" s="1106">
        <f>SUM('POSF Inventory'!DL44,'POSF Inventory'!DN44)</f>
        <v>109.87660225</v>
      </c>
      <c r="I39" s="1041">
        <f>SUM('POSF Inventory'!DM44,'POSF Inventory'!DO44)</f>
        <v>109.87660225</v>
      </c>
      <c r="J39" s="592"/>
      <c r="K39" s="1046">
        <f t="shared" si="0"/>
        <v>114.82104935125001</v>
      </c>
      <c r="L39" s="1047">
        <f t="shared" si="1"/>
        <v>1033.3894441612501</v>
      </c>
      <c r="M39" s="1046">
        <f t="shared" si="2"/>
        <v>574.10524675625004</v>
      </c>
      <c r="N39" s="1047">
        <f t="shared" si="3"/>
        <v>574.10524675625004</v>
      </c>
      <c r="O39" s="1046">
        <f t="shared" si="4"/>
        <v>1148.2104935125001</v>
      </c>
      <c r="P39" s="889">
        <f t="shared" si="5"/>
        <v>0</v>
      </c>
      <c r="Q39" s="1048"/>
      <c r="R39" s="889">
        <f t="shared" si="21"/>
        <v>93.944494923750014</v>
      </c>
      <c r="S39" s="889">
        <f t="shared" si="22"/>
        <v>93.944494923750014</v>
      </c>
      <c r="T39" s="1047">
        <f t="shared" si="23"/>
        <v>845.50045431375008</v>
      </c>
      <c r="U39" s="1047">
        <f t="shared" si="24"/>
        <v>845.50045431375008</v>
      </c>
      <c r="V39" s="1046">
        <f t="shared" si="25"/>
        <v>469.72247461875003</v>
      </c>
      <c r="W39" s="1046">
        <f t="shared" si="26"/>
        <v>469.72247461875003</v>
      </c>
      <c r="X39" s="1047">
        <f t="shared" si="27"/>
        <v>469.72247461875003</v>
      </c>
      <c r="Y39" s="1047">
        <f t="shared" si="28"/>
        <v>469.72247461875003</v>
      </c>
      <c r="Z39" s="1049">
        <f t="shared" si="29"/>
        <v>939.44494923750005</v>
      </c>
      <c r="AA39" s="1049">
        <f t="shared" si="30"/>
        <v>939.44494923750005</v>
      </c>
      <c r="AB39" s="1050">
        <f t="shared" si="31"/>
        <v>0</v>
      </c>
      <c r="AC39" s="1050">
        <f t="shared" si="32"/>
        <v>0</v>
      </c>
      <c r="AD39" s="898"/>
      <c r="AE39" s="1046">
        <f t="shared" si="33"/>
        <v>208.76554427500002</v>
      </c>
      <c r="AF39" s="1046">
        <f t="shared" si="34"/>
        <v>208.76554427500002</v>
      </c>
      <c r="AG39" s="1046">
        <f t="shared" si="35"/>
        <v>1878.8898984750003</v>
      </c>
      <c r="AH39" s="889">
        <f t="shared" si="36"/>
        <v>1878.8898984750003</v>
      </c>
      <c r="AI39" s="889">
        <f t="shared" si="37"/>
        <v>1043.827721375</v>
      </c>
      <c r="AJ39" s="889">
        <f t="shared" si="38"/>
        <v>1043.827721375</v>
      </c>
      <c r="AK39" s="889">
        <f t="shared" si="39"/>
        <v>1043.827721375</v>
      </c>
      <c r="AL39" s="889">
        <f t="shared" si="40"/>
        <v>1043.827721375</v>
      </c>
      <c r="AM39" s="889">
        <f t="shared" si="41"/>
        <v>2087.65544275</v>
      </c>
      <c r="AN39" s="1050">
        <f t="shared" si="42"/>
        <v>2087.65544275</v>
      </c>
      <c r="AO39" s="1050">
        <f t="shared" si="43"/>
        <v>0</v>
      </c>
      <c r="AP39" s="1050">
        <f t="shared" si="44"/>
        <v>0</v>
      </c>
      <c r="AR39" s="1067">
        <f t="shared" si="45"/>
        <v>375.77797969500011</v>
      </c>
      <c r="AS39" s="1067">
        <f t="shared" si="46"/>
        <v>375.77797969500011</v>
      </c>
      <c r="AT39" s="1068">
        <f t="shared" si="47"/>
        <v>939.44494923750017</v>
      </c>
      <c r="AU39" s="1068">
        <f t="shared" si="48"/>
        <v>939.44494923750017</v>
      </c>
      <c r="AV39" s="1068">
        <f t="shared" si="49"/>
        <v>1503.1119187800005</v>
      </c>
      <c r="AW39" s="1068">
        <f t="shared" si="50"/>
        <v>1503.1119187800005</v>
      </c>
      <c r="AX39" s="1068">
        <f t="shared" si="51"/>
        <v>208.76554427500002</v>
      </c>
      <c r="AY39" s="1068">
        <f t="shared" si="52"/>
        <v>208.76554427500002</v>
      </c>
      <c r="AZ39" s="1068">
        <f t="shared" si="53"/>
        <v>521.91386068750001</v>
      </c>
      <c r="BA39" s="1068">
        <f t="shared" si="54"/>
        <v>521.91386068750001</v>
      </c>
      <c r="BB39" s="1068">
        <f t="shared" si="55"/>
        <v>835.0621771000001</v>
      </c>
      <c r="BC39" s="1068">
        <f t="shared" si="56"/>
        <v>835.0621771000001</v>
      </c>
      <c r="BD39" s="1068">
        <f t="shared" si="6"/>
        <v>0</v>
      </c>
      <c r="BE39" s="1068">
        <f t="shared" si="7"/>
        <v>0</v>
      </c>
      <c r="BF39" s="1069">
        <f t="shared" si="8"/>
        <v>0</v>
      </c>
      <c r="BH39" s="1067">
        <f t="shared" si="9"/>
        <v>206.67788883225003</v>
      </c>
      <c r="BI39" s="1068">
        <f t="shared" si="10"/>
        <v>516.69472208062507</v>
      </c>
      <c r="BJ39" s="1068">
        <f t="shared" si="11"/>
        <v>826.71155532900013</v>
      </c>
      <c r="BK39" s="1068">
        <f t="shared" si="12"/>
        <v>114.82104935125001</v>
      </c>
      <c r="BL39" s="1068">
        <f t="shared" si="13"/>
        <v>287.05262337812502</v>
      </c>
      <c r="BM39" s="1068">
        <f t="shared" si="14"/>
        <v>459.28419740500004</v>
      </c>
      <c r="BN39" s="1068">
        <f t="shared" si="15"/>
        <v>0</v>
      </c>
      <c r="BO39" s="1068">
        <f t="shared" si="16"/>
        <v>0</v>
      </c>
      <c r="BP39" s="1069">
        <f t="shared" si="17"/>
        <v>0</v>
      </c>
      <c r="BR39" s="1067">
        <f t="shared" si="57"/>
        <v>169.10009086275002</v>
      </c>
      <c r="BS39" s="1067">
        <f t="shared" si="58"/>
        <v>169.10009086275002</v>
      </c>
      <c r="BT39" s="1068">
        <f t="shared" si="59"/>
        <v>422.75022715687504</v>
      </c>
      <c r="BU39" s="1068">
        <f t="shared" si="60"/>
        <v>422.75022715687504</v>
      </c>
      <c r="BV39" s="1068">
        <f t="shared" si="61"/>
        <v>676.40036345100009</v>
      </c>
      <c r="BW39" s="1068">
        <f t="shared" si="62"/>
        <v>676.40036345100009</v>
      </c>
      <c r="BX39" s="1068">
        <f t="shared" si="63"/>
        <v>93.944494923750014</v>
      </c>
      <c r="BY39" s="1068">
        <f t="shared" si="64"/>
        <v>93.944494923750014</v>
      </c>
      <c r="BZ39" s="1068">
        <f t="shared" si="65"/>
        <v>234.86123730937501</v>
      </c>
      <c r="CA39" s="1068">
        <f t="shared" si="66"/>
        <v>234.86123730937501</v>
      </c>
      <c r="CB39" s="1068">
        <f t="shared" si="67"/>
        <v>375.77797969500006</v>
      </c>
      <c r="CC39" s="1068">
        <f t="shared" si="68"/>
        <v>375.77797969500006</v>
      </c>
      <c r="CD39" s="1068">
        <f t="shared" si="18"/>
        <v>0</v>
      </c>
      <c r="CE39" s="1068">
        <f t="shared" si="19"/>
        <v>0</v>
      </c>
      <c r="CF39" s="1069">
        <f t="shared" si="20"/>
        <v>0</v>
      </c>
      <c r="CG39" s="599"/>
      <c r="CH39" s="1067">
        <f t="shared" si="69"/>
        <v>19.777788405000003</v>
      </c>
      <c r="CI39" s="1067">
        <f t="shared" si="70"/>
        <v>19.777788405000003</v>
      </c>
      <c r="CJ39" s="1068">
        <f t="shared" si="71"/>
        <v>49.444471012500003</v>
      </c>
      <c r="CK39" s="1068">
        <f t="shared" si="72"/>
        <v>49.444471012500003</v>
      </c>
      <c r="CL39" s="1068">
        <f t="shared" si="73"/>
        <v>79.11115362000001</v>
      </c>
      <c r="CM39" s="1068">
        <f t="shared" si="74"/>
        <v>79.11115362000001</v>
      </c>
      <c r="CN39" s="1068">
        <f t="shared" si="75"/>
        <v>10.987660225000001</v>
      </c>
      <c r="CO39" s="1068">
        <f t="shared" si="76"/>
        <v>10.987660225000001</v>
      </c>
      <c r="CP39" s="1068">
        <f t="shared" si="77"/>
        <v>27.469150562500001</v>
      </c>
      <c r="CQ39" s="1069">
        <f t="shared" si="78"/>
        <v>27.469150562500001</v>
      </c>
      <c r="CR39" s="1069">
        <f t="shared" si="79"/>
        <v>43.950640900000003</v>
      </c>
      <c r="CS39" s="1069">
        <f t="shared" si="80"/>
        <v>43.950640900000003</v>
      </c>
      <c r="CV39" s="345">
        <v>1989</v>
      </c>
      <c r="CW39" s="1097">
        <f>SUM('POSF Inventory'!HF44,'POSF Inventory'!HH44,'POSF Inventory'!HJ44)*$CY$1</f>
        <v>27.942898132499995</v>
      </c>
      <c r="CX39" s="1098">
        <f>SUM('POSF Inventory'!HG44,'POSF Inventory'!HI44,'POSF Inventory'!HK44)*$CY$2</f>
        <v>28.009035169499995</v>
      </c>
      <c r="CY39" s="1097">
        <f>SUM('POSF Inventory'!HL44,'POSF Inventory'!HN44,'POSF Inventory'!HP44)*$CY$1</f>
        <v>39.803766595124998</v>
      </c>
      <c r="CZ39" s="1098">
        <f>SUM('POSF Inventory'!HM44,'POSF Inventory'!HO44,'POSF Inventory'!HQ44)*$CY$2</f>
        <v>123.65691058875001</v>
      </c>
      <c r="DA39" s="1097">
        <f>SUM('POSF Inventory'!HR44,'POSF Inventory'!HT44,'POSF Inventory'!HV44)*$CY$3</f>
        <v>10.987750276807676</v>
      </c>
      <c r="DB39" s="1098">
        <f>SUM('POSF Inventory'!HS44,'POSF Inventory'!HU44,'POSF Inventory'!HW44)*$CY$4</f>
        <v>248.39544585732531</v>
      </c>
      <c r="DC39" s="1046">
        <f t="shared" si="81"/>
        <v>78.734415004432662</v>
      </c>
      <c r="DD39" s="1050">
        <f t="shared" si="82"/>
        <v>400.0613916155753</v>
      </c>
      <c r="DI39" s="345">
        <v>1298</v>
      </c>
      <c r="DJ39" s="1041">
        <v>1148.2104935125001</v>
      </c>
    </row>
    <row r="40" spans="2:114" x14ac:dyDescent="0.2">
      <c r="B40" s="345">
        <v>1990</v>
      </c>
      <c r="C40" s="774">
        <f>SUM('POSF Inventory'!FF45,'POSF Inventory'!FH45)</f>
        <v>1312.653911525</v>
      </c>
      <c r="D40" s="774">
        <f>SUM('POSF Inventory'!FB45,'POSF Inventory'!FD45)</f>
        <v>1073.989563975</v>
      </c>
      <c r="E40" s="774">
        <f>SUM('POSF Inventory'!FC45,'POSF Inventory'!FE45)</f>
        <v>1073.989563975</v>
      </c>
      <c r="F40" s="774">
        <f>SUM('POSF Inventory'!FB45,'POSF Inventory'!FD45,'POSF Inventory'!J45)</f>
        <v>1073.989563975</v>
      </c>
      <c r="G40" s="774">
        <f>SUM('POSF Inventory'!FC45,'POSF Inventory'!FE45,'POSF Inventory'!K45)</f>
        <v>1073.989563975</v>
      </c>
      <c r="H40" s="1106">
        <f>SUM('POSF Inventory'!DL45,'POSF Inventory'!DN45)</f>
        <v>125.61281450000001</v>
      </c>
      <c r="I40" s="1041">
        <f>SUM('POSF Inventory'!DM45,'POSF Inventory'!DO45)</f>
        <v>125.61281450000001</v>
      </c>
      <c r="J40" s="592"/>
      <c r="K40" s="1046">
        <f t="shared" ref="K40:K71" si="83">C40*0.1</f>
        <v>131.2653911525</v>
      </c>
      <c r="L40" s="1047">
        <f t="shared" ref="L40:L71" si="84">C40*0.9</f>
        <v>1181.3885203725001</v>
      </c>
      <c r="M40" s="1046">
        <f t="shared" ref="M40:M71" si="85">C40*0.5</f>
        <v>656.32695576250001</v>
      </c>
      <c r="N40" s="1047">
        <f t="shared" ref="N40:N71" si="86">C40*0.5</f>
        <v>656.32695576250001</v>
      </c>
      <c r="O40" s="1046">
        <f t="shared" ref="O40:O71" si="87">C40*1</f>
        <v>1312.653911525</v>
      </c>
      <c r="P40" s="889">
        <f t="shared" ref="P40:P71" si="88">C40*0</f>
        <v>0</v>
      </c>
      <c r="Q40" s="1048"/>
      <c r="R40" s="889">
        <f t="shared" si="21"/>
        <v>107.3989563975</v>
      </c>
      <c r="S40" s="889">
        <f t="shared" si="22"/>
        <v>107.3989563975</v>
      </c>
      <c r="T40" s="1047">
        <f t="shared" si="23"/>
        <v>966.59060757750001</v>
      </c>
      <c r="U40" s="1047">
        <f t="shared" si="24"/>
        <v>966.59060757750001</v>
      </c>
      <c r="V40" s="1046">
        <f t="shared" si="25"/>
        <v>536.99478198750001</v>
      </c>
      <c r="W40" s="1046">
        <f t="shared" si="26"/>
        <v>536.99478198750001</v>
      </c>
      <c r="X40" s="1047">
        <f t="shared" si="27"/>
        <v>536.99478198750001</v>
      </c>
      <c r="Y40" s="1047">
        <f t="shared" si="28"/>
        <v>536.99478198750001</v>
      </c>
      <c r="Z40" s="1049">
        <f t="shared" si="29"/>
        <v>1073.989563975</v>
      </c>
      <c r="AA40" s="1049">
        <f t="shared" si="30"/>
        <v>1073.989563975</v>
      </c>
      <c r="AB40" s="1050">
        <f t="shared" si="31"/>
        <v>0</v>
      </c>
      <c r="AC40" s="1050">
        <f t="shared" si="32"/>
        <v>0</v>
      </c>
      <c r="AD40" s="898"/>
      <c r="AE40" s="1046">
        <f t="shared" si="33"/>
        <v>238.66434755</v>
      </c>
      <c r="AF40" s="1046">
        <f t="shared" si="34"/>
        <v>238.66434755</v>
      </c>
      <c r="AG40" s="1046">
        <f t="shared" si="35"/>
        <v>2147.97912795</v>
      </c>
      <c r="AH40" s="889">
        <f t="shared" si="36"/>
        <v>2147.97912795</v>
      </c>
      <c r="AI40" s="889">
        <f t="shared" si="37"/>
        <v>1193.32173775</v>
      </c>
      <c r="AJ40" s="889">
        <f t="shared" si="38"/>
        <v>1193.32173775</v>
      </c>
      <c r="AK40" s="889">
        <f t="shared" si="39"/>
        <v>1193.32173775</v>
      </c>
      <c r="AL40" s="889">
        <f t="shared" si="40"/>
        <v>1193.32173775</v>
      </c>
      <c r="AM40" s="889">
        <f t="shared" si="41"/>
        <v>2386.6434755</v>
      </c>
      <c r="AN40" s="1050">
        <f t="shared" si="42"/>
        <v>2386.6434755</v>
      </c>
      <c r="AO40" s="1050">
        <f t="shared" si="43"/>
        <v>0</v>
      </c>
      <c r="AP40" s="1050">
        <f t="shared" si="44"/>
        <v>0</v>
      </c>
      <c r="AR40" s="1067">
        <f t="shared" si="45"/>
        <v>429.59582559</v>
      </c>
      <c r="AS40" s="1067">
        <f t="shared" si="46"/>
        <v>429.59582559</v>
      </c>
      <c r="AT40" s="1068">
        <f t="shared" si="47"/>
        <v>1073.989563975</v>
      </c>
      <c r="AU40" s="1068">
        <f t="shared" si="48"/>
        <v>1073.989563975</v>
      </c>
      <c r="AV40" s="1068">
        <f t="shared" si="49"/>
        <v>1718.38330236</v>
      </c>
      <c r="AW40" s="1068">
        <f t="shared" si="50"/>
        <v>1718.38330236</v>
      </c>
      <c r="AX40" s="1068">
        <f t="shared" si="51"/>
        <v>238.66434755</v>
      </c>
      <c r="AY40" s="1068">
        <f t="shared" si="52"/>
        <v>238.66434755</v>
      </c>
      <c r="AZ40" s="1068">
        <f t="shared" si="53"/>
        <v>596.66086887500001</v>
      </c>
      <c r="BA40" s="1068">
        <f t="shared" si="54"/>
        <v>596.66086887500001</v>
      </c>
      <c r="BB40" s="1068">
        <f t="shared" si="55"/>
        <v>954.65739020000001</v>
      </c>
      <c r="BC40" s="1068">
        <f t="shared" si="56"/>
        <v>954.65739020000001</v>
      </c>
      <c r="BD40" s="1068">
        <f t="shared" ref="BD40:BD71" si="89">$AS$3*$AP40</f>
        <v>0</v>
      </c>
      <c r="BE40" s="1068">
        <f t="shared" ref="BE40:BE71" si="90">$AT$3*$AP40</f>
        <v>0</v>
      </c>
      <c r="BF40" s="1069">
        <f t="shared" ref="BF40:BF71" si="91">$AU$3*$AP40</f>
        <v>0</v>
      </c>
      <c r="BH40" s="1067">
        <f t="shared" ref="BH40:BH71" si="92">$AS$3*$L40</f>
        <v>236.27770407450004</v>
      </c>
      <c r="BI40" s="1068">
        <f t="shared" ref="BI40:BI71" si="93">$AT$3*$L40</f>
        <v>590.69426018625006</v>
      </c>
      <c r="BJ40" s="1068">
        <f t="shared" ref="BJ40:BJ71" si="94">$AU$3*$L40</f>
        <v>945.11081629800015</v>
      </c>
      <c r="BK40" s="1068">
        <f t="shared" ref="BK40:BK71" si="95">$AS$3*$N40</f>
        <v>131.2653911525</v>
      </c>
      <c r="BL40" s="1068">
        <f t="shared" ref="BL40:BL71" si="96">$AT$3*$N40</f>
        <v>328.16347788125</v>
      </c>
      <c r="BM40" s="1068">
        <f t="shared" ref="BM40:BM71" si="97">$AU$3*$N40</f>
        <v>525.06156461</v>
      </c>
      <c r="BN40" s="1068">
        <f t="shared" ref="BN40:BN71" si="98">$AS$3*$P40</f>
        <v>0</v>
      </c>
      <c r="BO40" s="1068">
        <f t="shared" ref="BO40:BO71" si="99">$AT$3*$P40</f>
        <v>0</v>
      </c>
      <c r="BP40" s="1069">
        <f t="shared" ref="BP40:BP71" si="100">$AU$3*$P40</f>
        <v>0</v>
      </c>
      <c r="BR40" s="1067">
        <f t="shared" si="57"/>
        <v>193.31812151550002</v>
      </c>
      <c r="BS40" s="1067">
        <f t="shared" si="58"/>
        <v>193.31812151550002</v>
      </c>
      <c r="BT40" s="1068">
        <f t="shared" si="59"/>
        <v>483.29530378875</v>
      </c>
      <c r="BU40" s="1068">
        <f t="shared" si="60"/>
        <v>483.29530378875</v>
      </c>
      <c r="BV40" s="1068">
        <f t="shared" si="61"/>
        <v>773.2724860620001</v>
      </c>
      <c r="BW40" s="1068">
        <f t="shared" si="62"/>
        <v>773.2724860620001</v>
      </c>
      <c r="BX40" s="1068">
        <f t="shared" si="63"/>
        <v>107.3989563975</v>
      </c>
      <c r="BY40" s="1068">
        <f t="shared" si="64"/>
        <v>107.3989563975</v>
      </c>
      <c r="BZ40" s="1068">
        <f t="shared" si="65"/>
        <v>268.49739099375</v>
      </c>
      <c r="CA40" s="1068">
        <f t="shared" si="66"/>
        <v>268.49739099375</v>
      </c>
      <c r="CB40" s="1068">
        <f t="shared" si="67"/>
        <v>429.59582559</v>
      </c>
      <c r="CC40" s="1068">
        <f t="shared" si="68"/>
        <v>429.59582559</v>
      </c>
      <c r="CD40" s="1068">
        <f t="shared" ref="CD40:CD71" si="101">$AS$3*$AC40</f>
        <v>0</v>
      </c>
      <c r="CE40" s="1068">
        <f t="shared" ref="CE40:CE71" si="102">$AT$3*$AC40</f>
        <v>0</v>
      </c>
      <c r="CF40" s="1069">
        <f t="shared" ref="CF40:CF71" si="103">$AU$3*$AC40</f>
        <v>0</v>
      </c>
      <c r="CG40" s="599"/>
      <c r="CH40" s="1067">
        <f t="shared" si="69"/>
        <v>22.610306610000006</v>
      </c>
      <c r="CI40" s="1067">
        <f t="shared" si="70"/>
        <v>22.610306610000006</v>
      </c>
      <c r="CJ40" s="1068">
        <f t="shared" si="71"/>
        <v>56.525766525000009</v>
      </c>
      <c r="CK40" s="1068">
        <f t="shared" si="72"/>
        <v>56.525766525000009</v>
      </c>
      <c r="CL40" s="1068">
        <f t="shared" si="73"/>
        <v>90.441226440000023</v>
      </c>
      <c r="CM40" s="1068">
        <f t="shared" si="74"/>
        <v>90.441226440000023</v>
      </c>
      <c r="CN40" s="1068">
        <f t="shared" si="75"/>
        <v>12.561281450000003</v>
      </c>
      <c r="CO40" s="1068">
        <f t="shared" si="76"/>
        <v>12.561281450000003</v>
      </c>
      <c r="CP40" s="1068">
        <f t="shared" si="77"/>
        <v>31.403203625000003</v>
      </c>
      <c r="CQ40" s="1069">
        <f t="shared" si="78"/>
        <v>31.403203625000003</v>
      </c>
      <c r="CR40" s="1069">
        <f t="shared" si="79"/>
        <v>50.245125800000011</v>
      </c>
      <c r="CS40" s="1069">
        <f t="shared" si="80"/>
        <v>50.245125800000011</v>
      </c>
      <c r="CV40" s="345">
        <v>1990</v>
      </c>
      <c r="CW40" s="1097">
        <f>SUM('POSF Inventory'!HF45,'POSF Inventory'!HH45,'POSF Inventory'!HJ45)*$CY$1</f>
        <v>31.944799964999998</v>
      </c>
      <c r="CX40" s="1098">
        <f>SUM('POSF Inventory'!HG45,'POSF Inventory'!HI45,'POSF Inventory'!HK45)*$CY$2</f>
        <v>32.020408958999994</v>
      </c>
      <c r="CY40" s="1097">
        <f>SUM('POSF Inventory'!HL45,'POSF Inventory'!HN45,'POSF Inventory'!HP45)*$CY$1</f>
        <v>44.839493067687506</v>
      </c>
      <c r="CZ40" s="1098">
        <f>SUM('POSF Inventory'!HM45,'POSF Inventory'!HO45,'POSF Inventory'!HQ45)*$CY$2</f>
        <v>134.702413239625</v>
      </c>
      <c r="DA40" s="1097">
        <f>SUM('POSF Inventory'!HR45,'POSF Inventory'!HT45,'POSF Inventory'!HV45)*$CY$3</f>
        <v>12.155332235722614</v>
      </c>
      <c r="DB40" s="1098">
        <f>SUM('POSF Inventory'!HS45,'POSF Inventory'!HU45,'POSF Inventory'!HW45)*$CY$4</f>
        <v>267.25584042655441</v>
      </c>
      <c r="DC40" s="1046">
        <f t="shared" si="81"/>
        <v>88.939625268410111</v>
      </c>
      <c r="DD40" s="1050">
        <f t="shared" si="82"/>
        <v>433.97866262517942</v>
      </c>
      <c r="DI40" s="345">
        <v>1484</v>
      </c>
      <c r="DJ40" s="1041">
        <v>1312.653911525</v>
      </c>
    </row>
    <row r="41" spans="2:114" x14ac:dyDescent="0.2">
      <c r="B41" s="345">
        <v>1991</v>
      </c>
      <c r="C41" s="774">
        <f>SUM('POSF Inventory'!FF46,'POSF Inventory'!FH46)</f>
        <v>1312.653911525</v>
      </c>
      <c r="D41" s="774">
        <f>SUM('POSF Inventory'!FB46,'POSF Inventory'!FD46)</f>
        <v>1073.989563975</v>
      </c>
      <c r="E41" s="774">
        <f>SUM('POSF Inventory'!FC46,'POSF Inventory'!FE46)</f>
        <v>1073.989563975</v>
      </c>
      <c r="F41" s="774">
        <f>SUM('POSF Inventory'!FB46,'POSF Inventory'!FD46,'POSF Inventory'!J46)</f>
        <v>1073.989563975</v>
      </c>
      <c r="G41" s="774">
        <f>SUM('POSF Inventory'!FC46,'POSF Inventory'!FE46,'POSF Inventory'!K46)</f>
        <v>1073.989563975</v>
      </c>
      <c r="H41" s="1106">
        <f>SUM('POSF Inventory'!DL46,'POSF Inventory'!DN46)</f>
        <v>125.61281450000001</v>
      </c>
      <c r="I41" s="1041">
        <f>SUM('POSF Inventory'!DM46,'POSF Inventory'!DO46)</f>
        <v>125.61281450000001</v>
      </c>
      <c r="J41" s="592"/>
      <c r="K41" s="1046">
        <f t="shared" si="83"/>
        <v>131.2653911525</v>
      </c>
      <c r="L41" s="1047">
        <f t="shared" si="84"/>
        <v>1181.3885203725001</v>
      </c>
      <c r="M41" s="1046">
        <f t="shared" si="85"/>
        <v>656.32695576250001</v>
      </c>
      <c r="N41" s="1047">
        <f t="shared" si="86"/>
        <v>656.32695576250001</v>
      </c>
      <c r="O41" s="1046">
        <f t="shared" si="87"/>
        <v>1312.653911525</v>
      </c>
      <c r="P41" s="889">
        <f t="shared" si="88"/>
        <v>0</v>
      </c>
      <c r="Q41" s="1048"/>
      <c r="R41" s="889">
        <f t="shared" si="21"/>
        <v>107.3989563975</v>
      </c>
      <c r="S41" s="889">
        <f t="shared" ref="S41:S72" si="104">E41*0.1</f>
        <v>107.3989563975</v>
      </c>
      <c r="T41" s="1047">
        <f t="shared" si="23"/>
        <v>966.59060757750001</v>
      </c>
      <c r="U41" s="1047">
        <f t="shared" ref="U41:U72" si="105">E41*0.9</f>
        <v>966.59060757750001</v>
      </c>
      <c r="V41" s="1046">
        <f t="shared" si="25"/>
        <v>536.99478198750001</v>
      </c>
      <c r="W41" s="1046">
        <f t="shared" ref="W41:W72" si="106">0.5*E41</f>
        <v>536.99478198750001</v>
      </c>
      <c r="X41" s="1047">
        <f t="shared" si="27"/>
        <v>536.99478198750001</v>
      </c>
      <c r="Y41" s="1047">
        <f t="shared" ref="Y41:Y72" si="107">E41*0.5</f>
        <v>536.99478198750001</v>
      </c>
      <c r="Z41" s="1049">
        <f t="shared" si="29"/>
        <v>1073.989563975</v>
      </c>
      <c r="AA41" s="1049">
        <f t="shared" ref="AA41:AA72" si="108">1*E41</f>
        <v>1073.989563975</v>
      </c>
      <c r="AB41" s="1050">
        <f t="shared" si="31"/>
        <v>0</v>
      </c>
      <c r="AC41" s="1050">
        <f t="shared" ref="AC41:AC72" si="109">E41*0</f>
        <v>0</v>
      </c>
      <c r="AD41" s="898"/>
      <c r="AE41" s="1046">
        <f t="shared" si="33"/>
        <v>238.66434755</v>
      </c>
      <c r="AF41" s="1046">
        <f t="shared" si="34"/>
        <v>238.66434755</v>
      </c>
      <c r="AG41" s="1046">
        <f t="shared" si="35"/>
        <v>2147.97912795</v>
      </c>
      <c r="AH41" s="889">
        <f t="shared" si="36"/>
        <v>2147.97912795</v>
      </c>
      <c r="AI41" s="889">
        <f t="shared" si="37"/>
        <v>1193.32173775</v>
      </c>
      <c r="AJ41" s="889">
        <f t="shared" si="38"/>
        <v>1193.32173775</v>
      </c>
      <c r="AK41" s="889">
        <f t="shared" si="39"/>
        <v>1193.32173775</v>
      </c>
      <c r="AL41" s="889">
        <f t="shared" si="40"/>
        <v>1193.32173775</v>
      </c>
      <c r="AM41" s="889">
        <f t="shared" si="41"/>
        <v>2386.6434755</v>
      </c>
      <c r="AN41" s="1050">
        <f t="shared" si="42"/>
        <v>2386.6434755</v>
      </c>
      <c r="AO41" s="1050">
        <f t="shared" si="43"/>
        <v>0</v>
      </c>
      <c r="AP41" s="1050">
        <f t="shared" si="44"/>
        <v>0</v>
      </c>
      <c r="AR41" s="1067">
        <f t="shared" si="45"/>
        <v>429.59582559</v>
      </c>
      <c r="AS41" s="1067">
        <f t="shared" si="46"/>
        <v>429.59582559</v>
      </c>
      <c r="AT41" s="1068">
        <f t="shared" si="47"/>
        <v>1073.989563975</v>
      </c>
      <c r="AU41" s="1068">
        <f t="shared" si="48"/>
        <v>1073.989563975</v>
      </c>
      <c r="AV41" s="1068">
        <f t="shared" si="49"/>
        <v>1718.38330236</v>
      </c>
      <c r="AW41" s="1068">
        <f t="shared" si="50"/>
        <v>1718.38330236</v>
      </c>
      <c r="AX41" s="1068">
        <f t="shared" si="51"/>
        <v>238.66434755</v>
      </c>
      <c r="AY41" s="1068">
        <f t="shared" si="52"/>
        <v>238.66434755</v>
      </c>
      <c r="AZ41" s="1068">
        <f t="shared" si="53"/>
        <v>596.66086887500001</v>
      </c>
      <c r="BA41" s="1068">
        <f t="shared" si="54"/>
        <v>596.66086887500001</v>
      </c>
      <c r="BB41" s="1068">
        <f t="shared" si="55"/>
        <v>954.65739020000001</v>
      </c>
      <c r="BC41" s="1068">
        <f t="shared" si="56"/>
        <v>954.65739020000001</v>
      </c>
      <c r="BD41" s="1068">
        <f t="shared" si="89"/>
        <v>0</v>
      </c>
      <c r="BE41" s="1068">
        <f t="shared" si="90"/>
        <v>0</v>
      </c>
      <c r="BF41" s="1069">
        <f t="shared" si="91"/>
        <v>0</v>
      </c>
      <c r="BH41" s="1067">
        <f t="shared" si="92"/>
        <v>236.27770407450004</v>
      </c>
      <c r="BI41" s="1068">
        <f t="shared" si="93"/>
        <v>590.69426018625006</v>
      </c>
      <c r="BJ41" s="1068">
        <f t="shared" si="94"/>
        <v>945.11081629800015</v>
      </c>
      <c r="BK41" s="1068">
        <f t="shared" si="95"/>
        <v>131.2653911525</v>
      </c>
      <c r="BL41" s="1068">
        <f t="shared" si="96"/>
        <v>328.16347788125</v>
      </c>
      <c r="BM41" s="1068">
        <f t="shared" si="97"/>
        <v>525.06156461</v>
      </c>
      <c r="BN41" s="1068">
        <f t="shared" si="98"/>
        <v>0</v>
      </c>
      <c r="BO41" s="1068">
        <f t="shared" si="99"/>
        <v>0</v>
      </c>
      <c r="BP41" s="1069">
        <f t="shared" si="100"/>
        <v>0</v>
      </c>
      <c r="BR41" s="1067">
        <f t="shared" si="57"/>
        <v>193.31812151550002</v>
      </c>
      <c r="BS41" s="1067">
        <f t="shared" si="58"/>
        <v>193.31812151550002</v>
      </c>
      <c r="BT41" s="1068">
        <f t="shared" si="59"/>
        <v>483.29530378875</v>
      </c>
      <c r="BU41" s="1068">
        <f t="shared" si="60"/>
        <v>483.29530378875</v>
      </c>
      <c r="BV41" s="1068">
        <f t="shared" si="61"/>
        <v>773.2724860620001</v>
      </c>
      <c r="BW41" s="1068">
        <f t="shared" si="62"/>
        <v>773.2724860620001</v>
      </c>
      <c r="BX41" s="1068">
        <f t="shared" si="63"/>
        <v>107.3989563975</v>
      </c>
      <c r="BY41" s="1068">
        <f t="shared" si="64"/>
        <v>107.3989563975</v>
      </c>
      <c r="BZ41" s="1068">
        <f t="shared" si="65"/>
        <v>268.49739099375</v>
      </c>
      <c r="CA41" s="1068">
        <f t="shared" si="66"/>
        <v>268.49739099375</v>
      </c>
      <c r="CB41" s="1068">
        <f t="shared" si="67"/>
        <v>429.59582559</v>
      </c>
      <c r="CC41" s="1068">
        <f t="shared" si="68"/>
        <v>429.59582559</v>
      </c>
      <c r="CD41" s="1068">
        <f t="shared" si="101"/>
        <v>0</v>
      </c>
      <c r="CE41" s="1068">
        <f t="shared" si="102"/>
        <v>0</v>
      </c>
      <c r="CF41" s="1069">
        <f t="shared" si="103"/>
        <v>0</v>
      </c>
      <c r="CG41" s="599"/>
      <c r="CH41" s="1067">
        <f t="shared" si="69"/>
        <v>22.610306610000006</v>
      </c>
      <c r="CI41" s="1067">
        <f t="shared" si="70"/>
        <v>22.610306610000006</v>
      </c>
      <c r="CJ41" s="1068">
        <f t="shared" si="71"/>
        <v>56.525766525000009</v>
      </c>
      <c r="CK41" s="1068">
        <f t="shared" si="72"/>
        <v>56.525766525000009</v>
      </c>
      <c r="CL41" s="1068">
        <f t="shared" si="73"/>
        <v>90.441226440000023</v>
      </c>
      <c r="CM41" s="1068">
        <f t="shared" si="74"/>
        <v>90.441226440000023</v>
      </c>
      <c r="CN41" s="1068">
        <f t="shared" si="75"/>
        <v>12.561281450000003</v>
      </c>
      <c r="CO41" s="1068">
        <f t="shared" si="76"/>
        <v>12.561281450000003</v>
      </c>
      <c r="CP41" s="1068">
        <f t="shared" si="77"/>
        <v>31.403203625000003</v>
      </c>
      <c r="CQ41" s="1069">
        <f t="shared" si="78"/>
        <v>31.403203625000003</v>
      </c>
      <c r="CR41" s="1069">
        <f t="shared" si="79"/>
        <v>50.245125800000011</v>
      </c>
      <c r="CS41" s="1069">
        <f t="shared" si="80"/>
        <v>50.245125800000011</v>
      </c>
      <c r="CV41" s="345">
        <v>1991</v>
      </c>
      <c r="CW41" s="1097">
        <f>SUM('POSF Inventory'!HF46,'POSF Inventory'!HH46,'POSF Inventory'!HJ46)*$CY$1</f>
        <v>31.944799964999998</v>
      </c>
      <c r="CX41" s="1098">
        <f>SUM('POSF Inventory'!HG46,'POSF Inventory'!HI46,'POSF Inventory'!HK46)*$CY$2</f>
        <v>32.020408958999994</v>
      </c>
      <c r="CY41" s="1097">
        <f>SUM('POSF Inventory'!HL46,'POSF Inventory'!HN46,'POSF Inventory'!HP46)*$CY$1</f>
        <v>45.504348035250004</v>
      </c>
      <c r="CZ41" s="1098">
        <f>SUM('POSF Inventory'!HM46,'POSF Inventory'!HO46,'POSF Inventory'!HQ46)*$CY$2</f>
        <v>141.3666991275</v>
      </c>
      <c r="DA41" s="1097">
        <f>SUM('POSF Inventory'!HR46,'POSF Inventory'!HT46,'POSF Inventory'!HV46)*$CY$3</f>
        <v>12.55905047171855</v>
      </c>
      <c r="DB41" s="1098">
        <f>SUM('POSF Inventory'!HS46,'POSF Inventory'!HU46,'POSF Inventory'!HW46)*$CY$4</f>
        <v>282.52727146487666</v>
      </c>
      <c r="DC41" s="1046">
        <f t="shared" si="81"/>
        <v>90.008198471968555</v>
      </c>
      <c r="DD41" s="1050">
        <f t="shared" si="82"/>
        <v>455.91437955137667</v>
      </c>
      <c r="DI41" s="345">
        <v>1484</v>
      </c>
      <c r="DJ41" s="1041">
        <v>1312.653911525</v>
      </c>
    </row>
    <row r="42" spans="2:114" x14ac:dyDescent="0.2">
      <c r="B42" s="345">
        <v>1992</v>
      </c>
      <c r="C42" s="774">
        <f>SUM('POSF Inventory'!FF47,'POSF Inventory'!FH47)</f>
        <v>1312.653911525</v>
      </c>
      <c r="D42" s="774">
        <f>SUM('POSF Inventory'!FB47,'POSF Inventory'!FD47)</f>
        <v>1073.989563975</v>
      </c>
      <c r="E42" s="774">
        <f>SUM('POSF Inventory'!FC47,'POSF Inventory'!FE47)</f>
        <v>1073.989563975</v>
      </c>
      <c r="F42" s="774">
        <f>SUM('POSF Inventory'!FB47,'POSF Inventory'!FD47,'POSF Inventory'!J47)</f>
        <v>1073.989563975</v>
      </c>
      <c r="G42" s="774">
        <f>SUM('POSF Inventory'!FC47,'POSF Inventory'!FE47,'POSF Inventory'!K47)</f>
        <v>1073.989563975</v>
      </c>
      <c r="H42" s="1106">
        <f>SUM('POSF Inventory'!DL47,'POSF Inventory'!DN47)</f>
        <v>125.61281450000001</v>
      </c>
      <c r="I42" s="1041">
        <f>SUM('POSF Inventory'!DM47,'POSF Inventory'!DO47)</f>
        <v>125.61281450000001</v>
      </c>
      <c r="J42" s="592"/>
      <c r="K42" s="1046">
        <f t="shared" si="83"/>
        <v>131.2653911525</v>
      </c>
      <c r="L42" s="1047">
        <f t="shared" si="84"/>
        <v>1181.3885203725001</v>
      </c>
      <c r="M42" s="1046">
        <f t="shared" si="85"/>
        <v>656.32695576250001</v>
      </c>
      <c r="N42" s="1047">
        <f t="shared" si="86"/>
        <v>656.32695576250001</v>
      </c>
      <c r="O42" s="1046">
        <f t="shared" si="87"/>
        <v>1312.653911525</v>
      </c>
      <c r="P42" s="889">
        <f t="shared" si="88"/>
        <v>0</v>
      </c>
      <c r="Q42" s="1048"/>
      <c r="R42" s="889">
        <f t="shared" si="21"/>
        <v>107.3989563975</v>
      </c>
      <c r="S42" s="889">
        <f t="shared" si="104"/>
        <v>107.3989563975</v>
      </c>
      <c r="T42" s="1047">
        <f t="shared" si="23"/>
        <v>966.59060757750001</v>
      </c>
      <c r="U42" s="1047">
        <f t="shared" si="105"/>
        <v>966.59060757750001</v>
      </c>
      <c r="V42" s="1046">
        <f t="shared" si="25"/>
        <v>536.99478198750001</v>
      </c>
      <c r="W42" s="1046">
        <f t="shared" si="106"/>
        <v>536.99478198750001</v>
      </c>
      <c r="X42" s="1047">
        <f t="shared" si="27"/>
        <v>536.99478198750001</v>
      </c>
      <c r="Y42" s="1047">
        <f t="shared" si="107"/>
        <v>536.99478198750001</v>
      </c>
      <c r="Z42" s="1049">
        <f t="shared" si="29"/>
        <v>1073.989563975</v>
      </c>
      <c r="AA42" s="1049">
        <f t="shared" si="108"/>
        <v>1073.989563975</v>
      </c>
      <c r="AB42" s="1050">
        <f t="shared" si="31"/>
        <v>0</v>
      </c>
      <c r="AC42" s="1050">
        <f t="shared" si="109"/>
        <v>0</v>
      </c>
      <c r="AD42" s="898"/>
      <c r="AE42" s="1046">
        <f t="shared" si="33"/>
        <v>238.66434755</v>
      </c>
      <c r="AF42" s="1046">
        <f t="shared" si="34"/>
        <v>238.66434755</v>
      </c>
      <c r="AG42" s="1046">
        <f t="shared" si="35"/>
        <v>2147.97912795</v>
      </c>
      <c r="AH42" s="889">
        <f t="shared" si="36"/>
        <v>2147.97912795</v>
      </c>
      <c r="AI42" s="889">
        <f t="shared" si="37"/>
        <v>1193.32173775</v>
      </c>
      <c r="AJ42" s="889">
        <f t="shared" si="38"/>
        <v>1193.32173775</v>
      </c>
      <c r="AK42" s="889">
        <f t="shared" si="39"/>
        <v>1193.32173775</v>
      </c>
      <c r="AL42" s="889">
        <f t="shared" si="40"/>
        <v>1193.32173775</v>
      </c>
      <c r="AM42" s="889">
        <f t="shared" si="41"/>
        <v>2386.6434755</v>
      </c>
      <c r="AN42" s="1050">
        <f t="shared" si="42"/>
        <v>2386.6434755</v>
      </c>
      <c r="AO42" s="1050">
        <f t="shared" si="43"/>
        <v>0</v>
      </c>
      <c r="AP42" s="1050">
        <f t="shared" si="44"/>
        <v>0</v>
      </c>
      <c r="AR42" s="1067">
        <f t="shared" si="45"/>
        <v>429.59582559</v>
      </c>
      <c r="AS42" s="1067">
        <f t="shared" si="46"/>
        <v>429.59582559</v>
      </c>
      <c r="AT42" s="1068">
        <f t="shared" si="47"/>
        <v>1073.989563975</v>
      </c>
      <c r="AU42" s="1068">
        <f t="shared" si="48"/>
        <v>1073.989563975</v>
      </c>
      <c r="AV42" s="1068">
        <f t="shared" si="49"/>
        <v>1718.38330236</v>
      </c>
      <c r="AW42" s="1068">
        <f t="shared" si="50"/>
        <v>1718.38330236</v>
      </c>
      <c r="AX42" s="1068">
        <f t="shared" si="51"/>
        <v>238.66434755</v>
      </c>
      <c r="AY42" s="1068">
        <f t="shared" si="52"/>
        <v>238.66434755</v>
      </c>
      <c r="AZ42" s="1068">
        <f t="shared" si="53"/>
        <v>596.66086887500001</v>
      </c>
      <c r="BA42" s="1068">
        <f t="shared" si="54"/>
        <v>596.66086887500001</v>
      </c>
      <c r="BB42" s="1068">
        <f t="shared" si="55"/>
        <v>954.65739020000001</v>
      </c>
      <c r="BC42" s="1068">
        <f t="shared" si="56"/>
        <v>954.65739020000001</v>
      </c>
      <c r="BD42" s="1068">
        <f t="shared" si="89"/>
        <v>0</v>
      </c>
      <c r="BE42" s="1068">
        <f t="shared" si="90"/>
        <v>0</v>
      </c>
      <c r="BF42" s="1069">
        <f t="shared" si="91"/>
        <v>0</v>
      </c>
      <c r="BH42" s="1067">
        <f t="shared" si="92"/>
        <v>236.27770407450004</v>
      </c>
      <c r="BI42" s="1068">
        <f t="shared" si="93"/>
        <v>590.69426018625006</v>
      </c>
      <c r="BJ42" s="1068">
        <f t="shared" si="94"/>
        <v>945.11081629800015</v>
      </c>
      <c r="BK42" s="1068">
        <f t="shared" si="95"/>
        <v>131.2653911525</v>
      </c>
      <c r="BL42" s="1068">
        <f t="shared" si="96"/>
        <v>328.16347788125</v>
      </c>
      <c r="BM42" s="1068">
        <f t="shared" si="97"/>
        <v>525.06156461</v>
      </c>
      <c r="BN42" s="1068">
        <f t="shared" si="98"/>
        <v>0</v>
      </c>
      <c r="BO42" s="1068">
        <f t="shared" si="99"/>
        <v>0</v>
      </c>
      <c r="BP42" s="1069">
        <f t="shared" si="100"/>
        <v>0</v>
      </c>
      <c r="BR42" s="1067">
        <f t="shared" si="57"/>
        <v>193.31812151550002</v>
      </c>
      <c r="BS42" s="1067">
        <f t="shared" si="58"/>
        <v>193.31812151550002</v>
      </c>
      <c r="BT42" s="1068">
        <f t="shared" si="59"/>
        <v>483.29530378875</v>
      </c>
      <c r="BU42" s="1068">
        <f t="shared" si="60"/>
        <v>483.29530378875</v>
      </c>
      <c r="BV42" s="1068">
        <f t="shared" si="61"/>
        <v>773.2724860620001</v>
      </c>
      <c r="BW42" s="1068">
        <f t="shared" si="62"/>
        <v>773.2724860620001</v>
      </c>
      <c r="BX42" s="1068">
        <f t="shared" si="63"/>
        <v>107.3989563975</v>
      </c>
      <c r="BY42" s="1068">
        <f t="shared" si="64"/>
        <v>107.3989563975</v>
      </c>
      <c r="BZ42" s="1068">
        <f t="shared" si="65"/>
        <v>268.49739099375</v>
      </c>
      <c r="CA42" s="1068">
        <f t="shared" si="66"/>
        <v>268.49739099375</v>
      </c>
      <c r="CB42" s="1068">
        <f t="shared" si="67"/>
        <v>429.59582559</v>
      </c>
      <c r="CC42" s="1068">
        <f t="shared" si="68"/>
        <v>429.59582559</v>
      </c>
      <c r="CD42" s="1068">
        <f t="shared" si="101"/>
        <v>0</v>
      </c>
      <c r="CE42" s="1068">
        <f t="shared" si="102"/>
        <v>0</v>
      </c>
      <c r="CF42" s="1069">
        <f t="shared" si="103"/>
        <v>0</v>
      </c>
      <c r="CG42" s="599"/>
      <c r="CH42" s="1067">
        <f t="shared" si="69"/>
        <v>22.610306610000006</v>
      </c>
      <c r="CI42" s="1067">
        <f t="shared" si="70"/>
        <v>22.610306610000006</v>
      </c>
      <c r="CJ42" s="1068">
        <f t="shared" si="71"/>
        <v>56.525766525000009</v>
      </c>
      <c r="CK42" s="1068">
        <f t="shared" si="72"/>
        <v>56.525766525000009</v>
      </c>
      <c r="CL42" s="1068">
        <f t="shared" si="73"/>
        <v>90.441226440000023</v>
      </c>
      <c r="CM42" s="1068">
        <f t="shared" si="74"/>
        <v>90.441226440000023</v>
      </c>
      <c r="CN42" s="1068">
        <f t="shared" si="75"/>
        <v>12.561281450000003</v>
      </c>
      <c r="CO42" s="1068">
        <f t="shared" si="76"/>
        <v>12.561281450000003</v>
      </c>
      <c r="CP42" s="1068">
        <f t="shared" si="77"/>
        <v>31.403203625000003</v>
      </c>
      <c r="CQ42" s="1069">
        <f t="shared" si="78"/>
        <v>31.403203625000003</v>
      </c>
      <c r="CR42" s="1069">
        <f t="shared" si="79"/>
        <v>50.245125800000011</v>
      </c>
      <c r="CS42" s="1069">
        <f t="shared" si="80"/>
        <v>50.245125800000011</v>
      </c>
      <c r="CV42" s="345">
        <v>1992</v>
      </c>
      <c r="CW42" s="1097">
        <f>SUM('POSF Inventory'!HF47,'POSF Inventory'!HH47,'POSF Inventory'!HJ47)*$CY$1</f>
        <v>31.944799964999998</v>
      </c>
      <c r="CX42" s="1098">
        <f>SUM('POSF Inventory'!HG47,'POSF Inventory'!HI47,'POSF Inventory'!HK47)*$CY$2</f>
        <v>32.020408958999994</v>
      </c>
      <c r="CY42" s="1097">
        <f>SUM('POSF Inventory'!HL47,'POSF Inventory'!HN47,'POSF Inventory'!HP47)*$CY$1</f>
        <v>45.504348035250004</v>
      </c>
      <c r="CZ42" s="1098">
        <f>SUM('POSF Inventory'!HM47,'POSF Inventory'!HO47,'POSF Inventory'!HQ47)*$CY$2</f>
        <v>141.3666991275</v>
      </c>
      <c r="DA42" s="1097">
        <f>SUM('POSF Inventory'!HR47,'POSF Inventory'!HT47,'POSF Inventory'!HV47)*$CY$3</f>
        <v>12.56256888572975</v>
      </c>
      <c r="DB42" s="1098">
        <f>SUM('POSF Inventory'!HS47,'POSF Inventory'!HU47,'POSF Inventory'!HW47)*$CY$4</f>
        <v>284.70209112554966</v>
      </c>
      <c r="DC42" s="1046">
        <f t="shared" si="81"/>
        <v>90.011716885979752</v>
      </c>
      <c r="DD42" s="1050">
        <f t="shared" si="82"/>
        <v>458.08919921204966</v>
      </c>
      <c r="DI42" s="345">
        <v>1484</v>
      </c>
      <c r="DJ42" s="1041">
        <v>1312.653911525</v>
      </c>
    </row>
    <row r="43" spans="2:114" x14ac:dyDescent="0.2">
      <c r="B43" s="345">
        <v>1993</v>
      </c>
      <c r="C43" s="774">
        <f>SUM('POSF Inventory'!FF48,'POSF Inventory'!FH48)</f>
        <v>1311.3476615250001</v>
      </c>
      <c r="D43" s="774">
        <f>SUM('POSF Inventory'!FB48,'POSF Inventory'!FD48)</f>
        <v>1072.9208139750001</v>
      </c>
      <c r="E43" s="774">
        <f>SUM('POSF Inventory'!FC48,'POSF Inventory'!FE48)</f>
        <v>1072.9208139750001</v>
      </c>
      <c r="F43" s="774">
        <f>SUM('POSF Inventory'!FB48,'POSF Inventory'!FD48,'POSF Inventory'!J48)</f>
        <v>1075.4208139750001</v>
      </c>
      <c r="G43" s="774">
        <f>SUM('POSF Inventory'!FC48,'POSF Inventory'!FE48,'POSF Inventory'!K48)</f>
        <v>1075.4208139750001</v>
      </c>
      <c r="H43" s="1106">
        <f>SUM('POSF Inventory'!DL48,'POSF Inventory'!DN48)</f>
        <v>125.48781450000001</v>
      </c>
      <c r="I43" s="1041">
        <f>SUM('POSF Inventory'!DM48,'POSF Inventory'!DO48)</f>
        <v>125.48781450000001</v>
      </c>
      <c r="J43" s="592"/>
      <c r="K43" s="1046">
        <f t="shared" si="83"/>
        <v>131.13476615250002</v>
      </c>
      <c r="L43" s="1047">
        <f t="shared" si="84"/>
        <v>1180.2128953725003</v>
      </c>
      <c r="M43" s="1046">
        <f t="shared" si="85"/>
        <v>655.67383076250007</v>
      </c>
      <c r="N43" s="1047">
        <f t="shared" si="86"/>
        <v>655.67383076250007</v>
      </c>
      <c r="O43" s="1046">
        <f t="shared" si="87"/>
        <v>1311.3476615250001</v>
      </c>
      <c r="P43" s="889">
        <f t="shared" si="88"/>
        <v>0</v>
      </c>
      <c r="Q43" s="1048"/>
      <c r="R43" s="889">
        <f t="shared" si="21"/>
        <v>107.29208139750001</v>
      </c>
      <c r="S43" s="889">
        <f t="shared" si="104"/>
        <v>107.29208139750001</v>
      </c>
      <c r="T43" s="1047">
        <f t="shared" si="23"/>
        <v>965.62873257750016</v>
      </c>
      <c r="U43" s="1047">
        <f t="shared" si="105"/>
        <v>965.62873257750016</v>
      </c>
      <c r="V43" s="1046">
        <f t="shared" si="25"/>
        <v>536.46040698750005</v>
      </c>
      <c r="W43" s="1046">
        <f t="shared" si="106"/>
        <v>536.46040698750005</v>
      </c>
      <c r="X43" s="1047">
        <f t="shared" si="27"/>
        <v>536.46040698750005</v>
      </c>
      <c r="Y43" s="1047">
        <f t="shared" si="107"/>
        <v>536.46040698750005</v>
      </c>
      <c r="Z43" s="1049">
        <f t="shared" si="29"/>
        <v>1072.9208139750001</v>
      </c>
      <c r="AA43" s="1049">
        <f t="shared" si="108"/>
        <v>1072.9208139750001</v>
      </c>
      <c r="AB43" s="1050">
        <f t="shared" si="31"/>
        <v>0</v>
      </c>
      <c r="AC43" s="1050">
        <f t="shared" si="109"/>
        <v>0</v>
      </c>
      <c r="AD43" s="898"/>
      <c r="AE43" s="1046">
        <f t="shared" si="33"/>
        <v>238.42684755000005</v>
      </c>
      <c r="AF43" s="1046">
        <f t="shared" si="34"/>
        <v>238.42684755000005</v>
      </c>
      <c r="AG43" s="1046">
        <f t="shared" si="35"/>
        <v>2145.8416279500007</v>
      </c>
      <c r="AH43" s="889">
        <f t="shared" si="36"/>
        <v>2145.8416279500007</v>
      </c>
      <c r="AI43" s="889">
        <f t="shared" si="37"/>
        <v>1192.13423775</v>
      </c>
      <c r="AJ43" s="889">
        <f t="shared" si="38"/>
        <v>1192.13423775</v>
      </c>
      <c r="AK43" s="889">
        <f t="shared" si="39"/>
        <v>1192.13423775</v>
      </c>
      <c r="AL43" s="889">
        <f t="shared" si="40"/>
        <v>1192.13423775</v>
      </c>
      <c r="AM43" s="889">
        <f t="shared" si="41"/>
        <v>2384.2684755</v>
      </c>
      <c r="AN43" s="1050">
        <f t="shared" si="42"/>
        <v>2384.2684755</v>
      </c>
      <c r="AO43" s="1050">
        <f t="shared" si="43"/>
        <v>0</v>
      </c>
      <c r="AP43" s="1050">
        <f t="shared" si="44"/>
        <v>0</v>
      </c>
      <c r="AR43" s="1067">
        <f t="shared" si="45"/>
        <v>429.16832559000017</v>
      </c>
      <c r="AS43" s="1067">
        <f t="shared" si="46"/>
        <v>429.16832559000017</v>
      </c>
      <c r="AT43" s="1068">
        <f t="shared" si="47"/>
        <v>1072.9208139750003</v>
      </c>
      <c r="AU43" s="1068">
        <f t="shared" si="48"/>
        <v>1072.9208139750003</v>
      </c>
      <c r="AV43" s="1068">
        <f t="shared" si="49"/>
        <v>1716.6733023600007</v>
      </c>
      <c r="AW43" s="1068">
        <f t="shared" si="50"/>
        <v>1716.6733023600007</v>
      </c>
      <c r="AX43" s="1068">
        <f t="shared" si="51"/>
        <v>238.42684755000002</v>
      </c>
      <c r="AY43" s="1068">
        <f t="shared" si="52"/>
        <v>238.42684755000002</v>
      </c>
      <c r="AZ43" s="1068">
        <f t="shared" si="53"/>
        <v>596.06711887500001</v>
      </c>
      <c r="BA43" s="1068">
        <f t="shared" si="54"/>
        <v>596.06711887500001</v>
      </c>
      <c r="BB43" s="1068">
        <f t="shared" si="55"/>
        <v>953.70739020000008</v>
      </c>
      <c r="BC43" s="1068">
        <f t="shared" si="56"/>
        <v>953.70739020000008</v>
      </c>
      <c r="BD43" s="1068">
        <f t="shared" si="89"/>
        <v>0</v>
      </c>
      <c r="BE43" s="1068">
        <f t="shared" si="90"/>
        <v>0</v>
      </c>
      <c r="BF43" s="1069">
        <f t="shared" si="91"/>
        <v>0</v>
      </c>
      <c r="BH43" s="1067">
        <f t="shared" si="92"/>
        <v>236.04257907450005</v>
      </c>
      <c r="BI43" s="1068">
        <f t="shared" si="93"/>
        <v>590.10644768625014</v>
      </c>
      <c r="BJ43" s="1068">
        <f t="shared" si="94"/>
        <v>944.17031629800022</v>
      </c>
      <c r="BK43" s="1068">
        <f t="shared" si="95"/>
        <v>131.13476615250002</v>
      </c>
      <c r="BL43" s="1068">
        <f t="shared" si="96"/>
        <v>327.83691538125004</v>
      </c>
      <c r="BM43" s="1068">
        <f t="shared" si="97"/>
        <v>524.53906461000008</v>
      </c>
      <c r="BN43" s="1068">
        <f t="shared" si="98"/>
        <v>0</v>
      </c>
      <c r="BO43" s="1068">
        <f t="shared" si="99"/>
        <v>0</v>
      </c>
      <c r="BP43" s="1069">
        <f t="shared" si="100"/>
        <v>0</v>
      </c>
      <c r="BR43" s="1067">
        <f t="shared" si="57"/>
        <v>193.12574651550005</v>
      </c>
      <c r="BS43" s="1067">
        <f t="shared" si="58"/>
        <v>193.12574651550005</v>
      </c>
      <c r="BT43" s="1068">
        <f t="shared" si="59"/>
        <v>482.81436628875008</v>
      </c>
      <c r="BU43" s="1068">
        <f t="shared" si="60"/>
        <v>482.81436628875008</v>
      </c>
      <c r="BV43" s="1068">
        <f t="shared" si="61"/>
        <v>772.50298606200022</v>
      </c>
      <c r="BW43" s="1068">
        <f t="shared" si="62"/>
        <v>772.50298606200022</v>
      </c>
      <c r="BX43" s="1068">
        <f t="shared" si="63"/>
        <v>107.29208139750001</v>
      </c>
      <c r="BY43" s="1068">
        <f t="shared" si="64"/>
        <v>107.29208139750001</v>
      </c>
      <c r="BZ43" s="1068">
        <f t="shared" si="65"/>
        <v>268.23020349375003</v>
      </c>
      <c r="CA43" s="1068">
        <f t="shared" si="66"/>
        <v>268.23020349375003</v>
      </c>
      <c r="CB43" s="1068">
        <f t="shared" si="67"/>
        <v>429.16832559000005</v>
      </c>
      <c r="CC43" s="1068">
        <f t="shared" si="68"/>
        <v>429.16832559000005</v>
      </c>
      <c r="CD43" s="1068">
        <f t="shared" si="101"/>
        <v>0</v>
      </c>
      <c r="CE43" s="1068">
        <f t="shared" si="102"/>
        <v>0</v>
      </c>
      <c r="CF43" s="1069">
        <f t="shared" si="103"/>
        <v>0</v>
      </c>
      <c r="CG43" s="599"/>
      <c r="CH43" s="1067">
        <f t="shared" si="69"/>
        <v>22.587806610000005</v>
      </c>
      <c r="CI43" s="1067">
        <f t="shared" si="70"/>
        <v>22.587806610000005</v>
      </c>
      <c r="CJ43" s="1068">
        <f t="shared" si="71"/>
        <v>56.46951652500001</v>
      </c>
      <c r="CK43" s="1068">
        <f t="shared" si="72"/>
        <v>56.46951652500001</v>
      </c>
      <c r="CL43" s="1068">
        <f t="shared" si="73"/>
        <v>90.351226440000019</v>
      </c>
      <c r="CM43" s="1068">
        <f t="shared" si="74"/>
        <v>90.351226440000019</v>
      </c>
      <c r="CN43" s="1068">
        <f t="shared" si="75"/>
        <v>12.548781450000002</v>
      </c>
      <c r="CO43" s="1068">
        <f t="shared" si="76"/>
        <v>12.548781450000002</v>
      </c>
      <c r="CP43" s="1068">
        <f t="shared" si="77"/>
        <v>31.371953625000003</v>
      </c>
      <c r="CQ43" s="1069">
        <f t="shared" si="78"/>
        <v>31.371953625000003</v>
      </c>
      <c r="CR43" s="1069">
        <f t="shared" si="79"/>
        <v>50.195125800000007</v>
      </c>
      <c r="CS43" s="1069">
        <f t="shared" si="80"/>
        <v>50.195125800000007</v>
      </c>
      <c r="CV43" s="345">
        <v>1993</v>
      </c>
      <c r="CW43" s="1097">
        <f>SUM('POSF Inventory'!HF48,'POSF Inventory'!HH48,'POSF Inventory'!HJ48)*$CY$1</f>
        <v>31.944799964999998</v>
      </c>
      <c r="CX43" s="1098">
        <f>SUM('POSF Inventory'!HG48,'POSF Inventory'!HI48,'POSF Inventory'!HK48)*$CY$2</f>
        <v>32.020408958999994</v>
      </c>
      <c r="CY43" s="1097">
        <f>SUM('POSF Inventory'!HL48,'POSF Inventory'!HN48,'POSF Inventory'!HP48)*$CY$1</f>
        <v>45.499066785250001</v>
      </c>
      <c r="CZ43" s="1098">
        <f>SUM('POSF Inventory'!HM48,'POSF Inventory'!HO48,'POSF Inventory'!HQ48)*$CY$2</f>
        <v>141.31376162750001</v>
      </c>
      <c r="DA43" s="1097">
        <f>SUM('POSF Inventory'!HR48,'POSF Inventory'!HT48,'POSF Inventory'!HV48)*$CY$3</f>
        <v>14.562170728071951</v>
      </c>
      <c r="DB43" s="1098">
        <f>SUM('POSF Inventory'!HS48,'POSF Inventory'!HU48,'POSF Inventory'!HW48)*$CY$4</f>
        <v>288.78944954441585</v>
      </c>
      <c r="DC43" s="1046">
        <f t="shared" si="81"/>
        <v>92.006037478321943</v>
      </c>
      <c r="DD43" s="1050">
        <f t="shared" si="82"/>
        <v>462.12362013091587</v>
      </c>
      <c r="DI43" s="345">
        <v>1484</v>
      </c>
      <c r="DJ43" s="1041">
        <v>1311.3476615250001</v>
      </c>
    </row>
    <row r="44" spans="2:114" x14ac:dyDescent="0.2">
      <c r="B44" s="345">
        <v>1994</v>
      </c>
      <c r="C44" s="774">
        <f>SUM('POSF Inventory'!FF49,'POSF Inventory'!FH49)</f>
        <v>1310.0414115250001</v>
      </c>
      <c r="D44" s="774">
        <f>SUM('POSF Inventory'!FB49,'POSF Inventory'!FD49)</f>
        <v>1071.852063975</v>
      </c>
      <c r="E44" s="774">
        <f>SUM('POSF Inventory'!FC49,'POSF Inventory'!FE49)</f>
        <v>1071.852063975</v>
      </c>
      <c r="F44" s="774">
        <f>SUM('POSF Inventory'!FB49,'POSF Inventory'!FD49,'POSF Inventory'!J49)</f>
        <v>1076.852063975</v>
      </c>
      <c r="G44" s="774">
        <f>SUM('POSF Inventory'!FC49,'POSF Inventory'!FE49,'POSF Inventory'!K49)</f>
        <v>1076.852063975</v>
      </c>
      <c r="H44" s="1106">
        <f>SUM('POSF Inventory'!DL49,'POSF Inventory'!DN49)</f>
        <v>125.36281450000001</v>
      </c>
      <c r="I44" s="1041">
        <f>SUM('POSF Inventory'!DM49,'POSF Inventory'!DO49)</f>
        <v>125.36281450000001</v>
      </c>
      <c r="J44" s="592"/>
      <c r="K44" s="1046">
        <f t="shared" si="83"/>
        <v>131.00414115250001</v>
      </c>
      <c r="L44" s="1047">
        <f t="shared" si="84"/>
        <v>1179.0372703725002</v>
      </c>
      <c r="M44" s="1046">
        <f t="shared" si="85"/>
        <v>655.02070576250003</v>
      </c>
      <c r="N44" s="1047">
        <f t="shared" si="86"/>
        <v>655.02070576250003</v>
      </c>
      <c r="O44" s="1046">
        <f t="shared" si="87"/>
        <v>1310.0414115250001</v>
      </c>
      <c r="P44" s="889">
        <f t="shared" si="88"/>
        <v>0</v>
      </c>
      <c r="Q44" s="1048"/>
      <c r="R44" s="889">
        <f t="shared" si="21"/>
        <v>107.1852063975</v>
      </c>
      <c r="S44" s="889">
        <f t="shared" si="104"/>
        <v>107.1852063975</v>
      </c>
      <c r="T44" s="1047">
        <f t="shared" si="23"/>
        <v>964.66685757749997</v>
      </c>
      <c r="U44" s="1047">
        <f t="shared" si="105"/>
        <v>964.66685757749997</v>
      </c>
      <c r="V44" s="1046">
        <f t="shared" si="25"/>
        <v>535.92603198749998</v>
      </c>
      <c r="W44" s="1046">
        <f t="shared" si="106"/>
        <v>535.92603198749998</v>
      </c>
      <c r="X44" s="1047">
        <f t="shared" si="27"/>
        <v>535.92603198749998</v>
      </c>
      <c r="Y44" s="1047">
        <f t="shared" si="107"/>
        <v>535.92603198749998</v>
      </c>
      <c r="Z44" s="1049">
        <f t="shared" si="29"/>
        <v>1071.852063975</v>
      </c>
      <c r="AA44" s="1049">
        <f t="shared" si="108"/>
        <v>1071.852063975</v>
      </c>
      <c r="AB44" s="1050">
        <f t="shared" si="31"/>
        <v>0</v>
      </c>
      <c r="AC44" s="1050">
        <f t="shared" si="109"/>
        <v>0</v>
      </c>
      <c r="AD44" s="898"/>
      <c r="AE44" s="1046">
        <f t="shared" si="33"/>
        <v>238.18934755000001</v>
      </c>
      <c r="AF44" s="1046">
        <f t="shared" si="34"/>
        <v>238.18934755000001</v>
      </c>
      <c r="AG44" s="1046">
        <f t="shared" si="35"/>
        <v>2143.7041279499999</v>
      </c>
      <c r="AH44" s="889">
        <f t="shared" si="36"/>
        <v>2143.7041279499999</v>
      </c>
      <c r="AI44" s="889">
        <f t="shared" si="37"/>
        <v>1190.94673775</v>
      </c>
      <c r="AJ44" s="889">
        <f t="shared" si="38"/>
        <v>1190.94673775</v>
      </c>
      <c r="AK44" s="889">
        <f t="shared" si="39"/>
        <v>1190.94673775</v>
      </c>
      <c r="AL44" s="889">
        <f t="shared" si="40"/>
        <v>1190.94673775</v>
      </c>
      <c r="AM44" s="889">
        <f t="shared" si="41"/>
        <v>2381.8934755</v>
      </c>
      <c r="AN44" s="1050">
        <f t="shared" si="42"/>
        <v>2381.8934755</v>
      </c>
      <c r="AO44" s="1050">
        <f t="shared" si="43"/>
        <v>0</v>
      </c>
      <c r="AP44" s="1050">
        <f t="shared" si="44"/>
        <v>0</v>
      </c>
      <c r="AR44" s="1067">
        <f t="shared" si="45"/>
        <v>428.74082558999999</v>
      </c>
      <c r="AS44" s="1067">
        <f t="shared" si="46"/>
        <v>428.74082558999999</v>
      </c>
      <c r="AT44" s="1068">
        <f t="shared" si="47"/>
        <v>1071.852063975</v>
      </c>
      <c r="AU44" s="1068">
        <f t="shared" si="48"/>
        <v>1071.852063975</v>
      </c>
      <c r="AV44" s="1068">
        <f t="shared" si="49"/>
        <v>1714.9633023599999</v>
      </c>
      <c r="AW44" s="1068">
        <f t="shared" si="50"/>
        <v>1714.9633023599999</v>
      </c>
      <c r="AX44" s="1068">
        <f t="shared" si="51"/>
        <v>238.18934755000001</v>
      </c>
      <c r="AY44" s="1068">
        <f t="shared" si="52"/>
        <v>238.18934755000001</v>
      </c>
      <c r="AZ44" s="1068">
        <f t="shared" si="53"/>
        <v>595.47336887500001</v>
      </c>
      <c r="BA44" s="1068">
        <f t="shared" si="54"/>
        <v>595.47336887500001</v>
      </c>
      <c r="BB44" s="1068">
        <f t="shared" si="55"/>
        <v>952.75739020000003</v>
      </c>
      <c r="BC44" s="1068">
        <f t="shared" si="56"/>
        <v>952.75739020000003</v>
      </c>
      <c r="BD44" s="1068">
        <f t="shared" si="89"/>
        <v>0</v>
      </c>
      <c r="BE44" s="1068">
        <f t="shared" si="90"/>
        <v>0</v>
      </c>
      <c r="BF44" s="1069">
        <f t="shared" si="91"/>
        <v>0</v>
      </c>
      <c r="BH44" s="1067">
        <f t="shared" si="92"/>
        <v>235.80745407450004</v>
      </c>
      <c r="BI44" s="1068">
        <f t="shared" si="93"/>
        <v>589.51863518625009</v>
      </c>
      <c r="BJ44" s="1068">
        <f t="shared" si="94"/>
        <v>943.22981629800017</v>
      </c>
      <c r="BK44" s="1068">
        <f t="shared" si="95"/>
        <v>131.00414115250001</v>
      </c>
      <c r="BL44" s="1068">
        <f t="shared" si="96"/>
        <v>327.51035288125001</v>
      </c>
      <c r="BM44" s="1068">
        <f t="shared" si="97"/>
        <v>524.01656461000005</v>
      </c>
      <c r="BN44" s="1068">
        <f t="shared" si="98"/>
        <v>0</v>
      </c>
      <c r="BO44" s="1068">
        <f t="shared" si="99"/>
        <v>0</v>
      </c>
      <c r="BP44" s="1069">
        <f t="shared" si="100"/>
        <v>0</v>
      </c>
      <c r="BR44" s="1067">
        <f t="shared" si="57"/>
        <v>192.9333715155</v>
      </c>
      <c r="BS44" s="1067">
        <f t="shared" si="58"/>
        <v>192.9333715155</v>
      </c>
      <c r="BT44" s="1068">
        <f t="shared" si="59"/>
        <v>482.33342878874998</v>
      </c>
      <c r="BU44" s="1068">
        <f t="shared" si="60"/>
        <v>482.33342878874998</v>
      </c>
      <c r="BV44" s="1068">
        <f t="shared" si="61"/>
        <v>771.733486062</v>
      </c>
      <c r="BW44" s="1068">
        <f t="shared" si="62"/>
        <v>771.733486062</v>
      </c>
      <c r="BX44" s="1068">
        <f t="shared" si="63"/>
        <v>107.1852063975</v>
      </c>
      <c r="BY44" s="1068">
        <f t="shared" si="64"/>
        <v>107.1852063975</v>
      </c>
      <c r="BZ44" s="1068">
        <f t="shared" si="65"/>
        <v>267.96301599374999</v>
      </c>
      <c r="CA44" s="1068">
        <f t="shared" si="66"/>
        <v>267.96301599374999</v>
      </c>
      <c r="CB44" s="1068">
        <f t="shared" si="67"/>
        <v>428.74082558999999</v>
      </c>
      <c r="CC44" s="1068">
        <f t="shared" si="68"/>
        <v>428.74082558999999</v>
      </c>
      <c r="CD44" s="1068">
        <f t="shared" si="101"/>
        <v>0</v>
      </c>
      <c r="CE44" s="1068">
        <f t="shared" si="102"/>
        <v>0</v>
      </c>
      <c r="CF44" s="1069">
        <f t="shared" si="103"/>
        <v>0</v>
      </c>
      <c r="CG44" s="599"/>
      <c r="CH44" s="1067">
        <f t="shared" si="69"/>
        <v>22.565306610000004</v>
      </c>
      <c r="CI44" s="1067">
        <f t="shared" si="70"/>
        <v>22.565306610000004</v>
      </c>
      <c r="CJ44" s="1068">
        <f t="shared" si="71"/>
        <v>56.413266525000004</v>
      </c>
      <c r="CK44" s="1068">
        <f t="shared" si="72"/>
        <v>56.413266525000004</v>
      </c>
      <c r="CL44" s="1068">
        <f t="shared" si="73"/>
        <v>90.261226440000016</v>
      </c>
      <c r="CM44" s="1068">
        <f t="shared" si="74"/>
        <v>90.261226440000016</v>
      </c>
      <c r="CN44" s="1068">
        <f t="shared" si="75"/>
        <v>12.536281450000002</v>
      </c>
      <c r="CO44" s="1068">
        <f t="shared" si="76"/>
        <v>12.536281450000002</v>
      </c>
      <c r="CP44" s="1068">
        <f t="shared" si="77"/>
        <v>31.340703625000003</v>
      </c>
      <c r="CQ44" s="1069">
        <f t="shared" si="78"/>
        <v>31.340703625000003</v>
      </c>
      <c r="CR44" s="1069">
        <f t="shared" si="79"/>
        <v>50.14512580000001</v>
      </c>
      <c r="CS44" s="1069">
        <f t="shared" si="80"/>
        <v>50.14512580000001</v>
      </c>
      <c r="CV44" s="345">
        <v>1994</v>
      </c>
      <c r="CW44" s="1097">
        <f>SUM('POSF Inventory'!HF49,'POSF Inventory'!HH49,'POSF Inventory'!HJ49)*$CY$1</f>
        <v>31.944799964999998</v>
      </c>
      <c r="CX44" s="1098">
        <f>SUM('POSF Inventory'!HG49,'POSF Inventory'!HI49,'POSF Inventory'!HK49)*$CY$2</f>
        <v>32.020408958999994</v>
      </c>
      <c r="CY44" s="1097">
        <f>SUM('POSF Inventory'!HL49,'POSF Inventory'!HN49,'POSF Inventory'!HP49)*$CY$1</f>
        <v>45.488504285250002</v>
      </c>
      <c r="CZ44" s="1098">
        <f>SUM('POSF Inventory'!HM49,'POSF Inventory'!HO49,'POSF Inventory'!HQ49)*$CY$2</f>
        <v>141.20788662750002</v>
      </c>
      <c r="DA44" s="1097">
        <f>SUM('POSF Inventory'!HR49,'POSF Inventory'!HT49,'POSF Inventory'!HV49)*$CY$3</f>
        <v>16.557852140835049</v>
      </c>
      <c r="DB44" s="1098">
        <f>SUM('POSF Inventory'!HS49,'POSF Inventory'!HU49,'POSF Inventory'!HW49)*$CY$4</f>
        <v>292.31446205079448</v>
      </c>
      <c r="DC44" s="1046">
        <f t="shared" si="81"/>
        <v>93.991156391085056</v>
      </c>
      <c r="DD44" s="1050">
        <f t="shared" si="82"/>
        <v>465.54275763729447</v>
      </c>
      <c r="DI44" s="345">
        <v>1484</v>
      </c>
      <c r="DJ44" s="1041">
        <v>1310.0414115250001</v>
      </c>
    </row>
    <row r="45" spans="2:114" x14ac:dyDescent="0.2">
      <c r="B45" s="345">
        <v>1995</v>
      </c>
      <c r="C45" s="774">
        <f>SUM('POSF Inventory'!FF50,'POSF Inventory'!FH50)</f>
        <v>1746.1257191125001</v>
      </c>
      <c r="D45" s="774">
        <f>SUM('POSF Inventory'!FB50,'POSF Inventory'!FD50)</f>
        <v>1428.6483156375</v>
      </c>
      <c r="E45" s="774">
        <f>SUM('POSF Inventory'!FC50,'POSF Inventory'!FE50)</f>
        <v>1428.6483156375</v>
      </c>
      <c r="F45" s="774">
        <f>SUM('POSF Inventory'!FB50,'POSF Inventory'!FD50,'POSF Inventory'!J50)</f>
        <v>1436.1483156375</v>
      </c>
      <c r="G45" s="774">
        <f>SUM('POSF Inventory'!FC50,'POSF Inventory'!FE50,'POSF Inventory'!K50)</f>
        <v>1436.1483156375</v>
      </c>
      <c r="H45" s="1106">
        <f>SUM('POSF Inventory'!DL50,'POSF Inventory'!DN50)</f>
        <v>167.09337025000002</v>
      </c>
      <c r="I45" s="1041">
        <f>SUM('POSF Inventory'!DM50,'POSF Inventory'!DO50)</f>
        <v>167.09337025000002</v>
      </c>
      <c r="J45" s="592"/>
      <c r="K45" s="1046">
        <f t="shared" si="83"/>
        <v>174.61257191125003</v>
      </c>
      <c r="L45" s="1047">
        <f t="shared" si="84"/>
        <v>1571.5131472012501</v>
      </c>
      <c r="M45" s="1046">
        <f t="shared" si="85"/>
        <v>873.06285955625003</v>
      </c>
      <c r="N45" s="1047">
        <f t="shared" si="86"/>
        <v>873.06285955625003</v>
      </c>
      <c r="O45" s="1046">
        <f t="shared" si="87"/>
        <v>1746.1257191125001</v>
      </c>
      <c r="P45" s="889">
        <f t="shared" si="88"/>
        <v>0</v>
      </c>
      <c r="Q45" s="1048"/>
      <c r="R45" s="889">
        <f t="shared" si="21"/>
        <v>142.86483156375002</v>
      </c>
      <c r="S45" s="889">
        <f t="shared" si="104"/>
        <v>142.86483156375002</v>
      </c>
      <c r="T45" s="1047">
        <f t="shared" si="23"/>
        <v>1285.7834840737501</v>
      </c>
      <c r="U45" s="1047">
        <f t="shared" si="105"/>
        <v>1285.7834840737501</v>
      </c>
      <c r="V45" s="1046">
        <f t="shared" si="25"/>
        <v>714.32415781875</v>
      </c>
      <c r="W45" s="1046">
        <f t="shared" si="106"/>
        <v>714.32415781875</v>
      </c>
      <c r="X45" s="1047">
        <f t="shared" si="27"/>
        <v>714.32415781875</v>
      </c>
      <c r="Y45" s="1047">
        <f t="shared" si="107"/>
        <v>714.32415781875</v>
      </c>
      <c r="Z45" s="1049">
        <f t="shared" si="29"/>
        <v>1428.6483156375</v>
      </c>
      <c r="AA45" s="1049">
        <f t="shared" si="108"/>
        <v>1428.6483156375</v>
      </c>
      <c r="AB45" s="1050">
        <f t="shared" si="31"/>
        <v>0</v>
      </c>
      <c r="AC45" s="1050">
        <f t="shared" si="109"/>
        <v>0</v>
      </c>
      <c r="AD45" s="898"/>
      <c r="AE45" s="1046">
        <f t="shared" si="33"/>
        <v>317.47740347500007</v>
      </c>
      <c r="AF45" s="1046">
        <f t="shared" si="34"/>
        <v>317.47740347500007</v>
      </c>
      <c r="AG45" s="1046">
        <f t="shared" si="35"/>
        <v>2857.2966312750004</v>
      </c>
      <c r="AH45" s="889">
        <f t="shared" si="36"/>
        <v>2857.2966312750004</v>
      </c>
      <c r="AI45" s="889">
        <f t="shared" si="37"/>
        <v>1587.3870173750001</v>
      </c>
      <c r="AJ45" s="889">
        <f t="shared" si="38"/>
        <v>1587.3870173750001</v>
      </c>
      <c r="AK45" s="889">
        <f t="shared" si="39"/>
        <v>1587.3870173750001</v>
      </c>
      <c r="AL45" s="889">
        <f t="shared" si="40"/>
        <v>1587.3870173750001</v>
      </c>
      <c r="AM45" s="889">
        <f t="shared" si="41"/>
        <v>3174.7740347500003</v>
      </c>
      <c r="AN45" s="1050">
        <f t="shared" si="42"/>
        <v>3174.7740347500003</v>
      </c>
      <c r="AO45" s="1050">
        <f t="shared" si="43"/>
        <v>0</v>
      </c>
      <c r="AP45" s="1050">
        <f t="shared" si="44"/>
        <v>0</v>
      </c>
      <c r="AR45" s="1067">
        <f t="shared" si="45"/>
        <v>571.45932625500006</v>
      </c>
      <c r="AS45" s="1067">
        <f t="shared" si="46"/>
        <v>571.45932625500006</v>
      </c>
      <c r="AT45" s="1068">
        <f t="shared" si="47"/>
        <v>1428.6483156375002</v>
      </c>
      <c r="AU45" s="1068">
        <f t="shared" si="48"/>
        <v>1428.6483156375002</v>
      </c>
      <c r="AV45" s="1068">
        <f t="shared" si="49"/>
        <v>2285.8373050200003</v>
      </c>
      <c r="AW45" s="1068">
        <f t="shared" si="50"/>
        <v>2285.8373050200003</v>
      </c>
      <c r="AX45" s="1068">
        <f t="shared" si="51"/>
        <v>317.47740347500007</v>
      </c>
      <c r="AY45" s="1068">
        <f t="shared" si="52"/>
        <v>317.47740347500007</v>
      </c>
      <c r="AZ45" s="1068">
        <f t="shared" si="53"/>
        <v>793.69350868750007</v>
      </c>
      <c r="BA45" s="1068">
        <f t="shared" si="54"/>
        <v>793.69350868750007</v>
      </c>
      <c r="BB45" s="1068">
        <f t="shared" si="55"/>
        <v>1269.9096139000003</v>
      </c>
      <c r="BC45" s="1068">
        <f t="shared" si="56"/>
        <v>1269.9096139000003</v>
      </c>
      <c r="BD45" s="1068">
        <f t="shared" si="89"/>
        <v>0</v>
      </c>
      <c r="BE45" s="1068">
        <f t="shared" si="90"/>
        <v>0</v>
      </c>
      <c r="BF45" s="1069">
        <f t="shared" si="91"/>
        <v>0</v>
      </c>
      <c r="BH45" s="1067">
        <f t="shared" si="92"/>
        <v>314.30262944025003</v>
      </c>
      <c r="BI45" s="1068">
        <f t="shared" si="93"/>
        <v>785.75657360062507</v>
      </c>
      <c r="BJ45" s="1068">
        <f t="shared" si="94"/>
        <v>1257.2105177610001</v>
      </c>
      <c r="BK45" s="1068">
        <f t="shared" si="95"/>
        <v>174.61257191125003</v>
      </c>
      <c r="BL45" s="1068">
        <f t="shared" si="96"/>
        <v>436.53142977812502</v>
      </c>
      <c r="BM45" s="1068">
        <f t="shared" si="97"/>
        <v>698.45028764500012</v>
      </c>
      <c r="BN45" s="1068">
        <f t="shared" si="98"/>
        <v>0</v>
      </c>
      <c r="BO45" s="1068">
        <f t="shared" si="99"/>
        <v>0</v>
      </c>
      <c r="BP45" s="1069">
        <f t="shared" si="100"/>
        <v>0</v>
      </c>
      <c r="BR45" s="1067">
        <f t="shared" si="57"/>
        <v>257.15669681475003</v>
      </c>
      <c r="BS45" s="1067">
        <f t="shared" si="58"/>
        <v>257.15669681475003</v>
      </c>
      <c r="BT45" s="1068">
        <f t="shared" si="59"/>
        <v>642.89174203687503</v>
      </c>
      <c r="BU45" s="1068">
        <f t="shared" si="60"/>
        <v>642.89174203687503</v>
      </c>
      <c r="BV45" s="1068">
        <f t="shared" si="61"/>
        <v>1028.6267872590001</v>
      </c>
      <c r="BW45" s="1068">
        <f t="shared" si="62"/>
        <v>1028.6267872590001</v>
      </c>
      <c r="BX45" s="1068">
        <f t="shared" si="63"/>
        <v>142.86483156375002</v>
      </c>
      <c r="BY45" s="1068">
        <f t="shared" si="64"/>
        <v>142.86483156375002</v>
      </c>
      <c r="BZ45" s="1068">
        <f t="shared" si="65"/>
        <v>357.162078909375</v>
      </c>
      <c r="CA45" s="1068">
        <f t="shared" si="66"/>
        <v>357.162078909375</v>
      </c>
      <c r="CB45" s="1068">
        <f t="shared" si="67"/>
        <v>571.45932625500006</v>
      </c>
      <c r="CC45" s="1068">
        <f t="shared" si="68"/>
        <v>571.45932625500006</v>
      </c>
      <c r="CD45" s="1068">
        <f t="shared" si="101"/>
        <v>0</v>
      </c>
      <c r="CE45" s="1068">
        <f t="shared" si="102"/>
        <v>0</v>
      </c>
      <c r="CF45" s="1069">
        <f t="shared" si="103"/>
        <v>0</v>
      </c>
      <c r="CG45" s="599"/>
      <c r="CH45" s="1067">
        <f t="shared" si="69"/>
        <v>30.076806645000005</v>
      </c>
      <c r="CI45" s="1067">
        <f t="shared" si="70"/>
        <v>30.076806645000005</v>
      </c>
      <c r="CJ45" s="1068">
        <f t="shared" si="71"/>
        <v>75.192016612500012</v>
      </c>
      <c r="CK45" s="1068">
        <f t="shared" si="72"/>
        <v>75.192016612500012</v>
      </c>
      <c r="CL45" s="1068">
        <f t="shared" si="73"/>
        <v>120.30722658000002</v>
      </c>
      <c r="CM45" s="1068">
        <f t="shared" si="74"/>
        <v>120.30722658000002</v>
      </c>
      <c r="CN45" s="1068">
        <f t="shared" si="75"/>
        <v>16.709337025000004</v>
      </c>
      <c r="CO45" s="1068">
        <f t="shared" si="76"/>
        <v>16.709337025000004</v>
      </c>
      <c r="CP45" s="1068">
        <f t="shared" si="77"/>
        <v>41.773342562500005</v>
      </c>
      <c r="CQ45" s="1069">
        <f t="shared" si="78"/>
        <v>41.773342562500005</v>
      </c>
      <c r="CR45" s="1069">
        <f t="shared" si="79"/>
        <v>66.837348100000014</v>
      </c>
      <c r="CS45" s="1069">
        <f t="shared" si="80"/>
        <v>66.837348100000014</v>
      </c>
      <c r="CV45" s="345">
        <v>1995</v>
      </c>
      <c r="CW45" s="1097">
        <f>SUM('POSF Inventory'!HF50,'POSF Inventory'!HH50,'POSF Inventory'!HJ50)*$CY$1</f>
        <v>42.589154692500003</v>
      </c>
      <c r="CX45" s="1098">
        <f>SUM('POSF Inventory'!HG50,'POSF Inventory'!HI50,'POSF Inventory'!HK50)*$CY$2</f>
        <v>42.689957425499998</v>
      </c>
      <c r="CY45" s="1097">
        <f>SUM('POSF Inventory'!HL50,'POSF Inventory'!HN50,'POSF Inventory'!HP50)*$CY$1</f>
        <v>58.87208815068751</v>
      </c>
      <c r="CZ45" s="1098">
        <f>SUM('POSF Inventory'!HM50,'POSF Inventory'!HO50,'POSF Inventory'!HQ50)*$CY$2</f>
        <v>170.48110518862501</v>
      </c>
      <c r="DA45" s="1097">
        <f>SUM('POSF Inventory'!HR50,'POSF Inventory'!HT50,'POSF Inventory'!HV50)*$CY$3</f>
        <v>21.648583855075813</v>
      </c>
      <c r="DB45" s="1098">
        <f>SUM('POSF Inventory'!HS50,'POSF Inventory'!HU50,'POSF Inventory'!HW50)*$CY$4</f>
        <v>339.50690892328669</v>
      </c>
      <c r="DC45" s="1046">
        <f t="shared" si="81"/>
        <v>123.10982669826332</v>
      </c>
      <c r="DD45" s="1050">
        <f t="shared" si="82"/>
        <v>552.67797153741162</v>
      </c>
      <c r="DI45" s="345">
        <v>1978</v>
      </c>
      <c r="DJ45" s="1041">
        <v>1746.1257191125001</v>
      </c>
    </row>
    <row r="46" spans="2:114" x14ac:dyDescent="0.2">
      <c r="B46" s="345">
        <v>1996</v>
      </c>
      <c r="C46" s="774">
        <f>SUM('POSF Inventory'!FF51,'POSF Inventory'!FH51)</f>
        <v>1744.8194691125</v>
      </c>
      <c r="D46" s="774">
        <f>SUM('POSF Inventory'!FB51,'POSF Inventory'!FD51)</f>
        <v>1427.5795656374999</v>
      </c>
      <c r="E46" s="774">
        <f>SUM('POSF Inventory'!FC51,'POSF Inventory'!FE51)</f>
        <v>1427.5795656374999</v>
      </c>
      <c r="F46" s="774">
        <f>SUM('POSF Inventory'!FB51,'POSF Inventory'!FD51,'POSF Inventory'!J51)</f>
        <v>1437.5795656374999</v>
      </c>
      <c r="G46" s="774">
        <f>SUM('POSF Inventory'!FC51,'POSF Inventory'!FE51,'POSF Inventory'!K51)</f>
        <v>1437.5795656374999</v>
      </c>
      <c r="H46" s="1106">
        <f>SUM('POSF Inventory'!DL51,'POSF Inventory'!DN51)</f>
        <v>166.96837025000002</v>
      </c>
      <c r="I46" s="1041">
        <f>SUM('POSF Inventory'!DM51,'POSF Inventory'!DO51)</f>
        <v>166.96837025000002</v>
      </c>
      <c r="J46" s="592"/>
      <c r="K46" s="1046">
        <f t="shared" si="83"/>
        <v>174.48194691125002</v>
      </c>
      <c r="L46" s="1047">
        <f t="shared" si="84"/>
        <v>1570.3375222012501</v>
      </c>
      <c r="M46" s="1046">
        <f t="shared" si="85"/>
        <v>872.40973455624999</v>
      </c>
      <c r="N46" s="1047">
        <f t="shared" si="86"/>
        <v>872.40973455624999</v>
      </c>
      <c r="O46" s="1046">
        <f t="shared" si="87"/>
        <v>1744.8194691125</v>
      </c>
      <c r="P46" s="889">
        <f t="shared" si="88"/>
        <v>0</v>
      </c>
      <c r="Q46" s="1048"/>
      <c r="R46" s="889">
        <f t="shared" si="21"/>
        <v>142.75795656374999</v>
      </c>
      <c r="S46" s="889">
        <f t="shared" si="104"/>
        <v>142.75795656374999</v>
      </c>
      <c r="T46" s="1047">
        <f t="shared" si="23"/>
        <v>1284.8216090737499</v>
      </c>
      <c r="U46" s="1047">
        <f t="shared" si="105"/>
        <v>1284.8216090737499</v>
      </c>
      <c r="V46" s="1046">
        <f t="shared" si="25"/>
        <v>713.78978281874993</v>
      </c>
      <c r="W46" s="1046">
        <f t="shared" si="106"/>
        <v>713.78978281874993</v>
      </c>
      <c r="X46" s="1047">
        <f t="shared" si="27"/>
        <v>713.78978281874993</v>
      </c>
      <c r="Y46" s="1047">
        <f t="shared" si="107"/>
        <v>713.78978281874993</v>
      </c>
      <c r="Z46" s="1049">
        <f t="shared" si="29"/>
        <v>1427.5795656374999</v>
      </c>
      <c r="AA46" s="1049">
        <f t="shared" si="108"/>
        <v>1427.5795656374999</v>
      </c>
      <c r="AB46" s="1050">
        <f t="shared" si="31"/>
        <v>0</v>
      </c>
      <c r="AC46" s="1050">
        <f t="shared" si="109"/>
        <v>0</v>
      </c>
      <c r="AD46" s="898"/>
      <c r="AE46" s="1046">
        <f t="shared" si="33"/>
        <v>317.23990347500001</v>
      </c>
      <c r="AF46" s="1046">
        <f t="shared" si="34"/>
        <v>317.23990347500001</v>
      </c>
      <c r="AG46" s="1046">
        <f t="shared" si="35"/>
        <v>2855.1591312749997</v>
      </c>
      <c r="AH46" s="889">
        <f t="shared" si="36"/>
        <v>2855.1591312749997</v>
      </c>
      <c r="AI46" s="889">
        <f t="shared" si="37"/>
        <v>1586.1995173749999</v>
      </c>
      <c r="AJ46" s="889">
        <f t="shared" si="38"/>
        <v>1586.1995173749999</v>
      </c>
      <c r="AK46" s="889">
        <f t="shared" si="39"/>
        <v>1586.1995173749999</v>
      </c>
      <c r="AL46" s="889">
        <f t="shared" si="40"/>
        <v>1586.1995173749999</v>
      </c>
      <c r="AM46" s="889">
        <f t="shared" si="41"/>
        <v>3172.3990347499998</v>
      </c>
      <c r="AN46" s="1050">
        <f t="shared" si="42"/>
        <v>3172.3990347499998</v>
      </c>
      <c r="AO46" s="1050">
        <f t="shared" si="43"/>
        <v>0</v>
      </c>
      <c r="AP46" s="1050">
        <f t="shared" si="44"/>
        <v>0</v>
      </c>
      <c r="AR46" s="1067">
        <f t="shared" si="45"/>
        <v>571.03182625499994</v>
      </c>
      <c r="AS46" s="1067">
        <f t="shared" si="46"/>
        <v>571.03182625499994</v>
      </c>
      <c r="AT46" s="1068">
        <f t="shared" si="47"/>
        <v>1427.5795656374999</v>
      </c>
      <c r="AU46" s="1068">
        <f t="shared" si="48"/>
        <v>1427.5795656374999</v>
      </c>
      <c r="AV46" s="1068">
        <f t="shared" si="49"/>
        <v>2284.1273050199998</v>
      </c>
      <c r="AW46" s="1068">
        <f t="shared" si="50"/>
        <v>2284.1273050199998</v>
      </c>
      <c r="AX46" s="1068">
        <f t="shared" si="51"/>
        <v>317.23990347500001</v>
      </c>
      <c r="AY46" s="1068">
        <f t="shared" si="52"/>
        <v>317.23990347500001</v>
      </c>
      <c r="AZ46" s="1068">
        <f t="shared" si="53"/>
        <v>793.09975868749996</v>
      </c>
      <c r="BA46" s="1068">
        <f t="shared" si="54"/>
        <v>793.09975868749996</v>
      </c>
      <c r="BB46" s="1068">
        <f t="shared" si="55"/>
        <v>1268.9596139</v>
      </c>
      <c r="BC46" s="1068">
        <f t="shared" si="56"/>
        <v>1268.9596139</v>
      </c>
      <c r="BD46" s="1068">
        <f t="shared" si="89"/>
        <v>0</v>
      </c>
      <c r="BE46" s="1068">
        <f t="shared" si="90"/>
        <v>0</v>
      </c>
      <c r="BF46" s="1069">
        <f t="shared" si="91"/>
        <v>0</v>
      </c>
      <c r="BH46" s="1067">
        <f t="shared" si="92"/>
        <v>314.06750444025005</v>
      </c>
      <c r="BI46" s="1068">
        <f t="shared" si="93"/>
        <v>785.16876110062503</v>
      </c>
      <c r="BJ46" s="1068">
        <f t="shared" si="94"/>
        <v>1256.2700177610002</v>
      </c>
      <c r="BK46" s="1068">
        <f t="shared" si="95"/>
        <v>174.48194691125002</v>
      </c>
      <c r="BL46" s="1068">
        <f t="shared" si="96"/>
        <v>436.20486727812499</v>
      </c>
      <c r="BM46" s="1068">
        <f t="shared" si="97"/>
        <v>697.92778764500008</v>
      </c>
      <c r="BN46" s="1068">
        <f t="shared" si="98"/>
        <v>0</v>
      </c>
      <c r="BO46" s="1068">
        <f t="shared" si="99"/>
        <v>0</v>
      </c>
      <c r="BP46" s="1069">
        <f t="shared" si="100"/>
        <v>0</v>
      </c>
      <c r="BR46" s="1067">
        <f t="shared" si="57"/>
        <v>256.96432181475001</v>
      </c>
      <c r="BS46" s="1067">
        <f t="shared" si="58"/>
        <v>256.96432181475001</v>
      </c>
      <c r="BT46" s="1068">
        <f t="shared" si="59"/>
        <v>642.41080453687493</v>
      </c>
      <c r="BU46" s="1068">
        <f t="shared" si="60"/>
        <v>642.41080453687493</v>
      </c>
      <c r="BV46" s="1068">
        <f t="shared" si="61"/>
        <v>1027.857287259</v>
      </c>
      <c r="BW46" s="1068">
        <f t="shared" si="62"/>
        <v>1027.857287259</v>
      </c>
      <c r="BX46" s="1068">
        <f t="shared" si="63"/>
        <v>142.75795656374999</v>
      </c>
      <c r="BY46" s="1068">
        <f t="shared" si="64"/>
        <v>142.75795656374999</v>
      </c>
      <c r="BZ46" s="1068">
        <f t="shared" si="65"/>
        <v>356.89489140937496</v>
      </c>
      <c r="CA46" s="1068">
        <f t="shared" si="66"/>
        <v>356.89489140937496</v>
      </c>
      <c r="CB46" s="1068">
        <f t="shared" si="67"/>
        <v>571.03182625499994</v>
      </c>
      <c r="CC46" s="1068">
        <f t="shared" si="68"/>
        <v>571.03182625499994</v>
      </c>
      <c r="CD46" s="1068">
        <f t="shared" si="101"/>
        <v>0</v>
      </c>
      <c r="CE46" s="1068">
        <f t="shared" si="102"/>
        <v>0</v>
      </c>
      <c r="CF46" s="1069">
        <f t="shared" si="103"/>
        <v>0</v>
      </c>
      <c r="CG46" s="599"/>
      <c r="CH46" s="1067">
        <f t="shared" si="69"/>
        <v>30.054306645000004</v>
      </c>
      <c r="CI46" s="1067">
        <f t="shared" si="70"/>
        <v>30.054306645000004</v>
      </c>
      <c r="CJ46" s="1068">
        <f t="shared" si="71"/>
        <v>75.135766612500007</v>
      </c>
      <c r="CK46" s="1068">
        <f t="shared" si="72"/>
        <v>75.135766612500007</v>
      </c>
      <c r="CL46" s="1068">
        <f t="shared" si="73"/>
        <v>120.21722658000002</v>
      </c>
      <c r="CM46" s="1068">
        <f t="shared" si="74"/>
        <v>120.21722658000002</v>
      </c>
      <c r="CN46" s="1068">
        <f t="shared" si="75"/>
        <v>16.696837025000004</v>
      </c>
      <c r="CO46" s="1068">
        <f t="shared" si="76"/>
        <v>16.696837025000004</v>
      </c>
      <c r="CP46" s="1068">
        <f t="shared" si="77"/>
        <v>41.742092562500005</v>
      </c>
      <c r="CQ46" s="1069">
        <f t="shared" si="78"/>
        <v>41.742092562500005</v>
      </c>
      <c r="CR46" s="1069">
        <f t="shared" si="79"/>
        <v>66.787348100000017</v>
      </c>
      <c r="CS46" s="1069">
        <f t="shared" si="80"/>
        <v>66.787348100000017</v>
      </c>
      <c r="CV46" s="345">
        <v>1996</v>
      </c>
      <c r="CW46" s="1097">
        <f>SUM('POSF Inventory'!HF51,'POSF Inventory'!HH51,'POSF Inventory'!HJ51)*$CY$1</f>
        <v>42.589154692500003</v>
      </c>
      <c r="CX46" s="1098">
        <f>SUM('POSF Inventory'!HG51,'POSF Inventory'!HI51,'POSF Inventory'!HK51)*$CY$2</f>
        <v>42.689957425499998</v>
      </c>
      <c r="CY46" s="1097">
        <f>SUM('POSF Inventory'!HL51,'POSF Inventory'!HN51,'POSF Inventory'!HP51)*$CY$1</f>
        <v>60.629922881125005</v>
      </c>
      <c r="CZ46" s="1098">
        <f>SUM('POSF Inventory'!HM51,'POSF Inventory'!HO51,'POSF Inventory'!HQ51)*$CY$2</f>
        <v>188.10105804875002</v>
      </c>
      <c r="DA46" s="1097">
        <f>SUM('POSF Inventory'!HR51,'POSF Inventory'!HT51,'POSF Inventory'!HV51)*$CY$3</f>
        <v>24.709511679316577</v>
      </c>
      <c r="DB46" s="1098">
        <f>SUM('POSF Inventory'!HS51,'POSF Inventory'!HU51,'POSF Inventory'!HW51)*$CY$4</f>
        <v>378.35201772632882</v>
      </c>
      <c r="DC46" s="1046">
        <f t="shared" si="81"/>
        <v>127.92858925294159</v>
      </c>
      <c r="DD46" s="1050">
        <f t="shared" si="82"/>
        <v>609.14303320057888</v>
      </c>
      <c r="DI46" s="345">
        <v>1978</v>
      </c>
      <c r="DJ46" s="1041">
        <v>1744.8194691125</v>
      </c>
    </row>
    <row r="47" spans="2:114" x14ac:dyDescent="0.2">
      <c r="B47" s="345">
        <v>1997</v>
      </c>
      <c r="C47" s="774">
        <f>SUM('POSF Inventory'!FF52,'POSF Inventory'!FH52)</f>
        <v>1743.5132191125001</v>
      </c>
      <c r="D47" s="774">
        <f>SUM('POSF Inventory'!FB52,'POSF Inventory'!FD52)</f>
        <v>1426.5108156374999</v>
      </c>
      <c r="E47" s="774">
        <f>SUM('POSF Inventory'!FC52,'POSF Inventory'!FE52)</f>
        <v>1426.5108156374999</v>
      </c>
      <c r="F47" s="774">
        <f>SUM('POSF Inventory'!FB52,'POSF Inventory'!FD52,'POSF Inventory'!J52)</f>
        <v>1439.0108156374999</v>
      </c>
      <c r="G47" s="774">
        <f>SUM('POSF Inventory'!FC52,'POSF Inventory'!FE52,'POSF Inventory'!K52)</f>
        <v>1439.0108156374999</v>
      </c>
      <c r="H47" s="1106">
        <f>SUM('POSF Inventory'!DL52,'POSF Inventory'!DN52)</f>
        <v>166.84337025000002</v>
      </c>
      <c r="I47" s="1041">
        <f>SUM('POSF Inventory'!DM52,'POSF Inventory'!DO52)</f>
        <v>166.84337025000002</v>
      </c>
      <c r="J47" s="592"/>
      <c r="K47" s="1046">
        <f t="shared" si="83"/>
        <v>174.35132191125001</v>
      </c>
      <c r="L47" s="1047">
        <f t="shared" si="84"/>
        <v>1569.1618972012502</v>
      </c>
      <c r="M47" s="1046">
        <f t="shared" si="85"/>
        <v>871.75660955625005</v>
      </c>
      <c r="N47" s="1047">
        <f t="shared" si="86"/>
        <v>871.75660955625005</v>
      </c>
      <c r="O47" s="1046">
        <f t="shared" si="87"/>
        <v>1743.5132191125001</v>
      </c>
      <c r="P47" s="889">
        <f t="shared" si="88"/>
        <v>0</v>
      </c>
      <c r="Q47" s="1048"/>
      <c r="R47" s="889">
        <f t="shared" si="21"/>
        <v>142.65108156375001</v>
      </c>
      <c r="S47" s="889">
        <f t="shared" si="104"/>
        <v>142.65108156375001</v>
      </c>
      <c r="T47" s="1047">
        <f t="shared" si="23"/>
        <v>1283.8597340737499</v>
      </c>
      <c r="U47" s="1047">
        <f t="shared" si="105"/>
        <v>1283.8597340737499</v>
      </c>
      <c r="V47" s="1046">
        <f t="shared" si="25"/>
        <v>713.25540781874997</v>
      </c>
      <c r="W47" s="1046">
        <f t="shared" si="106"/>
        <v>713.25540781874997</v>
      </c>
      <c r="X47" s="1047">
        <f t="shared" si="27"/>
        <v>713.25540781874997</v>
      </c>
      <c r="Y47" s="1047">
        <f t="shared" si="107"/>
        <v>713.25540781874997</v>
      </c>
      <c r="Z47" s="1049">
        <f t="shared" si="29"/>
        <v>1426.5108156374999</v>
      </c>
      <c r="AA47" s="1049">
        <f t="shared" si="108"/>
        <v>1426.5108156374999</v>
      </c>
      <c r="AB47" s="1050">
        <f t="shared" si="31"/>
        <v>0</v>
      </c>
      <c r="AC47" s="1050">
        <f t="shared" si="109"/>
        <v>0</v>
      </c>
      <c r="AD47" s="898"/>
      <c r="AE47" s="1046">
        <f t="shared" si="33"/>
        <v>317.00240347500005</v>
      </c>
      <c r="AF47" s="1046">
        <f t="shared" si="34"/>
        <v>317.00240347500005</v>
      </c>
      <c r="AG47" s="1046">
        <f t="shared" si="35"/>
        <v>2853.0216312749999</v>
      </c>
      <c r="AH47" s="889">
        <f t="shared" si="36"/>
        <v>2853.0216312749999</v>
      </c>
      <c r="AI47" s="889">
        <f t="shared" si="37"/>
        <v>1585.0120173750001</v>
      </c>
      <c r="AJ47" s="889">
        <f t="shared" si="38"/>
        <v>1585.0120173750001</v>
      </c>
      <c r="AK47" s="889">
        <f t="shared" si="39"/>
        <v>1585.0120173750001</v>
      </c>
      <c r="AL47" s="889">
        <f t="shared" si="40"/>
        <v>1585.0120173750001</v>
      </c>
      <c r="AM47" s="889">
        <f t="shared" si="41"/>
        <v>3170.0240347500003</v>
      </c>
      <c r="AN47" s="1050">
        <f t="shared" si="42"/>
        <v>3170.0240347500003</v>
      </c>
      <c r="AO47" s="1050">
        <f t="shared" si="43"/>
        <v>0</v>
      </c>
      <c r="AP47" s="1050">
        <f t="shared" si="44"/>
        <v>0</v>
      </c>
      <c r="AR47" s="1067">
        <f t="shared" si="45"/>
        <v>570.60432625500005</v>
      </c>
      <c r="AS47" s="1067">
        <f t="shared" si="46"/>
        <v>570.60432625500005</v>
      </c>
      <c r="AT47" s="1068">
        <f t="shared" si="47"/>
        <v>1426.5108156374999</v>
      </c>
      <c r="AU47" s="1068">
        <f t="shared" si="48"/>
        <v>1426.5108156374999</v>
      </c>
      <c r="AV47" s="1068">
        <f t="shared" si="49"/>
        <v>2282.4173050200002</v>
      </c>
      <c r="AW47" s="1068">
        <f t="shared" si="50"/>
        <v>2282.4173050200002</v>
      </c>
      <c r="AX47" s="1068">
        <f t="shared" si="51"/>
        <v>317.00240347500005</v>
      </c>
      <c r="AY47" s="1068">
        <f t="shared" si="52"/>
        <v>317.00240347500005</v>
      </c>
      <c r="AZ47" s="1068">
        <f t="shared" si="53"/>
        <v>792.50600868750007</v>
      </c>
      <c r="BA47" s="1068">
        <f t="shared" si="54"/>
        <v>792.50600868750007</v>
      </c>
      <c r="BB47" s="1068">
        <f t="shared" si="55"/>
        <v>1268.0096139000002</v>
      </c>
      <c r="BC47" s="1068">
        <f t="shared" si="56"/>
        <v>1268.0096139000002</v>
      </c>
      <c r="BD47" s="1068">
        <f t="shared" si="89"/>
        <v>0</v>
      </c>
      <c r="BE47" s="1068">
        <f t="shared" si="90"/>
        <v>0</v>
      </c>
      <c r="BF47" s="1069">
        <f t="shared" si="91"/>
        <v>0</v>
      </c>
      <c r="BH47" s="1067">
        <f t="shared" si="92"/>
        <v>313.83237944025007</v>
      </c>
      <c r="BI47" s="1068">
        <f t="shared" si="93"/>
        <v>784.58094860062511</v>
      </c>
      <c r="BJ47" s="1068">
        <f t="shared" si="94"/>
        <v>1255.3295177610003</v>
      </c>
      <c r="BK47" s="1068">
        <f t="shared" si="95"/>
        <v>174.35132191125001</v>
      </c>
      <c r="BL47" s="1068">
        <f t="shared" si="96"/>
        <v>435.87830477812503</v>
      </c>
      <c r="BM47" s="1068">
        <f t="shared" si="97"/>
        <v>697.40528764500004</v>
      </c>
      <c r="BN47" s="1068">
        <f t="shared" si="98"/>
        <v>0</v>
      </c>
      <c r="BO47" s="1068">
        <f t="shared" si="99"/>
        <v>0</v>
      </c>
      <c r="BP47" s="1069">
        <f t="shared" si="100"/>
        <v>0</v>
      </c>
      <c r="BR47" s="1067">
        <f t="shared" si="57"/>
        <v>256.77194681474998</v>
      </c>
      <c r="BS47" s="1067">
        <f t="shared" si="58"/>
        <v>256.77194681474998</v>
      </c>
      <c r="BT47" s="1068">
        <f t="shared" si="59"/>
        <v>641.92986703687495</v>
      </c>
      <c r="BU47" s="1068">
        <f t="shared" si="60"/>
        <v>641.92986703687495</v>
      </c>
      <c r="BV47" s="1068">
        <f t="shared" si="61"/>
        <v>1027.0877872589999</v>
      </c>
      <c r="BW47" s="1068">
        <f t="shared" si="62"/>
        <v>1027.0877872589999</v>
      </c>
      <c r="BX47" s="1068">
        <f t="shared" si="63"/>
        <v>142.65108156375001</v>
      </c>
      <c r="BY47" s="1068">
        <f t="shared" si="64"/>
        <v>142.65108156375001</v>
      </c>
      <c r="BZ47" s="1068">
        <f t="shared" si="65"/>
        <v>356.62770390937499</v>
      </c>
      <c r="CA47" s="1068">
        <f t="shared" si="66"/>
        <v>356.62770390937499</v>
      </c>
      <c r="CB47" s="1068">
        <f t="shared" si="67"/>
        <v>570.60432625500005</v>
      </c>
      <c r="CC47" s="1068">
        <f t="shared" si="68"/>
        <v>570.60432625500005</v>
      </c>
      <c r="CD47" s="1068">
        <f t="shared" si="101"/>
        <v>0</v>
      </c>
      <c r="CE47" s="1068">
        <f t="shared" si="102"/>
        <v>0</v>
      </c>
      <c r="CF47" s="1069">
        <f t="shared" si="103"/>
        <v>0</v>
      </c>
      <c r="CG47" s="599"/>
      <c r="CH47" s="1067">
        <f t="shared" si="69"/>
        <v>30.031806645000007</v>
      </c>
      <c r="CI47" s="1067">
        <f t="shared" si="70"/>
        <v>30.031806645000007</v>
      </c>
      <c r="CJ47" s="1068">
        <f t="shared" si="71"/>
        <v>75.079516612500015</v>
      </c>
      <c r="CK47" s="1068">
        <f t="shared" si="72"/>
        <v>75.079516612500015</v>
      </c>
      <c r="CL47" s="1068">
        <f t="shared" si="73"/>
        <v>120.12722658000003</v>
      </c>
      <c r="CM47" s="1068">
        <f t="shared" si="74"/>
        <v>120.12722658000003</v>
      </c>
      <c r="CN47" s="1068">
        <f t="shared" si="75"/>
        <v>16.684337025000001</v>
      </c>
      <c r="CO47" s="1068">
        <f t="shared" si="76"/>
        <v>16.684337025000001</v>
      </c>
      <c r="CP47" s="1068">
        <f t="shared" si="77"/>
        <v>41.710842562500005</v>
      </c>
      <c r="CQ47" s="1069">
        <f t="shared" si="78"/>
        <v>41.710842562500005</v>
      </c>
      <c r="CR47" s="1069">
        <f t="shared" si="79"/>
        <v>66.737348100000006</v>
      </c>
      <c r="CS47" s="1069">
        <f t="shared" si="80"/>
        <v>66.737348100000006</v>
      </c>
      <c r="CV47" s="345">
        <v>1997</v>
      </c>
      <c r="CW47" s="1097">
        <f>SUM('POSF Inventory'!HF52,'POSF Inventory'!HH52,'POSF Inventory'!HJ52)*$CY$1</f>
        <v>42.589154692500003</v>
      </c>
      <c r="CX47" s="1098">
        <f>SUM('POSF Inventory'!HG52,'POSF Inventory'!HI52,'POSF Inventory'!HK52)*$CY$2</f>
        <v>42.689957425499998</v>
      </c>
      <c r="CY47" s="1097">
        <f>SUM('POSF Inventory'!HL52,'POSF Inventory'!HN52,'POSF Inventory'!HP52)*$CY$1</f>
        <v>60.619360381125006</v>
      </c>
      <c r="CZ47" s="1098">
        <f>SUM('POSF Inventory'!HM52,'POSF Inventory'!HO52,'POSF Inventory'!HQ52)*$CY$2</f>
        <v>187.99518304875002</v>
      </c>
      <c r="DA47" s="1097">
        <f>SUM('POSF Inventory'!HR52,'POSF Inventory'!HT52,'POSF Inventory'!HV52)*$CY$3</f>
        <v>26.707927863621379</v>
      </c>
      <c r="DB47" s="1098">
        <f>SUM('POSF Inventory'!HS52,'POSF Inventory'!HU52,'POSF Inventory'!HW52)*$CY$4</f>
        <v>383.5674608919208</v>
      </c>
      <c r="DC47" s="1046">
        <f t="shared" si="81"/>
        <v>129.91644293724639</v>
      </c>
      <c r="DD47" s="1050">
        <f t="shared" si="82"/>
        <v>614.25260136617089</v>
      </c>
      <c r="DI47" s="345">
        <v>1978</v>
      </c>
      <c r="DJ47" s="1041">
        <v>1743.5132191125001</v>
      </c>
    </row>
    <row r="48" spans="2:114" x14ac:dyDescent="0.2">
      <c r="B48" s="345">
        <v>1998</v>
      </c>
      <c r="C48" s="774">
        <f>SUM('POSF Inventory'!FF53,'POSF Inventory'!FH53)</f>
        <v>1760.8840712375002</v>
      </c>
      <c r="D48" s="774">
        <f>SUM('POSF Inventory'!FB53,'POSF Inventory'!FD53)</f>
        <v>1440.7233310125</v>
      </c>
      <c r="E48" s="774">
        <f>SUM('POSF Inventory'!FC53,'POSF Inventory'!FE53)</f>
        <v>1440.7233310125</v>
      </c>
      <c r="F48" s="774">
        <f>SUM('POSF Inventory'!FB53,'POSF Inventory'!FD53,'POSF Inventory'!J53)</f>
        <v>1455.7233310125</v>
      </c>
      <c r="G48" s="774">
        <f>SUM('POSF Inventory'!FC53,'POSF Inventory'!FE53,'POSF Inventory'!K53)</f>
        <v>1455.7233310125</v>
      </c>
      <c r="H48" s="1106">
        <f>SUM('POSF Inventory'!DL53,'POSF Inventory'!DN53)</f>
        <v>168.50565275000002</v>
      </c>
      <c r="I48" s="1041">
        <f>SUM('POSF Inventory'!DM53,'POSF Inventory'!DO53)</f>
        <v>168.50565275000002</v>
      </c>
      <c r="J48" s="592"/>
      <c r="K48" s="1046">
        <f t="shared" si="83"/>
        <v>176.08840712375002</v>
      </c>
      <c r="L48" s="1047">
        <f t="shared" si="84"/>
        <v>1584.7956641137503</v>
      </c>
      <c r="M48" s="1046">
        <f t="shared" si="85"/>
        <v>880.44203561875008</v>
      </c>
      <c r="N48" s="1047">
        <f t="shared" si="86"/>
        <v>880.44203561875008</v>
      </c>
      <c r="O48" s="1046">
        <f t="shared" si="87"/>
        <v>1760.8840712375002</v>
      </c>
      <c r="P48" s="889">
        <f t="shared" si="88"/>
        <v>0</v>
      </c>
      <c r="Q48" s="1048"/>
      <c r="R48" s="889">
        <f t="shared" si="21"/>
        <v>144.07233310125</v>
      </c>
      <c r="S48" s="889">
        <f t="shared" si="104"/>
        <v>144.07233310125</v>
      </c>
      <c r="T48" s="1047">
        <f t="shared" si="23"/>
        <v>1296.65099791125</v>
      </c>
      <c r="U48" s="1047">
        <f t="shared" si="105"/>
        <v>1296.65099791125</v>
      </c>
      <c r="V48" s="1046">
        <f t="shared" si="25"/>
        <v>720.36166550625001</v>
      </c>
      <c r="W48" s="1046">
        <f t="shared" si="106"/>
        <v>720.36166550625001</v>
      </c>
      <c r="X48" s="1047">
        <f t="shared" si="27"/>
        <v>720.36166550625001</v>
      </c>
      <c r="Y48" s="1047">
        <f t="shared" si="107"/>
        <v>720.36166550625001</v>
      </c>
      <c r="Z48" s="1049">
        <f t="shared" si="29"/>
        <v>1440.7233310125</v>
      </c>
      <c r="AA48" s="1049">
        <f t="shared" si="108"/>
        <v>1440.7233310125</v>
      </c>
      <c r="AB48" s="1050">
        <f t="shared" si="31"/>
        <v>0</v>
      </c>
      <c r="AC48" s="1050">
        <f t="shared" si="109"/>
        <v>0</v>
      </c>
      <c r="AD48" s="898"/>
      <c r="AE48" s="1046">
        <f t="shared" si="33"/>
        <v>320.16074022500004</v>
      </c>
      <c r="AF48" s="1046">
        <f t="shared" si="34"/>
        <v>320.16074022500004</v>
      </c>
      <c r="AG48" s="1046">
        <f t="shared" si="35"/>
        <v>2881.4466620250005</v>
      </c>
      <c r="AH48" s="889">
        <f t="shared" si="36"/>
        <v>2881.4466620250005</v>
      </c>
      <c r="AI48" s="889">
        <f t="shared" si="37"/>
        <v>1600.8037011250001</v>
      </c>
      <c r="AJ48" s="889">
        <f t="shared" si="38"/>
        <v>1600.8037011250001</v>
      </c>
      <c r="AK48" s="889">
        <f t="shared" si="39"/>
        <v>1600.8037011250001</v>
      </c>
      <c r="AL48" s="889">
        <f t="shared" si="40"/>
        <v>1600.8037011250001</v>
      </c>
      <c r="AM48" s="889">
        <f t="shared" si="41"/>
        <v>3201.6074022500002</v>
      </c>
      <c r="AN48" s="1050">
        <f t="shared" si="42"/>
        <v>3201.6074022500002</v>
      </c>
      <c r="AO48" s="1050">
        <f t="shared" si="43"/>
        <v>0</v>
      </c>
      <c r="AP48" s="1050">
        <f t="shared" si="44"/>
        <v>0</v>
      </c>
      <c r="AR48" s="1067">
        <f t="shared" si="45"/>
        <v>576.2893324050001</v>
      </c>
      <c r="AS48" s="1067">
        <f t="shared" si="46"/>
        <v>576.2893324050001</v>
      </c>
      <c r="AT48" s="1068">
        <f t="shared" si="47"/>
        <v>1440.7233310125002</v>
      </c>
      <c r="AU48" s="1068">
        <f t="shared" si="48"/>
        <v>1440.7233310125002</v>
      </c>
      <c r="AV48" s="1068">
        <f t="shared" si="49"/>
        <v>2305.1573296200004</v>
      </c>
      <c r="AW48" s="1068">
        <f t="shared" si="50"/>
        <v>2305.1573296200004</v>
      </c>
      <c r="AX48" s="1068">
        <f t="shared" si="51"/>
        <v>320.16074022500004</v>
      </c>
      <c r="AY48" s="1068">
        <f t="shared" si="52"/>
        <v>320.16074022500004</v>
      </c>
      <c r="AZ48" s="1068">
        <f t="shared" si="53"/>
        <v>800.40185056250004</v>
      </c>
      <c r="BA48" s="1068">
        <f t="shared" si="54"/>
        <v>800.40185056250004</v>
      </c>
      <c r="BB48" s="1068">
        <f t="shared" si="55"/>
        <v>1280.6429609000002</v>
      </c>
      <c r="BC48" s="1068">
        <f t="shared" si="56"/>
        <v>1280.6429609000002</v>
      </c>
      <c r="BD48" s="1068">
        <f t="shared" si="89"/>
        <v>0</v>
      </c>
      <c r="BE48" s="1068">
        <f t="shared" si="90"/>
        <v>0</v>
      </c>
      <c r="BF48" s="1069">
        <f t="shared" si="91"/>
        <v>0</v>
      </c>
      <c r="BH48" s="1067">
        <f t="shared" si="92"/>
        <v>316.95913282275006</v>
      </c>
      <c r="BI48" s="1068">
        <f t="shared" si="93"/>
        <v>792.39783205687513</v>
      </c>
      <c r="BJ48" s="1068">
        <f t="shared" si="94"/>
        <v>1267.8365312910003</v>
      </c>
      <c r="BK48" s="1068">
        <f t="shared" si="95"/>
        <v>176.08840712375002</v>
      </c>
      <c r="BL48" s="1068">
        <f t="shared" si="96"/>
        <v>440.22101780937504</v>
      </c>
      <c r="BM48" s="1068">
        <f t="shared" si="97"/>
        <v>704.35362849500007</v>
      </c>
      <c r="BN48" s="1068">
        <f t="shared" si="98"/>
        <v>0</v>
      </c>
      <c r="BO48" s="1068">
        <f t="shared" si="99"/>
        <v>0</v>
      </c>
      <c r="BP48" s="1069">
        <f t="shared" si="100"/>
        <v>0</v>
      </c>
      <c r="BR48" s="1067">
        <f t="shared" si="57"/>
        <v>259.33019958225003</v>
      </c>
      <c r="BS48" s="1067">
        <f t="shared" si="58"/>
        <v>259.33019958225003</v>
      </c>
      <c r="BT48" s="1068">
        <f t="shared" si="59"/>
        <v>648.32549895562499</v>
      </c>
      <c r="BU48" s="1068">
        <f t="shared" si="60"/>
        <v>648.32549895562499</v>
      </c>
      <c r="BV48" s="1068">
        <f t="shared" si="61"/>
        <v>1037.3207983290001</v>
      </c>
      <c r="BW48" s="1068">
        <f t="shared" si="62"/>
        <v>1037.3207983290001</v>
      </c>
      <c r="BX48" s="1068">
        <f t="shared" si="63"/>
        <v>144.07233310125</v>
      </c>
      <c r="BY48" s="1068">
        <f t="shared" si="64"/>
        <v>144.07233310125</v>
      </c>
      <c r="BZ48" s="1068">
        <f t="shared" si="65"/>
        <v>360.180832753125</v>
      </c>
      <c r="CA48" s="1068">
        <f t="shared" si="66"/>
        <v>360.180832753125</v>
      </c>
      <c r="CB48" s="1068">
        <f t="shared" si="67"/>
        <v>576.28933240499998</v>
      </c>
      <c r="CC48" s="1068">
        <f t="shared" si="68"/>
        <v>576.28933240499998</v>
      </c>
      <c r="CD48" s="1068">
        <f t="shared" si="101"/>
        <v>0</v>
      </c>
      <c r="CE48" s="1068">
        <f t="shared" si="102"/>
        <v>0</v>
      </c>
      <c r="CF48" s="1069">
        <f t="shared" si="103"/>
        <v>0</v>
      </c>
      <c r="CG48" s="599"/>
      <c r="CH48" s="1067">
        <f t="shared" si="69"/>
        <v>30.331017495000005</v>
      </c>
      <c r="CI48" s="1067">
        <f t="shared" si="70"/>
        <v>30.331017495000005</v>
      </c>
      <c r="CJ48" s="1068">
        <f t="shared" si="71"/>
        <v>75.827543737500008</v>
      </c>
      <c r="CK48" s="1068">
        <f t="shared" si="72"/>
        <v>75.827543737500008</v>
      </c>
      <c r="CL48" s="1068">
        <f t="shared" si="73"/>
        <v>121.32406998000002</v>
      </c>
      <c r="CM48" s="1068">
        <f t="shared" si="74"/>
        <v>121.32406998000002</v>
      </c>
      <c r="CN48" s="1068">
        <f t="shared" si="75"/>
        <v>16.850565275000005</v>
      </c>
      <c r="CO48" s="1068">
        <f t="shared" si="76"/>
        <v>16.850565275000005</v>
      </c>
      <c r="CP48" s="1068">
        <f t="shared" si="77"/>
        <v>42.126413187500006</v>
      </c>
      <c r="CQ48" s="1069">
        <f t="shared" si="78"/>
        <v>42.126413187500006</v>
      </c>
      <c r="CR48" s="1069">
        <f t="shared" si="79"/>
        <v>67.402261100000018</v>
      </c>
      <c r="CS48" s="1069">
        <f t="shared" si="80"/>
        <v>67.402261100000018</v>
      </c>
      <c r="CV48" s="345">
        <v>1998</v>
      </c>
      <c r="CW48" s="1097">
        <f>SUM('POSF Inventory'!HF53,'POSF Inventory'!HH53,'POSF Inventory'!HJ53)*$CY$1</f>
        <v>6.0410148499999998</v>
      </c>
      <c r="CX48" s="1098">
        <f>SUM('POSF Inventory'!HG53,'POSF Inventory'!HI53,'POSF Inventory'!HK53)*$CY$2</f>
        <v>6.0553131100000002</v>
      </c>
      <c r="CY48" s="1097">
        <f>SUM('POSF Inventory'!HL53,'POSF Inventory'!HN53,'POSF Inventory'!HP53)*$CY$1</f>
        <v>22.323866269250004</v>
      </c>
      <c r="CZ48" s="1098">
        <f>SUM('POSF Inventory'!HM53,'POSF Inventory'!HO53,'POSF Inventory'!HQ53)*$CY$2</f>
        <v>150.19498393900002</v>
      </c>
      <c r="DA48" s="1097">
        <f>SUM('POSF Inventory'!HR53,'POSF Inventory'!HT53,'POSF Inventory'!HV53)*$CY$3</f>
        <v>21.516933531641556</v>
      </c>
      <c r="DB48" s="1098">
        <f>SUM('POSF Inventory'!HS53,'POSF Inventory'!HU53,'POSF Inventory'!HW53)*$CY$4</f>
        <v>358.02776932252914</v>
      </c>
      <c r="DC48" s="1046">
        <f t="shared" si="81"/>
        <v>49.881814650891556</v>
      </c>
      <c r="DD48" s="1050">
        <f t="shared" si="82"/>
        <v>514.27806637152912</v>
      </c>
      <c r="DI48" s="345">
        <v>1890</v>
      </c>
      <c r="DJ48" s="1041">
        <v>1760.8840712375002</v>
      </c>
    </row>
    <row r="49" spans="2:114" x14ac:dyDescent="0.2">
      <c r="B49" s="345">
        <v>1999</v>
      </c>
      <c r="C49" s="774">
        <f>SUM('POSF Inventory'!FF54,'POSF Inventory'!FH54)</f>
        <v>1759.5778212375003</v>
      </c>
      <c r="D49" s="774">
        <f>SUM('POSF Inventory'!FB54,'POSF Inventory'!FD54)</f>
        <v>1439.6545810125001</v>
      </c>
      <c r="E49" s="774">
        <f>SUM('POSF Inventory'!FC54,'POSF Inventory'!FE54)</f>
        <v>1439.6545810125001</v>
      </c>
      <c r="F49" s="774">
        <f>SUM('POSF Inventory'!FB54,'POSF Inventory'!FD54,'POSF Inventory'!J54)</f>
        <v>1457.1545810125001</v>
      </c>
      <c r="G49" s="774">
        <f>SUM('POSF Inventory'!FC54,'POSF Inventory'!FE54,'POSF Inventory'!K54)</f>
        <v>1457.1545810125001</v>
      </c>
      <c r="H49" s="1106">
        <f>SUM('POSF Inventory'!DL54,'POSF Inventory'!DN54)</f>
        <v>168.38065275000002</v>
      </c>
      <c r="I49" s="1041">
        <f>SUM('POSF Inventory'!DM54,'POSF Inventory'!DO54)</f>
        <v>168.38065275000002</v>
      </c>
      <c r="J49" s="592"/>
      <c r="K49" s="1046">
        <f t="shared" si="83"/>
        <v>175.95778212375004</v>
      </c>
      <c r="L49" s="1047">
        <f t="shared" si="84"/>
        <v>1583.6200391137504</v>
      </c>
      <c r="M49" s="1046">
        <f t="shared" si="85"/>
        <v>879.78891061875015</v>
      </c>
      <c r="N49" s="1047">
        <f t="shared" si="86"/>
        <v>879.78891061875015</v>
      </c>
      <c r="O49" s="1046">
        <f t="shared" si="87"/>
        <v>1759.5778212375003</v>
      </c>
      <c r="P49" s="889">
        <f t="shared" si="88"/>
        <v>0</v>
      </c>
      <c r="Q49" s="1048"/>
      <c r="R49" s="889">
        <f t="shared" si="21"/>
        <v>143.96545810125002</v>
      </c>
      <c r="S49" s="889">
        <f t="shared" si="104"/>
        <v>143.96545810125002</v>
      </c>
      <c r="T49" s="1047">
        <f t="shared" si="23"/>
        <v>1295.68912291125</v>
      </c>
      <c r="U49" s="1047">
        <f t="shared" si="105"/>
        <v>1295.68912291125</v>
      </c>
      <c r="V49" s="1046">
        <f t="shared" si="25"/>
        <v>719.82729050625005</v>
      </c>
      <c r="W49" s="1046">
        <f t="shared" si="106"/>
        <v>719.82729050625005</v>
      </c>
      <c r="X49" s="1047">
        <f t="shared" si="27"/>
        <v>719.82729050625005</v>
      </c>
      <c r="Y49" s="1047">
        <f t="shared" si="107"/>
        <v>719.82729050625005</v>
      </c>
      <c r="Z49" s="1049">
        <f t="shared" si="29"/>
        <v>1439.6545810125001</v>
      </c>
      <c r="AA49" s="1049">
        <f t="shared" si="108"/>
        <v>1439.6545810125001</v>
      </c>
      <c r="AB49" s="1050">
        <f t="shared" si="31"/>
        <v>0</v>
      </c>
      <c r="AC49" s="1050">
        <f t="shared" si="109"/>
        <v>0</v>
      </c>
      <c r="AD49" s="898"/>
      <c r="AE49" s="1046">
        <f t="shared" si="33"/>
        <v>319.92324022500009</v>
      </c>
      <c r="AF49" s="1046">
        <f t="shared" si="34"/>
        <v>319.92324022500009</v>
      </c>
      <c r="AG49" s="1046">
        <f t="shared" si="35"/>
        <v>2879.3091620250007</v>
      </c>
      <c r="AH49" s="889">
        <f t="shared" si="36"/>
        <v>2879.3091620250007</v>
      </c>
      <c r="AI49" s="889">
        <f t="shared" si="37"/>
        <v>1599.6162011250003</v>
      </c>
      <c r="AJ49" s="889">
        <f t="shared" si="38"/>
        <v>1599.6162011250003</v>
      </c>
      <c r="AK49" s="889">
        <f t="shared" si="39"/>
        <v>1599.6162011250003</v>
      </c>
      <c r="AL49" s="889">
        <f t="shared" si="40"/>
        <v>1599.6162011250003</v>
      </c>
      <c r="AM49" s="889">
        <f t="shared" si="41"/>
        <v>3199.2324022500006</v>
      </c>
      <c r="AN49" s="1050">
        <f t="shared" si="42"/>
        <v>3199.2324022500006</v>
      </c>
      <c r="AO49" s="1050">
        <f t="shared" si="43"/>
        <v>0</v>
      </c>
      <c r="AP49" s="1050">
        <f t="shared" si="44"/>
        <v>0</v>
      </c>
      <c r="AR49" s="1067">
        <f t="shared" si="45"/>
        <v>575.8618324050002</v>
      </c>
      <c r="AS49" s="1067">
        <f t="shared" si="46"/>
        <v>575.8618324050002</v>
      </c>
      <c r="AT49" s="1068">
        <f t="shared" si="47"/>
        <v>1439.6545810125003</v>
      </c>
      <c r="AU49" s="1068">
        <f t="shared" si="48"/>
        <v>1439.6545810125003</v>
      </c>
      <c r="AV49" s="1068">
        <f t="shared" si="49"/>
        <v>2303.4473296200008</v>
      </c>
      <c r="AW49" s="1068">
        <f t="shared" si="50"/>
        <v>2303.4473296200008</v>
      </c>
      <c r="AX49" s="1068">
        <f t="shared" si="51"/>
        <v>319.92324022500009</v>
      </c>
      <c r="AY49" s="1068">
        <f t="shared" si="52"/>
        <v>319.92324022500009</v>
      </c>
      <c r="AZ49" s="1068">
        <f t="shared" si="53"/>
        <v>799.80810056250016</v>
      </c>
      <c r="BA49" s="1068">
        <f t="shared" si="54"/>
        <v>799.80810056250016</v>
      </c>
      <c r="BB49" s="1068">
        <f t="shared" si="55"/>
        <v>1279.6929609000003</v>
      </c>
      <c r="BC49" s="1068">
        <f t="shared" si="56"/>
        <v>1279.6929609000003</v>
      </c>
      <c r="BD49" s="1068">
        <f t="shared" si="89"/>
        <v>0</v>
      </c>
      <c r="BE49" s="1068">
        <f t="shared" si="90"/>
        <v>0</v>
      </c>
      <c r="BF49" s="1069">
        <f t="shared" si="91"/>
        <v>0</v>
      </c>
      <c r="BH49" s="1067">
        <f t="shared" si="92"/>
        <v>316.72400782275008</v>
      </c>
      <c r="BI49" s="1068">
        <f t="shared" si="93"/>
        <v>791.8100195568752</v>
      </c>
      <c r="BJ49" s="1068">
        <f t="shared" si="94"/>
        <v>1266.8960312910003</v>
      </c>
      <c r="BK49" s="1068">
        <f t="shared" si="95"/>
        <v>175.95778212375004</v>
      </c>
      <c r="BL49" s="1068">
        <f t="shared" si="96"/>
        <v>439.89445530937508</v>
      </c>
      <c r="BM49" s="1068">
        <f t="shared" si="97"/>
        <v>703.83112849500014</v>
      </c>
      <c r="BN49" s="1068">
        <f t="shared" si="98"/>
        <v>0</v>
      </c>
      <c r="BO49" s="1068">
        <f t="shared" si="99"/>
        <v>0</v>
      </c>
      <c r="BP49" s="1069">
        <f t="shared" si="100"/>
        <v>0</v>
      </c>
      <c r="BR49" s="1067">
        <f t="shared" si="57"/>
        <v>259.13782458225</v>
      </c>
      <c r="BS49" s="1067">
        <f t="shared" si="58"/>
        <v>259.13782458225</v>
      </c>
      <c r="BT49" s="1068">
        <f t="shared" si="59"/>
        <v>647.84456145562501</v>
      </c>
      <c r="BU49" s="1068">
        <f t="shared" si="60"/>
        <v>647.84456145562501</v>
      </c>
      <c r="BV49" s="1068">
        <f t="shared" si="61"/>
        <v>1036.551298329</v>
      </c>
      <c r="BW49" s="1068">
        <f t="shared" si="62"/>
        <v>1036.551298329</v>
      </c>
      <c r="BX49" s="1068">
        <f t="shared" si="63"/>
        <v>143.96545810125002</v>
      </c>
      <c r="BY49" s="1068">
        <f t="shared" si="64"/>
        <v>143.96545810125002</v>
      </c>
      <c r="BZ49" s="1068">
        <f t="shared" si="65"/>
        <v>359.91364525312503</v>
      </c>
      <c r="CA49" s="1068">
        <f t="shared" si="66"/>
        <v>359.91364525312503</v>
      </c>
      <c r="CB49" s="1068">
        <f t="shared" si="67"/>
        <v>575.86183240500009</v>
      </c>
      <c r="CC49" s="1068">
        <f t="shared" si="68"/>
        <v>575.86183240500009</v>
      </c>
      <c r="CD49" s="1068">
        <f t="shared" si="101"/>
        <v>0</v>
      </c>
      <c r="CE49" s="1068">
        <f t="shared" si="102"/>
        <v>0</v>
      </c>
      <c r="CF49" s="1069">
        <f t="shared" si="103"/>
        <v>0</v>
      </c>
      <c r="CG49" s="599"/>
      <c r="CH49" s="1067">
        <f t="shared" si="69"/>
        <v>30.308517495000007</v>
      </c>
      <c r="CI49" s="1067">
        <f t="shared" si="70"/>
        <v>30.308517495000007</v>
      </c>
      <c r="CJ49" s="1068">
        <f t="shared" si="71"/>
        <v>75.771293737500017</v>
      </c>
      <c r="CK49" s="1068">
        <f t="shared" si="72"/>
        <v>75.771293737500017</v>
      </c>
      <c r="CL49" s="1068">
        <f t="shared" si="73"/>
        <v>121.23406998000003</v>
      </c>
      <c r="CM49" s="1068">
        <f t="shared" si="74"/>
        <v>121.23406998000003</v>
      </c>
      <c r="CN49" s="1068">
        <f t="shared" si="75"/>
        <v>16.838065275000002</v>
      </c>
      <c r="CO49" s="1068">
        <f t="shared" si="76"/>
        <v>16.838065275000002</v>
      </c>
      <c r="CP49" s="1068">
        <f t="shared" si="77"/>
        <v>42.095163187500006</v>
      </c>
      <c r="CQ49" s="1069">
        <f t="shared" si="78"/>
        <v>42.095163187500006</v>
      </c>
      <c r="CR49" s="1069">
        <f t="shared" si="79"/>
        <v>67.352261100000007</v>
      </c>
      <c r="CS49" s="1069">
        <f t="shared" si="80"/>
        <v>67.352261100000007</v>
      </c>
      <c r="CV49" s="345">
        <v>1999</v>
      </c>
      <c r="CW49" s="1097">
        <f>SUM('POSF Inventory'!HF54,'POSF Inventory'!HH54,'POSF Inventory'!HJ54)*$CY$1</f>
        <v>6.0410148499999998</v>
      </c>
      <c r="CX49" s="1098">
        <f>SUM('POSF Inventory'!HG54,'POSF Inventory'!HI54,'POSF Inventory'!HK54)*$CY$2</f>
        <v>6.0553131100000002</v>
      </c>
      <c r="CY49" s="1097">
        <f>SUM('POSF Inventory'!HL54,'POSF Inventory'!HN54,'POSF Inventory'!HP54)*$CY$1</f>
        <v>22.388816454875005</v>
      </c>
      <c r="CZ49" s="1098">
        <f>SUM('POSF Inventory'!HM54,'POSF Inventory'!HO54,'POSF Inventory'!HQ54)*$CY$2</f>
        <v>150.84602307775003</v>
      </c>
      <c r="DA49" s="1097">
        <f>SUM('POSF Inventory'!HR54,'POSF Inventory'!HT54,'POSF Inventory'!HV54)*$CY$3</f>
        <v>23.560848309661729</v>
      </c>
      <c r="DB49" s="1098">
        <f>SUM('POSF Inventory'!HS54,'POSF Inventory'!HU54,'POSF Inventory'!HW54)*$CY$4</f>
        <v>364.75840323393737</v>
      </c>
      <c r="DC49" s="1046">
        <f t="shared" si="81"/>
        <v>51.990679614536731</v>
      </c>
      <c r="DD49" s="1050">
        <f t="shared" si="82"/>
        <v>521.65973942168739</v>
      </c>
      <c r="DI49" s="345">
        <v>1890</v>
      </c>
      <c r="DJ49" s="1041">
        <v>1759.5778212375003</v>
      </c>
    </row>
    <row r="50" spans="2:114" x14ac:dyDescent="0.2">
      <c r="B50" s="345">
        <v>2000</v>
      </c>
      <c r="C50" s="774">
        <f>SUM('POSF Inventory'!FF55,'POSF Inventory'!FH55)</f>
        <v>2118.4493726000001</v>
      </c>
      <c r="D50" s="774">
        <f>SUM('POSF Inventory'!FB55,'POSF Inventory'!FD55)</f>
        <v>1733.2767593999999</v>
      </c>
      <c r="E50" s="774">
        <f>SUM('POSF Inventory'!FC55,'POSF Inventory'!FE55)</f>
        <v>1733.2767593999999</v>
      </c>
      <c r="F50" s="774">
        <f>SUM('POSF Inventory'!FB55,'POSF Inventory'!FD55,'POSF Inventory'!J55)</f>
        <v>1753.2767593999999</v>
      </c>
      <c r="G50" s="774">
        <f>SUM('POSF Inventory'!FC55,'POSF Inventory'!FE55,'POSF Inventory'!K55)</f>
        <v>1753.2767593999999</v>
      </c>
      <c r="H50" s="1106">
        <f>SUM('POSF Inventory'!DL55,'POSF Inventory'!DN55)</f>
        <v>202.72242800000001</v>
      </c>
      <c r="I50" s="1041">
        <f>SUM('POSF Inventory'!DM55,'POSF Inventory'!DO55)</f>
        <v>202.72242800000001</v>
      </c>
      <c r="J50" s="592"/>
      <c r="K50" s="1046">
        <f t="shared" si="83"/>
        <v>211.84493726000002</v>
      </c>
      <c r="L50" s="1047">
        <f t="shared" si="84"/>
        <v>1906.60443534</v>
      </c>
      <c r="M50" s="1046">
        <f t="shared" si="85"/>
        <v>1059.2246863</v>
      </c>
      <c r="N50" s="1047">
        <f t="shared" si="86"/>
        <v>1059.2246863</v>
      </c>
      <c r="O50" s="1046">
        <f t="shared" si="87"/>
        <v>2118.4493726000001</v>
      </c>
      <c r="P50" s="889">
        <f t="shared" si="88"/>
        <v>0</v>
      </c>
      <c r="Q50" s="1048"/>
      <c r="R50" s="889">
        <f t="shared" si="21"/>
        <v>173.32767594000001</v>
      </c>
      <c r="S50" s="889">
        <f t="shared" si="104"/>
        <v>173.32767594000001</v>
      </c>
      <c r="T50" s="1047">
        <f t="shared" si="23"/>
        <v>1559.9490834599999</v>
      </c>
      <c r="U50" s="1047">
        <f t="shared" si="105"/>
        <v>1559.9490834599999</v>
      </c>
      <c r="V50" s="1046">
        <f t="shared" si="25"/>
        <v>866.63837969999997</v>
      </c>
      <c r="W50" s="1046">
        <f t="shared" si="106"/>
        <v>866.63837969999997</v>
      </c>
      <c r="X50" s="1047">
        <f t="shared" si="27"/>
        <v>866.63837969999997</v>
      </c>
      <c r="Y50" s="1047">
        <f t="shared" si="107"/>
        <v>866.63837969999997</v>
      </c>
      <c r="Z50" s="1049">
        <f t="shared" si="29"/>
        <v>1733.2767593999999</v>
      </c>
      <c r="AA50" s="1049">
        <f t="shared" si="108"/>
        <v>1733.2767593999999</v>
      </c>
      <c r="AB50" s="1050">
        <f t="shared" si="31"/>
        <v>0</v>
      </c>
      <c r="AC50" s="1050">
        <f t="shared" si="109"/>
        <v>0</v>
      </c>
      <c r="AD50" s="898"/>
      <c r="AE50" s="1046">
        <f t="shared" si="33"/>
        <v>385.1726132</v>
      </c>
      <c r="AF50" s="1046">
        <f t="shared" si="34"/>
        <v>385.1726132</v>
      </c>
      <c r="AG50" s="1046">
        <f t="shared" si="35"/>
        <v>3466.5535187999999</v>
      </c>
      <c r="AH50" s="889">
        <f t="shared" si="36"/>
        <v>3466.5535187999999</v>
      </c>
      <c r="AI50" s="889">
        <f t="shared" si="37"/>
        <v>1925.8630659999999</v>
      </c>
      <c r="AJ50" s="889">
        <f t="shared" si="38"/>
        <v>1925.8630659999999</v>
      </c>
      <c r="AK50" s="889">
        <f t="shared" si="39"/>
        <v>1925.8630659999999</v>
      </c>
      <c r="AL50" s="889">
        <f t="shared" si="40"/>
        <v>1925.8630659999999</v>
      </c>
      <c r="AM50" s="889">
        <f t="shared" si="41"/>
        <v>3851.7261319999998</v>
      </c>
      <c r="AN50" s="1050">
        <f t="shared" si="42"/>
        <v>3851.7261319999998</v>
      </c>
      <c r="AO50" s="1050">
        <f t="shared" si="43"/>
        <v>0</v>
      </c>
      <c r="AP50" s="1050">
        <f t="shared" si="44"/>
        <v>0</v>
      </c>
      <c r="AR50" s="1067">
        <f t="shared" si="45"/>
        <v>693.31070376000002</v>
      </c>
      <c r="AS50" s="1067">
        <f t="shared" si="46"/>
        <v>693.31070376000002</v>
      </c>
      <c r="AT50" s="1068">
        <f t="shared" si="47"/>
        <v>1733.2767593999999</v>
      </c>
      <c r="AU50" s="1068">
        <f t="shared" si="48"/>
        <v>1733.2767593999999</v>
      </c>
      <c r="AV50" s="1068">
        <f t="shared" si="49"/>
        <v>2773.2428150400001</v>
      </c>
      <c r="AW50" s="1068">
        <f t="shared" si="50"/>
        <v>2773.2428150400001</v>
      </c>
      <c r="AX50" s="1068">
        <f t="shared" si="51"/>
        <v>385.1726132</v>
      </c>
      <c r="AY50" s="1068">
        <f t="shared" si="52"/>
        <v>385.1726132</v>
      </c>
      <c r="AZ50" s="1068">
        <f t="shared" si="53"/>
        <v>962.93153299999994</v>
      </c>
      <c r="BA50" s="1068">
        <f t="shared" si="54"/>
        <v>962.93153299999994</v>
      </c>
      <c r="BB50" s="1068">
        <f t="shared" si="55"/>
        <v>1540.6904528</v>
      </c>
      <c r="BC50" s="1068">
        <f t="shared" si="56"/>
        <v>1540.6904528</v>
      </c>
      <c r="BD50" s="1068">
        <f t="shared" si="89"/>
        <v>0</v>
      </c>
      <c r="BE50" s="1068">
        <f t="shared" si="90"/>
        <v>0</v>
      </c>
      <c r="BF50" s="1069">
        <f t="shared" si="91"/>
        <v>0</v>
      </c>
      <c r="BH50" s="1067">
        <f t="shared" si="92"/>
        <v>381.32088706800005</v>
      </c>
      <c r="BI50" s="1068">
        <f t="shared" si="93"/>
        <v>953.30221767</v>
      </c>
      <c r="BJ50" s="1068">
        <f t="shared" si="94"/>
        <v>1525.2835482720002</v>
      </c>
      <c r="BK50" s="1068">
        <f t="shared" si="95"/>
        <v>211.84493726000002</v>
      </c>
      <c r="BL50" s="1068">
        <f t="shared" si="96"/>
        <v>529.61234315000002</v>
      </c>
      <c r="BM50" s="1068">
        <f t="shared" si="97"/>
        <v>847.37974904000009</v>
      </c>
      <c r="BN50" s="1068">
        <f t="shared" si="98"/>
        <v>0</v>
      </c>
      <c r="BO50" s="1068">
        <f t="shared" si="99"/>
        <v>0</v>
      </c>
      <c r="BP50" s="1069">
        <f t="shared" si="100"/>
        <v>0</v>
      </c>
      <c r="BR50" s="1067">
        <f t="shared" si="57"/>
        <v>311.98981669199998</v>
      </c>
      <c r="BS50" s="1067">
        <f t="shared" si="58"/>
        <v>311.98981669199998</v>
      </c>
      <c r="BT50" s="1068">
        <f t="shared" si="59"/>
        <v>779.97454172999994</v>
      </c>
      <c r="BU50" s="1068">
        <f t="shared" si="60"/>
        <v>779.97454172999994</v>
      </c>
      <c r="BV50" s="1068">
        <f t="shared" si="61"/>
        <v>1247.9592667679999</v>
      </c>
      <c r="BW50" s="1068">
        <f t="shared" si="62"/>
        <v>1247.9592667679999</v>
      </c>
      <c r="BX50" s="1068">
        <f t="shared" si="63"/>
        <v>173.32767594000001</v>
      </c>
      <c r="BY50" s="1068">
        <f t="shared" si="64"/>
        <v>173.32767594000001</v>
      </c>
      <c r="BZ50" s="1068">
        <f t="shared" si="65"/>
        <v>433.31918984999999</v>
      </c>
      <c r="CA50" s="1068">
        <f t="shared" si="66"/>
        <v>433.31918984999999</v>
      </c>
      <c r="CB50" s="1068">
        <f t="shared" si="67"/>
        <v>693.31070376000002</v>
      </c>
      <c r="CC50" s="1068">
        <f t="shared" si="68"/>
        <v>693.31070376000002</v>
      </c>
      <c r="CD50" s="1068">
        <f t="shared" si="101"/>
        <v>0</v>
      </c>
      <c r="CE50" s="1068">
        <f t="shared" si="102"/>
        <v>0</v>
      </c>
      <c r="CF50" s="1069">
        <f t="shared" si="103"/>
        <v>0</v>
      </c>
      <c r="CG50" s="599"/>
      <c r="CH50" s="1067">
        <f t="shared" si="69"/>
        <v>36.490037040000004</v>
      </c>
      <c r="CI50" s="1067">
        <f t="shared" si="70"/>
        <v>36.490037040000004</v>
      </c>
      <c r="CJ50" s="1068">
        <f t="shared" si="71"/>
        <v>91.225092600000011</v>
      </c>
      <c r="CK50" s="1068">
        <f t="shared" si="72"/>
        <v>91.225092600000011</v>
      </c>
      <c r="CL50" s="1068">
        <f t="shared" si="73"/>
        <v>145.96014816000002</v>
      </c>
      <c r="CM50" s="1068">
        <f t="shared" si="74"/>
        <v>145.96014816000002</v>
      </c>
      <c r="CN50" s="1068">
        <f t="shared" si="75"/>
        <v>20.272242800000001</v>
      </c>
      <c r="CO50" s="1068">
        <f t="shared" si="76"/>
        <v>20.272242800000001</v>
      </c>
      <c r="CP50" s="1068">
        <f t="shared" si="77"/>
        <v>50.680607000000002</v>
      </c>
      <c r="CQ50" s="1069">
        <f t="shared" si="78"/>
        <v>50.680607000000002</v>
      </c>
      <c r="CR50" s="1069">
        <f t="shared" si="79"/>
        <v>81.088971200000003</v>
      </c>
      <c r="CS50" s="1069">
        <f t="shared" si="80"/>
        <v>81.088971200000003</v>
      </c>
      <c r="CV50" s="345">
        <v>2000</v>
      </c>
      <c r="CW50" s="1097">
        <f>SUM('POSF Inventory'!HF55,'POSF Inventory'!HH55,'POSF Inventory'!HJ55)*$CY$1</f>
        <v>7.2711911999999996</v>
      </c>
      <c r="CX50" s="1098">
        <f>SUM('POSF Inventory'!HG55,'POSF Inventory'!HI55,'POSF Inventory'!HK55)*$CY$2</f>
        <v>7.2884011199999996</v>
      </c>
      <c r="CY50" s="1097">
        <f>SUM('POSF Inventory'!HL55,'POSF Inventory'!HN55,'POSF Inventory'!HP55)*$CY$1</f>
        <v>25.495213281687498</v>
      </c>
      <c r="CZ50" s="1098">
        <f>SUM('POSF Inventory'!HM55,'POSF Inventory'!HO55,'POSF Inventory'!HQ55)*$CY$2</f>
        <v>167.00149620962497</v>
      </c>
      <c r="DA50" s="1097">
        <f>SUM('POSF Inventory'!HR55,'POSF Inventory'!HT55,'POSF Inventory'!HV55)*$CY$3</f>
        <v>26.616408722232816</v>
      </c>
      <c r="DB50" s="1098">
        <f>SUM('POSF Inventory'!HS55,'POSF Inventory'!HU55,'POSF Inventory'!HW55)*$CY$4</f>
        <v>398.92559061295083</v>
      </c>
      <c r="DC50" s="1046">
        <f t="shared" si="81"/>
        <v>59.382813203920307</v>
      </c>
      <c r="DD50" s="1050">
        <f t="shared" si="82"/>
        <v>573.21548794257581</v>
      </c>
      <c r="DI50" s="345">
        <v>2275</v>
      </c>
      <c r="DJ50" s="1041">
        <v>2118.4493726000001</v>
      </c>
    </row>
    <row r="51" spans="2:114" x14ac:dyDescent="0.2">
      <c r="B51" s="345">
        <v>2001</v>
      </c>
      <c r="C51" s="774">
        <f>SUM('POSF Inventory'!FF56,'POSF Inventory'!FH56)</f>
        <v>34.361368899999988</v>
      </c>
      <c r="D51" s="774">
        <f>SUM('POSF Inventory'!FB56,'POSF Inventory'!FD56)</f>
        <v>137.44547559999998</v>
      </c>
      <c r="E51" s="774">
        <f>SUM('POSF Inventory'!FC56,'POSF Inventory'!FE56)</f>
        <v>137.44547559999998</v>
      </c>
      <c r="F51" s="774">
        <f>SUM('POSF Inventory'!FB56,'POSF Inventory'!FD56,'POSF Inventory'!J56)</f>
        <v>159.94547559999998</v>
      </c>
      <c r="G51" s="774">
        <f>SUM('POSF Inventory'!FC56,'POSF Inventory'!FE56,'POSF Inventory'!K56)</f>
        <v>159.94547559999998</v>
      </c>
      <c r="H51" s="1106">
        <f>SUM('POSF Inventory'!DL56,'POSF Inventory'!DN56)</f>
        <v>100</v>
      </c>
      <c r="I51" s="1041">
        <f>SUM('POSF Inventory'!DM56,'POSF Inventory'!DO56)</f>
        <v>100</v>
      </c>
      <c r="J51" s="592"/>
      <c r="K51" s="1046">
        <f t="shared" si="83"/>
        <v>3.4361368899999989</v>
      </c>
      <c r="L51" s="1047">
        <f t="shared" si="84"/>
        <v>30.925232009999991</v>
      </c>
      <c r="M51" s="1046">
        <f t="shared" si="85"/>
        <v>17.180684449999994</v>
      </c>
      <c r="N51" s="1047">
        <f t="shared" si="86"/>
        <v>17.180684449999994</v>
      </c>
      <c r="O51" s="1046">
        <f t="shared" si="87"/>
        <v>34.361368899999988</v>
      </c>
      <c r="P51" s="889">
        <f t="shared" si="88"/>
        <v>0</v>
      </c>
      <c r="Q51" s="1048"/>
      <c r="R51" s="889">
        <f t="shared" si="21"/>
        <v>13.744547559999999</v>
      </c>
      <c r="S51" s="889">
        <f t="shared" si="104"/>
        <v>13.744547559999999</v>
      </c>
      <c r="T51" s="1047">
        <f t="shared" si="23"/>
        <v>123.70092803999998</v>
      </c>
      <c r="U51" s="1047">
        <f t="shared" si="105"/>
        <v>123.70092803999998</v>
      </c>
      <c r="V51" s="1046">
        <f t="shared" si="25"/>
        <v>68.72273779999999</v>
      </c>
      <c r="W51" s="1046">
        <f t="shared" si="106"/>
        <v>68.72273779999999</v>
      </c>
      <c r="X51" s="1047">
        <f t="shared" si="27"/>
        <v>68.72273779999999</v>
      </c>
      <c r="Y51" s="1047">
        <f t="shared" si="107"/>
        <v>68.72273779999999</v>
      </c>
      <c r="Z51" s="1049">
        <f t="shared" si="29"/>
        <v>137.44547559999998</v>
      </c>
      <c r="AA51" s="1049">
        <f t="shared" si="108"/>
        <v>137.44547559999998</v>
      </c>
      <c r="AB51" s="1050">
        <f t="shared" si="31"/>
        <v>0</v>
      </c>
      <c r="AC51" s="1050">
        <f t="shared" si="109"/>
        <v>0</v>
      </c>
      <c r="AD51" s="898"/>
      <c r="AE51" s="1046">
        <f t="shared" si="33"/>
        <v>17.180684449999998</v>
      </c>
      <c r="AF51" s="1046">
        <f t="shared" si="34"/>
        <v>17.180684449999998</v>
      </c>
      <c r="AG51" s="1046">
        <f t="shared" si="35"/>
        <v>154.62616004999998</v>
      </c>
      <c r="AH51" s="889">
        <f t="shared" si="36"/>
        <v>154.62616004999998</v>
      </c>
      <c r="AI51" s="889">
        <f t="shared" si="37"/>
        <v>85.903422249999977</v>
      </c>
      <c r="AJ51" s="889">
        <f t="shared" si="38"/>
        <v>85.903422249999977</v>
      </c>
      <c r="AK51" s="889">
        <f t="shared" si="39"/>
        <v>85.903422249999977</v>
      </c>
      <c r="AL51" s="889">
        <f t="shared" si="40"/>
        <v>85.903422249999977</v>
      </c>
      <c r="AM51" s="889">
        <f t="shared" si="41"/>
        <v>171.80684449999995</v>
      </c>
      <c r="AN51" s="1050">
        <f t="shared" si="42"/>
        <v>171.80684449999995</v>
      </c>
      <c r="AO51" s="1050">
        <f t="shared" si="43"/>
        <v>0</v>
      </c>
      <c r="AP51" s="1050">
        <f t="shared" si="44"/>
        <v>0</v>
      </c>
      <c r="AR51" s="1067">
        <f t="shared" si="45"/>
        <v>30.925232009999998</v>
      </c>
      <c r="AS51" s="1067">
        <f t="shared" si="46"/>
        <v>30.925232009999998</v>
      </c>
      <c r="AT51" s="1068">
        <f t="shared" si="47"/>
        <v>77.313080024999991</v>
      </c>
      <c r="AU51" s="1068">
        <f t="shared" si="48"/>
        <v>77.313080024999991</v>
      </c>
      <c r="AV51" s="1068">
        <f t="shared" si="49"/>
        <v>123.70092803999999</v>
      </c>
      <c r="AW51" s="1068">
        <f t="shared" si="50"/>
        <v>123.70092803999999</v>
      </c>
      <c r="AX51" s="1068">
        <f t="shared" si="51"/>
        <v>17.180684449999998</v>
      </c>
      <c r="AY51" s="1068">
        <f t="shared" si="52"/>
        <v>17.180684449999998</v>
      </c>
      <c r="AZ51" s="1068">
        <f t="shared" si="53"/>
        <v>42.951711124999989</v>
      </c>
      <c r="BA51" s="1068">
        <f t="shared" si="54"/>
        <v>42.951711124999989</v>
      </c>
      <c r="BB51" s="1068">
        <f t="shared" si="55"/>
        <v>68.72273779999999</v>
      </c>
      <c r="BC51" s="1068">
        <f t="shared" si="56"/>
        <v>68.72273779999999</v>
      </c>
      <c r="BD51" s="1068">
        <f t="shared" si="89"/>
        <v>0</v>
      </c>
      <c r="BE51" s="1068">
        <f t="shared" si="90"/>
        <v>0</v>
      </c>
      <c r="BF51" s="1069">
        <f t="shared" si="91"/>
        <v>0</v>
      </c>
      <c r="BH51" s="1067">
        <f t="shared" si="92"/>
        <v>6.1850464019999984</v>
      </c>
      <c r="BI51" s="1068">
        <f t="shared" si="93"/>
        <v>15.462616004999996</v>
      </c>
      <c r="BJ51" s="1068">
        <f t="shared" si="94"/>
        <v>24.740185607999994</v>
      </c>
      <c r="BK51" s="1068">
        <f t="shared" si="95"/>
        <v>3.4361368899999989</v>
      </c>
      <c r="BL51" s="1068">
        <f t="shared" si="96"/>
        <v>8.590342224999997</v>
      </c>
      <c r="BM51" s="1068">
        <f t="shared" si="97"/>
        <v>13.744547559999996</v>
      </c>
      <c r="BN51" s="1068">
        <f t="shared" si="98"/>
        <v>0</v>
      </c>
      <c r="BO51" s="1068">
        <f t="shared" si="99"/>
        <v>0</v>
      </c>
      <c r="BP51" s="1069">
        <f t="shared" si="100"/>
        <v>0</v>
      </c>
      <c r="BR51" s="1067">
        <f t="shared" si="57"/>
        <v>24.740185607999997</v>
      </c>
      <c r="BS51" s="1067">
        <f t="shared" si="58"/>
        <v>24.740185607999997</v>
      </c>
      <c r="BT51" s="1068">
        <f t="shared" si="59"/>
        <v>61.85046401999999</v>
      </c>
      <c r="BU51" s="1068">
        <f t="shared" si="60"/>
        <v>61.85046401999999</v>
      </c>
      <c r="BV51" s="1068">
        <f t="shared" si="61"/>
        <v>98.960742431999989</v>
      </c>
      <c r="BW51" s="1068">
        <f t="shared" si="62"/>
        <v>98.960742431999989</v>
      </c>
      <c r="BX51" s="1068">
        <f t="shared" si="63"/>
        <v>13.744547559999999</v>
      </c>
      <c r="BY51" s="1068">
        <f t="shared" si="64"/>
        <v>13.744547559999999</v>
      </c>
      <c r="BZ51" s="1068">
        <f t="shared" si="65"/>
        <v>34.361368899999995</v>
      </c>
      <c r="CA51" s="1068">
        <f t="shared" si="66"/>
        <v>34.361368899999995</v>
      </c>
      <c r="CB51" s="1068">
        <f t="shared" si="67"/>
        <v>54.978190239999996</v>
      </c>
      <c r="CC51" s="1068">
        <f t="shared" si="68"/>
        <v>54.978190239999996</v>
      </c>
      <c r="CD51" s="1068">
        <f t="shared" si="101"/>
        <v>0</v>
      </c>
      <c r="CE51" s="1068">
        <f t="shared" si="102"/>
        <v>0</v>
      </c>
      <c r="CF51" s="1069">
        <f t="shared" si="103"/>
        <v>0</v>
      </c>
      <c r="CG51" s="599"/>
      <c r="CH51" s="1067">
        <f t="shared" si="69"/>
        <v>18</v>
      </c>
      <c r="CI51" s="1067">
        <f t="shared" si="70"/>
        <v>18</v>
      </c>
      <c r="CJ51" s="1068">
        <f t="shared" si="71"/>
        <v>45</v>
      </c>
      <c r="CK51" s="1068">
        <f t="shared" si="72"/>
        <v>45</v>
      </c>
      <c r="CL51" s="1068">
        <f t="shared" si="73"/>
        <v>72</v>
      </c>
      <c r="CM51" s="1068">
        <f t="shared" si="74"/>
        <v>72</v>
      </c>
      <c r="CN51" s="1068">
        <f t="shared" si="75"/>
        <v>10</v>
      </c>
      <c r="CO51" s="1068">
        <f t="shared" si="76"/>
        <v>10</v>
      </c>
      <c r="CP51" s="1068">
        <f t="shared" si="77"/>
        <v>25</v>
      </c>
      <c r="CQ51" s="1069">
        <f t="shared" si="78"/>
        <v>25</v>
      </c>
      <c r="CR51" s="1069">
        <f t="shared" si="79"/>
        <v>40</v>
      </c>
      <c r="CS51" s="1069">
        <f t="shared" si="80"/>
        <v>40</v>
      </c>
      <c r="CV51" s="345">
        <v>2001</v>
      </c>
      <c r="CW51" s="1097">
        <f>SUM('POSF Inventory'!HF56,'POSF Inventory'!HH56,'POSF Inventory'!HJ56)*$CY$1</f>
        <v>0.36289369999999999</v>
      </c>
      <c r="CX51" s="1098">
        <f>SUM('POSF Inventory'!HG56,'POSF Inventory'!HI56,'POSF Inventory'!HK56)*$CY$2</f>
        <v>0.36375261999999997</v>
      </c>
      <c r="CY51" s="1097">
        <f>SUM('POSF Inventory'!HL56,'POSF Inventory'!HN56,'POSF Inventory'!HP56)*$CY$1</f>
        <v>13.279929078</v>
      </c>
      <c r="CZ51" s="1098">
        <f>SUM('POSF Inventory'!HM56,'POSF Inventory'!HO56,'POSF Inventory'!HQ56)*$CY$2</f>
        <v>128.69401429500002</v>
      </c>
      <c r="DA51" s="1097">
        <f>SUM('POSF Inventory'!HR56,'POSF Inventory'!HT56,'POSF Inventory'!HV56)*$CY$3</f>
        <v>23.726161547922104</v>
      </c>
      <c r="DB51" s="1098">
        <f>SUM('POSF Inventory'!HS56,'POSF Inventory'!HU56,'POSF Inventory'!HW56)*$CY$4</f>
        <v>271.4746142181387</v>
      </c>
      <c r="DC51" s="1046">
        <f t="shared" si="81"/>
        <v>37.368984325922106</v>
      </c>
      <c r="DD51" s="1050">
        <f t="shared" si="82"/>
        <v>400.53238113313876</v>
      </c>
      <c r="DI51" s="345">
        <v>114</v>
      </c>
      <c r="DJ51" s="1041">
        <v>34.361368899999988</v>
      </c>
    </row>
    <row r="52" spans="2:114" x14ac:dyDescent="0.2">
      <c r="B52" s="345">
        <v>2002</v>
      </c>
      <c r="C52" s="774">
        <f>SUM('POSF Inventory'!FF57,'POSF Inventory'!FH57)</f>
        <v>28.067322924999988</v>
      </c>
      <c r="D52" s="774">
        <f>SUM('POSF Inventory'!FB57,'POSF Inventory'!FD57)</f>
        <v>108.35298857499998</v>
      </c>
      <c r="E52" s="774">
        <f>SUM('POSF Inventory'!FC57,'POSF Inventory'!FE57)</f>
        <v>108.35298857499998</v>
      </c>
      <c r="F52" s="774">
        <f>SUM('POSF Inventory'!FB57,'POSF Inventory'!FD57,'POSF Inventory'!J57)</f>
        <v>133.35298857499998</v>
      </c>
      <c r="G52" s="774">
        <f>SUM('POSF Inventory'!FC57,'POSF Inventory'!FE57,'POSF Inventory'!K57)</f>
        <v>133.35298857499998</v>
      </c>
      <c r="H52" s="1106">
        <f>SUM('POSF Inventory'!DL57,'POSF Inventory'!DN57)</f>
        <v>100.37298125</v>
      </c>
      <c r="I52" s="1041">
        <f>SUM('POSF Inventory'!DM57,'POSF Inventory'!DO57)</f>
        <v>100.37298125</v>
      </c>
      <c r="J52" s="592"/>
      <c r="K52" s="1046">
        <f t="shared" si="83"/>
        <v>2.8067322924999991</v>
      </c>
      <c r="L52" s="1047">
        <f t="shared" si="84"/>
        <v>25.260590632499991</v>
      </c>
      <c r="M52" s="1046">
        <f t="shared" si="85"/>
        <v>14.033661462499994</v>
      </c>
      <c r="N52" s="1047">
        <f t="shared" si="86"/>
        <v>14.033661462499994</v>
      </c>
      <c r="O52" s="1046">
        <f t="shared" si="87"/>
        <v>28.067322924999988</v>
      </c>
      <c r="P52" s="889">
        <f t="shared" si="88"/>
        <v>0</v>
      </c>
      <c r="Q52" s="1048"/>
      <c r="R52" s="889">
        <f t="shared" si="21"/>
        <v>10.8352988575</v>
      </c>
      <c r="S52" s="889">
        <f t="shared" si="104"/>
        <v>10.8352988575</v>
      </c>
      <c r="T52" s="1047">
        <f t="shared" si="23"/>
        <v>97.517689717499991</v>
      </c>
      <c r="U52" s="1047">
        <f t="shared" si="105"/>
        <v>97.517689717499991</v>
      </c>
      <c r="V52" s="1046">
        <f t="shared" si="25"/>
        <v>54.176494287499992</v>
      </c>
      <c r="W52" s="1046">
        <f t="shared" si="106"/>
        <v>54.176494287499992</v>
      </c>
      <c r="X52" s="1047">
        <f t="shared" si="27"/>
        <v>54.176494287499992</v>
      </c>
      <c r="Y52" s="1047">
        <f t="shared" si="107"/>
        <v>54.176494287499992</v>
      </c>
      <c r="Z52" s="1049">
        <f t="shared" si="29"/>
        <v>108.35298857499998</v>
      </c>
      <c r="AA52" s="1049">
        <f t="shared" si="108"/>
        <v>108.35298857499998</v>
      </c>
      <c r="AB52" s="1050">
        <f t="shared" si="31"/>
        <v>0</v>
      </c>
      <c r="AC52" s="1050">
        <f t="shared" si="109"/>
        <v>0</v>
      </c>
      <c r="AD52" s="898"/>
      <c r="AE52" s="1046">
        <f t="shared" si="33"/>
        <v>13.642031149999999</v>
      </c>
      <c r="AF52" s="1046">
        <f t="shared" si="34"/>
        <v>13.642031149999999</v>
      </c>
      <c r="AG52" s="1046">
        <f t="shared" si="35"/>
        <v>122.77828034999999</v>
      </c>
      <c r="AH52" s="889">
        <f t="shared" si="36"/>
        <v>122.77828034999999</v>
      </c>
      <c r="AI52" s="889">
        <f t="shared" si="37"/>
        <v>68.210155749999984</v>
      </c>
      <c r="AJ52" s="889">
        <f t="shared" si="38"/>
        <v>68.210155749999984</v>
      </c>
      <c r="AK52" s="889">
        <f t="shared" si="39"/>
        <v>68.210155749999984</v>
      </c>
      <c r="AL52" s="889">
        <f t="shared" si="40"/>
        <v>68.210155749999984</v>
      </c>
      <c r="AM52" s="889">
        <f t="shared" si="41"/>
        <v>136.42031149999997</v>
      </c>
      <c r="AN52" s="1050">
        <f t="shared" si="42"/>
        <v>136.42031149999997</v>
      </c>
      <c r="AO52" s="1050">
        <f t="shared" si="43"/>
        <v>0</v>
      </c>
      <c r="AP52" s="1050">
        <f t="shared" si="44"/>
        <v>0</v>
      </c>
      <c r="AR52" s="1067">
        <f t="shared" si="45"/>
        <v>24.555656069999998</v>
      </c>
      <c r="AS52" s="1067">
        <f t="shared" si="46"/>
        <v>24.555656069999998</v>
      </c>
      <c r="AT52" s="1068">
        <f t="shared" si="47"/>
        <v>61.389140174999994</v>
      </c>
      <c r="AU52" s="1068">
        <f t="shared" si="48"/>
        <v>61.389140174999994</v>
      </c>
      <c r="AV52" s="1068">
        <f t="shared" si="49"/>
        <v>98.222624279999991</v>
      </c>
      <c r="AW52" s="1068">
        <f t="shared" si="50"/>
        <v>98.222624279999991</v>
      </c>
      <c r="AX52" s="1068">
        <f t="shared" si="51"/>
        <v>13.642031149999998</v>
      </c>
      <c r="AY52" s="1068">
        <f t="shared" si="52"/>
        <v>13.642031149999998</v>
      </c>
      <c r="AZ52" s="1068">
        <f t="shared" si="53"/>
        <v>34.105077874999992</v>
      </c>
      <c r="BA52" s="1068">
        <f t="shared" si="54"/>
        <v>34.105077874999992</v>
      </c>
      <c r="BB52" s="1068">
        <f t="shared" si="55"/>
        <v>54.56812459999999</v>
      </c>
      <c r="BC52" s="1068">
        <f t="shared" si="56"/>
        <v>54.56812459999999</v>
      </c>
      <c r="BD52" s="1068">
        <f t="shared" si="89"/>
        <v>0</v>
      </c>
      <c r="BE52" s="1068">
        <f t="shared" si="90"/>
        <v>0</v>
      </c>
      <c r="BF52" s="1069">
        <f t="shared" si="91"/>
        <v>0</v>
      </c>
      <c r="BH52" s="1067">
        <f t="shared" si="92"/>
        <v>5.0521181264999981</v>
      </c>
      <c r="BI52" s="1068">
        <f t="shared" si="93"/>
        <v>12.630295316249995</v>
      </c>
      <c r="BJ52" s="1068">
        <f t="shared" si="94"/>
        <v>20.208472505999993</v>
      </c>
      <c r="BK52" s="1068">
        <f t="shared" si="95"/>
        <v>2.8067322924999991</v>
      </c>
      <c r="BL52" s="1068">
        <f t="shared" si="96"/>
        <v>7.0168307312499971</v>
      </c>
      <c r="BM52" s="1068">
        <f t="shared" si="97"/>
        <v>11.226929169999996</v>
      </c>
      <c r="BN52" s="1068">
        <f t="shared" si="98"/>
        <v>0</v>
      </c>
      <c r="BO52" s="1068">
        <f t="shared" si="99"/>
        <v>0</v>
      </c>
      <c r="BP52" s="1069">
        <f t="shared" si="100"/>
        <v>0</v>
      </c>
      <c r="BR52" s="1067">
        <f t="shared" si="57"/>
        <v>19.5035379435</v>
      </c>
      <c r="BS52" s="1067">
        <f t="shared" si="58"/>
        <v>19.5035379435</v>
      </c>
      <c r="BT52" s="1068">
        <f t="shared" si="59"/>
        <v>48.758844858749995</v>
      </c>
      <c r="BU52" s="1068">
        <f t="shared" si="60"/>
        <v>48.758844858749995</v>
      </c>
      <c r="BV52" s="1068">
        <f t="shared" si="61"/>
        <v>78.014151773999998</v>
      </c>
      <c r="BW52" s="1068">
        <f t="shared" si="62"/>
        <v>78.014151773999998</v>
      </c>
      <c r="BX52" s="1068">
        <f t="shared" si="63"/>
        <v>10.8352988575</v>
      </c>
      <c r="BY52" s="1068">
        <f t="shared" si="64"/>
        <v>10.8352988575</v>
      </c>
      <c r="BZ52" s="1068">
        <f t="shared" si="65"/>
        <v>27.088247143749996</v>
      </c>
      <c r="CA52" s="1068">
        <f t="shared" si="66"/>
        <v>27.088247143749996</v>
      </c>
      <c r="CB52" s="1068">
        <f t="shared" si="67"/>
        <v>43.341195429999999</v>
      </c>
      <c r="CC52" s="1068">
        <f t="shared" si="68"/>
        <v>43.341195429999999</v>
      </c>
      <c r="CD52" s="1068">
        <f t="shared" si="101"/>
        <v>0</v>
      </c>
      <c r="CE52" s="1068">
        <f t="shared" si="102"/>
        <v>0</v>
      </c>
      <c r="CF52" s="1069">
        <f t="shared" si="103"/>
        <v>0</v>
      </c>
      <c r="CG52" s="599"/>
      <c r="CH52" s="1067">
        <f t="shared" si="69"/>
        <v>18.067136625</v>
      </c>
      <c r="CI52" s="1067">
        <f t="shared" si="70"/>
        <v>18.067136625</v>
      </c>
      <c r="CJ52" s="1068">
        <f t="shared" si="71"/>
        <v>45.167841562500001</v>
      </c>
      <c r="CK52" s="1068">
        <f t="shared" si="72"/>
        <v>45.167841562500001</v>
      </c>
      <c r="CL52" s="1068">
        <f t="shared" si="73"/>
        <v>72.268546499999999</v>
      </c>
      <c r="CM52" s="1068">
        <f t="shared" si="74"/>
        <v>72.268546499999999</v>
      </c>
      <c r="CN52" s="1068">
        <f t="shared" si="75"/>
        <v>10.037298125</v>
      </c>
      <c r="CO52" s="1068">
        <f t="shared" si="76"/>
        <v>10.037298125</v>
      </c>
      <c r="CP52" s="1068">
        <f t="shared" si="77"/>
        <v>25.093245312499999</v>
      </c>
      <c r="CQ52" s="1069">
        <f t="shared" si="78"/>
        <v>25.093245312499999</v>
      </c>
      <c r="CR52" s="1069">
        <f t="shared" si="79"/>
        <v>40.149192499999998</v>
      </c>
      <c r="CS52" s="1069">
        <f t="shared" si="80"/>
        <v>40.149192499999998</v>
      </c>
      <c r="CV52" s="345">
        <v>2002</v>
      </c>
      <c r="CW52" s="1097">
        <f>SUM('POSF Inventory'!HF57,'POSF Inventory'!HH57,'POSF Inventory'!HJ57)*$CY$1</f>
        <v>0.60343562499999992</v>
      </c>
      <c r="CX52" s="1098">
        <f>SUM('POSF Inventory'!HG57,'POSF Inventory'!HI57,'POSF Inventory'!HK57)*$CY$2</f>
        <v>0.60486387499999994</v>
      </c>
      <c r="CY52" s="1097">
        <f>SUM('POSF Inventory'!HL57,'POSF Inventory'!HN57,'POSF Inventory'!HP57)*$CY$1</f>
        <v>9.1896315103125001</v>
      </c>
      <c r="CZ52" s="1098">
        <f>SUM('POSF Inventory'!HM57,'POSF Inventory'!HO57,'POSF Inventory'!HQ57)*$CY$2</f>
        <v>85.583543920875002</v>
      </c>
      <c r="DA52" s="1097">
        <f>SUM('POSF Inventory'!HR57,'POSF Inventory'!HT57,'POSF Inventory'!HV57)*$CY$3</f>
        <v>20.94224657615888</v>
      </c>
      <c r="DB52" s="1098">
        <f>SUM('POSF Inventory'!HS57,'POSF Inventory'!HU57,'POSF Inventory'!HW57)*$CY$4</f>
        <v>115.18077077059885</v>
      </c>
      <c r="DC52" s="1046">
        <f t="shared" si="81"/>
        <v>30.735313711471377</v>
      </c>
      <c r="DD52" s="1050">
        <f t="shared" si="82"/>
        <v>201.36917856647386</v>
      </c>
      <c r="DI52" s="345">
        <v>79</v>
      </c>
      <c r="DJ52" s="1041">
        <v>28.067322924999988</v>
      </c>
    </row>
    <row r="53" spans="2:114" x14ac:dyDescent="0.2">
      <c r="B53" s="345">
        <v>2003</v>
      </c>
      <c r="C53" s="774">
        <f>SUM('POSF Inventory'!FF58,'POSF Inventory'!FH58)</f>
        <v>8.3736406250000002</v>
      </c>
      <c r="D53" s="774">
        <f>SUM('POSF Inventory'!FB58,'POSF Inventory'!FD58)</f>
        <v>8.3736406250000002</v>
      </c>
      <c r="E53" s="774">
        <f>SUM('POSF Inventory'!FC58,'POSF Inventory'!FE58)</f>
        <v>8.3736406250000002</v>
      </c>
      <c r="F53" s="774">
        <f>SUM('POSF Inventory'!FB58,'POSF Inventory'!FD58,'POSF Inventory'!J58)</f>
        <v>35.873640625</v>
      </c>
      <c r="G53" s="774">
        <f>SUM('POSF Inventory'!FC58,'POSF Inventory'!FE58,'POSF Inventory'!K58)</f>
        <v>35.873640625</v>
      </c>
      <c r="H53" s="1106">
        <f>SUM('POSF Inventory'!DL58,'POSF Inventory'!DN58)</f>
        <v>49.032218749999998</v>
      </c>
      <c r="I53" s="1041">
        <f>SUM('POSF Inventory'!DM58,'POSF Inventory'!DO58)</f>
        <v>151.63966875</v>
      </c>
      <c r="J53" s="592"/>
      <c r="K53" s="1046">
        <f t="shared" si="83"/>
        <v>0.83736406250000006</v>
      </c>
      <c r="L53" s="1047">
        <f t="shared" si="84"/>
        <v>7.5362765625000003</v>
      </c>
      <c r="M53" s="1046">
        <f t="shared" si="85"/>
        <v>4.1868203125000001</v>
      </c>
      <c r="N53" s="1047">
        <f t="shared" si="86"/>
        <v>4.1868203125000001</v>
      </c>
      <c r="O53" s="1046">
        <f t="shared" si="87"/>
        <v>8.3736406250000002</v>
      </c>
      <c r="P53" s="889">
        <f t="shared" si="88"/>
        <v>0</v>
      </c>
      <c r="Q53" s="1048"/>
      <c r="R53" s="889">
        <f t="shared" si="21"/>
        <v>0.83736406250000006</v>
      </c>
      <c r="S53" s="889">
        <f t="shared" si="104"/>
        <v>0.83736406250000006</v>
      </c>
      <c r="T53" s="1047">
        <f t="shared" si="23"/>
        <v>7.5362765625000003</v>
      </c>
      <c r="U53" s="1047">
        <f t="shared" si="105"/>
        <v>7.5362765625000003</v>
      </c>
      <c r="V53" s="1046">
        <f t="shared" si="25"/>
        <v>4.1868203125000001</v>
      </c>
      <c r="W53" s="1046">
        <f t="shared" si="106"/>
        <v>4.1868203125000001</v>
      </c>
      <c r="X53" s="1047">
        <f t="shared" si="27"/>
        <v>4.1868203125000001</v>
      </c>
      <c r="Y53" s="1047">
        <f t="shared" si="107"/>
        <v>4.1868203125000001</v>
      </c>
      <c r="Z53" s="1049">
        <f t="shared" si="29"/>
        <v>8.3736406250000002</v>
      </c>
      <c r="AA53" s="1049">
        <f t="shared" si="108"/>
        <v>8.3736406250000002</v>
      </c>
      <c r="AB53" s="1050">
        <f t="shared" si="31"/>
        <v>0</v>
      </c>
      <c r="AC53" s="1050">
        <f t="shared" si="109"/>
        <v>0</v>
      </c>
      <c r="AD53" s="898"/>
      <c r="AE53" s="1046">
        <f t="shared" si="33"/>
        <v>1.6747281250000001</v>
      </c>
      <c r="AF53" s="1046">
        <f t="shared" si="34"/>
        <v>1.6747281250000001</v>
      </c>
      <c r="AG53" s="1046">
        <f t="shared" si="35"/>
        <v>15.072553125000001</v>
      </c>
      <c r="AH53" s="889">
        <f t="shared" si="36"/>
        <v>15.072553125000001</v>
      </c>
      <c r="AI53" s="889">
        <f t="shared" si="37"/>
        <v>8.3736406250000002</v>
      </c>
      <c r="AJ53" s="889">
        <f t="shared" si="38"/>
        <v>8.3736406250000002</v>
      </c>
      <c r="AK53" s="889">
        <f t="shared" si="39"/>
        <v>8.3736406250000002</v>
      </c>
      <c r="AL53" s="889">
        <f t="shared" si="40"/>
        <v>8.3736406250000002</v>
      </c>
      <c r="AM53" s="889">
        <f t="shared" si="41"/>
        <v>16.74728125</v>
      </c>
      <c r="AN53" s="1050">
        <f t="shared" si="42"/>
        <v>16.74728125</v>
      </c>
      <c r="AO53" s="1050">
        <f t="shared" si="43"/>
        <v>0</v>
      </c>
      <c r="AP53" s="1050">
        <f t="shared" si="44"/>
        <v>0</v>
      </c>
      <c r="AR53" s="1067">
        <f t="shared" si="45"/>
        <v>3.0145106250000002</v>
      </c>
      <c r="AS53" s="1067">
        <f t="shared" si="46"/>
        <v>3.0145106250000002</v>
      </c>
      <c r="AT53" s="1068">
        <f t="shared" si="47"/>
        <v>7.5362765625000003</v>
      </c>
      <c r="AU53" s="1068">
        <f t="shared" si="48"/>
        <v>7.5362765625000003</v>
      </c>
      <c r="AV53" s="1068">
        <f t="shared" si="49"/>
        <v>12.058042500000001</v>
      </c>
      <c r="AW53" s="1068">
        <f t="shared" si="50"/>
        <v>12.058042500000001</v>
      </c>
      <c r="AX53" s="1068">
        <f t="shared" si="51"/>
        <v>1.6747281250000001</v>
      </c>
      <c r="AY53" s="1068">
        <f t="shared" si="52"/>
        <v>1.6747281250000001</v>
      </c>
      <c r="AZ53" s="1068">
        <f t="shared" si="53"/>
        <v>4.1868203125000001</v>
      </c>
      <c r="BA53" s="1068">
        <f t="shared" si="54"/>
        <v>4.1868203125000001</v>
      </c>
      <c r="BB53" s="1068">
        <f t="shared" si="55"/>
        <v>6.6989125000000005</v>
      </c>
      <c r="BC53" s="1068">
        <f t="shared" si="56"/>
        <v>6.6989125000000005</v>
      </c>
      <c r="BD53" s="1068">
        <f t="shared" si="89"/>
        <v>0</v>
      </c>
      <c r="BE53" s="1068">
        <f t="shared" si="90"/>
        <v>0</v>
      </c>
      <c r="BF53" s="1069">
        <f t="shared" si="91"/>
        <v>0</v>
      </c>
      <c r="BH53" s="1067">
        <f t="shared" si="92"/>
        <v>1.5072553125000001</v>
      </c>
      <c r="BI53" s="1068">
        <f t="shared" si="93"/>
        <v>3.7681382812500002</v>
      </c>
      <c r="BJ53" s="1068">
        <f t="shared" si="94"/>
        <v>6.0290212500000004</v>
      </c>
      <c r="BK53" s="1068">
        <f t="shared" si="95"/>
        <v>0.83736406250000006</v>
      </c>
      <c r="BL53" s="1068">
        <f t="shared" si="96"/>
        <v>2.09341015625</v>
      </c>
      <c r="BM53" s="1068">
        <f t="shared" si="97"/>
        <v>3.3494562500000002</v>
      </c>
      <c r="BN53" s="1068">
        <f t="shared" si="98"/>
        <v>0</v>
      </c>
      <c r="BO53" s="1068">
        <f t="shared" si="99"/>
        <v>0</v>
      </c>
      <c r="BP53" s="1069">
        <f t="shared" si="100"/>
        <v>0</v>
      </c>
      <c r="BR53" s="1067">
        <f t="shared" si="57"/>
        <v>1.5072553125000001</v>
      </c>
      <c r="BS53" s="1067">
        <f t="shared" si="58"/>
        <v>1.5072553125000001</v>
      </c>
      <c r="BT53" s="1068">
        <f t="shared" si="59"/>
        <v>3.7681382812500002</v>
      </c>
      <c r="BU53" s="1068">
        <f t="shared" si="60"/>
        <v>3.7681382812500002</v>
      </c>
      <c r="BV53" s="1068">
        <f t="shared" si="61"/>
        <v>6.0290212500000004</v>
      </c>
      <c r="BW53" s="1068">
        <f t="shared" si="62"/>
        <v>6.0290212500000004</v>
      </c>
      <c r="BX53" s="1068">
        <f t="shared" si="63"/>
        <v>0.83736406250000006</v>
      </c>
      <c r="BY53" s="1068">
        <f t="shared" si="64"/>
        <v>0.83736406250000006</v>
      </c>
      <c r="BZ53" s="1068">
        <f t="shared" si="65"/>
        <v>2.09341015625</v>
      </c>
      <c r="CA53" s="1068">
        <f t="shared" si="66"/>
        <v>2.09341015625</v>
      </c>
      <c r="CB53" s="1068">
        <f t="shared" si="67"/>
        <v>3.3494562500000002</v>
      </c>
      <c r="CC53" s="1068">
        <f t="shared" si="68"/>
        <v>3.3494562500000002</v>
      </c>
      <c r="CD53" s="1068">
        <f t="shared" si="101"/>
        <v>0</v>
      </c>
      <c r="CE53" s="1068">
        <f t="shared" si="102"/>
        <v>0</v>
      </c>
      <c r="CF53" s="1069">
        <f t="shared" si="103"/>
        <v>0</v>
      </c>
      <c r="CG53" s="599"/>
      <c r="CH53" s="1067">
        <f t="shared" si="69"/>
        <v>8.8257993750000008</v>
      </c>
      <c r="CI53" s="1067">
        <f t="shared" si="70"/>
        <v>27.295140375000003</v>
      </c>
      <c r="CJ53" s="1068">
        <f t="shared" si="71"/>
        <v>22.064498437499999</v>
      </c>
      <c r="CK53" s="1068">
        <f t="shared" si="72"/>
        <v>68.237850937499999</v>
      </c>
      <c r="CL53" s="1068">
        <f t="shared" si="73"/>
        <v>35.303197500000003</v>
      </c>
      <c r="CM53" s="1068">
        <f t="shared" si="74"/>
        <v>109.18056150000001</v>
      </c>
      <c r="CN53" s="1068">
        <f t="shared" si="75"/>
        <v>4.9032218749999998</v>
      </c>
      <c r="CO53" s="1068">
        <f t="shared" si="76"/>
        <v>15.163966875</v>
      </c>
      <c r="CP53" s="1068">
        <f t="shared" si="77"/>
        <v>12.2580546875</v>
      </c>
      <c r="CQ53" s="1069">
        <f t="shared" si="78"/>
        <v>37.9099171875</v>
      </c>
      <c r="CR53" s="1069">
        <f t="shared" si="79"/>
        <v>19.612887499999999</v>
      </c>
      <c r="CS53" s="1069">
        <f t="shared" si="80"/>
        <v>60.655867499999999</v>
      </c>
      <c r="CV53" s="345">
        <v>2003</v>
      </c>
      <c r="CW53" s="1097">
        <f>SUM('POSF Inventory'!HF58,'POSF Inventory'!HH58,'POSF Inventory'!HJ58)*$CY$1</f>
        <v>0.67002162499999995</v>
      </c>
      <c r="CX53" s="1098">
        <f>SUM('POSF Inventory'!HG58,'POSF Inventory'!HI58,'POSF Inventory'!HK58)*$CY$2</f>
        <v>0.85515237499999974</v>
      </c>
      <c r="CY53" s="1097">
        <f>SUM('POSF Inventory'!HL58,'POSF Inventory'!HN58,'POSF Inventory'!HP58)*$CY$1</f>
        <v>7.0656238250000012</v>
      </c>
      <c r="CZ53" s="1098">
        <f>SUM('POSF Inventory'!HM58,'POSF Inventory'!HO58,'POSF Inventory'!HQ58)*$CY$2</f>
        <v>99.829406215000006</v>
      </c>
      <c r="DA53" s="1097">
        <f>SUM('POSF Inventory'!HR58,'POSF Inventory'!HT58,'POSF Inventory'!HV58)*$CY$3</f>
        <v>22.564751802166526</v>
      </c>
      <c r="DB53" s="1098">
        <f>SUM('POSF Inventory'!HS58,'POSF Inventory'!HU58,'POSF Inventory'!HW58)*$CY$4</f>
        <v>99.14710816781907</v>
      </c>
      <c r="DC53" s="1046">
        <f t="shared" si="81"/>
        <v>30.300397252166526</v>
      </c>
      <c r="DD53" s="1050">
        <f t="shared" si="82"/>
        <v>199.83166675781908</v>
      </c>
      <c r="DI53" s="345">
        <v>23.7</v>
      </c>
      <c r="DJ53" s="1041">
        <v>8.3736406250000002</v>
      </c>
    </row>
    <row r="54" spans="2:114" x14ac:dyDescent="0.2">
      <c r="B54" s="345">
        <v>2004</v>
      </c>
      <c r="C54" s="774">
        <f>SUM('POSF Inventory'!FF59,'POSF Inventory'!FH59)</f>
        <v>27.68478125</v>
      </c>
      <c r="D54" s="774">
        <f>SUM('POSF Inventory'!FB59,'POSF Inventory'!FD59)</f>
        <v>27.68478125</v>
      </c>
      <c r="E54" s="774">
        <f>SUM('POSF Inventory'!FC59,'POSF Inventory'!FE59)</f>
        <v>27.68478125</v>
      </c>
      <c r="F54" s="774">
        <f>SUM('POSF Inventory'!FB59,'POSF Inventory'!FD59,'POSF Inventory'!J59)</f>
        <v>57.68478125</v>
      </c>
      <c r="G54" s="774">
        <f>SUM('POSF Inventory'!FC59,'POSF Inventory'!FE59,'POSF Inventory'!K59)</f>
        <v>57.68478125</v>
      </c>
      <c r="H54" s="1106">
        <f>SUM('POSF Inventory'!DL59,'POSF Inventory'!DN59)</f>
        <v>54.549687499999997</v>
      </c>
      <c r="I54" s="1041">
        <f>SUM('POSF Inventory'!DM59,'POSF Inventory'!DO59)</f>
        <v>157.1571375</v>
      </c>
      <c r="J54" s="592"/>
      <c r="K54" s="1046">
        <f t="shared" si="83"/>
        <v>2.7684781250000001</v>
      </c>
      <c r="L54" s="1047">
        <f t="shared" si="84"/>
        <v>24.916303125000002</v>
      </c>
      <c r="M54" s="1046">
        <f t="shared" si="85"/>
        <v>13.842390625</v>
      </c>
      <c r="N54" s="1047">
        <f t="shared" si="86"/>
        <v>13.842390625</v>
      </c>
      <c r="O54" s="1046">
        <f t="shared" si="87"/>
        <v>27.68478125</v>
      </c>
      <c r="P54" s="889">
        <f t="shared" si="88"/>
        <v>0</v>
      </c>
      <c r="Q54" s="1048"/>
      <c r="R54" s="889">
        <f t="shared" si="21"/>
        <v>2.7684781250000001</v>
      </c>
      <c r="S54" s="889">
        <f t="shared" si="104"/>
        <v>2.7684781250000001</v>
      </c>
      <c r="T54" s="1047">
        <f t="shared" si="23"/>
        <v>24.916303125000002</v>
      </c>
      <c r="U54" s="1047">
        <f t="shared" si="105"/>
        <v>24.916303125000002</v>
      </c>
      <c r="V54" s="1046">
        <f t="shared" si="25"/>
        <v>13.842390625</v>
      </c>
      <c r="W54" s="1046">
        <f t="shared" si="106"/>
        <v>13.842390625</v>
      </c>
      <c r="X54" s="1047">
        <f t="shared" si="27"/>
        <v>13.842390625</v>
      </c>
      <c r="Y54" s="1047">
        <f t="shared" si="107"/>
        <v>13.842390625</v>
      </c>
      <c r="Z54" s="1049">
        <f t="shared" si="29"/>
        <v>27.68478125</v>
      </c>
      <c r="AA54" s="1049">
        <f t="shared" si="108"/>
        <v>27.68478125</v>
      </c>
      <c r="AB54" s="1050">
        <f t="shared" si="31"/>
        <v>0</v>
      </c>
      <c r="AC54" s="1050">
        <f t="shared" si="109"/>
        <v>0</v>
      </c>
      <c r="AD54" s="898"/>
      <c r="AE54" s="1046">
        <f t="shared" si="33"/>
        <v>5.5369562500000002</v>
      </c>
      <c r="AF54" s="1046">
        <f t="shared" si="34"/>
        <v>5.5369562500000002</v>
      </c>
      <c r="AG54" s="1046">
        <f t="shared" si="35"/>
        <v>49.832606250000005</v>
      </c>
      <c r="AH54" s="889">
        <f t="shared" si="36"/>
        <v>49.832606250000005</v>
      </c>
      <c r="AI54" s="889">
        <f t="shared" si="37"/>
        <v>27.68478125</v>
      </c>
      <c r="AJ54" s="889">
        <f t="shared" si="38"/>
        <v>27.68478125</v>
      </c>
      <c r="AK54" s="889">
        <f t="shared" si="39"/>
        <v>27.68478125</v>
      </c>
      <c r="AL54" s="889">
        <f t="shared" si="40"/>
        <v>27.68478125</v>
      </c>
      <c r="AM54" s="889">
        <f t="shared" si="41"/>
        <v>55.369562500000001</v>
      </c>
      <c r="AN54" s="1050">
        <f t="shared" si="42"/>
        <v>55.369562500000001</v>
      </c>
      <c r="AO54" s="1050">
        <f t="shared" si="43"/>
        <v>0</v>
      </c>
      <c r="AP54" s="1050">
        <f t="shared" si="44"/>
        <v>0</v>
      </c>
      <c r="AR54" s="1067">
        <f t="shared" si="45"/>
        <v>9.9665212500000013</v>
      </c>
      <c r="AS54" s="1067">
        <f t="shared" si="46"/>
        <v>9.9665212500000013</v>
      </c>
      <c r="AT54" s="1068">
        <f t="shared" si="47"/>
        <v>24.916303125000002</v>
      </c>
      <c r="AU54" s="1068">
        <f t="shared" si="48"/>
        <v>24.916303125000002</v>
      </c>
      <c r="AV54" s="1068">
        <f t="shared" si="49"/>
        <v>39.866085000000005</v>
      </c>
      <c r="AW54" s="1068">
        <f t="shared" si="50"/>
        <v>39.866085000000005</v>
      </c>
      <c r="AX54" s="1068">
        <f t="shared" si="51"/>
        <v>5.5369562500000002</v>
      </c>
      <c r="AY54" s="1068">
        <f t="shared" si="52"/>
        <v>5.5369562500000002</v>
      </c>
      <c r="AZ54" s="1068">
        <f t="shared" si="53"/>
        <v>13.842390625</v>
      </c>
      <c r="BA54" s="1068">
        <f t="shared" si="54"/>
        <v>13.842390625</v>
      </c>
      <c r="BB54" s="1068">
        <f t="shared" si="55"/>
        <v>22.147825000000001</v>
      </c>
      <c r="BC54" s="1068">
        <f t="shared" si="56"/>
        <v>22.147825000000001</v>
      </c>
      <c r="BD54" s="1068">
        <f t="shared" si="89"/>
        <v>0</v>
      </c>
      <c r="BE54" s="1068">
        <f t="shared" si="90"/>
        <v>0</v>
      </c>
      <c r="BF54" s="1069">
        <f t="shared" si="91"/>
        <v>0</v>
      </c>
      <c r="BH54" s="1067">
        <f t="shared" si="92"/>
        <v>4.9832606250000007</v>
      </c>
      <c r="BI54" s="1068">
        <f t="shared" si="93"/>
        <v>12.458151562500001</v>
      </c>
      <c r="BJ54" s="1068">
        <f t="shared" si="94"/>
        <v>19.933042500000003</v>
      </c>
      <c r="BK54" s="1068">
        <f t="shared" si="95"/>
        <v>2.7684781250000001</v>
      </c>
      <c r="BL54" s="1068">
        <f t="shared" si="96"/>
        <v>6.9211953125000001</v>
      </c>
      <c r="BM54" s="1068">
        <f t="shared" si="97"/>
        <v>11.0739125</v>
      </c>
      <c r="BN54" s="1068">
        <f t="shared" si="98"/>
        <v>0</v>
      </c>
      <c r="BO54" s="1068">
        <f t="shared" si="99"/>
        <v>0</v>
      </c>
      <c r="BP54" s="1069">
        <f t="shared" si="100"/>
        <v>0</v>
      </c>
      <c r="BR54" s="1067">
        <f t="shared" si="57"/>
        <v>4.9832606250000007</v>
      </c>
      <c r="BS54" s="1067">
        <f t="shared" si="58"/>
        <v>4.9832606250000007</v>
      </c>
      <c r="BT54" s="1068">
        <f t="shared" si="59"/>
        <v>12.458151562500001</v>
      </c>
      <c r="BU54" s="1068">
        <f t="shared" si="60"/>
        <v>12.458151562500001</v>
      </c>
      <c r="BV54" s="1068">
        <f t="shared" si="61"/>
        <v>19.933042500000003</v>
      </c>
      <c r="BW54" s="1068">
        <f t="shared" si="62"/>
        <v>19.933042500000003</v>
      </c>
      <c r="BX54" s="1068">
        <f t="shared" si="63"/>
        <v>2.7684781250000001</v>
      </c>
      <c r="BY54" s="1068">
        <f t="shared" si="64"/>
        <v>2.7684781250000001</v>
      </c>
      <c r="BZ54" s="1068">
        <f t="shared" si="65"/>
        <v>6.9211953125000001</v>
      </c>
      <c r="CA54" s="1068">
        <f t="shared" si="66"/>
        <v>6.9211953125000001</v>
      </c>
      <c r="CB54" s="1068">
        <f t="shared" si="67"/>
        <v>11.0739125</v>
      </c>
      <c r="CC54" s="1068">
        <f t="shared" si="68"/>
        <v>11.0739125</v>
      </c>
      <c r="CD54" s="1068">
        <f t="shared" si="101"/>
        <v>0</v>
      </c>
      <c r="CE54" s="1068">
        <f t="shared" si="102"/>
        <v>0</v>
      </c>
      <c r="CF54" s="1069">
        <f t="shared" si="103"/>
        <v>0</v>
      </c>
      <c r="CG54" s="599"/>
      <c r="CH54" s="1067">
        <f t="shared" si="69"/>
        <v>9.8189437500000007</v>
      </c>
      <c r="CI54" s="1067">
        <f t="shared" si="70"/>
        <v>28.288284750000003</v>
      </c>
      <c r="CJ54" s="1068">
        <f t="shared" si="71"/>
        <v>24.547359374999999</v>
      </c>
      <c r="CK54" s="1068">
        <f t="shared" si="72"/>
        <v>70.720711875000006</v>
      </c>
      <c r="CL54" s="1068">
        <f t="shared" si="73"/>
        <v>39.275775000000003</v>
      </c>
      <c r="CM54" s="1068">
        <f t="shared" si="74"/>
        <v>113.15313900000001</v>
      </c>
      <c r="CN54" s="1068">
        <f t="shared" si="75"/>
        <v>5.4549687499999999</v>
      </c>
      <c r="CO54" s="1068">
        <f t="shared" si="76"/>
        <v>15.715713750000001</v>
      </c>
      <c r="CP54" s="1068">
        <f t="shared" si="77"/>
        <v>13.637421874999999</v>
      </c>
      <c r="CQ54" s="1069">
        <f t="shared" si="78"/>
        <v>39.289284375000001</v>
      </c>
      <c r="CR54" s="1069">
        <f t="shared" si="79"/>
        <v>21.819875</v>
      </c>
      <c r="CS54" s="1069">
        <f t="shared" si="80"/>
        <v>62.862855000000003</v>
      </c>
      <c r="CV54" s="345">
        <v>2004</v>
      </c>
      <c r="CW54" s="1097">
        <f>SUM('POSF Inventory'!HF59,'POSF Inventory'!HH59,'POSF Inventory'!HJ59)*$CY$1</f>
        <v>1.2568107499999999</v>
      </c>
      <c r="CX54" s="1098">
        <f>SUM('POSF Inventory'!HG59,'POSF Inventory'!HI59,'POSF Inventory'!HK59)*$CY$2</f>
        <v>1.4433303499999999</v>
      </c>
      <c r="CY54" s="1097">
        <f>SUM('POSF Inventory'!HL59,'POSF Inventory'!HN59,'POSF Inventory'!HP59)*$CY$1</f>
        <v>5.7704799140625003</v>
      </c>
      <c r="CZ54" s="1098">
        <f>SUM('POSF Inventory'!HM59,'POSF Inventory'!HO59,'POSF Inventory'!HQ59)*$CY$2</f>
        <v>108.718356236875</v>
      </c>
      <c r="DA54" s="1097">
        <f>SUM('POSF Inventory'!HR59,'POSF Inventory'!HT59,'POSF Inventory'!HV59)*$CY$3</f>
        <v>24.405678058970153</v>
      </c>
      <c r="DB54" s="1098">
        <f>SUM('POSF Inventory'!HS59,'POSF Inventory'!HU59,'POSF Inventory'!HW59)*$CY$4</f>
        <v>87.494885773670092</v>
      </c>
      <c r="DC54" s="1046">
        <f t="shared" si="81"/>
        <v>31.432968723032651</v>
      </c>
      <c r="DD54" s="1050">
        <f t="shared" si="82"/>
        <v>197.65657236054508</v>
      </c>
      <c r="DI54" s="345">
        <v>47.4</v>
      </c>
      <c r="DJ54" s="1041">
        <v>27.68478125</v>
      </c>
    </row>
    <row r="55" spans="2:114" x14ac:dyDescent="0.2">
      <c r="B55" s="345">
        <v>2005</v>
      </c>
      <c r="C55" s="774">
        <f>SUM('POSF Inventory'!FF60,'POSF Inventory'!FH60)</f>
        <v>56.237015624999991</v>
      </c>
      <c r="D55" s="774">
        <f>SUM('POSF Inventory'!FB60,'POSF Inventory'!FD60)</f>
        <v>56.237015624999991</v>
      </c>
      <c r="E55" s="774">
        <f>SUM('POSF Inventory'!FC60,'POSF Inventory'!FE60)</f>
        <v>56.237015624999991</v>
      </c>
      <c r="F55" s="774">
        <f>SUM('POSF Inventory'!FB60,'POSF Inventory'!FD60,'POSF Inventory'!J60)</f>
        <v>86.270415624999998</v>
      </c>
      <c r="G55" s="774">
        <f>SUM('POSF Inventory'!FC60,'POSF Inventory'!FE60,'POSF Inventory'!K60)</f>
        <v>86.270415624999998</v>
      </c>
      <c r="H55" s="1106">
        <f>SUM('POSF Inventory'!DL60,'POSF Inventory'!DN60)</f>
        <v>84.161753750000003</v>
      </c>
      <c r="I55" s="1041">
        <f>SUM('POSF Inventory'!DM60,'POSF Inventory'!DO60)</f>
        <v>167.18050875</v>
      </c>
      <c r="J55" s="592"/>
      <c r="K55" s="1046">
        <f t="shared" si="83"/>
        <v>5.6237015624999991</v>
      </c>
      <c r="L55" s="1047">
        <f t="shared" si="84"/>
        <v>50.613314062499995</v>
      </c>
      <c r="M55" s="1046">
        <f t="shared" si="85"/>
        <v>28.118507812499995</v>
      </c>
      <c r="N55" s="1047">
        <f t="shared" si="86"/>
        <v>28.118507812499995</v>
      </c>
      <c r="O55" s="1046">
        <f t="shared" si="87"/>
        <v>56.237015624999991</v>
      </c>
      <c r="P55" s="889">
        <f t="shared" si="88"/>
        <v>0</v>
      </c>
      <c r="Q55" s="1048"/>
      <c r="R55" s="889">
        <f t="shared" si="21"/>
        <v>5.6237015624999991</v>
      </c>
      <c r="S55" s="889">
        <f t="shared" si="104"/>
        <v>5.6237015624999991</v>
      </c>
      <c r="T55" s="1047">
        <f t="shared" si="23"/>
        <v>50.613314062499995</v>
      </c>
      <c r="U55" s="1047">
        <f t="shared" si="105"/>
        <v>50.613314062499995</v>
      </c>
      <c r="V55" s="1046">
        <f t="shared" si="25"/>
        <v>28.118507812499995</v>
      </c>
      <c r="W55" s="1046">
        <f t="shared" si="106"/>
        <v>28.118507812499995</v>
      </c>
      <c r="X55" s="1047">
        <f t="shared" si="27"/>
        <v>28.118507812499995</v>
      </c>
      <c r="Y55" s="1047">
        <f t="shared" si="107"/>
        <v>28.118507812499995</v>
      </c>
      <c r="Z55" s="1049">
        <f t="shared" si="29"/>
        <v>56.237015624999991</v>
      </c>
      <c r="AA55" s="1049">
        <f t="shared" si="108"/>
        <v>56.237015624999991</v>
      </c>
      <c r="AB55" s="1050">
        <f t="shared" si="31"/>
        <v>0</v>
      </c>
      <c r="AC55" s="1050">
        <f t="shared" si="109"/>
        <v>0</v>
      </c>
      <c r="AD55" s="898"/>
      <c r="AE55" s="1046">
        <f t="shared" si="33"/>
        <v>11.247403124999998</v>
      </c>
      <c r="AF55" s="1046">
        <f t="shared" si="34"/>
        <v>11.247403124999998</v>
      </c>
      <c r="AG55" s="1046">
        <f t="shared" si="35"/>
        <v>101.22662812499999</v>
      </c>
      <c r="AH55" s="889">
        <f t="shared" si="36"/>
        <v>101.22662812499999</v>
      </c>
      <c r="AI55" s="889">
        <f t="shared" si="37"/>
        <v>56.237015624999991</v>
      </c>
      <c r="AJ55" s="889">
        <f t="shared" si="38"/>
        <v>56.237015624999991</v>
      </c>
      <c r="AK55" s="889">
        <f t="shared" si="39"/>
        <v>56.237015624999991</v>
      </c>
      <c r="AL55" s="889">
        <f t="shared" si="40"/>
        <v>56.237015624999991</v>
      </c>
      <c r="AM55" s="889">
        <f t="shared" si="41"/>
        <v>112.47403124999998</v>
      </c>
      <c r="AN55" s="1050">
        <f t="shared" si="42"/>
        <v>112.47403124999998</v>
      </c>
      <c r="AO55" s="1050">
        <f t="shared" si="43"/>
        <v>0</v>
      </c>
      <c r="AP55" s="1050">
        <f t="shared" si="44"/>
        <v>0</v>
      </c>
      <c r="AR55" s="1067">
        <f t="shared" si="45"/>
        <v>20.245325625</v>
      </c>
      <c r="AS55" s="1067">
        <f t="shared" si="46"/>
        <v>20.245325625</v>
      </c>
      <c r="AT55" s="1068">
        <f t="shared" si="47"/>
        <v>50.613314062499995</v>
      </c>
      <c r="AU55" s="1068">
        <f t="shared" si="48"/>
        <v>50.613314062499995</v>
      </c>
      <c r="AV55" s="1068">
        <f t="shared" si="49"/>
        <v>80.981302499999998</v>
      </c>
      <c r="AW55" s="1068">
        <f t="shared" si="50"/>
        <v>80.981302499999998</v>
      </c>
      <c r="AX55" s="1068">
        <f t="shared" si="51"/>
        <v>11.247403124999998</v>
      </c>
      <c r="AY55" s="1068">
        <f t="shared" si="52"/>
        <v>11.247403124999998</v>
      </c>
      <c r="AZ55" s="1068">
        <f t="shared" si="53"/>
        <v>28.118507812499995</v>
      </c>
      <c r="BA55" s="1068">
        <f t="shared" si="54"/>
        <v>28.118507812499995</v>
      </c>
      <c r="BB55" s="1068">
        <f t="shared" si="55"/>
        <v>44.989612499999993</v>
      </c>
      <c r="BC55" s="1068">
        <f t="shared" si="56"/>
        <v>44.989612499999993</v>
      </c>
      <c r="BD55" s="1068">
        <f t="shared" si="89"/>
        <v>0</v>
      </c>
      <c r="BE55" s="1068">
        <f t="shared" si="90"/>
        <v>0</v>
      </c>
      <c r="BF55" s="1069">
        <f t="shared" si="91"/>
        <v>0</v>
      </c>
      <c r="BH55" s="1067">
        <f t="shared" si="92"/>
        <v>10.1226628125</v>
      </c>
      <c r="BI55" s="1068">
        <f t="shared" si="93"/>
        <v>25.306657031249998</v>
      </c>
      <c r="BJ55" s="1068">
        <f t="shared" si="94"/>
        <v>40.490651249999999</v>
      </c>
      <c r="BK55" s="1068">
        <f t="shared" si="95"/>
        <v>5.6237015624999991</v>
      </c>
      <c r="BL55" s="1068">
        <f t="shared" si="96"/>
        <v>14.059253906249998</v>
      </c>
      <c r="BM55" s="1068">
        <f t="shared" si="97"/>
        <v>22.494806249999996</v>
      </c>
      <c r="BN55" s="1068">
        <f t="shared" si="98"/>
        <v>0</v>
      </c>
      <c r="BO55" s="1068">
        <f t="shared" si="99"/>
        <v>0</v>
      </c>
      <c r="BP55" s="1069">
        <f t="shared" si="100"/>
        <v>0</v>
      </c>
      <c r="BR55" s="1067">
        <f t="shared" si="57"/>
        <v>10.1226628125</v>
      </c>
      <c r="BS55" s="1067">
        <f t="shared" si="58"/>
        <v>10.1226628125</v>
      </c>
      <c r="BT55" s="1068">
        <f t="shared" si="59"/>
        <v>25.306657031249998</v>
      </c>
      <c r="BU55" s="1068">
        <f t="shared" si="60"/>
        <v>25.306657031249998</v>
      </c>
      <c r="BV55" s="1068">
        <f t="shared" si="61"/>
        <v>40.490651249999999</v>
      </c>
      <c r="BW55" s="1068">
        <f t="shared" si="62"/>
        <v>40.490651249999999</v>
      </c>
      <c r="BX55" s="1068">
        <f t="shared" si="63"/>
        <v>5.6237015624999991</v>
      </c>
      <c r="BY55" s="1068">
        <f t="shared" si="64"/>
        <v>5.6237015624999991</v>
      </c>
      <c r="BZ55" s="1068">
        <f t="shared" si="65"/>
        <v>14.059253906249998</v>
      </c>
      <c r="CA55" s="1068">
        <f t="shared" si="66"/>
        <v>14.059253906249998</v>
      </c>
      <c r="CB55" s="1068">
        <f t="shared" si="67"/>
        <v>22.494806249999996</v>
      </c>
      <c r="CC55" s="1068">
        <f t="shared" si="68"/>
        <v>22.494806249999996</v>
      </c>
      <c r="CD55" s="1068">
        <f t="shared" si="101"/>
        <v>0</v>
      </c>
      <c r="CE55" s="1068">
        <f t="shared" si="102"/>
        <v>0</v>
      </c>
      <c r="CF55" s="1069">
        <f t="shared" si="103"/>
        <v>0</v>
      </c>
      <c r="CG55" s="599"/>
      <c r="CH55" s="1067">
        <f t="shared" si="69"/>
        <v>15.149115675000003</v>
      </c>
      <c r="CI55" s="1067">
        <f t="shared" si="70"/>
        <v>30.092491575000004</v>
      </c>
      <c r="CJ55" s="1068">
        <f t="shared" si="71"/>
        <v>37.872789187500004</v>
      </c>
      <c r="CK55" s="1068">
        <f t="shared" si="72"/>
        <v>75.231228937500006</v>
      </c>
      <c r="CL55" s="1068">
        <f t="shared" si="73"/>
        <v>60.596462700000011</v>
      </c>
      <c r="CM55" s="1068">
        <f t="shared" si="74"/>
        <v>120.36996630000002</v>
      </c>
      <c r="CN55" s="1068">
        <f t="shared" si="75"/>
        <v>8.4161753749999999</v>
      </c>
      <c r="CO55" s="1068">
        <f t="shared" si="76"/>
        <v>16.718050874999999</v>
      </c>
      <c r="CP55" s="1068">
        <f t="shared" si="77"/>
        <v>21.040438437500001</v>
      </c>
      <c r="CQ55" s="1069">
        <f t="shared" si="78"/>
        <v>41.7951271875</v>
      </c>
      <c r="CR55" s="1069">
        <f t="shared" si="79"/>
        <v>33.6647015</v>
      </c>
      <c r="CS55" s="1069">
        <f t="shared" si="80"/>
        <v>66.872203499999998</v>
      </c>
      <c r="CV55" s="345">
        <v>2005</v>
      </c>
      <c r="CW55" s="1097">
        <f>SUM('POSF Inventory'!HF60,'POSF Inventory'!HH60,'POSF Inventory'!HJ60)*$CY$1</f>
        <v>2.1166024750000001</v>
      </c>
      <c r="CX55" s="1098">
        <f>SUM('POSF Inventory'!HG60,'POSF Inventory'!HI60,'POSF Inventory'!HK60)*$CY$2</f>
        <v>2.2701166949999996</v>
      </c>
      <c r="CY55" s="1097">
        <f>SUM('POSF Inventory'!HL60,'POSF Inventory'!HN60,'POSF Inventory'!HP60)*$CY$1</f>
        <v>8.2036365003125002</v>
      </c>
      <c r="CZ55" s="1098">
        <f>SUM('POSF Inventory'!HM60,'POSF Inventory'!HO60,'POSF Inventory'!HQ60)*$CY$2</f>
        <v>100.10595086799999</v>
      </c>
      <c r="DA55" s="1097">
        <f>SUM('POSF Inventory'!HR60,'POSF Inventory'!HT60,'POSF Inventory'!HV60)*$CY$3</f>
        <v>24.665473477076631</v>
      </c>
      <c r="DB55" s="1098">
        <f>SUM('POSF Inventory'!HS60,'POSF Inventory'!HU60,'POSF Inventory'!HW60)*$CY$4</f>
        <v>82.498376129927522</v>
      </c>
      <c r="DC55" s="1046">
        <f t="shared" si="81"/>
        <v>34.98571245238913</v>
      </c>
      <c r="DD55" s="1050">
        <f t="shared" si="82"/>
        <v>184.87444369292751</v>
      </c>
      <c r="DI55" s="345">
        <v>80.5</v>
      </c>
      <c r="DJ55" s="1041">
        <v>56.237015624999991</v>
      </c>
    </row>
    <row r="56" spans="2:114" x14ac:dyDescent="0.2">
      <c r="B56" s="345">
        <v>2006</v>
      </c>
      <c r="C56" s="774">
        <f>SUM('POSF Inventory'!FF61,'POSF Inventory'!FH61)</f>
        <v>88.481640624999983</v>
      </c>
      <c r="D56" s="774">
        <f>SUM('POSF Inventory'!FB61,'POSF Inventory'!FD61)</f>
        <v>88.481640624999983</v>
      </c>
      <c r="E56" s="774">
        <f>SUM('POSF Inventory'!FC61,'POSF Inventory'!FE61)</f>
        <v>88.481640624999983</v>
      </c>
      <c r="F56" s="774">
        <f>SUM('POSF Inventory'!FB61,'POSF Inventory'!FD61,'POSF Inventory'!J61)</f>
        <v>119.43664062499998</v>
      </c>
      <c r="G56" s="774">
        <f>SUM('POSF Inventory'!FC61,'POSF Inventory'!FE61,'POSF Inventory'!K61)</f>
        <v>119.43664062499998</v>
      </c>
      <c r="H56" s="1106">
        <f>SUM('POSF Inventory'!DL61,'POSF Inventory'!DN61)</f>
        <v>71.920218750000004</v>
      </c>
      <c r="I56" s="1041">
        <f>SUM('POSF Inventory'!DM61,'POSF Inventory'!DO61)</f>
        <v>118.55996875</v>
      </c>
      <c r="J56" s="592"/>
      <c r="K56" s="1046">
        <f t="shared" si="83"/>
        <v>8.8481640624999986</v>
      </c>
      <c r="L56" s="1047">
        <f t="shared" si="84"/>
        <v>79.633476562499993</v>
      </c>
      <c r="M56" s="1046">
        <f t="shared" si="85"/>
        <v>44.240820312499991</v>
      </c>
      <c r="N56" s="1047">
        <f t="shared" si="86"/>
        <v>44.240820312499991</v>
      </c>
      <c r="O56" s="1046">
        <f t="shared" si="87"/>
        <v>88.481640624999983</v>
      </c>
      <c r="P56" s="889">
        <f t="shared" si="88"/>
        <v>0</v>
      </c>
      <c r="Q56" s="1048"/>
      <c r="R56" s="889">
        <f t="shared" si="21"/>
        <v>8.8481640624999986</v>
      </c>
      <c r="S56" s="889">
        <f t="shared" si="104"/>
        <v>8.8481640624999986</v>
      </c>
      <c r="T56" s="1047">
        <f t="shared" si="23"/>
        <v>79.633476562499993</v>
      </c>
      <c r="U56" s="1047">
        <f t="shared" si="105"/>
        <v>79.633476562499993</v>
      </c>
      <c r="V56" s="1046">
        <f t="shared" si="25"/>
        <v>44.240820312499991</v>
      </c>
      <c r="W56" s="1046">
        <f t="shared" si="106"/>
        <v>44.240820312499991</v>
      </c>
      <c r="X56" s="1047">
        <f t="shared" si="27"/>
        <v>44.240820312499991</v>
      </c>
      <c r="Y56" s="1047">
        <f t="shared" si="107"/>
        <v>44.240820312499991</v>
      </c>
      <c r="Z56" s="1049">
        <f t="shared" si="29"/>
        <v>88.481640624999983</v>
      </c>
      <c r="AA56" s="1049">
        <f t="shared" si="108"/>
        <v>88.481640624999983</v>
      </c>
      <c r="AB56" s="1050">
        <f t="shared" si="31"/>
        <v>0</v>
      </c>
      <c r="AC56" s="1050">
        <f t="shared" si="109"/>
        <v>0</v>
      </c>
      <c r="AD56" s="898"/>
      <c r="AE56" s="1046">
        <f t="shared" si="33"/>
        <v>17.696328124999997</v>
      </c>
      <c r="AF56" s="1046">
        <f t="shared" si="34"/>
        <v>17.696328124999997</v>
      </c>
      <c r="AG56" s="1046">
        <f t="shared" si="35"/>
        <v>159.26695312499999</v>
      </c>
      <c r="AH56" s="889">
        <f t="shared" si="36"/>
        <v>159.26695312499999</v>
      </c>
      <c r="AI56" s="889">
        <f t="shared" si="37"/>
        <v>88.481640624999983</v>
      </c>
      <c r="AJ56" s="889">
        <f t="shared" si="38"/>
        <v>88.481640624999983</v>
      </c>
      <c r="AK56" s="889">
        <f t="shared" si="39"/>
        <v>88.481640624999983</v>
      </c>
      <c r="AL56" s="889">
        <f t="shared" si="40"/>
        <v>88.481640624999983</v>
      </c>
      <c r="AM56" s="889">
        <f t="shared" si="41"/>
        <v>176.96328124999997</v>
      </c>
      <c r="AN56" s="1050">
        <f t="shared" si="42"/>
        <v>176.96328124999997</v>
      </c>
      <c r="AO56" s="1050">
        <f t="shared" si="43"/>
        <v>0</v>
      </c>
      <c r="AP56" s="1050">
        <f t="shared" si="44"/>
        <v>0</v>
      </c>
      <c r="AR56" s="1067">
        <f t="shared" si="45"/>
        <v>31.853390624999999</v>
      </c>
      <c r="AS56" s="1067">
        <f t="shared" si="46"/>
        <v>31.853390624999999</v>
      </c>
      <c r="AT56" s="1068">
        <f t="shared" si="47"/>
        <v>79.633476562499993</v>
      </c>
      <c r="AU56" s="1068">
        <f t="shared" si="48"/>
        <v>79.633476562499993</v>
      </c>
      <c r="AV56" s="1068">
        <f t="shared" si="49"/>
        <v>127.4135625</v>
      </c>
      <c r="AW56" s="1068">
        <f t="shared" si="50"/>
        <v>127.4135625</v>
      </c>
      <c r="AX56" s="1068">
        <f t="shared" si="51"/>
        <v>17.696328124999997</v>
      </c>
      <c r="AY56" s="1068">
        <f t="shared" si="52"/>
        <v>17.696328124999997</v>
      </c>
      <c r="AZ56" s="1068">
        <f t="shared" si="53"/>
        <v>44.240820312499991</v>
      </c>
      <c r="BA56" s="1068">
        <f t="shared" si="54"/>
        <v>44.240820312499991</v>
      </c>
      <c r="BB56" s="1068">
        <f t="shared" si="55"/>
        <v>70.785312499999989</v>
      </c>
      <c r="BC56" s="1068">
        <f t="shared" si="56"/>
        <v>70.785312499999989</v>
      </c>
      <c r="BD56" s="1068">
        <f t="shared" si="89"/>
        <v>0</v>
      </c>
      <c r="BE56" s="1068">
        <f t="shared" si="90"/>
        <v>0</v>
      </c>
      <c r="BF56" s="1069">
        <f t="shared" si="91"/>
        <v>0</v>
      </c>
      <c r="BH56" s="1067">
        <f t="shared" si="92"/>
        <v>15.9266953125</v>
      </c>
      <c r="BI56" s="1068">
        <f t="shared" si="93"/>
        <v>39.816738281249997</v>
      </c>
      <c r="BJ56" s="1068">
        <f t="shared" si="94"/>
        <v>63.706781249999999</v>
      </c>
      <c r="BK56" s="1068">
        <f t="shared" si="95"/>
        <v>8.8481640624999986</v>
      </c>
      <c r="BL56" s="1068">
        <f t="shared" si="96"/>
        <v>22.120410156249996</v>
      </c>
      <c r="BM56" s="1068">
        <f t="shared" si="97"/>
        <v>35.392656249999995</v>
      </c>
      <c r="BN56" s="1068">
        <f t="shared" si="98"/>
        <v>0</v>
      </c>
      <c r="BO56" s="1068">
        <f t="shared" si="99"/>
        <v>0</v>
      </c>
      <c r="BP56" s="1069">
        <f t="shared" si="100"/>
        <v>0</v>
      </c>
      <c r="BR56" s="1067">
        <f t="shared" si="57"/>
        <v>15.9266953125</v>
      </c>
      <c r="BS56" s="1067">
        <f t="shared" si="58"/>
        <v>15.9266953125</v>
      </c>
      <c r="BT56" s="1068">
        <f t="shared" si="59"/>
        <v>39.816738281249997</v>
      </c>
      <c r="BU56" s="1068">
        <f t="shared" si="60"/>
        <v>39.816738281249997</v>
      </c>
      <c r="BV56" s="1068">
        <f t="shared" si="61"/>
        <v>63.706781249999999</v>
      </c>
      <c r="BW56" s="1068">
        <f t="shared" si="62"/>
        <v>63.706781249999999</v>
      </c>
      <c r="BX56" s="1068">
        <f t="shared" si="63"/>
        <v>8.8481640624999986</v>
      </c>
      <c r="BY56" s="1068">
        <f t="shared" si="64"/>
        <v>8.8481640624999986</v>
      </c>
      <c r="BZ56" s="1068">
        <f t="shared" si="65"/>
        <v>22.120410156249996</v>
      </c>
      <c r="CA56" s="1068">
        <f t="shared" si="66"/>
        <v>22.120410156249996</v>
      </c>
      <c r="CB56" s="1068">
        <f t="shared" si="67"/>
        <v>35.392656249999995</v>
      </c>
      <c r="CC56" s="1068">
        <f t="shared" si="68"/>
        <v>35.392656249999995</v>
      </c>
      <c r="CD56" s="1068">
        <f t="shared" si="101"/>
        <v>0</v>
      </c>
      <c r="CE56" s="1068">
        <f t="shared" si="102"/>
        <v>0</v>
      </c>
      <c r="CF56" s="1069">
        <f t="shared" si="103"/>
        <v>0</v>
      </c>
      <c r="CG56" s="599"/>
      <c r="CH56" s="1067">
        <f t="shared" si="69"/>
        <v>12.945639375000003</v>
      </c>
      <c r="CI56" s="1067">
        <f t="shared" si="70"/>
        <v>21.340794375000002</v>
      </c>
      <c r="CJ56" s="1068">
        <f t="shared" si="71"/>
        <v>32.364098437500004</v>
      </c>
      <c r="CK56" s="1068">
        <f t="shared" si="72"/>
        <v>53.351985937499997</v>
      </c>
      <c r="CL56" s="1068">
        <f t="shared" si="73"/>
        <v>51.78255750000001</v>
      </c>
      <c r="CM56" s="1068">
        <f t="shared" si="74"/>
        <v>85.363177500000006</v>
      </c>
      <c r="CN56" s="1068">
        <f t="shared" si="75"/>
        <v>7.1920218750000009</v>
      </c>
      <c r="CO56" s="1068">
        <f t="shared" si="76"/>
        <v>11.855996875000001</v>
      </c>
      <c r="CP56" s="1068">
        <f t="shared" si="77"/>
        <v>17.980054687500001</v>
      </c>
      <c r="CQ56" s="1069">
        <f t="shared" si="78"/>
        <v>29.639992187499999</v>
      </c>
      <c r="CR56" s="1069">
        <f t="shared" si="79"/>
        <v>28.768087500000004</v>
      </c>
      <c r="CS56" s="1069">
        <f t="shared" si="80"/>
        <v>47.423987500000003</v>
      </c>
      <c r="CV56" s="345">
        <v>2006</v>
      </c>
      <c r="CW56" s="1097">
        <f>SUM('POSF Inventory'!HF61,'POSF Inventory'!HH61,'POSF Inventory'!HJ61)*$CY$1</f>
        <v>3.0171781249999996</v>
      </c>
      <c r="CX56" s="1098">
        <f>SUM('POSF Inventory'!HG61,'POSF Inventory'!HI61,'POSF Inventory'!HK61)*$CY$2</f>
        <v>3.1077488749999995</v>
      </c>
      <c r="CY56" s="1097">
        <f>SUM('POSF Inventory'!HL61,'POSF Inventory'!HN61,'POSF Inventory'!HP61)*$CY$1</f>
        <v>9.9112784631250008</v>
      </c>
      <c r="CZ56" s="1098">
        <f>SUM('POSF Inventory'!HM61,'POSF Inventory'!HO61,'POSF Inventory'!HQ61)*$CY$2</f>
        <v>80.697853534375</v>
      </c>
      <c r="DA56" s="1097">
        <f>SUM('POSF Inventory'!HR61,'POSF Inventory'!HT61,'POSF Inventory'!HV61)*$CY$3</f>
        <v>25.657944372948727</v>
      </c>
      <c r="DB56" s="1098">
        <f>SUM('POSF Inventory'!HS61,'POSF Inventory'!HU61,'POSF Inventory'!HW61)*$CY$4</f>
        <v>78.965757666631831</v>
      </c>
      <c r="DC56" s="1046">
        <f t="shared" si="81"/>
        <v>38.586400961073728</v>
      </c>
      <c r="DD56" s="1050">
        <f t="shared" si="82"/>
        <v>162.77136007600683</v>
      </c>
      <c r="DI56" s="345">
        <v>118.4</v>
      </c>
      <c r="DJ56" s="1041">
        <v>88.481640624999983</v>
      </c>
    </row>
    <row r="57" spans="2:114" x14ac:dyDescent="0.2">
      <c r="B57" s="345">
        <v>2007</v>
      </c>
      <c r="C57" s="774">
        <f>SUM('POSF Inventory'!FF62,'POSF Inventory'!FH62)</f>
        <v>88.46825312499999</v>
      </c>
      <c r="D57" s="774">
        <f>SUM('POSF Inventory'!FB62,'POSF Inventory'!FD62)</f>
        <v>88.46825312499999</v>
      </c>
      <c r="E57" s="774">
        <f>SUM('POSF Inventory'!FC62,'POSF Inventory'!FE62)</f>
        <v>88.46825312499999</v>
      </c>
      <c r="F57" s="774">
        <f>SUM('POSF Inventory'!FB62,'POSF Inventory'!FD62,'POSF Inventory'!J62)</f>
        <v>119.45385312499999</v>
      </c>
      <c r="G57" s="774">
        <f>SUM('POSF Inventory'!FC62,'POSF Inventory'!FE62,'POSF Inventory'!K62)</f>
        <v>119.45385312499999</v>
      </c>
      <c r="H57" s="1106">
        <f>SUM('POSF Inventory'!DL62,'POSF Inventory'!DN62)</f>
        <v>48.596518750000001</v>
      </c>
      <c r="I57" s="1041">
        <f>SUM('POSF Inventory'!DM62,'POSF Inventory'!DO62)</f>
        <v>71.916393749999997</v>
      </c>
      <c r="J57" s="592"/>
      <c r="K57" s="1046">
        <f t="shared" si="83"/>
        <v>8.8468253125</v>
      </c>
      <c r="L57" s="1047">
        <f t="shared" si="84"/>
        <v>79.621427812499988</v>
      </c>
      <c r="M57" s="1046">
        <f t="shared" si="85"/>
        <v>44.234126562499995</v>
      </c>
      <c r="N57" s="1047">
        <f t="shared" si="86"/>
        <v>44.234126562499995</v>
      </c>
      <c r="O57" s="1046">
        <f t="shared" si="87"/>
        <v>88.46825312499999</v>
      </c>
      <c r="P57" s="889">
        <f t="shared" si="88"/>
        <v>0</v>
      </c>
      <c r="Q57" s="1048"/>
      <c r="R57" s="889">
        <f t="shared" si="21"/>
        <v>8.8468253125</v>
      </c>
      <c r="S57" s="889">
        <f t="shared" si="104"/>
        <v>8.8468253125</v>
      </c>
      <c r="T57" s="1047">
        <f t="shared" si="23"/>
        <v>79.621427812499988</v>
      </c>
      <c r="U57" s="1047">
        <f t="shared" si="105"/>
        <v>79.621427812499988</v>
      </c>
      <c r="V57" s="1046">
        <f t="shared" si="25"/>
        <v>44.234126562499995</v>
      </c>
      <c r="W57" s="1046">
        <f t="shared" si="106"/>
        <v>44.234126562499995</v>
      </c>
      <c r="X57" s="1047">
        <f t="shared" si="27"/>
        <v>44.234126562499995</v>
      </c>
      <c r="Y57" s="1047">
        <f t="shared" si="107"/>
        <v>44.234126562499995</v>
      </c>
      <c r="Z57" s="1049">
        <f t="shared" si="29"/>
        <v>88.46825312499999</v>
      </c>
      <c r="AA57" s="1049">
        <f t="shared" si="108"/>
        <v>88.46825312499999</v>
      </c>
      <c r="AB57" s="1050">
        <f t="shared" si="31"/>
        <v>0</v>
      </c>
      <c r="AC57" s="1050">
        <f t="shared" si="109"/>
        <v>0</v>
      </c>
      <c r="AD57" s="898"/>
      <c r="AE57" s="1046">
        <f t="shared" si="33"/>
        <v>17.693650625</v>
      </c>
      <c r="AF57" s="1046">
        <f t="shared" si="34"/>
        <v>17.693650625</v>
      </c>
      <c r="AG57" s="1046">
        <f t="shared" si="35"/>
        <v>159.24285562499998</v>
      </c>
      <c r="AH57" s="889">
        <f t="shared" si="36"/>
        <v>159.24285562499998</v>
      </c>
      <c r="AI57" s="889">
        <f t="shared" si="37"/>
        <v>88.46825312499999</v>
      </c>
      <c r="AJ57" s="889">
        <f t="shared" si="38"/>
        <v>88.46825312499999</v>
      </c>
      <c r="AK57" s="889">
        <f t="shared" si="39"/>
        <v>88.46825312499999</v>
      </c>
      <c r="AL57" s="889">
        <f t="shared" si="40"/>
        <v>88.46825312499999</v>
      </c>
      <c r="AM57" s="889">
        <f t="shared" si="41"/>
        <v>176.93650624999998</v>
      </c>
      <c r="AN57" s="1050">
        <f t="shared" si="42"/>
        <v>176.93650624999998</v>
      </c>
      <c r="AO57" s="1050">
        <f t="shared" si="43"/>
        <v>0</v>
      </c>
      <c r="AP57" s="1050">
        <f t="shared" si="44"/>
        <v>0</v>
      </c>
      <c r="AR57" s="1067">
        <f t="shared" si="45"/>
        <v>31.848571124999996</v>
      </c>
      <c r="AS57" s="1067">
        <f t="shared" si="46"/>
        <v>31.848571124999996</v>
      </c>
      <c r="AT57" s="1068">
        <f t="shared" si="47"/>
        <v>79.621427812499988</v>
      </c>
      <c r="AU57" s="1068">
        <f t="shared" si="48"/>
        <v>79.621427812499988</v>
      </c>
      <c r="AV57" s="1068">
        <f t="shared" si="49"/>
        <v>127.39428449999998</v>
      </c>
      <c r="AW57" s="1068">
        <f t="shared" si="50"/>
        <v>127.39428449999998</v>
      </c>
      <c r="AX57" s="1068">
        <f t="shared" si="51"/>
        <v>17.693650625</v>
      </c>
      <c r="AY57" s="1068">
        <f t="shared" si="52"/>
        <v>17.693650625</v>
      </c>
      <c r="AZ57" s="1068">
        <f t="shared" si="53"/>
        <v>44.234126562499995</v>
      </c>
      <c r="BA57" s="1068">
        <f t="shared" si="54"/>
        <v>44.234126562499995</v>
      </c>
      <c r="BB57" s="1068">
        <f t="shared" si="55"/>
        <v>70.7746025</v>
      </c>
      <c r="BC57" s="1068">
        <f t="shared" si="56"/>
        <v>70.7746025</v>
      </c>
      <c r="BD57" s="1068">
        <f t="shared" si="89"/>
        <v>0</v>
      </c>
      <c r="BE57" s="1068">
        <f t="shared" si="90"/>
        <v>0</v>
      </c>
      <c r="BF57" s="1069">
        <f t="shared" si="91"/>
        <v>0</v>
      </c>
      <c r="BH57" s="1067">
        <f t="shared" si="92"/>
        <v>15.924285562499998</v>
      </c>
      <c r="BI57" s="1068">
        <f t="shared" si="93"/>
        <v>39.810713906249994</v>
      </c>
      <c r="BJ57" s="1068">
        <f t="shared" si="94"/>
        <v>63.697142249999992</v>
      </c>
      <c r="BK57" s="1068">
        <f t="shared" si="95"/>
        <v>8.8468253125</v>
      </c>
      <c r="BL57" s="1068">
        <f t="shared" si="96"/>
        <v>22.117063281249997</v>
      </c>
      <c r="BM57" s="1068">
        <f t="shared" si="97"/>
        <v>35.38730125</v>
      </c>
      <c r="BN57" s="1068">
        <f t="shared" si="98"/>
        <v>0</v>
      </c>
      <c r="BO57" s="1068">
        <f t="shared" si="99"/>
        <v>0</v>
      </c>
      <c r="BP57" s="1069">
        <f t="shared" si="100"/>
        <v>0</v>
      </c>
      <c r="BR57" s="1067">
        <f t="shared" si="57"/>
        <v>15.924285562499998</v>
      </c>
      <c r="BS57" s="1067">
        <f t="shared" si="58"/>
        <v>15.924285562499998</v>
      </c>
      <c r="BT57" s="1068">
        <f t="shared" si="59"/>
        <v>39.810713906249994</v>
      </c>
      <c r="BU57" s="1068">
        <f t="shared" si="60"/>
        <v>39.810713906249994</v>
      </c>
      <c r="BV57" s="1068">
        <f t="shared" si="61"/>
        <v>63.697142249999992</v>
      </c>
      <c r="BW57" s="1068">
        <f t="shared" si="62"/>
        <v>63.697142249999992</v>
      </c>
      <c r="BX57" s="1068">
        <f t="shared" si="63"/>
        <v>8.8468253125</v>
      </c>
      <c r="BY57" s="1068">
        <f t="shared" si="64"/>
        <v>8.8468253125</v>
      </c>
      <c r="BZ57" s="1068">
        <f t="shared" si="65"/>
        <v>22.117063281249997</v>
      </c>
      <c r="CA57" s="1068">
        <f t="shared" si="66"/>
        <v>22.117063281249997</v>
      </c>
      <c r="CB57" s="1068">
        <f t="shared" si="67"/>
        <v>35.38730125</v>
      </c>
      <c r="CC57" s="1068">
        <f t="shared" si="68"/>
        <v>35.38730125</v>
      </c>
      <c r="CD57" s="1068">
        <f t="shared" si="101"/>
        <v>0</v>
      </c>
      <c r="CE57" s="1068">
        <f t="shared" si="102"/>
        <v>0</v>
      </c>
      <c r="CF57" s="1069">
        <f t="shared" si="103"/>
        <v>0</v>
      </c>
      <c r="CG57" s="599"/>
      <c r="CH57" s="1067">
        <f t="shared" si="69"/>
        <v>8.7473733750000005</v>
      </c>
      <c r="CI57" s="1067">
        <f t="shared" si="70"/>
        <v>12.944950875000002</v>
      </c>
      <c r="CJ57" s="1068">
        <f t="shared" si="71"/>
        <v>21.868433437500002</v>
      </c>
      <c r="CK57" s="1068">
        <f t="shared" si="72"/>
        <v>32.362377187500002</v>
      </c>
      <c r="CL57" s="1068">
        <f t="shared" si="73"/>
        <v>34.989493500000002</v>
      </c>
      <c r="CM57" s="1068">
        <f t="shared" si="74"/>
        <v>51.779803500000007</v>
      </c>
      <c r="CN57" s="1068">
        <f t="shared" si="75"/>
        <v>4.8596518750000008</v>
      </c>
      <c r="CO57" s="1068">
        <f t="shared" si="76"/>
        <v>7.1916393750000003</v>
      </c>
      <c r="CP57" s="1068">
        <f t="shared" si="77"/>
        <v>12.1491296875</v>
      </c>
      <c r="CQ57" s="1069">
        <f t="shared" si="78"/>
        <v>17.979098437499999</v>
      </c>
      <c r="CR57" s="1069">
        <f t="shared" si="79"/>
        <v>19.438607500000003</v>
      </c>
      <c r="CS57" s="1069">
        <f t="shared" si="80"/>
        <v>28.766557500000001</v>
      </c>
      <c r="CV57" s="345">
        <v>2007</v>
      </c>
      <c r="CW57" s="1097">
        <f>SUM('POSF Inventory'!HF62,'POSF Inventory'!HH62,'POSF Inventory'!HJ62)*$CY$1</f>
        <v>2.9755618749999999</v>
      </c>
      <c r="CX57" s="1098">
        <f>SUM('POSF Inventory'!HG62,'POSF Inventory'!HI62,'POSF Inventory'!HK62)*$CY$2</f>
        <v>3.0243193749999997</v>
      </c>
      <c r="CY57" s="1097">
        <f>SUM('POSF Inventory'!HL62,'POSF Inventory'!HN62,'POSF Inventory'!HP62)*$CY$1</f>
        <v>8.3524653468750003</v>
      </c>
      <c r="CZ57" s="1098">
        <f>SUM('POSF Inventory'!HM62,'POSF Inventory'!HO62,'POSF Inventory'!HQ62)*$CY$2</f>
        <v>54.363503906249996</v>
      </c>
      <c r="DA57" s="1097">
        <f>SUM('POSF Inventory'!HR62,'POSF Inventory'!HT62,'POSF Inventory'!HV62)*$CY$3</f>
        <v>25.662329519708329</v>
      </c>
      <c r="DB57" s="1098">
        <f>SUM('POSF Inventory'!HS62,'POSF Inventory'!HU62,'POSF Inventory'!HW62)*$CY$4</f>
        <v>70.79546632976114</v>
      </c>
      <c r="DC57" s="1046">
        <f t="shared" si="81"/>
        <v>36.990356741583327</v>
      </c>
      <c r="DD57" s="1050">
        <f t="shared" si="82"/>
        <v>128.18328961101113</v>
      </c>
      <c r="DI57" s="345">
        <v>85.2</v>
      </c>
      <c r="DJ57" s="1041">
        <v>88.46825312499999</v>
      </c>
    </row>
    <row r="58" spans="2:114" x14ac:dyDescent="0.2">
      <c r="B58" s="345">
        <v>2008</v>
      </c>
      <c r="C58" s="774">
        <f>SUM('POSF Inventory'!FF63,'POSF Inventory'!FH63)</f>
        <v>88.899453124999994</v>
      </c>
      <c r="D58" s="774">
        <f>SUM('POSF Inventory'!FB63,'POSF Inventory'!FD63)</f>
        <v>88.899453124999994</v>
      </c>
      <c r="E58" s="774">
        <f>SUM('POSF Inventory'!FC63,'POSF Inventory'!FE63)</f>
        <v>88.899453124999994</v>
      </c>
      <c r="F58" s="774">
        <f>SUM('POSF Inventory'!FB63,'POSF Inventory'!FD63,'POSF Inventory'!J63)</f>
        <v>118.89945312499999</v>
      </c>
      <c r="G58" s="774">
        <f>SUM('POSF Inventory'!FC63,'POSF Inventory'!FE63,'POSF Inventory'!K63)</f>
        <v>118.89945312499999</v>
      </c>
      <c r="H58" s="1106">
        <f>SUM('POSF Inventory'!DL63,'POSF Inventory'!DN63)</f>
        <v>25.399843749999999</v>
      </c>
      <c r="I58" s="1041">
        <f>SUM('POSF Inventory'!DM63,'POSF Inventory'!DO63)</f>
        <v>25.399843749999999</v>
      </c>
      <c r="J58" s="592"/>
      <c r="K58" s="1046">
        <f t="shared" si="83"/>
        <v>8.8899453125000001</v>
      </c>
      <c r="L58" s="1047">
        <f t="shared" si="84"/>
        <v>80.00950781249999</v>
      </c>
      <c r="M58" s="1046">
        <f t="shared" si="85"/>
        <v>44.449726562499997</v>
      </c>
      <c r="N58" s="1047">
        <f t="shared" si="86"/>
        <v>44.449726562499997</v>
      </c>
      <c r="O58" s="1046">
        <f t="shared" si="87"/>
        <v>88.899453124999994</v>
      </c>
      <c r="P58" s="889">
        <f t="shared" si="88"/>
        <v>0</v>
      </c>
      <c r="Q58" s="1048"/>
      <c r="R58" s="889">
        <f t="shared" si="21"/>
        <v>8.8899453125000001</v>
      </c>
      <c r="S58" s="889">
        <f t="shared" si="104"/>
        <v>8.8899453125000001</v>
      </c>
      <c r="T58" s="1047">
        <f t="shared" si="23"/>
        <v>80.00950781249999</v>
      </c>
      <c r="U58" s="1047">
        <f t="shared" si="105"/>
        <v>80.00950781249999</v>
      </c>
      <c r="V58" s="1046">
        <f t="shared" si="25"/>
        <v>44.449726562499997</v>
      </c>
      <c r="W58" s="1046">
        <f t="shared" si="106"/>
        <v>44.449726562499997</v>
      </c>
      <c r="X58" s="1047">
        <f t="shared" si="27"/>
        <v>44.449726562499997</v>
      </c>
      <c r="Y58" s="1047">
        <f t="shared" si="107"/>
        <v>44.449726562499997</v>
      </c>
      <c r="Z58" s="1049">
        <f t="shared" si="29"/>
        <v>88.899453124999994</v>
      </c>
      <c r="AA58" s="1049">
        <f t="shared" si="108"/>
        <v>88.899453124999994</v>
      </c>
      <c r="AB58" s="1050">
        <f t="shared" si="31"/>
        <v>0</v>
      </c>
      <c r="AC58" s="1050">
        <f t="shared" si="109"/>
        <v>0</v>
      </c>
      <c r="AD58" s="898"/>
      <c r="AE58" s="1046">
        <f t="shared" si="33"/>
        <v>17.779890625</v>
      </c>
      <c r="AF58" s="1046">
        <f t="shared" si="34"/>
        <v>17.779890625</v>
      </c>
      <c r="AG58" s="1046">
        <f t="shared" si="35"/>
        <v>160.01901562499998</v>
      </c>
      <c r="AH58" s="889">
        <f t="shared" si="36"/>
        <v>160.01901562499998</v>
      </c>
      <c r="AI58" s="889">
        <f t="shared" si="37"/>
        <v>88.899453124999994</v>
      </c>
      <c r="AJ58" s="889">
        <f t="shared" si="38"/>
        <v>88.899453124999994</v>
      </c>
      <c r="AK58" s="889">
        <f t="shared" si="39"/>
        <v>88.899453124999994</v>
      </c>
      <c r="AL58" s="889">
        <f t="shared" si="40"/>
        <v>88.899453124999994</v>
      </c>
      <c r="AM58" s="889">
        <f t="shared" si="41"/>
        <v>177.79890624999999</v>
      </c>
      <c r="AN58" s="1050">
        <f t="shared" si="42"/>
        <v>177.79890624999999</v>
      </c>
      <c r="AO58" s="1050">
        <f t="shared" si="43"/>
        <v>0</v>
      </c>
      <c r="AP58" s="1050">
        <f t="shared" si="44"/>
        <v>0</v>
      </c>
      <c r="AR58" s="1067">
        <f t="shared" si="45"/>
        <v>32.003803124999997</v>
      </c>
      <c r="AS58" s="1067">
        <f t="shared" si="46"/>
        <v>32.003803124999997</v>
      </c>
      <c r="AT58" s="1068">
        <f t="shared" si="47"/>
        <v>80.00950781249999</v>
      </c>
      <c r="AU58" s="1068">
        <f t="shared" si="48"/>
        <v>80.00950781249999</v>
      </c>
      <c r="AV58" s="1068">
        <f t="shared" si="49"/>
        <v>128.01521249999999</v>
      </c>
      <c r="AW58" s="1068">
        <f t="shared" si="50"/>
        <v>128.01521249999999</v>
      </c>
      <c r="AX58" s="1068">
        <f t="shared" si="51"/>
        <v>17.779890625</v>
      </c>
      <c r="AY58" s="1068">
        <f t="shared" si="52"/>
        <v>17.779890625</v>
      </c>
      <c r="AZ58" s="1068">
        <f t="shared" si="53"/>
        <v>44.449726562499997</v>
      </c>
      <c r="BA58" s="1068">
        <f t="shared" si="54"/>
        <v>44.449726562499997</v>
      </c>
      <c r="BB58" s="1068">
        <f t="shared" si="55"/>
        <v>71.119562500000001</v>
      </c>
      <c r="BC58" s="1068">
        <f t="shared" si="56"/>
        <v>71.119562500000001</v>
      </c>
      <c r="BD58" s="1068">
        <f t="shared" si="89"/>
        <v>0</v>
      </c>
      <c r="BE58" s="1068">
        <f t="shared" si="90"/>
        <v>0</v>
      </c>
      <c r="BF58" s="1069">
        <f t="shared" si="91"/>
        <v>0</v>
      </c>
      <c r="BH58" s="1067">
        <f t="shared" si="92"/>
        <v>16.001901562499999</v>
      </c>
      <c r="BI58" s="1068">
        <f t="shared" si="93"/>
        <v>40.004753906249995</v>
      </c>
      <c r="BJ58" s="1068">
        <f t="shared" si="94"/>
        <v>64.007606249999995</v>
      </c>
      <c r="BK58" s="1068">
        <f t="shared" si="95"/>
        <v>8.8899453125000001</v>
      </c>
      <c r="BL58" s="1068">
        <f t="shared" si="96"/>
        <v>22.224863281249998</v>
      </c>
      <c r="BM58" s="1068">
        <f t="shared" si="97"/>
        <v>35.55978125</v>
      </c>
      <c r="BN58" s="1068">
        <f t="shared" si="98"/>
        <v>0</v>
      </c>
      <c r="BO58" s="1068">
        <f t="shared" si="99"/>
        <v>0</v>
      </c>
      <c r="BP58" s="1069">
        <f t="shared" si="100"/>
        <v>0</v>
      </c>
      <c r="BR58" s="1067">
        <f t="shared" si="57"/>
        <v>16.001901562499999</v>
      </c>
      <c r="BS58" s="1067">
        <f t="shared" si="58"/>
        <v>16.001901562499999</v>
      </c>
      <c r="BT58" s="1068">
        <f t="shared" si="59"/>
        <v>40.004753906249995</v>
      </c>
      <c r="BU58" s="1068">
        <f t="shared" si="60"/>
        <v>40.004753906249995</v>
      </c>
      <c r="BV58" s="1068">
        <f t="shared" si="61"/>
        <v>64.007606249999995</v>
      </c>
      <c r="BW58" s="1068">
        <f t="shared" si="62"/>
        <v>64.007606249999995</v>
      </c>
      <c r="BX58" s="1068">
        <f t="shared" si="63"/>
        <v>8.8899453125000001</v>
      </c>
      <c r="BY58" s="1068">
        <f t="shared" si="64"/>
        <v>8.8899453125000001</v>
      </c>
      <c r="BZ58" s="1068">
        <f t="shared" si="65"/>
        <v>22.224863281249998</v>
      </c>
      <c r="CA58" s="1068">
        <f t="shared" si="66"/>
        <v>22.224863281249998</v>
      </c>
      <c r="CB58" s="1068">
        <f t="shared" si="67"/>
        <v>35.55978125</v>
      </c>
      <c r="CC58" s="1068">
        <f t="shared" si="68"/>
        <v>35.55978125</v>
      </c>
      <c r="CD58" s="1068">
        <f t="shared" si="101"/>
        <v>0</v>
      </c>
      <c r="CE58" s="1068">
        <f t="shared" si="102"/>
        <v>0</v>
      </c>
      <c r="CF58" s="1069">
        <f t="shared" si="103"/>
        <v>0</v>
      </c>
      <c r="CG58" s="599"/>
      <c r="CH58" s="1067">
        <f t="shared" si="69"/>
        <v>4.571971875</v>
      </c>
      <c r="CI58" s="1067">
        <f t="shared" si="70"/>
        <v>4.571971875</v>
      </c>
      <c r="CJ58" s="1068">
        <f t="shared" si="71"/>
        <v>11.4299296875</v>
      </c>
      <c r="CK58" s="1068">
        <f t="shared" si="72"/>
        <v>11.4299296875</v>
      </c>
      <c r="CL58" s="1068">
        <f t="shared" si="73"/>
        <v>18.2878875</v>
      </c>
      <c r="CM58" s="1068">
        <f t="shared" si="74"/>
        <v>18.2878875</v>
      </c>
      <c r="CN58" s="1068">
        <f t="shared" si="75"/>
        <v>2.539984375</v>
      </c>
      <c r="CO58" s="1068">
        <f t="shared" si="76"/>
        <v>2.539984375</v>
      </c>
      <c r="CP58" s="1068">
        <f t="shared" si="77"/>
        <v>6.3499609374999997</v>
      </c>
      <c r="CQ58" s="1069">
        <f t="shared" si="78"/>
        <v>6.3499609374999997</v>
      </c>
      <c r="CR58" s="1069">
        <f t="shared" si="79"/>
        <v>10.1599375</v>
      </c>
      <c r="CS58" s="1069">
        <f t="shared" si="80"/>
        <v>10.1599375</v>
      </c>
      <c r="CV58" s="345">
        <v>2008</v>
      </c>
      <c r="CW58" s="1097">
        <f>SUM('POSF Inventory'!HF63,'POSF Inventory'!HH63,'POSF Inventory'!HJ63)*$CY$1</f>
        <v>2.9339456250000002</v>
      </c>
      <c r="CX58" s="1098">
        <f>SUM('POSF Inventory'!HG63,'POSF Inventory'!HI63,'POSF Inventory'!HK63)*$CY$2</f>
        <v>2.9408898749999999</v>
      </c>
      <c r="CY58" s="1097">
        <f>SUM('POSF Inventory'!HL63,'POSF Inventory'!HN63,'POSF Inventory'!HP63)*$CY$1</f>
        <v>6.3307975656249997</v>
      </c>
      <c r="CZ58" s="1098">
        <f>SUM('POSF Inventory'!HM63,'POSF Inventory'!HO63,'POSF Inventory'!HQ63)*$CY$2</f>
        <v>34.54949526875</v>
      </c>
      <c r="DA58" s="1097">
        <f>SUM('POSF Inventory'!HR63,'POSF Inventory'!HT63,'POSF Inventory'!HV63)*$CY$3</f>
        <v>26.241055953063427</v>
      </c>
      <c r="DB58" s="1098">
        <f>SUM('POSF Inventory'!HS63,'POSF Inventory'!HU63,'POSF Inventory'!HW63)*$CY$4</f>
        <v>75.425803396343269</v>
      </c>
      <c r="DC58" s="1046">
        <f t="shared" si="81"/>
        <v>35.505799143688428</v>
      </c>
      <c r="DD58" s="1050">
        <f t="shared" si="82"/>
        <v>112.91618854009327</v>
      </c>
      <c r="DI58" s="348">
        <v>47.4</v>
      </c>
      <c r="DJ58" s="1043">
        <v>88.899453124999994</v>
      </c>
    </row>
    <row r="59" spans="2:114" x14ac:dyDescent="0.2">
      <c r="B59" s="345">
        <v>2009</v>
      </c>
      <c r="C59" s="774">
        <f>SUM('POSF Inventory'!FF64,'POSF Inventory'!FH64)</f>
        <v>0</v>
      </c>
      <c r="D59" s="774">
        <f>SUM('POSF Inventory'!FB64,'POSF Inventory'!FD64)</f>
        <v>68.577494999999999</v>
      </c>
      <c r="E59" s="774">
        <f>SUM('POSF Inventory'!FC64,'POSF Inventory'!FE64)</f>
        <v>68.577494999999999</v>
      </c>
      <c r="F59" s="774">
        <f>SUM('POSF Inventory'!FB64,'POSF Inventory'!FD64,'POSF Inventory'!J64)</f>
        <v>91.872995000000003</v>
      </c>
      <c r="G59" s="774">
        <f>SUM('POSF Inventory'!FC64,'POSF Inventory'!FE64,'POSF Inventory'!K64)</f>
        <v>91.872995000000003</v>
      </c>
      <c r="H59" s="1106">
        <f>SUM('POSF Inventory'!DL64,'POSF Inventory'!DN64)</f>
        <v>29.390355000000003</v>
      </c>
      <c r="I59" s="1041">
        <f>SUM('POSF Inventory'!DM64,'POSF Inventory'!DO64)</f>
        <v>29.390355000000003</v>
      </c>
      <c r="J59" s="592"/>
      <c r="K59" s="1046">
        <f t="shared" si="83"/>
        <v>0</v>
      </c>
      <c r="L59" s="1047">
        <f t="shared" si="84"/>
        <v>0</v>
      </c>
      <c r="M59" s="1046">
        <f t="shared" si="85"/>
        <v>0</v>
      </c>
      <c r="N59" s="1047">
        <f t="shared" si="86"/>
        <v>0</v>
      </c>
      <c r="O59" s="1046">
        <f t="shared" si="87"/>
        <v>0</v>
      </c>
      <c r="P59" s="889">
        <f t="shared" si="88"/>
        <v>0</v>
      </c>
      <c r="Q59" s="1048"/>
      <c r="R59" s="889">
        <f t="shared" si="21"/>
        <v>6.8577495000000006</v>
      </c>
      <c r="S59" s="889">
        <f t="shared" si="104"/>
        <v>6.8577495000000006</v>
      </c>
      <c r="T59" s="1047">
        <f t="shared" si="23"/>
        <v>61.719745500000002</v>
      </c>
      <c r="U59" s="1047">
        <f t="shared" si="105"/>
        <v>61.719745500000002</v>
      </c>
      <c r="V59" s="1046">
        <f t="shared" si="25"/>
        <v>34.288747499999999</v>
      </c>
      <c r="W59" s="1046">
        <f t="shared" si="106"/>
        <v>34.288747499999999</v>
      </c>
      <c r="X59" s="1047">
        <f t="shared" si="27"/>
        <v>34.288747499999999</v>
      </c>
      <c r="Y59" s="1047">
        <f t="shared" si="107"/>
        <v>34.288747499999999</v>
      </c>
      <c r="Z59" s="1049">
        <f t="shared" si="29"/>
        <v>68.577494999999999</v>
      </c>
      <c r="AA59" s="1049">
        <f t="shared" si="108"/>
        <v>68.577494999999999</v>
      </c>
      <c r="AB59" s="1050">
        <f t="shared" si="31"/>
        <v>0</v>
      </c>
      <c r="AC59" s="1050">
        <f t="shared" si="109"/>
        <v>0</v>
      </c>
      <c r="AD59" s="898"/>
      <c r="AE59" s="1046">
        <f t="shared" si="33"/>
        <v>6.8577495000000006</v>
      </c>
      <c r="AF59" s="1046">
        <f t="shared" si="34"/>
        <v>6.8577495000000006</v>
      </c>
      <c r="AG59" s="1046">
        <f t="shared" si="35"/>
        <v>61.719745500000002</v>
      </c>
      <c r="AH59" s="889">
        <f t="shared" si="36"/>
        <v>61.719745500000002</v>
      </c>
      <c r="AI59" s="889">
        <f t="shared" si="37"/>
        <v>34.288747499999999</v>
      </c>
      <c r="AJ59" s="889">
        <f t="shared" si="38"/>
        <v>34.288747499999999</v>
      </c>
      <c r="AK59" s="889">
        <f t="shared" si="39"/>
        <v>34.288747499999999</v>
      </c>
      <c r="AL59" s="889">
        <f t="shared" si="40"/>
        <v>34.288747499999999</v>
      </c>
      <c r="AM59" s="889">
        <f t="shared" si="41"/>
        <v>68.577494999999999</v>
      </c>
      <c r="AN59" s="1050">
        <f t="shared" si="42"/>
        <v>68.577494999999999</v>
      </c>
      <c r="AO59" s="1050">
        <f t="shared" si="43"/>
        <v>0</v>
      </c>
      <c r="AP59" s="1050">
        <f t="shared" si="44"/>
        <v>0</v>
      </c>
      <c r="AR59" s="1067">
        <f t="shared" si="45"/>
        <v>12.343949100000001</v>
      </c>
      <c r="AS59" s="1067">
        <f t="shared" si="46"/>
        <v>12.343949100000001</v>
      </c>
      <c r="AT59" s="1068">
        <f t="shared" si="47"/>
        <v>30.859872750000001</v>
      </c>
      <c r="AU59" s="1068">
        <f t="shared" si="48"/>
        <v>30.859872750000001</v>
      </c>
      <c r="AV59" s="1068">
        <f t="shared" si="49"/>
        <v>49.375796400000006</v>
      </c>
      <c r="AW59" s="1068">
        <f t="shared" si="50"/>
        <v>49.375796400000006</v>
      </c>
      <c r="AX59" s="1068">
        <f t="shared" si="51"/>
        <v>6.8577495000000006</v>
      </c>
      <c r="AY59" s="1068">
        <f t="shared" si="52"/>
        <v>6.8577495000000006</v>
      </c>
      <c r="AZ59" s="1068">
        <f t="shared" si="53"/>
        <v>17.14437375</v>
      </c>
      <c r="BA59" s="1068">
        <f t="shared" si="54"/>
        <v>17.14437375</v>
      </c>
      <c r="BB59" s="1068">
        <f t="shared" si="55"/>
        <v>27.430998000000002</v>
      </c>
      <c r="BC59" s="1068">
        <f t="shared" si="56"/>
        <v>27.430998000000002</v>
      </c>
      <c r="BD59" s="1068">
        <f t="shared" si="89"/>
        <v>0</v>
      </c>
      <c r="BE59" s="1068">
        <f t="shared" si="90"/>
        <v>0</v>
      </c>
      <c r="BF59" s="1069">
        <f t="shared" si="91"/>
        <v>0</v>
      </c>
      <c r="BH59" s="1067">
        <f t="shared" si="92"/>
        <v>0</v>
      </c>
      <c r="BI59" s="1068">
        <f t="shared" si="93"/>
        <v>0</v>
      </c>
      <c r="BJ59" s="1068">
        <f t="shared" si="94"/>
        <v>0</v>
      </c>
      <c r="BK59" s="1068">
        <f t="shared" si="95"/>
        <v>0</v>
      </c>
      <c r="BL59" s="1068">
        <f t="shared" si="96"/>
        <v>0</v>
      </c>
      <c r="BM59" s="1068">
        <f t="shared" si="97"/>
        <v>0</v>
      </c>
      <c r="BN59" s="1068">
        <f t="shared" si="98"/>
        <v>0</v>
      </c>
      <c r="BO59" s="1068">
        <f t="shared" si="99"/>
        <v>0</v>
      </c>
      <c r="BP59" s="1069">
        <f t="shared" si="100"/>
        <v>0</v>
      </c>
      <c r="BR59" s="1067">
        <f t="shared" si="57"/>
        <v>12.343949100000001</v>
      </c>
      <c r="BS59" s="1067">
        <f t="shared" si="58"/>
        <v>12.343949100000001</v>
      </c>
      <c r="BT59" s="1068">
        <f t="shared" si="59"/>
        <v>30.859872750000001</v>
      </c>
      <c r="BU59" s="1068">
        <f t="shared" si="60"/>
        <v>30.859872750000001</v>
      </c>
      <c r="BV59" s="1068">
        <f t="shared" si="61"/>
        <v>49.375796400000006</v>
      </c>
      <c r="BW59" s="1068">
        <f t="shared" si="62"/>
        <v>49.375796400000006</v>
      </c>
      <c r="BX59" s="1068">
        <f t="shared" si="63"/>
        <v>6.8577495000000006</v>
      </c>
      <c r="BY59" s="1068">
        <f t="shared" si="64"/>
        <v>6.8577495000000006</v>
      </c>
      <c r="BZ59" s="1068">
        <f t="shared" si="65"/>
        <v>17.14437375</v>
      </c>
      <c r="CA59" s="1068">
        <f t="shared" si="66"/>
        <v>17.14437375</v>
      </c>
      <c r="CB59" s="1068">
        <f t="shared" si="67"/>
        <v>27.430998000000002</v>
      </c>
      <c r="CC59" s="1068">
        <f t="shared" si="68"/>
        <v>27.430998000000002</v>
      </c>
      <c r="CD59" s="1068">
        <f t="shared" si="101"/>
        <v>0</v>
      </c>
      <c r="CE59" s="1068">
        <f t="shared" si="102"/>
        <v>0</v>
      </c>
      <c r="CF59" s="1069">
        <f t="shared" si="103"/>
        <v>0</v>
      </c>
      <c r="CG59" s="599"/>
      <c r="CH59" s="1067">
        <f t="shared" si="69"/>
        <v>5.2902639000000011</v>
      </c>
      <c r="CI59" s="1067">
        <f t="shared" si="70"/>
        <v>5.2902639000000011</v>
      </c>
      <c r="CJ59" s="1068">
        <f t="shared" si="71"/>
        <v>13.225659750000002</v>
      </c>
      <c r="CK59" s="1068">
        <f t="shared" si="72"/>
        <v>13.225659750000002</v>
      </c>
      <c r="CL59" s="1068">
        <f t="shared" si="73"/>
        <v>21.161055600000005</v>
      </c>
      <c r="CM59" s="1068">
        <f t="shared" si="74"/>
        <v>21.161055600000005</v>
      </c>
      <c r="CN59" s="1068">
        <f t="shared" si="75"/>
        <v>2.9390355000000006</v>
      </c>
      <c r="CO59" s="1068">
        <f t="shared" si="76"/>
        <v>2.9390355000000006</v>
      </c>
      <c r="CP59" s="1068">
        <f t="shared" si="77"/>
        <v>7.3475887500000008</v>
      </c>
      <c r="CQ59" s="1069">
        <f t="shared" si="78"/>
        <v>7.3475887500000008</v>
      </c>
      <c r="CR59" s="1069">
        <f t="shared" si="79"/>
        <v>11.756142000000002</v>
      </c>
      <c r="CS59" s="1069">
        <f t="shared" si="80"/>
        <v>11.756142000000002</v>
      </c>
      <c r="CV59" s="345">
        <v>2009</v>
      </c>
      <c r="CW59" s="1097">
        <f>SUM('POSF Inventory'!HF64,'POSF Inventory'!HH64,'POSF Inventory'!HJ64)*$CY$1</f>
        <v>1.5256517250000001</v>
      </c>
      <c r="CX59" s="1098">
        <f>SUM('POSF Inventory'!HG64,'POSF Inventory'!HI64,'POSF Inventory'!HK64)*$CY$2</f>
        <v>1.5292627350000001</v>
      </c>
      <c r="CY59" s="1097">
        <f>SUM('POSF Inventory'!HL64,'POSF Inventory'!HN64,'POSF Inventory'!HP64)*$CY$1</f>
        <v>3.9812005471875005</v>
      </c>
      <c r="CZ59" s="1098">
        <f>SUM('POSF Inventory'!HM64,'POSF Inventory'!HO64,'POSF Inventory'!HQ64)*$CY$2</f>
        <v>24.873907760624999</v>
      </c>
      <c r="DA59" s="1097">
        <f>SUM('POSF Inventory'!HR64,'POSF Inventory'!HT64,'POSF Inventory'!HV64)*$CY$3</f>
        <v>20.217633065735402</v>
      </c>
      <c r="DB59" s="1098">
        <f>SUM('POSF Inventory'!HS64,'POSF Inventory'!HU64,'POSF Inventory'!HW64)*$CY$4</f>
        <v>53.915556270453507</v>
      </c>
      <c r="DC59" s="1046">
        <f t="shared" si="81"/>
        <v>25.724485337922903</v>
      </c>
      <c r="DD59" s="1050">
        <f t="shared" si="82"/>
        <v>80.318726766078498</v>
      </c>
    </row>
    <row r="60" spans="2:114" x14ac:dyDescent="0.2">
      <c r="B60" s="345">
        <v>2010</v>
      </c>
      <c r="C60" s="774">
        <f>SUM('POSF Inventory'!FF65,'POSF Inventory'!FH65)</f>
        <v>0</v>
      </c>
      <c r="D60" s="774">
        <f>SUM('POSF Inventory'!FB65,'POSF Inventory'!FD65)</f>
        <v>43.642829999999996</v>
      </c>
      <c r="E60" s="774">
        <f>SUM('POSF Inventory'!FC65,'POSF Inventory'!FE65)</f>
        <v>43.642829999999996</v>
      </c>
      <c r="F60" s="774">
        <f>SUM('POSF Inventory'!FB65,'POSF Inventory'!FD65,'POSF Inventory'!J65)</f>
        <v>74.575429999999997</v>
      </c>
      <c r="G60" s="774">
        <f>SUM('POSF Inventory'!FC65,'POSF Inventory'!FE65,'POSF Inventory'!K65)</f>
        <v>74.575429999999997</v>
      </c>
      <c r="H60" s="1106">
        <f>SUM('POSF Inventory'!DL65,'POSF Inventory'!DN65)</f>
        <v>18.704069999999998</v>
      </c>
      <c r="I60" s="1041">
        <f>SUM('POSF Inventory'!DM65,'POSF Inventory'!DO65)</f>
        <v>18.704069999999998</v>
      </c>
      <c r="J60" s="592"/>
      <c r="K60" s="1046">
        <f t="shared" si="83"/>
        <v>0</v>
      </c>
      <c r="L60" s="1047">
        <f t="shared" si="84"/>
        <v>0</v>
      </c>
      <c r="M60" s="1046">
        <f t="shared" si="85"/>
        <v>0</v>
      </c>
      <c r="N60" s="1047">
        <f t="shared" si="86"/>
        <v>0</v>
      </c>
      <c r="O60" s="1046">
        <f t="shared" si="87"/>
        <v>0</v>
      </c>
      <c r="P60" s="889">
        <f t="shared" si="88"/>
        <v>0</v>
      </c>
      <c r="Q60" s="1048"/>
      <c r="R60" s="889">
        <f t="shared" si="21"/>
        <v>4.3642829999999995</v>
      </c>
      <c r="S60" s="889">
        <f t="shared" si="104"/>
        <v>4.3642829999999995</v>
      </c>
      <c r="T60" s="1047">
        <f t="shared" si="23"/>
        <v>39.278546999999996</v>
      </c>
      <c r="U60" s="1047">
        <f t="shared" si="105"/>
        <v>39.278546999999996</v>
      </c>
      <c r="V60" s="1046">
        <f t="shared" si="25"/>
        <v>21.821414999999998</v>
      </c>
      <c r="W60" s="1046">
        <f t="shared" si="106"/>
        <v>21.821414999999998</v>
      </c>
      <c r="X60" s="1047">
        <f t="shared" si="27"/>
        <v>21.821414999999998</v>
      </c>
      <c r="Y60" s="1047">
        <f t="shared" si="107"/>
        <v>21.821414999999998</v>
      </c>
      <c r="Z60" s="1049">
        <f t="shared" si="29"/>
        <v>43.642829999999996</v>
      </c>
      <c r="AA60" s="1049">
        <f t="shared" si="108"/>
        <v>43.642829999999996</v>
      </c>
      <c r="AB60" s="1050">
        <f t="shared" si="31"/>
        <v>0</v>
      </c>
      <c r="AC60" s="1050">
        <f t="shared" si="109"/>
        <v>0</v>
      </c>
      <c r="AD60" s="898"/>
      <c r="AE60" s="1046">
        <f t="shared" si="33"/>
        <v>4.3642829999999995</v>
      </c>
      <c r="AF60" s="1046">
        <f t="shared" si="34"/>
        <v>4.3642829999999995</v>
      </c>
      <c r="AG60" s="1046">
        <f t="shared" si="35"/>
        <v>39.278546999999996</v>
      </c>
      <c r="AH60" s="889">
        <f t="shared" si="36"/>
        <v>39.278546999999996</v>
      </c>
      <c r="AI60" s="889">
        <f t="shared" si="37"/>
        <v>21.821414999999998</v>
      </c>
      <c r="AJ60" s="889">
        <f t="shared" si="38"/>
        <v>21.821414999999998</v>
      </c>
      <c r="AK60" s="889">
        <f t="shared" si="39"/>
        <v>21.821414999999998</v>
      </c>
      <c r="AL60" s="889">
        <f t="shared" si="40"/>
        <v>21.821414999999998</v>
      </c>
      <c r="AM60" s="889">
        <f t="shared" si="41"/>
        <v>43.642829999999996</v>
      </c>
      <c r="AN60" s="1050">
        <f t="shared" si="42"/>
        <v>43.642829999999996</v>
      </c>
      <c r="AO60" s="1050">
        <f t="shared" si="43"/>
        <v>0</v>
      </c>
      <c r="AP60" s="1050">
        <f t="shared" si="44"/>
        <v>0</v>
      </c>
      <c r="AR60" s="1067">
        <f t="shared" si="45"/>
        <v>7.8557093999999994</v>
      </c>
      <c r="AS60" s="1067">
        <f t="shared" si="46"/>
        <v>7.8557093999999994</v>
      </c>
      <c r="AT60" s="1068">
        <f t="shared" si="47"/>
        <v>19.639273499999998</v>
      </c>
      <c r="AU60" s="1068">
        <f t="shared" si="48"/>
        <v>19.639273499999998</v>
      </c>
      <c r="AV60" s="1068">
        <f t="shared" si="49"/>
        <v>31.422837599999998</v>
      </c>
      <c r="AW60" s="1068">
        <f t="shared" si="50"/>
        <v>31.422837599999998</v>
      </c>
      <c r="AX60" s="1068">
        <f t="shared" si="51"/>
        <v>4.3642829999999995</v>
      </c>
      <c r="AY60" s="1068">
        <f t="shared" si="52"/>
        <v>4.3642829999999995</v>
      </c>
      <c r="AZ60" s="1068">
        <f t="shared" si="53"/>
        <v>10.910707499999999</v>
      </c>
      <c r="BA60" s="1068">
        <f t="shared" si="54"/>
        <v>10.910707499999999</v>
      </c>
      <c r="BB60" s="1068">
        <f t="shared" si="55"/>
        <v>17.457131999999998</v>
      </c>
      <c r="BC60" s="1068">
        <f t="shared" si="56"/>
        <v>17.457131999999998</v>
      </c>
      <c r="BD60" s="1068">
        <f t="shared" si="89"/>
        <v>0</v>
      </c>
      <c r="BE60" s="1068">
        <f t="shared" si="90"/>
        <v>0</v>
      </c>
      <c r="BF60" s="1069">
        <f t="shared" si="91"/>
        <v>0</v>
      </c>
      <c r="BH60" s="1067">
        <f t="shared" si="92"/>
        <v>0</v>
      </c>
      <c r="BI60" s="1068">
        <f t="shared" si="93"/>
        <v>0</v>
      </c>
      <c r="BJ60" s="1068">
        <f t="shared" si="94"/>
        <v>0</v>
      </c>
      <c r="BK60" s="1068">
        <f t="shared" si="95"/>
        <v>0</v>
      </c>
      <c r="BL60" s="1068">
        <f t="shared" si="96"/>
        <v>0</v>
      </c>
      <c r="BM60" s="1068">
        <f t="shared" si="97"/>
        <v>0</v>
      </c>
      <c r="BN60" s="1068">
        <f t="shared" si="98"/>
        <v>0</v>
      </c>
      <c r="BO60" s="1068">
        <f t="shared" si="99"/>
        <v>0</v>
      </c>
      <c r="BP60" s="1069">
        <f t="shared" si="100"/>
        <v>0</v>
      </c>
      <c r="BR60" s="1067">
        <f t="shared" si="57"/>
        <v>7.8557093999999994</v>
      </c>
      <c r="BS60" s="1067">
        <f t="shared" si="58"/>
        <v>7.8557093999999994</v>
      </c>
      <c r="BT60" s="1068">
        <f t="shared" si="59"/>
        <v>19.639273499999998</v>
      </c>
      <c r="BU60" s="1068">
        <f t="shared" si="60"/>
        <v>19.639273499999998</v>
      </c>
      <c r="BV60" s="1068">
        <f t="shared" si="61"/>
        <v>31.422837599999998</v>
      </c>
      <c r="BW60" s="1068">
        <f t="shared" si="62"/>
        <v>31.422837599999998</v>
      </c>
      <c r="BX60" s="1068">
        <f t="shared" si="63"/>
        <v>4.3642829999999995</v>
      </c>
      <c r="BY60" s="1068">
        <f t="shared" si="64"/>
        <v>4.3642829999999995</v>
      </c>
      <c r="BZ60" s="1068">
        <f t="shared" si="65"/>
        <v>10.910707499999999</v>
      </c>
      <c r="CA60" s="1068">
        <f t="shared" si="66"/>
        <v>10.910707499999999</v>
      </c>
      <c r="CB60" s="1068">
        <f t="shared" si="67"/>
        <v>17.457131999999998</v>
      </c>
      <c r="CC60" s="1068">
        <f t="shared" si="68"/>
        <v>17.457131999999998</v>
      </c>
      <c r="CD60" s="1068">
        <f t="shared" si="101"/>
        <v>0</v>
      </c>
      <c r="CE60" s="1068">
        <f t="shared" si="102"/>
        <v>0</v>
      </c>
      <c r="CF60" s="1069">
        <f t="shared" si="103"/>
        <v>0</v>
      </c>
      <c r="CG60" s="599"/>
      <c r="CH60" s="1067">
        <f t="shared" si="69"/>
        <v>3.3667325999999997</v>
      </c>
      <c r="CI60" s="1067">
        <f t="shared" si="70"/>
        <v>3.3667325999999997</v>
      </c>
      <c r="CJ60" s="1068">
        <f t="shared" si="71"/>
        <v>8.4168314999999989</v>
      </c>
      <c r="CK60" s="1068">
        <f t="shared" si="72"/>
        <v>8.4168314999999989</v>
      </c>
      <c r="CL60" s="1068">
        <f t="shared" si="73"/>
        <v>13.466930399999999</v>
      </c>
      <c r="CM60" s="1068">
        <f t="shared" si="74"/>
        <v>13.466930399999999</v>
      </c>
      <c r="CN60" s="1068">
        <f t="shared" si="75"/>
        <v>1.8704069999999999</v>
      </c>
      <c r="CO60" s="1068">
        <f t="shared" si="76"/>
        <v>1.8704069999999999</v>
      </c>
      <c r="CP60" s="1068">
        <f t="shared" si="77"/>
        <v>4.6760174999999995</v>
      </c>
      <c r="CQ60" s="1069">
        <f t="shared" si="78"/>
        <v>4.6760174999999995</v>
      </c>
      <c r="CR60" s="1069">
        <f t="shared" si="79"/>
        <v>7.4816279999999997</v>
      </c>
      <c r="CS60" s="1069">
        <f t="shared" si="80"/>
        <v>7.4816279999999997</v>
      </c>
      <c r="CV60" s="345">
        <v>2010</v>
      </c>
      <c r="CW60" s="1097">
        <f>SUM('POSF Inventory'!HF65,'POSF Inventory'!HH65,'POSF Inventory'!HJ65)*$CY$1</f>
        <v>1.1735782499999998</v>
      </c>
      <c r="CX60" s="1098">
        <f>SUM('POSF Inventory'!HG65,'POSF Inventory'!HI65,'POSF Inventory'!HK65)*$CY$2</f>
        <v>1.1763559499999998</v>
      </c>
      <c r="CY60" s="1097">
        <f>SUM('POSF Inventory'!HL65,'POSF Inventory'!HN65,'POSF Inventory'!HP65)*$CY$1</f>
        <v>3.3137699562499998</v>
      </c>
      <c r="CZ60" s="1098">
        <f>SUM('POSF Inventory'!HM65,'POSF Inventory'!HO65,'POSF Inventory'!HQ65)*$CY$2</f>
        <v>21.652803287499999</v>
      </c>
      <c r="DA60" s="1097">
        <f>SUM('POSF Inventory'!HR65,'POSF Inventory'!HT65,'POSF Inventory'!HV65)*$CY$3</f>
        <v>25.780415553689604</v>
      </c>
      <c r="DB60" s="1098">
        <f>SUM('POSF Inventory'!HS65,'POSF Inventory'!HU65,'POSF Inventory'!HW65)*$CY$4</f>
        <v>44.490285614484002</v>
      </c>
      <c r="DC60" s="1046">
        <f t="shared" si="81"/>
        <v>30.267763759939605</v>
      </c>
      <c r="DD60" s="1050">
        <f t="shared" si="82"/>
        <v>67.319444851984002</v>
      </c>
    </row>
    <row r="61" spans="2:114" x14ac:dyDescent="0.2">
      <c r="B61" s="345">
        <v>2011</v>
      </c>
      <c r="C61" s="774">
        <f>SUM('POSF Inventory'!FF66,'POSF Inventory'!FH66)</f>
        <v>0</v>
      </c>
      <c r="D61" s="774">
        <f>SUM('POSF Inventory'!FB66,'POSF Inventory'!FD66)</f>
        <v>59.708705000000009</v>
      </c>
      <c r="E61" s="774">
        <f>SUM('POSF Inventory'!FC66,'POSF Inventory'!FE66)</f>
        <v>59.708705000000009</v>
      </c>
      <c r="F61" s="774">
        <f>SUM('POSF Inventory'!FB66,'POSF Inventory'!FD66,'POSF Inventory'!J66)</f>
        <v>95.673905000000005</v>
      </c>
      <c r="G61" s="774">
        <f>SUM('POSF Inventory'!FC66,'POSF Inventory'!FE66,'POSF Inventory'!K66)</f>
        <v>95.673905000000005</v>
      </c>
      <c r="H61" s="1106">
        <f>SUM('POSF Inventory'!DL66,'POSF Inventory'!DN66)</f>
        <v>25.589445000000005</v>
      </c>
      <c r="I61" s="1041">
        <f>SUM('POSF Inventory'!DM66,'POSF Inventory'!DO66)</f>
        <v>25.589445000000005</v>
      </c>
      <c r="J61" s="592"/>
      <c r="K61" s="1046">
        <f t="shared" si="83"/>
        <v>0</v>
      </c>
      <c r="L61" s="1047">
        <f t="shared" si="84"/>
        <v>0</v>
      </c>
      <c r="M61" s="1046">
        <f t="shared" si="85"/>
        <v>0</v>
      </c>
      <c r="N61" s="1047">
        <f t="shared" si="86"/>
        <v>0</v>
      </c>
      <c r="O61" s="1046">
        <f t="shared" si="87"/>
        <v>0</v>
      </c>
      <c r="P61" s="889">
        <f t="shared" si="88"/>
        <v>0</v>
      </c>
      <c r="Q61" s="1048"/>
      <c r="R61" s="889">
        <f t="shared" si="21"/>
        <v>5.9708705000000011</v>
      </c>
      <c r="S61" s="889">
        <f t="shared" si="104"/>
        <v>5.9708705000000011</v>
      </c>
      <c r="T61" s="1047">
        <f t="shared" si="23"/>
        <v>53.737834500000012</v>
      </c>
      <c r="U61" s="1047">
        <f t="shared" si="105"/>
        <v>53.737834500000012</v>
      </c>
      <c r="V61" s="1046">
        <f t="shared" si="25"/>
        <v>29.854352500000005</v>
      </c>
      <c r="W61" s="1046">
        <f t="shared" si="106"/>
        <v>29.854352500000005</v>
      </c>
      <c r="X61" s="1047">
        <f t="shared" si="27"/>
        <v>29.854352500000005</v>
      </c>
      <c r="Y61" s="1047">
        <f t="shared" si="107"/>
        <v>29.854352500000005</v>
      </c>
      <c r="Z61" s="1049">
        <f t="shared" si="29"/>
        <v>59.708705000000009</v>
      </c>
      <c r="AA61" s="1049">
        <f t="shared" si="108"/>
        <v>59.708705000000009</v>
      </c>
      <c r="AB61" s="1050">
        <f t="shared" si="31"/>
        <v>0</v>
      </c>
      <c r="AC61" s="1050">
        <f t="shared" si="109"/>
        <v>0</v>
      </c>
      <c r="AD61" s="898"/>
      <c r="AE61" s="1046">
        <f t="shared" si="33"/>
        <v>5.9708705000000011</v>
      </c>
      <c r="AF61" s="1046">
        <f t="shared" si="34"/>
        <v>5.9708705000000011</v>
      </c>
      <c r="AG61" s="1046">
        <f t="shared" si="35"/>
        <v>53.737834500000012</v>
      </c>
      <c r="AH61" s="889">
        <f t="shared" si="36"/>
        <v>53.737834500000012</v>
      </c>
      <c r="AI61" s="889">
        <f t="shared" si="37"/>
        <v>29.854352500000005</v>
      </c>
      <c r="AJ61" s="889">
        <f t="shared" si="38"/>
        <v>29.854352500000005</v>
      </c>
      <c r="AK61" s="889">
        <f t="shared" si="39"/>
        <v>29.854352500000005</v>
      </c>
      <c r="AL61" s="889">
        <f t="shared" si="40"/>
        <v>29.854352500000005</v>
      </c>
      <c r="AM61" s="889">
        <f t="shared" si="41"/>
        <v>59.708705000000009</v>
      </c>
      <c r="AN61" s="1050">
        <f t="shared" si="42"/>
        <v>59.708705000000009</v>
      </c>
      <c r="AO61" s="1050">
        <f t="shared" si="43"/>
        <v>0</v>
      </c>
      <c r="AP61" s="1050">
        <f t="shared" si="44"/>
        <v>0</v>
      </c>
      <c r="AR61" s="1067">
        <f t="shared" si="45"/>
        <v>10.747566900000002</v>
      </c>
      <c r="AS61" s="1067">
        <f t="shared" si="46"/>
        <v>10.747566900000002</v>
      </c>
      <c r="AT61" s="1068">
        <f t="shared" si="47"/>
        <v>26.868917250000006</v>
      </c>
      <c r="AU61" s="1068">
        <f t="shared" si="48"/>
        <v>26.868917250000006</v>
      </c>
      <c r="AV61" s="1068">
        <f t="shared" si="49"/>
        <v>42.99026760000001</v>
      </c>
      <c r="AW61" s="1068">
        <f t="shared" si="50"/>
        <v>42.99026760000001</v>
      </c>
      <c r="AX61" s="1068">
        <f t="shared" si="51"/>
        <v>5.9708705000000011</v>
      </c>
      <c r="AY61" s="1068">
        <f t="shared" si="52"/>
        <v>5.9708705000000011</v>
      </c>
      <c r="AZ61" s="1068">
        <f t="shared" si="53"/>
        <v>14.927176250000002</v>
      </c>
      <c r="BA61" s="1068">
        <f t="shared" si="54"/>
        <v>14.927176250000002</v>
      </c>
      <c r="BB61" s="1068">
        <f t="shared" si="55"/>
        <v>23.883482000000004</v>
      </c>
      <c r="BC61" s="1068">
        <f t="shared" si="56"/>
        <v>23.883482000000004</v>
      </c>
      <c r="BD61" s="1068">
        <f t="shared" si="89"/>
        <v>0</v>
      </c>
      <c r="BE61" s="1068">
        <f t="shared" si="90"/>
        <v>0</v>
      </c>
      <c r="BF61" s="1069">
        <f t="shared" si="91"/>
        <v>0</v>
      </c>
      <c r="BH61" s="1067">
        <f t="shared" si="92"/>
        <v>0</v>
      </c>
      <c r="BI61" s="1068">
        <f t="shared" si="93"/>
        <v>0</v>
      </c>
      <c r="BJ61" s="1068">
        <f t="shared" si="94"/>
        <v>0</v>
      </c>
      <c r="BK61" s="1068">
        <f t="shared" si="95"/>
        <v>0</v>
      </c>
      <c r="BL61" s="1068">
        <f t="shared" si="96"/>
        <v>0</v>
      </c>
      <c r="BM61" s="1068">
        <f t="shared" si="97"/>
        <v>0</v>
      </c>
      <c r="BN61" s="1068">
        <f t="shared" si="98"/>
        <v>0</v>
      </c>
      <c r="BO61" s="1068">
        <f t="shared" si="99"/>
        <v>0</v>
      </c>
      <c r="BP61" s="1069">
        <f t="shared" si="100"/>
        <v>0</v>
      </c>
      <c r="BR61" s="1067">
        <f t="shared" si="57"/>
        <v>10.747566900000002</v>
      </c>
      <c r="BS61" s="1067">
        <f t="shared" si="58"/>
        <v>10.747566900000002</v>
      </c>
      <c r="BT61" s="1068">
        <f t="shared" si="59"/>
        <v>26.868917250000006</v>
      </c>
      <c r="BU61" s="1068">
        <f t="shared" si="60"/>
        <v>26.868917250000006</v>
      </c>
      <c r="BV61" s="1068">
        <f t="shared" si="61"/>
        <v>42.99026760000001</v>
      </c>
      <c r="BW61" s="1068">
        <f t="shared" si="62"/>
        <v>42.99026760000001</v>
      </c>
      <c r="BX61" s="1068">
        <f t="shared" si="63"/>
        <v>5.9708705000000011</v>
      </c>
      <c r="BY61" s="1068">
        <f t="shared" si="64"/>
        <v>5.9708705000000011</v>
      </c>
      <c r="BZ61" s="1068">
        <f t="shared" si="65"/>
        <v>14.927176250000002</v>
      </c>
      <c r="CA61" s="1068">
        <f t="shared" si="66"/>
        <v>14.927176250000002</v>
      </c>
      <c r="CB61" s="1068">
        <f t="shared" si="67"/>
        <v>23.883482000000004</v>
      </c>
      <c r="CC61" s="1068">
        <f t="shared" si="68"/>
        <v>23.883482000000004</v>
      </c>
      <c r="CD61" s="1068">
        <f t="shared" si="101"/>
        <v>0</v>
      </c>
      <c r="CE61" s="1068">
        <f t="shared" si="102"/>
        <v>0</v>
      </c>
      <c r="CF61" s="1069">
        <f t="shared" si="103"/>
        <v>0</v>
      </c>
      <c r="CG61" s="599"/>
      <c r="CH61" s="1067">
        <f t="shared" si="69"/>
        <v>4.6061001000000017</v>
      </c>
      <c r="CI61" s="1067">
        <f t="shared" si="70"/>
        <v>4.6061001000000017</v>
      </c>
      <c r="CJ61" s="1068">
        <f t="shared" si="71"/>
        <v>11.515250250000003</v>
      </c>
      <c r="CK61" s="1068">
        <f t="shared" si="72"/>
        <v>11.515250250000003</v>
      </c>
      <c r="CL61" s="1068">
        <f t="shared" si="73"/>
        <v>18.424400400000007</v>
      </c>
      <c r="CM61" s="1068">
        <f t="shared" si="74"/>
        <v>18.424400400000007</v>
      </c>
      <c r="CN61" s="1068">
        <f t="shared" si="75"/>
        <v>2.5589445000000008</v>
      </c>
      <c r="CO61" s="1068">
        <f t="shared" si="76"/>
        <v>2.5589445000000008</v>
      </c>
      <c r="CP61" s="1068">
        <f t="shared" si="77"/>
        <v>6.3973612500000012</v>
      </c>
      <c r="CQ61" s="1069">
        <f t="shared" si="78"/>
        <v>6.3973612500000012</v>
      </c>
      <c r="CR61" s="1069">
        <f t="shared" si="79"/>
        <v>10.235778000000003</v>
      </c>
      <c r="CS61" s="1069">
        <f t="shared" si="80"/>
        <v>10.235778000000003</v>
      </c>
      <c r="CV61" s="345">
        <v>2011</v>
      </c>
      <c r="CW61" s="1097">
        <f>SUM('POSF Inventory'!HF66,'POSF Inventory'!HH66,'POSF Inventory'!HJ66)*$CY$1</f>
        <v>1.5256517250000001</v>
      </c>
      <c r="CX61" s="1098">
        <f>SUM('POSF Inventory'!HG66,'POSF Inventory'!HI66,'POSF Inventory'!HK66)*$CY$2</f>
        <v>1.5292627350000001</v>
      </c>
      <c r="CY61" s="1097">
        <f>SUM('POSF Inventory'!HL66,'POSF Inventory'!HN66,'POSF Inventory'!HP66)*$CY$1</f>
        <v>3.5377156587500007</v>
      </c>
      <c r="CZ61" s="1098">
        <f>SUM('POSF Inventory'!HM66,'POSF Inventory'!HO66,'POSF Inventory'!HQ66)*$CY$2</f>
        <v>20.428562192499999</v>
      </c>
      <c r="DA61" s="1097">
        <f>SUM('POSF Inventory'!HR66,'POSF Inventory'!HT66,'POSF Inventory'!HV66)*$CY$3</f>
        <v>30.171556968613398</v>
      </c>
      <c r="DB61" s="1098">
        <f>SUM('POSF Inventory'!HS66,'POSF Inventory'!HU66,'POSF Inventory'!HW66)*$CY$4</f>
        <v>53.585504042961006</v>
      </c>
      <c r="DC61" s="1046">
        <f t="shared" si="81"/>
        <v>35.2349243523634</v>
      </c>
      <c r="DD61" s="1050">
        <f t="shared" si="82"/>
        <v>75.543328970461005</v>
      </c>
    </row>
    <row r="62" spans="2:114" x14ac:dyDescent="0.2">
      <c r="B62" s="345">
        <v>2012</v>
      </c>
      <c r="C62" s="774">
        <f>SUM('POSF Inventory'!FF67,'POSF Inventory'!FH67)</f>
        <v>0</v>
      </c>
      <c r="D62" s="774">
        <f>SUM('POSF Inventory'!FB67,'POSF Inventory'!FD67)</f>
        <v>62.64618500000001</v>
      </c>
      <c r="E62" s="774">
        <f>SUM('POSF Inventory'!FC67,'POSF Inventory'!FE67)</f>
        <v>62.64618500000001</v>
      </c>
      <c r="F62" s="774">
        <f>SUM('POSF Inventory'!FB67,'POSF Inventory'!FD67,'POSF Inventory'!J67)</f>
        <v>94.414985000000001</v>
      </c>
      <c r="G62" s="774">
        <f>SUM('POSF Inventory'!FC67,'POSF Inventory'!FE67,'POSF Inventory'!K67)</f>
        <v>94.414985000000001</v>
      </c>
      <c r="H62" s="1106">
        <f>SUM('POSF Inventory'!DL67,'POSF Inventory'!DN67)</f>
        <v>26.848365000000005</v>
      </c>
      <c r="I62" s="1041">
        <f>SUM('POSF Inventory'!DM67,'POSF Inventory'!DO67)</f>
        <v>26.848365000000005</v>
      </c>
      <c r="J62" s="592"/>
      <c r="K62" s="1046">
        <f t="shared" si="83"/>
        <v>0</v>
      </c>
      <c r="L62" s="1047">
        <f t="shared" si="84"/>
        <v>0</v>
      </c>
      <c r="M62" s="1046">
        <f t="shared" si="85"/>
        <v>0</v>
      </c>
      <c r="N62" s="1047">
        <f t="shared" si="86"/>
        <v>0</v>
      </c>
      <c r="O62" s="1046">
        <f t="shared" si="87"/>
        <v>0</v>
      </c>
      <c r="P62" s="889">
        <f t="shared" si="88"/>
        <v>0</v>
      </c>
      <c r="Q62" s="1048"/>
      <c r="R62" s="889">
        <f t="shared" si="21"/>
        <v>6.264618500000001</v>
      </c>
      <c r="S62" s="889">
        <f t="shared" si="104"/>
        <v>6.264618500000001</v>
      </c>
      <c r="T62" s="1047">
        <f t="shared" si="23"/>
        <v>56.381566500000012</v>
      </c>
      <c r="U62" s="1047">
        <f t="shared" si="105"/>
        <v>56.381566500000012</v>
      </c>
      <c r="V62" s="1046">
        <f t="shared" si="25"/>
        <v>31.323092500000005</v>
      </c>
      <c r="W62" s="1046">
        <f t="shared" si="106"/>
        <v>31.323092500000005</v>
      </c>
      <c r="X62" s="1047">
        <f t="shared" si="27"/>
        <v>31.323092500000005</v>
      </c>
      <c r="Y62" s="1047">
        <f t="shared" si="107"/>
        <v>31.323092500000005</v>
      </c>
      <c r="Z62" s="1049">
        <f t="shared" si="29"/>
        <v>62.64618500000001</v>
      </c>
      <c r="AA62" s="1049">
        <f t="shared" si="108"/>
        <v>62.64618500000001</v>
      </c>
      <c r="AB62" s="1050">
        <f t="shared" si="31"/>
        <v>0</v>
      </c>
      <c r="AC62" s="1050">
        <f t="shared" si="109"/>
        <v>0</v>
      </c>
      <c r="AD62" s="898"/>
      <c r="AE62" s="1046">
        <f t="shared" si="33"/>
        <v>6.264618500000001</v>
      </c>
      <c r="AF62" s="1046">
        <f t="shared" si="34"/>
        <v>6.264618500000001</v>
      </c>
      <c r="AG62" s="1046">
        <f t="shared" si="35"/>
        <v>56.381566500000012</v>
      </c>
      <c r="AH62" s="889">
        <f t="shared" si="36"/>
        <v>56.381566500000012</v>
      </c>
      <c r="AI62" s="889">
        <f t="shared" si="37"/>
        <v>31.323092500000005</v>
      </c>
      <c r="AJ62" s="889">
        <f t="shared" si="38"/>
        <v>31.323092500000005</v>
      </c>
      <c r="AK62" s="889">
        <f t="shared" si="39"/>
        <v>31.323092500000005</v>
      </c>
      <c r="AL62" s="889">
        <f t="shared" si="40"/>
        <v>31.323092500000005</v>
      </c>
      <c r="AM62" s="889">
        <f t="shared" si="41"/>
        <v>62.64618500000001</v>
      </c>
      <c r="AN62" s="1050">
        <f t="shared" si="42"/>
        <v>62.64618500000001</v>
      </c>
      <c r="AO62" s="1050">
        <f t="shared" si="43"/>
        <v>0</v>
      </c>
      <c r="AP62" s="1050">
        <f t="shared" si="44"/>
        <v>0</v>
      </c>
      <c r="AR62" s="1067">
        <f t="shared" si="45"/>
        <v>11.276313300000004</v>
      </c>
      <c r="AS62" s="1067">
        <f t="shared" si="46"/>
        <v>11.276313300000004</v>
      </c>
      <c r="AT62" s="1068">
        <f t="shared" si="47"/>
        <v>28.190783250000006</v>
      </c>
      <c r="AU62" s="1068">
        <f t="shared" si="48"/>
        <v>28.190783250000006</v>
      </c>
      <c r="AV62" s="1068">
        <f t="shared" si="49"/>
        <v>45.105253200000014</v>
      </c>
      <c r="AW62" s="1068">
        <f t="shared" si="50"/>
        <v>45.105253200000014</v>
      </c>
      <c r="AX62" s="1068">
        <f t="shared" si="51"/>
        <v>6.264618500000001</v>
      </c>
      <c r="AY62" s="1068">
        <f t="shared" si="52"/>
        <v>6.264618500000001</v>
      </c>
      <c r="AZ62" s="1068">
        <f t="shared" si="53"/>
        <v>15.661546250000002</v>
      </c>
      <c r="BA62" s="1068">
        <f t="shared" si="54"/>
        <v>15.661546250000002</v>
      </c>
      <c r="BB62" s="1068">
        <f t="shared" si="55"/>
        <v>25.058474000000004</v>
      </c>
      <c r="BC62" s="1068">
        <f t="shared" si="56"/>
        <v>25.058474000000004</v>
      </c>
      <c r="BD62" s="1068">
        <f t="shared" si="89"/>
        <v>0</v>
      </c>
      <c r="BE62" s="1068">
        <f t="shared" si="90"/>
        <v>0</v>
      </c>
      <c r="BF62" s="1069">
        <f t="shared" si="91"/>
        <v>0</v>
      </c>
      <c r="BH62" s="1067">
        <f t="shared" si="92"/>
        <v>0</v>
      </c>
      <c r="BI62" s="1068">
        <f t="shared" si="93"/>
        <v>0</v>
      </c>
      <c r="BJ62" s="1068">
        <f t="shared" si="94"/>
        <v>0</v>
      </c>
      <c r="BK62" s="1068">
        <f t="shared" si="95"/>
        <v>0</v>
      </c>
      <c r="BL62" s="1068">
        <f t="shared" si="96"/>
        <v>0</v>
      </c>
      <c r="BM62" s="1068">
        <f t="shared" si="97"/>
        <v>0</v>
      </c>
      <c r="BN62" s="1068">
        <f t="shared" si="98"/>
        <v>0</v>
      </c>
      <c r="BO62" s="1068">
        <f t="shared" si="99"/>
        <v>0</v>
      </c>
      <c r="BP62" s="1069">
        <f t="shared" si="100"/>
        <v>0</v>
      </c>
      <c r="BR62" s="1067">
        <f t="shared" si="57"/>
        <v>11.276313300000004</v>
      </c>
      <c r="BS62" s="1067">
        <f t="shared" si="58"/>
        <v>11.276313300000004</v>
      </c>
      <c r="BT62" s="1068">
        <f t="shared" si="59"/>
        <v>28.190783250000006</v>
      </c>
      <c r="BU62" s="1068">
        <f t="shared" si="60"/>
        <v>28.190783250000006</v>
      </c>
      <c r="BV62" s="1068">
        <f t="shared" si="61"/>
        <v>45.105253200000014</v>
      </c>
      <c r="BW62" s="1068">
        <f t="shared" si="62"/>
        <v>45.105253200000014</v>
      </c>
      <c r="BX62" s="1068">
        <f t="shared" si="63"/>
        <v>6.264618500000001</v>
      </c>
      <c r="BY62" s="1068">
        <f t="shared" si="64"/>
        <v>6.264618500000001</v>
      </c>
      <c r="BZ62" s="1068">
        <f t="shared" si="65"/>
        <v>15.661546250000002</v>
      </c>
      <c r="CA62" s="1068">
        <f t="shared" si="66"/>
        <v>15.661546250000002</v>
      </c>
      <c r="CB62" s="1068">
        <f t="shared" si="67"/>
        <v>25.058474000000004</v>
      </c>
      <c r="CC62" s="1068">
        <f t="shared" si="68"/>
        <v>25.058474000000004</v>
      </c>
      <c r="CD62" s="1068">
        <f t="shared" si="101"/>
        <v>0</v>
      </c>
      <c r="CE62" s="1068">
        <f t="shared" si="102"/>
        <v>0</v>
      </c>
      <c r="CF62" s="1069">
        <f t="shared" si="103"/>
        <v>0</v>
      </c>
      <c r="CG62" s="599"/>
      <c r="CH62" s="1067">
        <f t="shared" si="69"/>
        <v>4.8327057000000018</v>
      </c>
      <c r="CI62" s="1067">
        <f t="shared" si="70"/>
        <v>4.8327057000000018</v>
      </c>
      <c r="CJ62" s="1068">
        <f t="shared" si="71"/>
        <v>12.081764250000003</v>
      </c>
      <c r="CK62" s="1068">
        <f t="shared" si="72"/>
        <v>12.081764250000003</v>
      </c>
      <c r="CL62" s="1068">
        <f t="shared" si="73"/>
        <v>19.330822800000007</v>
      </c>
      <c r="CM62" s="1068">
        <f t="shared" si="74"/>
        <v>19.330822800000007</v>
      </c>
      <c r="CN62" s="1068">
        <f t="shared" si="75"/>
        <v>2.6848365000000007</v>
      </c>
      <c r="CO62" s="1068">
        <f t="shared" si="76"/>
        <v>2.6848365000000007</v>
      </c>
      <c r="CP62" s="1068">
        <f t="shared" si="77"/>
        <v>6.7120912500000012</v>
      </c>
      <c r="CQ62" s="1069">
        <f t="shared" si="78"/>
        <v>6.7120912500000012</v>
      </c>
      <c r="CR62" s="1069">
        <f t="shared" si="79"/>
        <v>10.739346000000003</v>
      </c>
      <c r="CS62" s="1069">
        <f t="shared" si="80"/>
        <v>10.739346000000003</v>
      </c>
      <c r="CV62" s="345">
        <v>2012</v>
      </c>
      <c r="CW62" s="1097">
        <f>SUM('POSF Inventory'!HF67,'POSF Inventory'!HH67,'POSF Inventory'!HJ67)*$CY$1</f>
        <v>1.5256517250000001</v>
      </c>
      <c r="CX62" s="1098">
        <f>SUM('POSF Inventory'!HG67,'POSF Inventory'!HI67,'POSF Inventory'!HK67)*$CY$2</f>
        <v>1.5292627350000001</v>
      </c>
      <c r="CY62" s="1097">
        <f>SUM('POSF Inventory'!HL67,'POSF Inventory'!HN67,'POSF Inventory'!HP67)*$CY$1</f>
        <v>3.8818121225000013</v>
      </c>
      <c r="CZ62" s="1098">
        <f>SUM('POSF Inventory'!HM67,'POSF Inventory'!HO67,'POSF Inventory'!HQ67)*$CY$2</f>
        <v>23.877671125000003</v>
      </c>
      <c r="DA62" s="1097">
        <f>SUM('POSF Inventory'!HR67,'POSF Inventory'!HT67,'POSF Inventory'!HV67)*$CY$3</f>
        <v>26.868745439785002</v>
      </c>
      <c r="DB62" s="1098">
        <f>SUM('POSF Inventory'!HS67,'POSF Inventory'!HU67,'POSF Inventory'!HW67)*$CY$4</f>
        <v>50.030026380396883</v>
      </c>
      <c r="DC62" s="1046">
        <f t="shared" si="81"/>
        <v>32.276209287285006</v>
      </c>
      <c r="DD62" s="1050">
        <f t="shared" si="82"/>
        <v>75.436960240396886</v>
      </c>
    </row>
    <row r="63" spans="2:114" x14ac:dyDescent="0.2">
      <c r="B63" s="345">
        <v>2013</v>
      </c>
      <c r="C63" s="774">
        <f>SUM('POSF Inventory'!FF68,'POSF Inventory'!FH68)</f>
        <v>0</v>
      </c>
      <c r="D63" s="774">
        <f>SUM('POSF Inventory'!FB68,'POSF Inventory'!FD68)</f>
        <v>69.549514999999985</v>
      </c>
      <c r="E63" s="774">
        <f>SUM('POSF Inventory'!FC68,'POSF Inventory'!FE68)</f>
        <v>69.549514999999985</v>
      </c>
      <c r="F63" s="774">
        <f>SUM('POSF Inventory'!FB68,'POSF Inventory'!FD68,'POSF Inventory'!J68)</f>
        <v>110.112315</v>
      </c>
      <c r="G63" s="774">
        <f>SUM('POSF Inventory'!FC68,'POSF Inventory'!FE68,'POSF Inventory'!K68)</f>
        <v>110.112315</v>
      </c>
      <c r="H63" s="1106">
        <f>SUM('POSF Inventory'!DL68,'POSF Inventory'!DN68)</f>
        <v>29.806934999999996</v>
      </c>
      <c r="I63" s="1041">
        <f>SUM('POSF Inventory'!DM68,'POSF Inventory'!DO68)</f>
        <v>29.806934999999996</v>
      </c>
      <c r="J63" s="592"/>
      <c r="K63" s="1046">
        <f t="shared" si="83"/>
        <v>0</v>
      </c>
      <c r="L63" s="1047">
        <f t="shared" si="84"/>
        <v>0</v>
      </c>
      <c r="M63" s="1046">
        <f t="shared" si="85"/>
        <v>0</v>
      </c>
      <c r="N63" s="1047">
        <f t="shared" si="86"/>
        <v>0</v>
      </c>
      <c r="O63" s="1046">
        <f t="shared" si="87"/>
        <v>0</v>
      </c>
      <c r="P63" s="889">
        <f t="shared" si="88"/>
        <v>0</v>
      </c>
      <c r="Q63" s="1048"/>
      <c r="R63" s="889">
        <f t="shared" si="21"/>
        <v>6.9549514999999991</v>
      </c>
      <c r="S63" s="889">
        <f t="shared" si="104"/>
        <v>6.9549514999999991</v>
      </c>
      <c r="T63" s="1047">
        <f t="shared" si="23"/>
        <v>62.594563499999985</v>
      </c>
      <c r="U63" s="1047">
        <f t="shared" si="105"/>
        <v>62.594563499999985</v>
      </c>
      <c r="V63" s="1046">
        <f t="shared" si="25"/>
        <v>34.774757499999993</v>
      </c>
      <c r="W63" s="1046">
        <f t="shared" si="106"/>
        <v>34.774757499999993</v>
      </c>
      <c r="X63" s="1047">
        <f t="shared" si="27"/>
        <v>34.774757499999993</v>
      </c>
      <c r="Y63" s="1047">
        <f t="shared" si="107"/>
        <v>34.774757499999993</v>
      </c>
      <c r="Z63" s="1049">
        <f t="shared" si="29"/>
        <v>69.549514999999985</v>
      </c>
      <c r="AA63" s="1049">
        <f t="shared" si="108"/>
        <v>69.549514999999985</v>
      </c>
      <c r="AB63" s="1050">
        <f t="shared" si="31"/>
        <v>0</v>
      </c>
      <c r="AC63" s="1050">
        <f t="shared" si="109"/>
        <v>0</v>
      </c>
      <c r="AD63" s="898"/>
      <c r="AE63" s="1046">
        <f t="shared" si="33"/>
        <v>6.9549514999999991</v>
      </c>
      <c r="AF63" s="1046">
        <f t="shared" si="34"/>
        <v>6.9549514999999991</v>
      </c>
      <c r="AG63" s="1046">
        <f t="shared" si="35"/>
        <v>62.594563499999985</v>
      </c>
      <c r="AH63" s="889">
        <f t="shared" si="36"/>
        <v>62.594563499999985</v>
      </c>
      <c r="AI63" s="889">
        <f t="shared" si="37"/>
        <v>34.774757499999993</v>
      </c>
      <c r="AJ63" s="889">
        <f t="shared" si="38"/>
        <v>34.774757499999993</v>
      </c>
      <c r="AK63" s="889">
        <f t="shared" si="39"/>
        <v>34.774757499999993</v>
      </c>
      <c r="AL63" s="889">
        <f t="shared" si="40"/>
        <v>34.774757499999993</v>
      </c>
      <c r="AM63" s="889">
        <f t="shared" si="41"/>
        <v>69.549514999999985</v>
      </c>
      <c r="AN63" s="1050">
        <f t="shared" si="42"/>
        <v>69.549514999999985</v>
      </c>
      <c r="AO63" s="1050">
        <f t="shared" si="43"/>
        <v>0</v>
      </c>
      <c r="AP63" s="1050">
        <f t="shared" si="44"/>
        <v>0</v>
      </c>
      <c r="AR63" s="1067">
        <f t="shared" si="45"/>
        <v>12.518912699999998</v>
      </c>
      <c r="AS63" s="1067">
        <f t="shared" si="46"/>
        <v>12.518912699999998</v>
      </c>
      <c r="AT63" s="1068">
        <f t="shared" si="47"/>
        <v>31.297281749999993</v>
      </c>
      <c r="AU63" s="1068">
        <f t="shared" si="48"/>
        <v>31.297281749999993</v>
      </c>
      <c r="AV63" s="1068">
        <f t="shared" si="49"/>
        <v>50.075650799999991</v>
      </c>
      <c r="AW63" s="1068">
        <f t="shared" si="50"/>
        <v>50.075650799999991</v>
      </c>
      <c r="AX63" s="1068">
        <f t="shared" si="51"/>
        <v>6.9549514999999991</v>
      </c>
      <c r="AY63" s="1068">
        <f t="shared" si="52"/>
        <v>6.9549514999999991</v>
      </c>
      <c r="AZ63" s="1068">
        <f t="shared" si="53"/>
        <v>17.387378749999996</v>
      </c>
      <c r="BA63" s="1068">
        <f t="shared" si="54"/>
        <v>17.387378749999996</v>
      </c>
      <c r="BB63" s="1068">
        <f t="shared" si="55"/>
        <v>27.819805999999996</v>
      </c>
      <c r="BC63" s="1068">
        <f t="shared" si="56"/>
        <v>27.819805999999996</v>
      </c>
      <c r="BD63" s="1068">
        <f t="shared" si="89"/>
        <v>0</v>
      </c>
      <c r="BE63" s="1068">
        <f t="shared" si="90"/>
        <v>0</v>
      </c>
      <c r="BF63" s="1069">
        <f t="shared" si="91"/>
        <v>0</v>
      </c>
      <c r="BH63" s="1067">
        <f t="shared" si="92"/>
        <v>0</v>
      </c>
      <c r="BI63" s="1068">
        <f t="shared" si="93"/>
        <v>0</v>
      </c>
      <c r="BJ63" s="1068">
        <f t="shared" si="94"/>
        <v>0</v>
      </c>
      <c r="BK63" s="1068">
        <f t="shared" si="95"/>
        <v>0</v>
      </c>
      <c r="BL63" s="1068">
        <f t="shared" si="96"/>
        <v>0</v>
      </c>
      <c r="BM63" s="1068">
        <f t="shared" si="97"/>
        <v>0</v>
      </c>
      <c r="BN63" s="1068">
        <f t="shared" si="98"/>
        <v>0</v>
      </c>
      <c r="BO63" s="1068">
        <f t="shared" si="99"/>
        <v>0</v>
      </c>
      <c r="BP63" s="1069">
        <f t="shared" si="100"/>
        <v>0</v>
      </c>
      <c r="BR63" s="1067">
        <f t="shared" si="57"/>
        <v>12.518912699999998</v>
      </c>
      <c r="BS63" s="1067">
        <f t="shared" si="58"/>
        <v>12.518912699999998</v>
      </c>
      <c r="BT63" s="1068">
        <f t="shared" si="59"/>
        <v>31.297281749999993</v>
      </c>
      <c r="BU63" s="1068">
        <f t="shared" si="60"/>
        <v>31.297281749999993</v>
      </c>
      <c r="BV63" s="1068">
        <f t="shared" si="61"/>
        <v>50.075650799999991</v>
      </c>
      <c r="BW63" s="1068">
        <f t="shared" si="62"/>
        <v>50.075650799999991</v>
      </c>
      <c r="BX63" s="1068">
        <f t="shared" si="63"/>
        <v>6.9549514999999991</v>
      </c>
      <c r="BY63" s="1068">
        <f t="shared" si="64"/>
        <v>6.9549514999999991</v>
      </c>
      <c r="BZ63" s="1068">
        <f t="shared" si="65"/>
        <v>17.387378749999996</v>
      </c>
      <c r="CA63" s="1068">
        <f t="shared" si="66"/>
        <v>17.387378749999996</v>
      </c>
      <c r="CB63" s="1068">
        <f t="shared" si="67"/>
        <v>27.819805999999996</v>
      </c>
      <c r="CC63" s="1068">
        <f t="shared" si="68"/>
        <v>27.819805999999996</v>
      </c>
      <c r="CD63" s="1068">
        <f t="shared" si="101"/>
        <v>0</v>
      </c>
      <c r="CE63" s="1068">
        <f t="shared" si="102"/>
        <v>0</v>
      </c>
      <c r="CF63" s="1069">
        <f t="shared" si="103"/>
        <v>0</v>
      </c>
      <c r="CG63" s="599"/>
      <c r="CH63" s="1067">
        <f t="shared" si="69"/>
        <v>5.3652483000000002</v>
      </c>
      <c r="CI63" s="1067">
        <f t="shared" si="70"/>
        <v>5.3652483000000002</v>
      </c>
      <c r="CJ63" s="1068">
        <f t="shared" si="71"/>
        <v>13.413120749999999</v>
      </c>
      <c r="CK63" s="1068">
        <f t="shared" si="72"/>
        <v>13.413120749999999</v>
      </c>
      <c r="CL63" s="1068">
        <f t="shared" si="73"/>
        <v>21.460993200000001</v>
      </c>
      <c r="CM63" s="1068">
        <f t="shared" si="74"/>
        <v>21.460993200000001</v>
      </c>
      <c r="CN63" s="1068">
        <f t="shared" si="75"/>
        <v>2.9806934999999997</v>
      </c>
      <c r="CO63" s="1068">
        <f t="shared" si="76"/>
        <v>2.9806934999999997</v>
      </c>
      <c r="CP63" s="1068">
        <f t="shared" si="77"/>
        <v>7.4517337499999989</v>
      </c>
      <c r="CQ63" s="1069">
        <f t="shared" si="78"/>
        <v>7.4517337499999989</v>
      </c>
      <c r="CR63" s="1069">
        <f t="shared" si="79"/>
        <v>11.922773999999999</v>
      </c>
      <c r="CS63" s="1069">
        <f t="shared" si="80"/>
        <v>11.922773999999999</v>
      </c>
      <c r="CV63" s="345">
        <v>2013</v>
      </c>
      <c r="CW63" s="1097">
        <f>SUM('POSF Inventory'!HF68,'POSF Inventory'!HH68,'POSF Inventory'!HJ68)*$CY$1</f>
        <v>1.760367375</v>
      </c>
      <c r="CX63" s="1098">
        <f>SUM('POSF Inventory'!HG68,'POSF Inventory'!HI68,'POSF Inventory'!HK68)*$CY$2</f>
        <v>1.7645339249999998</v>
      </c>
      <c r="CY63" s="1097">
        <f>SUM('POSF Inventory'!HL68,'POSF Inventory'!HN68,'POSF Inventory'!HP68)*$CY$1</f>
        <v>4.3163571749999994</v>
      </c>
      <c r="CZ63" s="1098">
        <f>SUM('POSF Inventory'!HM68,'POSF Inventory'!HO68,'POSF Inventory'!HQ68)*$CY$2</f>
        <v>25.920740999999996</v>
      </c>
      <c r="DA63" s="1097">
        <f>SUM('POSF Inventory'!HR68,'POSF Inventory'!HT68,'POSF Inventory'!HV68)*$CY$3</f>
        <v>34.076836547915001</v>
      </c>
      <c r="DB63" s="1098">
        <f>SUM('POSF Inventory'!HS68,'POSF Inventory'!HU68,'POSF Inventory'!HW68)*$CY$4</f>
        <v>60.593723905431254</v>
      </c>
      <c r="DC63" s="1046">
        <f t="shared" si="81"/>
        <v>40.153561097915002</v>
      </c>
      <c r="DD63" s="1050">
        <f t="shared" si="82"/>
        <v>88.278998830431249</v>
      </c>
    </row>
    <row r="64" spans="2:114" x14ac:dyDescent="0.2">
      <c r="B64" s="345">
        <v>2014</v>
      </c>
      <c r="C64" s="774">
        <f>SUM('POSF Inventory'!FF69,'POSF Inventory'!FH69)</f>
        <v>0</v>
      </c>
      <c r="D64" s="774">
        <f>SUM('POSF Inventory'!FB69,'POSF Inventory'!FD69)</f>
        <v>82.909504999999967</v>
      </c>
      <c r="E64" s="774">
        <f>SUM('POSF Inventory'!FC69,'POSF Inventory'!FE69)</f>
        <v>82.909504999999967</v>
      </c>
      <c r="F64" s="774">
        <f>SUM('POSF Inventory'!FB69,'POSF Inventory'!FD69,'POSF Inventory'!J69)</f>
        <v>123.04250499999998</v>
      </c>
      <c r="G64" s="774">
        <f>SUM('POSF Inventory'!FC69,'POSF Inventory'!FE69,'POSF Inventory'!K69)</f>
        <v>123.04250499999998</v>
      </c>
      <c r="H64" s="1106">
        <f>SUM('POSF Inventory'!DL69,'POSF Inventory'!DN69)</f>
        <v>35.532644999999988</v>
      </c>
      <c r="I64" s="1041">
        <f>SUM('POSF Inventory'!DM69,'POSF Inventory'!DO69)</f>
        <v>35.532644999999988</v>
      </c>
      <c r="J64" s="592"/>
      <c r="K64" s="1046">
        <f t="shared" si="83"/>
        <v>0</v>
      </c>
      <c r="L64" s="1047">
        <f t="shared" si="84"/>
        <v>0</v>
      </c>
      <c r="M64" s="1046">
        <f t="shared" si="85"/>
        <v>0</v>
      </c>
      <c r="N64" s="1047">
        <f t="shared" si="86"/>
        <v>0</v>
      </c>
      <c r="O64" s="1046">
        <f t="shared" si="87"/>
        <v>0</v>
      </c>
      <c r="P64" s="889">
        <f t="shared" si="88"/>
        <v>0</v>
      </c>
      <c r="Q64" s="1048"/>
      <c r="R64" s="889">
        <f t="shared" si="21"/>
        <v>8.2909504999999974</v>
      </c>
      <c r="S64" s="889">
        <f t="shared" si="104"/>
        <v>8.2909504999999974</v>
      </c>
      <c r="T64" s="1047">
        <f t="shared" si="23"/>
        <v>74.618554499999973</v>
      </c>
      <c r="U64" s="1047">
        <f t="shared" si="105"/>
        <v>74.618554499999973</v>
      </c>
      <c r="V64" s="1046">
        <f t="shared" si="25"/>
        <v>41.454752499999984</v>
      </c>
      <c r="W64" s="1046">
        <f t="shared" si="106"/>
        <v>41.454752499999984</v>
      </c>
      <c r="X64" s="1047">
        <f t="shared" si="27"/>
        <v>41.454752499999984</v>
      </c>
      <c r="Y64" s="1047">
        <f t="shared" si="107"/>
        <v>41.454752499999984</v>
      </c>
      <c r="Z64" s="1049">
        <f t="shared" si="29"/>
        <v>82.909504999999967</v>
      </c>
      <c r="AA64" s="1049">
        <f t="shared" si="108"/>
        <v>82.909504999999967</v>
      </c>
      <c r="AB64" s="1050">
        <f t="shared" si="31"/>
        <v>0</v>
      </c>
      <c r="AC64" s="1050">
        <f t="shared" si="109"/>
        <v>0</v>
      </c>
      <c r="AD64" s="898"/>
      <c r="AE64" s="1046">
        <f t="shared" si="33"/>
        <v>8.2909504999999974</v>
      </c>
      <c r="AF64" s="1046">
        <f t="shared" si="34"/>
        <v>8.2909504999999974</v>
      </c>
      <c r="AG64" s="1046">
        <f t="shared" si="35"/>
        <v>74.618554499999973</v>
      </c>
      <c r="AH64" s="889">
        <f t="shared" si="36"/>
        <v>74.618554499999973</v>
      </c>
      <c r="AI64" s="889">
        <f t="shared" si="37"/>
        <v>41.454752499999984</v>
      </c>
      <c r="AJ64" s="889">
        <f t="shared" si="38"/>
        <v>41.454752499999984</v>
      </c>
      <c r="AK64" s="889">
        <f t="shared" si="39"/>
        <v>41.454752499999984</v>
      </c>
      <c r="AL64" s="889">
        <f t="shared" si="40"/>
        <v>41.454752499999984</v>
      </c>
      <c r="AM64" s="889">
        <f t="shared" si="41"/>
        <v>82.909504999999967</v>
      </c>
      <c r="AN64" s="1050">
        <f t="shared" si="42"/>
        <v>82.909504999999967</v>
      </c>
      <c r="AO64" s="1050">
        <f t="shared" si="43"/>
        <v>0</v>
      </c>
      <c r="AP64" s="1050">
        <f t="shared" si="44"/>
        <v>0</v>
      </c>
      <c r="AR64" s="1067">
        <f t="shared" si="45"/>
        <v>14.923710899999996</v>
      </c>
      <c r="AS64" s="1067">
        <f t="shared" si="46"/>
        <v>14.923710899999996</v>
      </c>
      <c r="AT64" s="1068">
        <f t="shared" si="47"/>
        <v>37.309277249999987</v>
      </c>
      <c r="AU64" s="1068">
        <f t="shared" si="48"/>
        <v>37.309277249999987</v>
      </c>
      <c r="AV64" s="1068">
        <f t="shared" si="49"/>
        <v>59.694843599999984</v>
      </c>
      <c r="AW64" s="1068">
        <f t="shared" si="50"/>
        <v>59.694843599999984</v>
      </c>
      <c r="AX64" s="1068">
        <f t="shared" si="51"/>
        <v>8.2909504999999974</v>
      </c>
      <c r="AY64" s="1068">
        <f t="shared" si="52"/>
        <v>8.2909504999999974</v>
      </c>
      <c r="AZ64" s="1068">
        <f t="shared" si="53"/>
        <v>20.727376249999992</v>
      </c>
      <c r="BA64" s="1068">
        <f t="shared" si="54"/>
        <v>20.727376249999992</v>
      </c>
      <c r="BB64" s="1068">
        <f t="shared" si="55"/>
        <v>33.16380199999999</v>
      </c>
      <c r="BC64" s="1068">
        <f t="shared" si="56"/>
        <v>33.16380199999999</v>
      </c>
      <c r="BD64" s="1068">
        <f t="shared" si="89"/>
        <v>0</v>
      </c>
      <c r="BE64" s="1068">
        <f t="shared" si="90"/>
        <v>0</v>
      </c>
      <c r="BF64" s="1069">
        <f t="shared" si="91"/>
        <v>0</v>
      </c>
      <c r="BH64" s="1067">
        <f t="shared" si="92"/>
        <v>0</v>
      </c>
      <c r="BI64" s="1068">
        <f t="shared" si="93"/>
        <v>0</v>
      </c>
      <c r="BJ64" s="1068">
        <f t="shared" si="94"/>
        <v>0</v>
      </c>
      <c r="BK64" s="1068">
        <f t="shared" si="95"/>
        <v>0</v>
      </c>
      <c r="BL64" s="1068">
        <f t="shared" si="96"/>
        <v>0</v>
      </c>
      <c r="BM64" s="1068">
        <f t="shared" si="97"/>
        <v>0</v>
      </c>
      <c r="BN64" s="1068">
        <f t="shared" si="98"/>
        <v>0</v>
      </c>
      <c r="BO64" s="1068">
        <f t="shared" si="99"/>
        <v>0</v>
      </c>
      <c r="BP64" s="1069">
        <f t="shared" si="100"/>
        <v>0</v>
      </c>
      <c r="BR64" s="1067">
        <f t="shared" si="57"/>
        <v>14.923710899999996</v>
      </c>
      <c r="BS64" s="1067">
        <f t="shared" si="58"/>
        <v>14.923710899999996</v>
      </c>
      <c r="BT64" s="1068">
        <f t="shared" si="59"/>
        <v>37.309277249999987</v>
      </c>
      <c r="BU64" s="1068">
        <f t="shared" si="60"/>
        <v>37.309277249999987</v>
      </c>
      <c r="BV64" s="1068">
        <f t="shared" si="61"/>
        <v>59.694843599999984</v>
      </c>
      <c r="BW64" s="1068">
        <f t="shared" si="62"/>
        <v>59.694843599999984</v>
      </c>
      <c r="BX64" s="1068">
        <f t="shared" si="63"/>
        <v>8.2909504999999974</v>
      </c>
      <c r="BY64" s="1068">
        <f t="shared" si="64"/>
        <v>8.2909504999999974</v>
      </c>
      <c r="BZ64" s="1068">
        <f t="shared" si="65"/>
        <v>20.727376249999992</v>
      </c>
      <c r="CA64" s="1068">
        <f t="shared" si="66"/>
        <v>20.727376249999992</v>
      </c>
      <c r="CB64" s="1068">
        <f t="shared" si="67"/>
        <v>33.16380199999999</v>
      </c>
      <c r="CC64" s="1068">
        <f t="shared" si="68"/>
        <v>33.16380199999999</v>
      </c>
      <c r="CD64" s="1068">
        <f t="shared" si="101"/>
        <v>0</v>
      </c>
      <c r="CE64" s="1068">
        <f t="shared" si="102"/>
        <v>0</v>
      </c>
      <c r="CF64" s="1069">
        <f t="shared" si="103"/>
        <v>0</v>
      </c>
      <c r="CG64" s="599"/>
      <c r="CH64" s="1067">
        <f t="shared" si="69"/>
        <v>6.3958760999999988</v>
      </c>
      <c r="CI64" s="1067">
        <f t="shared" si="70"/>
        <v>6.3958760999999988</v>
      </c>
      <c r="CJ64" s="1068">
        <f t="shared" si="71"/>
        <v>15.989690249999995</v>
      </c>
      <c r="CK64" s="1068">
        <f t="shared" si="72"/>
        <v>15.989690249999995</v>
      </c>
      <c r="CL64" s="1068">
        <f t="shared" si="73"/>
        <v>25.583504399999995</v>
      </c>
      <c r="CM64" s="1068">
        <f t="shared" si="74"/>
        <v>25.583504399999995</v>
      </c>
      <c r="CN64" s="1068">
        <f t="shared" si="75"/>
        <v>3.5532644999999992</v>
      </c>
      <c r="CO64" s="1068">
        <f t="shared" si="76"/>
        <v>3.5532644999999992</v>
      </c>
      <c r="CP64" s="1068">
        <f t="shared" si="77"/>
        <v>8.883161249999997</v>
      </c>
      <c r="CQ64" s="1069">
        <f t="shared" si="78"/>
        <v>8.883161249999997</v>
      </c>
      <c r="CR64" s="1069">
        <f t="shared" si="79"/>
        <v>14.213057999999997</v>
      </c>
      <c r="CS64" s="1069">
        <f t="shared" si="80"/>
        <v>14.213057999999997</v>
      </c>
      <c r="CV64" s="345">
        <v>2014</v>
      </c>
      <c r="CW64" s="1097">
        <f>SUM('POSF Inventory'!HF69,'POSF Inventory'!HH69,'POSF Inventory'!HJ69)*$CY$1</f>
        <v>1.9950830249999998</v>
      </c>
      <c r="CX64" s="1098">
        <f>SUM('POSF Inventory'!HG69,'POSF Inventory'!HI69,'POSF Inventory'!HK69)*$CY$2</f>
        <v>1.9998051149999998</v>
      </c>
      <c r="CY64" s="1097">
        <f>SUM('POSF Inventory'!HL69,'POSF Inventory'!HN69,'POSF Inventory'!HP69)*$CY$1</f>
        <v>4.9396241049999992</v>
      </c>
      <c r="CZ64" s="1098">
        <f>SUM('POSF Inventory'!HM69,'POSF Inventory'!HO69,'POSF Inventory'!HQ69)*$CY$2</f>
        <v>29.855496439999992</v>
      </c>
      <c r="DA64" s="1097">
        <f>SUM('POSF Inventory'!HR69,'POSF Inventory'!HT69,'POSF Inventory'!HV69)*$CY$3</f>
        <v>34.025729722305002</v>
      </c>
      <c r="DB64" s="1098">
        <f>SUM('POSF Inventory'!HS69,'POSF Inventory'!HU69,'POSF Inventory'!HW69)*$CY$4</f>
        <v>63.551962916925007</v>
      </c>
      <c r="DC64" s="1046">
        <f t="shared" si="81"/>
        <v>40.960436852305001</v>
      </c>
      <c r="DD64" s="1050">
        <f t="shared" si="82"/>
        <v>95.407264471925004</v>
      </c>
    </row>
    <row r="65" spans="2:108" x14ac:dyDescent="0.2">
      <c r="B65" s="345">
        <v>2015</v>
      </c>
      <c r="C65" s="774">
        <f>SUM('POSF Inventory'!FF70,'POSF Inventory'!FH70)</f>
        <v>0</v>
      </c>
      <c r="D65" s="774">
        <f>SUM('POSF Inventory'!FB70,'POSF Inventory'!FD70)</f>
        <v>83.210294999999974</v>
      </c>
      <c r="E65" s="774">
        <f>SUM('POSF Inventory'!FC70,'POSF Inventory'!FE70)</f>
        <v>83.210294999999974</v>
      </c>
      <c r="F65" s="774">
        <f>SUM('POSF Inventory'!FB70,'POSF Inventory'!FD70,'POSF Inventory'!J70)</f>
        <v>122.91359499999999</v>
      </c>
      <c r="G65" s="774">
        <f>SUM('POSF Inventory'!FC70,'POSF Inventory'!FE70,'POSF Inventory'!K70)</f>
        <v>122.91359499999999</v>
      </c>
      <c r="H65" s="1106">
        <f>SUM('POSF Inventory'!DL70,'POSF Inventory'!DN70)</f>
        <v>35.661554999999986</v>
      </c>
      <c r="I65" s="1041">
        <f>SUM('POSF Inventory'!DM70,'POSF Inventory'!DO70)</f>
        <v>35.661554999999986</v>
      </c>
      <c r="J65" s="592"/>
      <c r="K65" s="1046">
        <f t="shared" si="83"/>
        <v>0</v>
      </c>
      <c r="L65" s="1047">
        <f t="shared" si="84"/>
        <v>0</v>
      </c>
      <c r="M65" s="1046">
        <f t="shared" si="85"/>
        <v>0</v>
      </c>
      <c r="N65" s="1047">
        <f t="shared" si="86"/>
        <v>0</v>
      </c>
      <c r="O65" s="1046">
        <f t="shared" si="87"/>
        <v>0</v>
      </c>
      <c r="P65" s="889">
        <f t="shared" si="88"/>
        <v>0</v>
      </c>
      <c r="Q65" s="1048"/>
      <c r="R65" s="889">
        <f t="shared" si="21"/>
        <v>8.3210294999999981</v>
      </c>
      <c r="S65" s="889">
        <f t="shared" si="104"/>
        <v>8.3210294999999981</v>
      </c>
      <c r="T65" s="1047">
        <f t="shared" si="23"/>
        <v>74.889265499999979</v>
      </c>
      <c r="U65" s="1047">
        <f t="shared" si="105"/>
        <v>74.889265499999979</v>
      </c>
      <c r="V65" s="1046">
        <f t="shared" si="25"/>
        <v>41.605147499999987</v>
      </c>
      <c r="W65" s="1046">
        <f t="shared" si="106"/>
        <v>41.605147499999987</v>
      </c>
      <c r="X65" s="1047">
        <f t="shared" si="27"/>
        <v>41.605147499999987</v>
      </c>
      <c r="Y65" s="1047">
        <f t="shared" si="107"/>
        <v>41.605147499999987</v>
      </c>
      <c r="Z65" s="1049">
        <f t="shared" si="29"/>
        <v>83.210294999999974</v>
      </c>
      <c r="AA65" s="1049">
        <f t="shared" si="108"/>
        <v>83.210294999999974</v>
      </c>
      <c r="AB65" s="1050">
        <f t="shared" si="31"/>
        <v>0</v>
      </c>
      <c r="AC65" s="1050">
        <f t="shared" si="109"/>
        <v>0</v>
      </c>
      <c r="AD65" s="898"/>
      <c r="AE65" s="1046">
        <f t="shared" si="33"/>
        <v>8.3210294999999981</v>
      </c>
      <c r="AF65" s="1046">
        <f t="shared" si="34"/>
        <v>8.3210294999999981</v>
      </c>
      <c r="AG65" s="1046">
        <f t="shared" si="35"/>
        <v>74.889265499999979</v>
      </c>
      <c r="AH65" s="889">
        <f t="shared" si="36"/>
        <v>74.889265499999979</v>
      </c>
      <c r="AI65" s="889">
        <f t="shared" si="37"/>
        <v>41.605147499999987</v>
      </c>
      <c r="AJ65" s="889">
        <f t="shared" si="38"/>
        <v>41.605147499999987</v>
      </c>
      <c r="AK65" s="889">
        <f t="shared" si="39"/>
        <v>41.605147499999987</v>
      </c>
      <c r="AL65" s="889">
        <f t="shared" si="40"/>
        <v>41.605147499999987</v>
      </c>
      <c r="AM65" s="889">
        <f t="shared" si="41"/>
        <v>83.210294999999974</v>
      </c>
      <c r="AN65" s="1050">
        <f t="shared" si="42"/>
        <v>83.210294999999974</v>
      </c>
      <c r="AO65" s="1050">
        <f t="shared" si="43"/>
        <v>0</v>
      </c>
      <c r="AP65" s="1050">
        <f t="shared" si="44"/>
        <v>0</v>
      </c>
      <c r="AR65" s="1067">
        <f t="shared" si="45"/>
        <v>14.977853099999997</v>
      </c>
      <c r="AS65" s="1067">
        <f t="shared" si="46"/>
        <v>14.977853099999997</v>
      </c>
      <c r="AT65" s="1068">
        <f t="shared" si="47"/>
        <v>37.44463274999999</v>
      </c>
      <c r="AU65" s="1068">
        <f t="shared" si="48"/>
        <v>37.44463274999999</v>
      </c>
      <c r="AV65" s="1068">
        <f t="shared" si="49"/>
        <v>59.911412399999989</v>
      </c>
      <c r="AW65" s="1068">
        <f t="shared" si="50"/>
        <v>59.911412399999989</v>
      </c>
      <c r="AX65" s="1068">
        <f t="shared" si="51"/>
        <v>8.3210294999999981</v>
      </c>
      <c r="AY65" s="1068">
        <f t="shared" si="52"/>
        <v>8.3210294999999981</v>
      </c>
      <c r="AZ65" s="1068">
        <f t="shared" si="53"/>
        <v>20.802573749999993</v>
      </c>
      <c r="BA65" s="1068">
        <f t="shared" si="54"/>
        <v>20.802573749999993</v>
      </c>
      <c r="BB65" s="1068">
        <f t="shared" si="55"/>
        <v>33.284117999999992</v>
      </c>
      <c r="BC65" s="1068">
        <f t="shared" si="56"/>
        <v>33.284117999999992</v>
      </c>
      <c r="BD65" s="1068">
        <f t="shared" si="89"/>
        <v>0</v>
      </c>
      <c r="BE65" s="1068">
        <f t="shared" si="90"/>
        <v>0</v>
      </c>
      <c r="BF65" s="1069">
        <f t="shared" si="91"/>
        <v>0</v>
      </c>
      <c r="BH65" s="1067">
        <f t="shared" si="92"/>
        <v>0</v>
      </c>
      <c r="BI65" s="1068">
        <f t="shared" si="93"/>
        <v>0</v>
      </c>
      <c r="BJ65" s="1068">
        <f t="shared" si="94"/>
        <v>0</v>
      </c>
      <c r="BK65" s="1068">
        <f t="shared" si="95"/>
        <v>0</v>
      </c>
      <c r="BL65" s="1068">
        <f t="shared" si="96"/>
        <v>0</v>
      </c>
      <c r="BM65" s="1068">
        <f t="shared" si="97"/>
        <v>0</v>
      </c>
      <c r="BN65" s="1068">
        <f t="shared" si="98"/>
        <v>0</v>
      </c>
      <c r="BO65" s="1068">
        <f t="shared" si="99"/>
        <v>0</v>
      </c>
      <c r="BP65" s="1069">
        <f t="shared" si="100"/>
        <v>0</v>
      </c>
      <c r="BR65" s="1067">
        <f t="shared" si="57"/>
        <v>14.977853099999997</v>
      </c>
      <c r="BS65" s="1067">
        <f t="shared" si="58"/>
        <v>14.977853099999997</v>
      </c>
      <c r="BT65" s="1068">
        <f t="shared" si="59"/>
        <v>37.44463274999999</v>
      </c>
      <c r="BU65" s="1068">
        <f t="shared" si="60"/>
        <v>37.44463274999999</v>
      </c>
      <c r="BV65" s="1068">
        <f t="shared" si="61"/>
        <v>59.911412399999989</v>
      </c>
      <c r="BW65" s="1068">
        <f t="shared" si="62"/>
        <v>59.911412399999989</v>
      </c>
      <c r="BX65" s="1068">
        <f t="shared" si="63"/>
        <v>8.3210294999999981</v>
      </c>
      <c r="BY65" s="1068">
        <f t="shared" si="64"/>
        <v>8.3210294999999981</v>
      </c>
      <c r="BZ65" s="1068">
        <f t="shared" si="65"/>
        <v>20.802573749999993</v>
      </c>
      <c r="CA65" s="1068">
        <f t="shared" si="66"/>
        <v>20.802573749999993</v>
      </c>
      <c r="CB65" s="1068">
        <f t="shared" si="67"/>
        <v>33.284117999999992</v>
      </c>
      <c r="CC65" s="1068">
        <f t="shared" si="68"/>
        <v>33.284117999999992</v>
      </c>
      <c r="CD65" s="1068">
        <f t="shared" si="101"/>
        <v>0</v>
      </c>
      <c r="CE65" s="1068">
        <f t="shared" si="102"/>
        <v>0</v>
      </c>
      <c r="CF65" s="1069">
        <f t="shared" si="103"/>
        <v>0</v>
      </c>
      <c r="CG65" s="599"/>
      <c r="CH65" s="1067">
        <f t="shared" si="69"/>
        <v>6.4190798999999972</v>
      </c>
      <c r="CI65" s="1067">
        <f t="shared" si="70"/>
        <v>6.4190798999999972</v>
      </c>
      <c r="CJ65" s="1068">
        <f t="shared" si="71"/>
        <v>16.047699749999992</v>
      </c>
      <c r="CK65" s="1068">
        <f t="shared" si="72"/>
        <v>16.047699749999992</v>
      </c>
      <c r="CL65" s="1068">
        <f t="shared" si="73"/>
        <v>25.676319599999989</v>
      </c>
      <c r="CM65" s="1068">
        <f t="shared" si="74"/>
        <v>25.676319599999989</v>
      </c>
      <c r="CN65" s="1068">
        <f t="shared" si="75"/>
        <v>3.5661554999999989</v>
      </c>
      <c r="CO65" s="1068">
        <f t="shared" si="76"/>
        <v>3.5661554999999989</v>
      </c>
      <c r="CP65" s="1068">
        <f t="shared" si="77"/>
        <v>8.9153887499999964</v>
      </c>
      <c r="CQ65" s="1069">
        <f t="shared" si="78"/>
        <v>8.9153887499999964</v>
      </c>
      <c r="CR65" s="1069">
        <f t="shared" si="79"/>
        <v>14.264621999999996</v>
      </c>
      <c r="CS65" s="1069">
        <f t="shared" si="80"/>
        <v>14.264621999999996</v>
      </c>
      <c r="CV65" s="345">
        <v>2015</v>
      </c>
      <c r="CW65" s="1097">
        <f>SUM('POSF Inventory'!HF70,'POSF Inventory'!HH70,'POSF Inventory'!HJ70)*$CY$1</f>
        <v>1.9950830249999998</v>
      </c>
      <c r="CX65" s="1098">
        <f>SUM('POSF Inventory'!HG70,'POSF Inventory'!HI70,'POSF Inventory'!HK70)*$CY$2</f>
        <v>1.9998051149999998</v>
      </c>
      <c r="CY65" s="1097">
        <f>SUM('POSF Inventory'!HL70,'POSF Inventory'!HN70,'POSF Inventory'!HP70)*$CY$1</f>
        <v>5.186981799999999</v>
      </c>
      <c r="CZ65" s="1098">
        <f>SUM('POSF Inventory'!HM70,'POSF Inventory'!HO70,'POSF Inventory'!HQ70)*$CY$2</f>
        <v>32.334928009999985</v>
      </c>
      <c r="DA65" s="1097">
        <f>SUM('POSF Inventory'!HR70,'POSF Inventory'!HT70,'POSF Inventory'!HV70)*$CY$3</f>
        <v>33.687552685495007</v>
      </c>
      <c r="DB65" s="1098">
        <f>SUM('POSF Inventory'!HS70,'POSF Inventory'!HU70,'POSF Inventory'!HW70)*$CY$4</f>
        <v>62.924011605434387</v>
      </c>
      <c r="DC65" s="1046">
        <f t="shared" si="81"/>
        <v>40.869617510495004</v>
      </c>
      <c r="DD65" s="1050">
        <f t="shared" si="82"/>
        <v>97.258744730434373</v>
      </c>
    </row>
    <row r="66" spans="2:108" x14ac:dyDescent="0.2">
      <c r="B66" s="345">
        <v>2016</v>
      </c>
      <c r="C66" s="774">
        <f>SUM('POSF Inventory'!FF71,'POSF Inventory'!FH71)</f>
        <v>0</v>
      </c>
      <c r="D66" s="774">
        <f>SUM('POSF Inventory'!FB71,'POSF Inventory'!FD71)</f>
        <v>74.001736666666659</v>
      </c>
      <c r="E66" s="774">
        <f>SUM('POSF Inventory'!FC71,'POSF Inventory'!FE71)</f>
        <v>72.110034499999969</v>
      </c>
      <c r="F66" s="774">
        <f>SUM('POSF Inventory'!FB71,'POSF Inventory'!FD71,'POSF Inventory'!J71)</f>
        <v>74.001736666666659</v>
      </c>
      <c r="G66" s="774">
        <f>SUM('POSF Inventory'!FC71,'POSF Inventory'!FE71,'POSF Inventory'!K71)</f>
        <v>111.81333449999997</v>
      </c>
      <c r="H66" s="1106">
        <f>SUM('POSF Inventory'!DL71,'POSF Inventory'!DN71)</f>
        <v>31.715029999999999</v>
      </c>
      <c r="I66" s="1041">
        <f>SUM('POSF Inventory'!DM71,'POSF Inventory'!DO71)</f>
        <v>30.904300499999987</v>
      </c>
      <c r="J66" s="592"/>
      <c r="K66" s="1046">
        <f t="shared" si="83"/>
        <v>0</v>
      </c>
      <c r="L66" s="1047">
        <f t="shared" si="84"/>
        <v>0</v>
      </c>
      <c r="M66" s="1046">
        <f t="shared" si="85"/>
        <v>0</v>
      </c>
      <c r="N66" s="1047">
        <f t="shared" si="86"/>
        <v>0</v>
      </c>
      <c r="O66" s="1046">
        <f t="shared" si="87"/>
        <v>0</v>
      </c>
      <c r="P66" s="889">
        <f t="shared" si="88"/>
        <v>0</v>
      </c>
      <c r="Q66" s="1048"/>
      <c r="R66" s="889">
        <f t="shared" si="21"/>
        <v>7.4001736666666664</v>
      </c>
      <c r="S66" s="889">
        <f t="shared" si="104"/>
        <v>7.2110034499999971</v>
      </c>
      <c r="T66" s="1047">
        <f t="shared" si="23"/>
        <v>66.601562999999999</v>
      </c>
      <c r="U66" s="1047">
        <f t="shared" si="105"/>
        <v>64.899031049999977</v>
      </c>
      <c r="V66" s="1046">
        <f t="shared" si="25"/>
        <v>37.000868333333329</v>
      </c>
      <c r="W66" s="1046">
        <f t="shared" si="106"/>
        <v>36.055017249999985</v>
      </c>
      <c r="X66" s="1047">
        <f t="shared" si="27"/>
        <v>37.000868333333329</v>
      </c>
      <c r="Y66" s="1047">
        <f t="shared" si="107"/>
        <v>36.055017249999985</v>
      </c>
      <c r="Z66" s="1049">
        <f t="shared" si="29"/>
        <v>74.001736666666659</v>
      </c>
      <c r="AA66" s="1049">
        <f t="shared" si="108"/>
        <v>72.110034499999969</v>
      </c>
      <c r="AB66" s="1050">
        <f t="shared" si="31"/>
        <v>0</v>
      </c>
      <c r="AC66" s="1050">
        <f t="shared" si="109"/>
        <v>0</v>
      </c>
      <c r="AD66" s="898"/>
      <c r="AE66" s="1046">
        <f t="shared" si="33"/>
        <v>7.4001736666666664</v>
      </c>
      <c r="AF66" s="1046">
        <f t="shared" si="34"/>
        <v>7.2110034499999971</v>
      </c>
      <c r="AG66" s="1046">
        <f t="shared" si="35"/>
        <v>66.601562999999999</v>
      </c>
      <c r="AH66" s="889">
        <f t="shared" si="36"/>
        <v>64.899031049999977</v>
      </c>
      <c r="AI66" s="889">
        <f t="shared" si="37"/>
        <v>37.000868333333329</v>
      </c>
      <c r="AJ66" s="889">
        <f t="shared" si="38"/>
        <v>36.055017249999985</v>
      </c>
      <c r="AK66" s="889">
        <f t="shared" si="39"/>
        <v>37.000868333333329</v>
      </c>
      <c r="AL66" s="889">
        <f t="shared" si="40"/>
        <v>36.055017249999985</v>
      </c>
      <c r="AM66" s="889">
        <f t="shared" si="41"/>
        <v>74.001736666666659</v>
      </c>
      <c r="AN66" s="1050">
        <f t="shared" si="42"/>
        <v>72.110034499999969</v>
      </c>
      <c r="AO66" s="1050">
        <f t="shared" si="43"/>
        <v>0</v>
      </c>
      <c r="AP66" s="1050">
        <f t="shared" si="44"/>
        <v>0</v>
      </c>
      <c r="AR66" s="1067">
        <f t="shared" si="45"/>
        <v>13.320312600000001</v>
      </c>
      <c r="AS66" s="1067">
        <f t="shared" si="46"/>
        <v>12.979806209999996</v>
      </c>
      <c r="AT66" s="1068">
        <f t="shared" si="47"/>
        <v>33.300781499999999</v>
      </c>
      <c r="AU66" s="1068">
        <f t="shared" si="48"/>
        <v>32.449515524999988</v>
      </c>
      <c r="AV66" s="1068">
        <f t="shared" si="49"/>
        <v>53.281250400000005</v>
      </c>
      <c r="AW66" s="1068">
        <f t="shared" si="50"/>
        <v>51.919224839999984</v>
      </c>
      <c r="AX66" s="1068">
        <f t="shared" si="51"/>
        <v>7.4001736666666664</v>
      </c>
      <c r="AY66" s="1068">
        <f t="shared" si="52"/>
        <v>7.2110034499999971</v>
      </c>
      <c r="AZ66" s="1068">
        <f t="shared" si="53"/>
        <v>18.500434166666665</v>
      </c>
      <c r="BA66" s="1068">
        <f t="shared" si="54"/>
        <v>18.027508624999992</v>
      </c>
      <c r="BB66" s="1068">
        <f t="shared" si="55"/>
        <v>29.600694666666666</v>
      </c>
      <c r="BC66" s="1068">
        <f t="shared" si="56"/>
        <v>28.844013799999988</v>
      </c>
      <c r="BD66" s="1068">
        <f t="shared" si="89"/>
        <v>0</v>
      </c>
      <c r="BE66" s="1068">
        <f t="shared" si="90"/>
        <v>0</v>
      </c>
      <c r="BF66" s="1069">
        <f t="shared" si="91"/>
        <v>0</v>
      </c>
      <c r="BH66" s="1067">
        <f t="shared" si="92"/>
        <v>0</v>
      </c>
      <c r="BI66" s="1068">
        <f t="shared" si="93"/>
        <v>0</v>
      </c>
      <c r="BJ66" s="1068">
        <f t="shared" si="94"/>
        <v>0</v>
      </c>
      <c r="BK66" s="1068">
        <f t="shared" si="95"/>
        <v>0</v>
      </c>
      <c r="BL66" s="1068">
        <f t="shared" si="96"/>
        <v>0</v>
      </c>
      <c r="BM66" s="1068">
        <f t="shared" si="97"/>
        <v>0</v>
      </c>
      <c r="BN66" s="1068">
        <f t="shared" si="98"/>
        <v>0</v>
      </c>
      <c r="BO66" s="1068">
        <f t="shared" si="99"/>
        <v>0</v>
      </c>
      <c r="BP66" s="1069">
        <f t="shared" si="100"/>
        <v>0</v>
      </c>
      <c r="BR66" s="1067">
        <f t="shared" si="57"/>
        <v>13.320312600000001</v>
      </c>
      <c r="BS66" s="1067">
        <f t="shared" si="58"/>
        <v>12.979806209999996</v>
      </c>
      <c r="BT66" s="1068">
        <f t="shared" si="59"/>
        <v>33.300781499999999</v>
      </c>
      <c r="BU66" s="1068">
        <f t="shared" si="60"/>
        <v>32.449515524999988</v>
      </c>
      <c r="BV66" s="1068">
        <f t="shared" si="61"/>
        <v>53.281250400000005</v>
      </c>
      <c r="BW66" s="1068">
        <f t="shared" si="62"/>
        <v>51.919224839999984</v>
      </c>
      <c r="BX66" s="1068">
        <f t="shared" si="63"/>
        <v>7.4001736666666664</v>
      </c>
      <c r="BY66" s="1068">
        <f t="shared" si="64"/>
        <v>7.2110034499999971</v>
      </c>
      <c r="BZ66" s="1068">
        <f t="shared" si="65"/>
        <v>18.500434166666665</v>
      </c>
      <c r="CA66" s="1068">
        <f t="shared" si="66"/>
        <v>18.027508624999992</v>
      </c>
      <c r="CB66" s="1068">
        <f t="shared" si="67"/>
        <v>29.600694666666666</v>
      </c>
      <c r="CC66" s="1068">
        <f t="shared" si="68"/>
        <v>28.844013799999988</v>
      </c>
      <c r="CD66" s="1068">
        <f t="shared" si="101"/>
        <v>0</v>
      </c>
      <c r="CE66" s="1068">
        <f t="shared" si="102"/>
        <v>0</v>
      </c>
      <c r="CF66" s="1069">
        <f t="shared" si="103"/>
        <v>0</v>
      </c>
      <c r="CG66" s="599"/>
      <c r="CH66" s="1067">
        <f t="shared" si="69"/>
        <v>5.7087054000000004</v>
      </c>
      <c r="CI66" s="1067">
        <f t="shared" si="70"/>
        <v>5.5627740899999978</v>
      </c>
      <c r="CJ66" s="1068">
        <f t="shared" si="71"/>
        <v>14.2717635</v>
      </c>
      <c r="CK66" s="1068">
        <f t="shared" si="72"/>
        <v>13.906935224999994</v>
      </c>
      <c r="CL66" s="1068">
        <f t="shared" si="73"/>
        <v>22.834821600000001</v>
      </c>
      <c r="CM66" s="1068">
        <f t="shared" si="74"/>
        <v>22.251096359999991</v>
      </c>
      <c r="CN66" s="1068">
        <f t="shared" si="75"/>
        <v>3.171503</v>
      </c>
      <c r="CO66" s="1068">
        <f t="shared" si="76"/>
        <v>3.0904300499999988</v>
      </c>
      <c r="CP66" s="1068">
        <f t="shared" si="77"/>
        <v>7.9287574999999997</v>
      </c>
      <c r="CQ66" s="1069">
        <f t="shared" si="78"/>
        <v>7.7260751249999968</v>
      </c>
      <c r="CR66" s="1069">
        <f t="shared" si="79"/>
        <v>12.686012</v>
      </c>
      <c r="CS66" s="1069">
        <f t="shared" si="80"/>
        <v>12.361720199999995</v>
      </c>
      <c r="CV66" s="345">
        <v>2016</v>
      </c>
      <c r="CW66" s="1097">
        <f>SUM('POSF Inventory'!HF71,'POSF Inventory'!HH71,'POSF Inventory'!HJ71)*$CY$1</f>
        <v>1.3300553500000001</v>
      </c>
      <c r="CX66" s="1098">
        <f>SUM('POSF Inventory'!HG71,'POSF Inventory'!HI71,'POSF Inventory'!HK71)*$CY$2</f>
        <v>1.7998246034999996</v>
      </c>
      <c r="CY66" s="1097">
        <f>SUM('POSF Inventory'!HL71,'POSF Inventory'!HN71,'POSF Inventory'!HP71)*$CY$1</f>
        <v>4.2993452829166658</v>
      </c>
      <c r="CZ66" s="1098">
        <f>SUM('POSF Inventory'!HM71,'POSF Inventory'!HO71,'POSF Inventory'!HQ71)*$CY$2</f>
        <v>30.156405683249982</v>
      </c>
      <c r="DA66" s="1097">
        <f>SUM('POSF Inventory'!HR71,'POSF Inventory'!HT71,'POSF Inventory'!HV71)*$CY$3</f>
        <v>1.6271771676033333</v>
      </c>
      <c r="DB66" s="1098">
        <f>SUM('POSF Inventory'!HS71,'POSF Inventory'!HU71,'POSF Inventory'!HW71)*$CY$4</f>
        <v>59.558151090632506</v>
      </c>
      <c r="DC66" s="1046">
        <f t="shared" si="81"/>
        <v>7.2565778005199997</v>
      </c>
      <c r="DD66" s="1050">
        <f t="shared" si="82"/>
        <v>91.514381377382492</v>
      </c>
    </row>
    <row r="67" spans="2:108" x14ac:dyDescent="0.2">
      <c r="B67" s="345">
        <v>2017</v>
      </c>
      <c r="C67" s="774">
        <f>SUM('POSF Inventory'!FF72,'POSF Inventory'!FH72)</f>
        <v>0</v>
      </c>
      <c r="D67" s="774">
        <f>SUM('POSF Inventory'!FB72,'POSF Inventory'!FD72)</f>
        <v>37.000868333333337</v>
      </c>
      <c r="E67" s="774">
        <f>SUM('POSF Inventory'!FC72,'POSF Inventory'!FE72)</f>
        <v>61.009774</v>
      </c>
      <c r="F67" s="774">
        <f>SUM('POSF Inventory'!FB72,'POSF Inventory'!FD72,'POSF Inventory'!J72)</f>
        <v>37.000868333333337</v>
      </c>
      <c r="G67" s="774">
        <f>SUM('POSF Inventory'!FC72,'POSF Inventory'!FE72,'POSF Inventory'!K72)</f>
        <v>100.71307400000001</v>
      </c>
      <c r="H67" s="1106">
        <f>SUM('POSF Inventory'!DL72,'POSF Inventory'!DN72)</f>
        <v>15.857515000000003</v>
      </c>
      <c r="I67" s="1041">
        <f>SUM('POSF Inventory'!DM72,'POSF Inventory'!DO72)</f>
        <v>26.147046000000003</v>
      </c>
      <c r="J67" s="592"/>
      <c r="K67" s="1046">
        <f t="shared" si="83"/>
        <v>0</v>
      </c>
      <c r="L67" s="1047">
        <f t="shared" si="84"/>
        <v>0</v>
      </c>
      <c r="M67" s="1046">
        <f t="shared" si="85"/>
        <v>0</v>
      </c>
      <c r="N67" s="1047">
        <f t="shared" si="86"/>
        <v>0</v>
      </c>
      <c r="O67" s="1046">
        <f t="shared" si="87"/>
        <v>0</v>
      </c>
      <c r="P67" s="889">
        <f t="shared" si="88"/>
        <v>0</v>
      </c>
      <c r="Q67" s="1048"/>
      <c r="R67" s="889">
        <f t="shared" si="21"/>
        <v>3.7000868333333337</v>
      </c>
      <c r="S67" s="889">
        <f t="shared" si="104"/>
        <v>6.1009774000000006</v>
      </c>
      <c r="T67" s="1047">
        <f t="shared" si="23"/>
        <v>33.300781500000006</v>
      </c>
      <c r="U67" s="1047">
        <f t="shared" si="105"/>
        <v>54.908796600000002</v>
      </c>
      <c r="V67" s="1046">
        <f t="shared" si="25"/>
        <v>18.500434166666668</v>
      </c>
      <c r="W67" s="1046">
        <f t="shared" si="106"/>
        <v>30.504887</v>
      </c>
      <c r="X67" s="1047">
        <f t="shared" si="27"/>
        <v>18.500434166666668</v>
      </c>
      <c r="Y67" s="1047">
        <f t="shared" si="107"/>
        <v>30.504887</v>
      </c>
      <c r="Z67" s="1049">
        <f t="shared" si="29"/>
        <v>37.000868333333337</v>
      </c>
      <c r="AA67" s="1049">
        <f t="shared" si="108"/>
        <v>61.009774</v>
      </c>
      <c r="AB67" s="1050">
        <f t="shared" si="31"/>
        <v>0</v>
      </c>
      <c r="AC67" s="1050">
        <f t="shared" si="109"/>
        <v>0</v>
      </c>
      <c r="AD67" s="898"/>
      <c r="AE67" s="1046">
        <f t="shared" si="33"/>
        <v>3.7000868333333337</v>
      </c>
      <c r="AF67" s="1046">
        <f t="shared" si="34"/>
        <v>6.1009774000000006</v>
      </c>
      <c r="AG67" s="1046">
        <f t="shared" si="35"/>
        <v>33.300781500000006</v>
      </c>
      <c r="AH67" s="889">
        <f t="shared" si="36"/>
        <v>54.908796600000002</v>
      </c>
      <c r="AI67" s="889">
        <f t="shared" si="37"/>
        <v>18.500434166666668</v>
      </c>
      <c r="AJ67" s="889">
        <f t="shared" si="38"/>
        <v>30.504887</v>
      </c>
      <c r="AK67" s="889">
        <f t="shared" si="39"/>
        <v>18.500434166666668</v>
      </c>
      <c r="AL67" s="889">
        <f t="shared" si="40"/>
        <v>30.504887</v>
      </c>
      <c r="AM67" s="889">
        <f t="shared" si="41"/>
        <v>37.000868333333337</v>
      </c>
      <c r="AN67" s="1050">
        <f t="shared" si="42"/>
        <v>61.009774</v>
      </c>
      <c r="AO67" s="1050">
        <f t="shared" si="43"/>
        <v>0</v>
      </c>
      <c r="AP67" s="1050">
        <f t="shared" si="44"/>
        <v>0</v>
      </c>
      <c r="AR67" s="1067">
        <f t="shared" si="45"/>
        <v>6.6601563000000015</v>
      </c>
      <c r="AS67" s="1067">
        <f t="shared" si="46"/>
        <v>10.981759320000002</v>
      </c>
      <c r="AT67" s="1068">
        <f t="shared" si="47"/>
        <v>16.650390750000003</v>
      </c>
      <c r="AU67" s="1068">
        <f t="shared" si="48"/>
        <v>27.454398300000001</v>
      </c>
      <c r="AV67" s="1068">
        <f t="shared" si="49"/>
        <v>26.640625200000006</v>
      </c>
      <c r="AW67" s="1068">
        <f t="shared" si="50"/>
        <v>43.927037280000008</v>
      </c>
      <c r="AX67" s="1068">
        <f t="shared" si="51"/>
        <v>3.7000868333333337</v>
      </c>
      <c r="AY67" s="1068">
        <f t="shared" si="52"/>
        <v>6.1009774000000006</v>
      </c>
      <c r="AZ67" s="1068">
        <f t="shared" si="53"/>
        <v>9.2502170833333341</v>
      </c>
      <c r="BA67" s="1068">
        <f t="shared" si="54"/>
        <v>15.2524435</v>
      </c>
      <c r="BB67" s="1068">
        <f t="shared" si="55"/>
        <v>14.800347333333335</v>
      </c>
      <c r="BC67" s="1068">
        <f t="shared" si="56"/>
        <v>24.403909600000002</v>
      </c>
      <c r="BD67" s="1068">
        <f t="shared" si="89"/>
        <v>0</v>
      </c>
      <c r="BE67" s="1068">
        <f t="shared" si="90"/>
        <v>0</v>
      </c>
      <c r="BF67" s="1069">
        <f t="shared" si="91"/>
        <v>0</v>
      </c>
      <c r="BH67" s="1067">
        <f t="shared" si="92"/>
        <v>0</v>
      </c>
      <c r="BI67" s="1068">
        <f t="shared" si="93"/>
        <v>0</v>
      </c>
      <c r="BJ67" s="1068">
        <f t="shared" si="94"/>
        <v>0</v>
      </c>
      <c r="BK67" s="1068">
        <f t="shared" si="95"/>
        <v>0</v>
      </c>
      <c r="BL67" s="1068">
        <f t="shared" si="96"/>
        <v>0</v>
      </c>
      <c r="BM67" s="1068">
        <f t="shared" si="97"/>
        <v>0</v>
      </c>
      <c r="BN67" s="1068">
        <f t="shared" si="98"/>
        <v>0</v>
      </c>
      <c r="BO67" s="1068">
        <f t="shared" si="99"/>
        <v>0</v>
      </c>
      <c r="BP67" s="1069">
        <f t="shared" si="100"/>
        <v>0</v>
      </c>
      <c r="BR67" s="1067">
        <f t="shared" si="57"/>
        <v>6.6601563000000015</v>
      </c>
      <c r="BS67" s="1067">
        <f t="shared" si="58"/>
        <v>10.981759320000002</v>
      </c>
      <c r="BT67" s="1068">
        <f t="shared" si="59"/>
        <v>16.650390750000003</v>
      </c>
      <c r="BU67" s="1068">
        <f t="shared" si="60"/>
        <v>27.454398300000001</v>
      </c>
      <c r="BV67" s="1068">
        <f t="shared" si="61"/>
        <v>26.640625200000006</v>
      </c>
      <c r="BW67" s="1068">
        <f t="shared" si="62"/>
        <v>43.927037280000008</v>
      </c>
      <c r="BX67" s="1068">
        <f t="shared" si="63"/>
        <v>3.7000868333333337</v>
      </c>
      <c r="BY67" s="1068">
        <f t="shared" si="64"/>
        <v>6.1009774000000006</v>
      </c>
      <c r="BZ67" s="1068">
        <f t="shared" si="65"/>
        <v>9.2502170833333341</v>
      </c>
      <c r="CA67" s="1068">
        <f t="shared" si="66"/>
        <v>15.2524435</v>
      </c>
      <c r="CB67" s="1068">
        <f t="shared" si="67"/>
        <v>14.800347333333335</v>
      </c>
      <c r="CC67" s="1068">
        <f t="shared" si="68"/>
        <v>24.403909600000002</v>
      </c>
      <c r="CD67" s="1068">
        <f t="shared" si="101"/>
        <v>0</v>
      </c>
      <c r="CE67" s="1068">
        <f t="shared" si="102"/>
        <v>0</v>
      </c>
      <c r="CF67" s="1069">
        <f t="shared" si="103"/>
        <v>0</v>
      </c>
      <c r="CG67" s="599"/>
      <c r="CH67" s="1067">
        <f t="shared" si="69"/>
        <v>2.8543527000000006</v>
      </c>
      <c r="CI67" s="1067">
        <f t="shared" si="70"/>
        <v>4.7064682800000011</v>
      </c>
      <c r="CJ67" s="1068">
        <f t="shared" si="71"/>
        <v>7.1358817500000011</v>
      </c>
      <c r="CK67" s="1068">
        <f t="shared" si="72"/>
        <v>11.766170700000002</v>
      </c>
      <c r="CL67" s="1068">
        <f t="shared" si="73"/>
        <v>11.417410800000003</v>
      </c>
      <c r="CM67" s="1068">
        <f t="shared" si="74"/>
        <v>18.825873120000004</v>
      </c>
      <c r="CN67" s="1068">
        <f t="shared" si="75"/>
        <v>1.5857515000000004</v>
      </c>
      <c r="CO67" s="1068">
        <f t="shared" si="76"/>
        <v>2.6147046000000005</v>
      </c>
      <c r="CP67" s="1068">
        <f t="shared" si="77"/>
        <v>3.9643787500000007</v>
      </c>
      <c r="CQ67" s="1069">
        <f t="shared" si="78"/>
        <v>6.5367615000000008</v>
      </c>
      <c r="CR67" s="1069">
        <f t="shared" si="79"/>
        <v>6.3430060000000017</v>
      </c>
      <c r="CS67" s="1069">
        <f t="shared" si="80"/>
        <v>10.458818400000002</v>
      </c>
      <c r="CV67" s="345">
        <v>2017</v>
      </c>
      <c r="CW67" s="1097">
        <f>SUM('POSF Inventory'!HF72,'POSF Inventory'!HH72,'POSF Inventory'!HJ72)*$CY$1</f>
        <v>0.66502767500000004</v>
      </c>
      <c r="CX67" s="1098">
        <f>SUM('POSF Inventory'!HG72,'POSF Inventory'!HI72,'POSF Inventory'!HK72)*$CY$2</f>
        <v>1.5998440919999999</v>
      </c>
      <c r="CY67" s="1097">
        <f>SUM('POSF Inventory'!HL72,'POSF Inventory'!HN72,'POSF Inventory'!HP72)*$CY$1</f>
        <v>2.7362823095833333</v>
      </c>
      <c r="CZ67" s="1098">
        <f>SUM('POSF Inventory'!HM72,'POSF Inventory'!HO72,'POSF Inventory'!HQ72)*$CY$2</f>
        <v>25.908592690749998</v>
      </c>
      <c r="DA67" s="1097">
        <f>SUM('POSF Inventory'!HR72,'POSF Inventory'!HT72,'POSF Inventory'!HV72)*$CY$3</f>
        <v>0.81358858380166676</v>
      </c>
      <c r="DB67" s="1098">
        <f>SUM('POSF Inventory'!HS72,'POSF Inventory'!HU72,'POSF Inventory'!HW72)*$CY$4</f>
        <v>56.192356777018141</v>
      </c>
      <c r="DC67" s="1046">
        <f t="shared" si="81"/>
        <v>4.2148985683850002</v>
      </c>
      <c r="DD67" s="1050">
        <f t="shared" si="82"/>
        <v>83.700793559768144</v>
      </c>
    </row>
    <row r="68" spans="2:108" x14ac:dyDescent="0.2">
      <c r="B68" s="345">
        <v>2018</v>
      </c>
      <c r="C68" s="774">
        <f>SUM('POSF Inventory'!FF73,'POSF Inventory'!FH73)</f>
        <v>0</v>
      </c>
      <c r="D68" s="774">
        <f>SUM('POSF Inventory'!FB73,'POSF Inventory'!FD73)</f>
        <v>0</v>
      </c>
      <c r="E68" s="774">
        <f>SUM('POSF Inventory'!FC73,'POSF Inventory'!FE73)</f>
        <v>49.909513500000003</v>
      </c>
      <c r="F68" s="774">
        <f>SUM('POSF Inventory'!FB73,'POSF Inventory'!FD73,'POSF Inventory'!J73)</f>
        <v>0</v>
      </c>
      <c r="G68" s="774">
        <f>SUM('POSF Inventory'!FC73,'POSF Inventory'!FE73,'POSF Inventory'!K73)</f>
        <v>89.612813500000016</v>
      </c>
      <c r="H68" s="1106">
        <f>SUM('POSF Inventory'!DL73,'POSF Inventory'!DN73)</f>
        <v>0</v>
      </c>
      <c r="I68" s="1041">
        <f>SUM('POSF Inventory'!DM73,'POSF Inventory'!DO73)</f>
        <v>21.389791500000001</v>
      </c>
      <c r="J68" s="592"/>
      <c r="K68" s="1046">
        <f t="shared" si="83"/>
        <v>0</v>
      </c>
      <c r="L68" s="1047">
        <f t="shared" si="84"/>
        <v>0</v>
      </c>
      <c r="M68" s="1046">
        <f t="shared" si="85"/>
        <v>0</v>
      </c>
      <c r="N68" s="1047">
        <f t="shared" si="86"/>
        <v>0</v>
      </c>
      <c r="O68" s="1046">
        <f t="shared" si="87"/>
        <v>0</v>
      </c>
      <c r="P68" s="889">
        <f t="shared" si="88"/>
        <v>0</v>
      </c>
      <c r="Q68" s="1048"/>
      <c r="R68" s="889">
        <f t="shared" si="21"/>
        <v>0</v>
      </c>
      <c r="S68" s="889">
        <f t="shared" si="104"/>
        <v>4.9909513500000005</v>
      </c>
      <c r="T68" s="1047">
        <f t="shared" si="23"/>
        <v>0</v>
      </c>
      <c r="U68" s="1047">
        <f t="shared" si="105"/>
        <v>44.918562150000007</v>
      </c>
      <c r="V68" s="1046">
        <f t="shared" si="25"/>
        <v>0</v>
      </c>
      <c r="W68" s="1046">
        <f t="shared" si="106"/>
        <v>24.954756750000001</v>
      </c>
      <c r="X68" s="1047">
        <f t="shared" si="27"/>
        <v>0</v>
      </c>
      <c r="Y68" s="1047">
        <f t="shared" si="107"/>
        <v>24.954756750000001</v>
      </c>
      <c r="Z68" s="1049">
        <f t="shared" si="29"/>
        <v>0</v>
      </c>
      <c r="AA68" s="1049">
        <f t="shared" si="108"/>
        <v>49.909513500000003</v>
      </c>
      <c r="AB68" s="1050">
        <f t="shared" si="31"/>
        <v>0</v>
      </c>
      <c r="AC68" s="1050">
        <f t="shared" si="109"/>
        <v>0</v>
      </c>
      <c r="AD68" s="898"/>
      <c r="AE68" s="1046">
        <f t="shared" si="33"/>
        <v>0</v>
      </c>
      <c r="AF68" s="1046">
        <f t="shared" si="34"/>
        <v>4.9909513500000005</v>
      </c>
      <c r="AG68" s="1046">
        <f t="shared" si="35"/>
        <v>0</v>
      </c>
      <c r="AH68" s="889">
        <f t="shared" si="36"/>
        <v>44.918562150000007</v>
      </c>
      <c r="AI68" s="889">
        <f t="shared" si="37"/>
        <v>0</v>
      </c>
      <c r="AJ68" s="889">
        <f t="shared" si="38"/>
        <v>24.954756750000001</v>
      </c>
      <c r="AK68" s="889">
        <f t="shared" si="39"/>
        <v>0</v>
      </c>
      <c r="AL68" s="889">
        <f t="shared" si="40"/>
        <v>24.954756750000001</v>
      </c>
      <c r="AM68" s="889">
        <f t="shared" si="41"/>
        <v>0</v>
      </c>
      <c r="AN68" s="1050">
        <f t="shared" si="42"/>
        <v>49.909513500000003</v>
      </c>
      <c r="AO68" s="1050">
        <f t="shared" si="43"/>
        <v>0</v>
      </c>
      <c r="AP68" s="1050">
        <f t="shared" si="44"/>
        <v>0</v>
      </c>
      <c r="AR68" s="1067">
        <f t="shared" si="45"/>
        <v>0</v>
      </c>
      <c r="AS68" s="1067">
        <f t="shared" si="46"/>
        <v>8.9837124300000024</v>
      </c>
      <c r="AT68" s="1068">
        <f t="shared" si="47"/>
        <v>0</v>
      </c>
      <c r="AU68" s="1068">
        <f t="shared" si="48"/>
        <v>22.459281075000003</v>
      </c>
      <c r="AV68" s="1068">
        <f t="shared" si="49"/>
        <v>0</v>
      </c>
      <c r="AW68" s="1068">
        <f t="shared" si="50"/>
        <v>35.93484972000001</v>
      </c>
      <c r="AX68" s="1068">
        <f t="shared" si="51"/>
        <v>0</v>
      </c>
      <c r="AY68" s="1068">
        <f t="shared" si="52"/>
        <v>4.9909513500000005</v>
      </c>
      <c r="AZ68" s="1068">
        <f t="shared" si="53"/>
        <v>0</v>
      </c>
      <c r="BA68" s="1068">
        <f t="shared" si="54"/>
        <v>12.477378375000001</v>
      </c>
      <c r="BB68" s="1068">
        <f t="shared" si="55"/>
        <v>0</v>
      </c>
      <c r="BC68" s="1068">
        <f t="shared" si="56"/>
        <v>19.963805400000002</v>
      </c>
      <c r="BD68" s="1068">
        <f t="shared" si="89"/>
        <v>0</v>
      </c>
      <c r="BE68" s="1068">
        <f t="shared" si="90"/>
        <v>0</v>
      </c>
      <c r="BF68" s="1069">
        <f t="shared" si="91"/>
        <v>0</v>
      </c>
      <c r="BH68" s="1067">
        <f t="shared" si="92"/>
        <v>0</v>
      </c>
      <c r="BI68" s="1068">
        <f t="shared" si="93"/>
        <v>0</v>
      </c>
      <c r="BJ68" s="1068">
        <f t="shared" si="94"/>
        <v>0</v>
      </c>
      <c r="BK68" s="1068">
        <f t="shared" si="95"/>
        <v>0</v>
      </c>
      <c r="BL68" s="1068">
        <f t="shared" si="96"/>
        <v>0</v>
      </c>
      <c r="BM68" s="1068">
        <f t="shared" si="97"/>
        <v>0</v>
      </c>
      <c r="BN68" s="1068">
        <f t="shared" si="98"/>
        <v>0</v>
      </c>
      <c r="BO68" s="1068">
        <f t="shared" si="99"/>
        <v>0</v>
      </c>
      <c r="BP68" s="1069">
        <f t="shared" si="100"/>
        <v>0</v>
      </c>
      <c r="BR68" s="1067">
        <f t="shared" si="57"/>
        <v>0</v>
      </c>
      <c r="BS68" s="1067">
        <f t="shared" si="58"/>
        <v>8.9837124300000024</v>
      </c>
      <c r="BT68" s="1068">
        <f t="shared" si="59"/>
        <v>0</v>
      </c>
      <c r="BU68" s="1068">
        <f t="shared" si="60"/>
        <v>22.459281075000003</v>
      </c>
      <c r="BV68" s="1068">
        <f t="shared" si="61"/>
        <v>0</v>
      </c>
      <c r="BW68" s="1068">
        <f t="shared" si="62"/>
        <v>35.93484972000001</v>
      </c>
      <c r="BX68" s="1068">
        <f t="shared" si="63"/>
        <v>0</v>
      </c>
      <c r="BY68" s="1068">
        <f t="shared" si="64"/>
        <v>4.9909513500000005</v>
      </c>
      <c r="BZ68" s="1068">
        <f t="shared" si="65"/>
        <v>0</v>
      </c>
      <c r="CA68" s="1068">
        <f t="shared" si="66"/>
        <v>12.477378375000001</v>
      </c>
      <c r="CB68" s="1068">
        <f t="shared" si="67"/>
        <v>0</v>
      </c>
      <c r="CC68" s="1068">
        <f t="shared" si="68"/>
        <v>19.963805400000002</v>
      </c>
      <c r="CD68" s="1068">
        <f t="shared" si="101"/>
        <v>0</v>
      </c>
      <c r="CE68" s="1068">
        <f t="shared" si="102"/>
        <v>0</v>
      </c>
      <c r="CF68" s="1069">
        <f t="shared" si="103"/>
        <v>0</v>
      </c>
      <c r="CG68" s="599"/>
      <c r="CH68" s="1067">
        <f t="shared" si="69"/>
        <v>0</v>
      </c>
      <c r="CI68" s="1067">
        <f t="shared" si="70"/>
        <v>3.8501624700000003</v>
      </c>
      <c r="CJ68" s="1068">
        <f t="shared" si="71"/>
        <v>0</v>
      </c>
      <c r="CK68" s="1068">
        <f t="shared" si="72"/>
        <v>9.6254061750000002</v>
      </c>
      <c r="CL68" s="1068">
        <f t="shared" si="73"/>
        <v>0</v>
      </c>
      <c r="CM68" s="1068">
        <f t="shared" si="74"/>
        <v>15.400649880000001</v>
      </c>
      <c r="CN68" s="1068">
        <f t="shared" si="75"/>
        <v>0</v>
      </c>
      <c r="CO68" s="1068">
        <f t="shared" si="76"/>
        <v>2.1389791500000004</v>
      </c>
      <c r="CP68" s="1068">
        <f t="shared" si="77"/>
        <v>0</v>
      </c>
      <c r="CQ68" s="1069">
        <f t="shared" si="78"/>
        <v>5.3474478750000003</v>
      </c>
      <c r="CR68" s="1069">
        <f t="shared" si="79"/>
        <v>0</v>
      </c>
      <c r="CS68" s="1069">
        <f t="shared" si="80"/>
        <v>8.5559166000000015</v>
      </c>
      <c r="CV68" s="345">
        <v>2018</v>
      </c>
      <c r="CW68" s="1097">
        <f>SUM('POSF Inventory'!HF73,'POSF Inventory'!HH73,'POSF Inventory'!HJ73)*$CY$1</f>
        <v>0</v>
      </c>
      <c r="CX68" s="1098">
        <f>SUM('POSF Inventory'!HG73,'POSF Inventory'!HI73,'POSF Inventory'!HK73)*$CY$2</f>
        <v>1.3998635804999999</v>
      </c>
      <c r="CY68" s="1097">
        <f>SUM('POSF Inventory'!HL73,'POSF Inventory'!HN73,'POSF Inventory'!HP73)*$CY$1</f>
        <v>0.66998000875000019</v>
      </c>
      <c r="CZ68" s="1098">
        <f>SUM('POSF Inventory'!HM73,'POSF Inventory'!HO73,'POSF Inventory'!HQ73)*$CY$2</f>
        <v>21.66077969825</v>
      </c>
      <c r="DA68" s="1097">
        <f>SUM('POSF Inventory'!HR73,'POSF Inventory'!HT73,'POSF Inventory'!HV73)*$CY$3</f>
        <v>0</v>
      </c>
      <c r="DB68" s="1098">
        <f>SUM('POSF Inventory'!HS73,'POSF Inventory'!HU73,'POSF Inventory'!HW73)*$CY$4</f>
        <v>52.824430179403763</v>
      </c>
      <c r="DC68" s="1046">
        <f t="shared" si="81"/>
        <v>0.66998000875000019</v>
      </c>
      <c r="DD68" s="1050">
        <f t="shared" si="82"/>
        <v>75.885073458153755</v>
      </c>
    </row>
    <row r="69" spans="2:108" x14ac:dyDescent="0.2">
      <c r="B69" s="345">
        <v>2019</v>
      </c>
      <c r="C69" s="774">
        <f>SUM('POSF Inventory'!FF74,'POSF Inventory'!FH74)</f>
        <v>0</v>
      </c>
      <c r="D69" s="774">
        <f>SUM('POSF Inventory'!FB74,'POSF Inventory'!FD74)</f>
        <v>0</v>
      </c>
      <c r="E69" s="774">
        <f>SUM('POSF Inventory'!FC74,'POSF Inventory'!FE74)</f>
        <v>38.809252999999991</v>
      </c>
      <c r="F69" s="774">
        <f>SUM('POSF Inventory'!FB74,'POSF Inventory'!FD74,'POSF Inventory'!J74)</f>
        <v>0</v>
      </c>
      <c r="G69" s="774">
        <f>SUM('POSF Inventory'!FC74,'POSF Inventory'!FE74,'POSF Inventory'!K74)</f>
        <v>78.512552999999997</v>
      </c>
      <c r="H69" s="1106">
        <f>SUM('POSF Inventory'!DL74,'POSF Inventory'!DN74)</f>
        <v>0</v>
      </c>
      <c r="I69" s="1041">
        <f>SUM('POSF Inventory'!DM74,'POSF Inventory'!DO74)</f>
        <v>16.632536999999996</v>
      </c>
      <c r="J69" s="592"/>
      <c r="K69" s="1046">
        <f t="shared" si="83"/>
        <v>0</v>
      </c>
      <c r="L69" s="1047">
        <f t="shared" si="84"/>
        <v>0</v>
      </c>
      <c r="M69" s="1046">
        <f t="shared" si="85"/>
        <v>0</v>
      </c>
      <c r="N69" s="1047">
        <f t="shared" si="86"/>
        <v>0</v>
      </c>
      <c r="O69" s="1046">
        <f t="shared" si="87"/>
        <v>0</v>
      </c>
      <c r="P69" s="889">
        <f t="shared" si="88"/>
        <v>0</v>
      </c>
      <c r="Q69" s="1048"/>
      <c r="R69" s="889">
        <f t="shared" si="21"/>
        <v>0</v>
      </c>
      <c r="S69" s="889">
        <f t="shared" si="104"/>
        <v>3.8809252999999995</v>
      </c>
      <c r="T69" s="1047">
        <f t="shared" si="23"/>
        <v>0</v>
      </c>
      <c r="U69" s="1047">
        <f t="shared" si="105"/>
        <v>34.92832769999999</v>
      </c>
      <c r="V69" s="1046">
        <f t="shared" si="25"/>
        <v>0</v>
      </c>
      <c r="W69" s="1046">
        <f t="shared" si="106"/>
        <v>19.404626499999996</v>
      </c>
      <c r="X69" s="1047">
        <f t="shared" si="27"/>
        <v>0</v>
      </c>
      <c r="Y69" s="1047">
        <f t="shared" si="107"/>
        <v>19.404626499999996</v>
      </c>
      <c r="Z69" s="1049">
        <f t="shared" si="29"/>
        <v>0</v>
      </c>
      <c r="AA69" s="1049">
        <f t="shared" si="108"/>
        <v>38.809252999999991</v>
      </c>
      <c r="AB69" s="1050">
        <f t="shared" si="31"/>
        <v>0</v>
      </c>
      <c r="AC69" s="1050">
        <f t="shared" si="109"/>
        <v>0</v>
      </c>
      <c r="AD69" s="898"/>
      <c r="AE69" s="1046">
        <f t="shared" si="33"/>
        <v>0</v>
      </c>
      <c r="AF69" s="1046">
        <f t="shared" si="34"/>
        <v>3.8809252999999995</v>
      </c>
      <c r="AG69" s="1046">
        <f t="shared" si="35"/>
        <v>0</v>
      </c>
      <c r="AH69" s="889">
        <f t="shared" si="36"/>
        <v>34.92832769999999</v>
      </c>
      <c r="AI69" s="889">
        <f t="shared" si="37"/>
        <v>0</v>
      </c>
      <c r="AJ69" s="889">
        <f t="shared" si="38"/>
        <v>19.404626499999996</v>
      </c>
      <c r="AK69" s="889">
        <f t="shared" si="39"/>
        <v>0</v>
      </c>
      <c r="AL69" s="889">
        <f t="shared" si="40"/>
        <v>19.404626499999996</v>
      </c>
      <c r="AM69" s="889">
        <f t="shared" si="41"/>
        <v>0</v>
      </c>
      <c r="AN69" s="1050">
        <f t="shared" si="42"/>
        <v>38.809252999999991</v>
      </c>
      <c r="AO69" s="1050">
        <f t="shared" si="43"/>
        <v>0</v>
      </c>
      <c r="AP69" s="1050">
        <f t="shared" si="44"/>
        <v>0</v>
      </c>
      <c r="AR69" s="1067">
        <f t="shared" si="45"/>
        <v>0</v>
      </c>
      <c r="AS69" s="1067">
        <f t="shared" si="46"/>
        <v>6.9856655399999985</v>
      </c>
      <c r="AT69" s="1068">
        <f t="shared" si="47"/>
        <v>0</v>
      </c>
      <c r="AU69" s="1068">
        <f t="shared" si="48"/>
        <v>17.464163849999995</v>
      </c>
      <c r="AV69" s="1068">
        <f t="shared" si="49"/>
        <v>0</v>
      </c>
      <c r="AW69" s="1068">
        <f t="shared" si="50"/>
        <v>27.942662159999994</v>
      </c>
      <c r="AX69" s="1068">
        <f t="shared" si="51"/>
        <v>0</v>
      </c>
      <c r="AY69" s="1068">
        <f t="shared" si="52"/>
        <v>3.8809252999999995</v>
      </c>
      <c r="AZ69" s="1068">
        <f t="shared" si="53"/>
        <v>0</v>
      </c>
      <c r="BA69" s="1068">
        <f t="shared" si="54"/>
        <v>9.7023132499999978</v>
      </c>
      <c r="BB69" s="1068">
        <f t="shared" si="55"/>
        <v>0</v>
      </c>
      <c r="BC69" s="1068">
        <f t="shared" si="56"/>
        <v>15.523701199999998</v>
      </c>
      <c r="BD69" s="1068">
        <f t="shared" si="89"/>
        <v>0</v>
      </c>
      <c r="BE69" s="1068">
        <f t="shared" si="90"/>
        <v>0</v>
      </c>
      <c r="BF69" s="1069">
        <f t="shared" si="91"/>
        <v>0</v>
      </c>
      <c r="BH69" s="1067">
        <f t="shared" si="92"/>
        <v>0</v>
      </c>
      <c r="BI69" s="1068">
        <f t="shared" si="93"/>
        <v>0</v>
      </c>
      <c r="BJ69" s="1068">
        <f t="shared" si="94"/>
        <v>0</v>
      </c>
      <c r="BK69" s="1068">
        <f t="shared" si="95"/>
        <v>0</v>
      </c>
      <c r="BL69" s="1068">
        <f t="shared" si="96"/>
        <v>0</v>
      </c>
      <c r="BM69" s="1068">
        <f t="shared" si="97"/>
        <v>0</v>
      </c>
      <c r="BN69" s="1068">
        <f t="shared" si="98"/>
        <v>0</v>
      </c>
      <c r="BO69" s="1068">
        <f t="shared" si="99"/>
        <v>0</v>
      </c>
      <c r="BP69" s="1069">
        <f t="shared" si="100"/>
        <v>0</v>
      </c>
      <c r="BR69" s="1067">
        <f t="shared" si="57"/>
        <v>0</v>
      </c>
      <c r="BS69" s="1067">
        <f t="shared" si="58"/>
        <v>6.9856655399999985</v>
      </c>
      <c r="BT69" s="1068">
        <f t="shared" si="59"/>
        <v>0</v>
      </c>
      <c r="BU69" s="1068">
        <f t="shared" si="60"/>
        <v>17.464163849999995</v>
      </c>
      <c r="BV69" s="1068">
        <f t="shared" si="61"/>
        <v>0</v>
      </c>
      <c r="BW69" s="1068">
        <f t="shared" si="62"/>
        <v>27.942662159999994</v>
      </c>
      <c r="BX69" s="1068">
        <f t="shared" si="63"/>
        <v>0</v>
      </c>
      <c r="BY69" s="1068">
        <f t="shared" si="64"/>
        <v>3.8809252999999995</v>
      </c>
      <c r="BZ69" s="1068">
        <f t="shared" si="65"/>
        <v>0</v>
      </c>
      <c r="CA69" s="1068">
        <f t="shared" si="66"/>
        <v>9.7023132499999978</v>
      </c>
      <c r="CB69" s="1068">
        <f t="shared" si="67"/>
        <v>0</v>
      </c>
      <c r="CC69" s="1068">
        <f t="shared" si="68"/>
        <v>15.523701199999998</v>
      </c>
      <c r="CD69" s="1068">
        <f t="shared" si="101"/>
        <v>0</v>
      </c>
      <c r="CE69" s="1068">
        <f t="shared" si="102"/>
        <v>0</v>
      </c>
      <c r="CF69" s="1069">
        <f t="shared" si="103"/>
        <v>0</v>
      </c>
      <c r="CG69" s="599"/>
      <c r="CH69" s="1067">
        <f t="shared" si="69"/>
        <v>0</v>
      </c>
      <c r="CI69" s="1067">
        <f t="shared" si="70"/>
        <v>2.9938566599999996</v>
      </c>
      <c r="CJ69" s="1068">
        <f t="shared" si="71"/>
        <v>0</v>
      </c>
      <c r="CK69" s="1068">
        <f t="shared" si="72"/>
        <v>7.4846416499999986</v>
      </c>
      <c r="CL69" s="1068">
        <f t="shared" si="73"/>
        <v>0</v>
      </c>
      <c r="CM69" s="1068">
        <f t="shared" si="74"/>
        <v>11.975426639999998</v>
      </c>
      <c r="CN69" s="1068">
        <f t="shared" si="75"/>
        <v>0</v>
      </c>
      <c r="CO69" s="1068">
        <f t="shared" si="76"/>
        <v>1.6632536999999996</v>
      </c>
      <c r="CP69" s="1068">
        <f t="shared" si="77"/>
        <v>0</v>
      </c>
      <c r="CQ69" s="1069">
        <f t="shared" si="78"/>
        <v>4.1581342499999989</v>
      </c>
      <c r="CR69" s="1069">
        <f t="shared" si="79"/>
        <v>0</v>
      </c>
      <c r="CS69" s="1069">
        <f t="shared" si="80"/>
        <v>6.6530147999999985</v>
      </c>
      <c r="CV69" s="345">
        <v>2019</v>
      </c>
      <c r="CW69" s="1097">
        <f>SUM('POSF Inventory'!HF74,'POSF Inventory'!HH74,'POSF Inventory'!HJ74)*$CY$1</f>
        <v>0</v>
      </c>
      <c r="CX69" s="1098">
        <f>SUM('POSF Inventory'!HG74,'POSF Inventory'!HI74,'POSF Inventory'!HK74)*$CY$2</f>
        <v>1.199883069</v>
      </c>
      <c r="CY69" s="1097">
        <f>SUM('POSF Inventory'!HL74,'POSF Inventory'!HN74,'POSF Inventory'!HP74)*$CY$1</f>
        <v>0</v>
      </c>
      <c r="CZ69" s="1098">
        <f>SUM('POSF Inventory'!HM74,'POSF Inventory'!HO74,'POSF Inventory'!HQ74)*$CY$2</f>
        <v>17.412966705750001</v>
      </c>
      <c r="DA69" s="1097">
        <f>SUM('POSF Inventory'!HR74,'POSF Inventory'!HT74,'POSF Inventory'!HV74)*$CY$3</f>
        <v>0</v>
      </c>
      <c r="DB69" s="1098">
        <f>SUM('POSF Inventory'!HS74,'POSF Inventory'!HU74,'POSF Inventory'!HW74)*$CY$4</f>
        <v>49.896111377492517</v>
      </c>
      <c r="DC69" s="1046">
        <f t="shared" si="81"/>
        <v>0</v>
      </c>
      <c r="DD69" s="1050">
        <f t="shared" si="82"/>
        <v>68.50896115224252</v>
      </c>
    </row>
    <row r="70" spans="2:108" x14ac:dyDescent="0.2">
      <c r="B70" s="345">
        <v>2020</v>
      </c>
      <c r="C70" s="774">
        <f>SUM('POSF Inventory'!FF75,'POSF Inventory'!FH75)</f>
        <v>0</v>
      </c>
      <c r="D70" s="774">
        <f>SUM('POSF Inventory'!FB75,'POSF Inventory'!FD75)</f>
        <v>0</v>
      </c>
      <c r="E70" s="774">
        <f>SUM('POSF Inventory'!FC75,'POSF Inventory'!FE75)</f>
        <v>27.708992499999987</v>
      </c>
      <c r="F70" s="774">
        <f>SUM('POSF Inventory'!FB75,'POSF Inventory'!FD75,'POSF Inventory'!J75)</f>
        <v>0</v>
      </c>
      <c r="G70" s="774">
        <f>SUM('POSF Inventory'!FC75,'POSF Inventory'!FE75,'POSF Inventory'!K75)</f>
        <v>67.412292499999992</v>
      </c>
      <c r="H70" s="1106">
        <f>SUM('POSF Inventory'!DL75,'POSF Inventory'!DN75)</f>
        <v>0</v>
      </c>
      <c r="I70" s="1041">
        <f>SUM('POSF Inventory'!DM75,'POSF Inventory'!DO75)</f>
        <v>11.875282499999996</v>
      </c>
      <c r="J70" s="592"/>
      <c r="K70" s="1046">
        <f t="shared" si="83"/>
        <v>0</v>
      </c>
      <c r="L70" s="1047">
        <f t="shared" si="84"/>
        <v>0</v>
      </c>
      <c r="M70" s="1046">
        <f t="shared" si="85"/>
        <v>0</v>
      </c>
      <c r="N70" s="1047">
        <f t="shared" si="86"/>
        <v>0</v>
      </c>
      <c r="O70" s="1046">
        <f t="shared" si="87"/>
        <v>0</v>
      </c>
      <c r="P70" s="889">
        <f t="shared" si="88"/>
        <v>0</v>
      </c>
      <c r="Q70" s="1048"/>
      <c r="R70" s="889">
        <f t="shared" si="21"/>
        <v>0</v>
      </c>
      <c r="S70" s="889">
        <f t="shared" si="104"/>
        <v>2.7708992499999989</v>
      </c>
      <c r="T70" s="1047">
        <f t="shared" si="23"/>
        <v>0</v>
      </c>
      <c r="U70" s="1047">
        <f t="shared" si="105"/>
        <v>24.938093249999987</v>
      </c>
      <c r="V70" s="1046">
        <f t="shared" si="25"/>
        <v>0</v>
      </c>
      <c r="W70" s="1046">
        <f t="shared" si="106"/>
        <v>13.854496249999993</v>
      </c>
      <c r="X70" s="1047">
        <f t="shared" si="27"/>
        <v>0</v>
      </c>
      <c r="Y70" s="1047">
        <f t="shared" si="107"/>
        <v>13.854496249999993</v>
      </c>
      <c r="Z70" s="1049">
        <f t="shared" si="29"/>
        <v>0</v>
      </c>
      <c r="AA70" s="1049">
        <f t="shared" si="108"/>
        <v>27.708992499999987</v>
      </c>
      <c r="AB70" s="1050">
        <f t="shared" si="31"/>
        <v>0</v>
      </c>
      <c r="AC70" s="1050">
        <f t="shared" si="109"/>
        <v>0</v>
      </c>
      <c r="AD70" s="898"/>
      <c r="AE70" s="1046">
        <f t="shared" si="33"/>
        <v>0</v>
      </c>
      <c r="AF70" s="1046">
        <f t="shared" si="34"/>
        <v>2.7708992499999989</v>
      </c>
      <c r="AG70" s="1046">
        <f t="shared" si="35"/>
        <v>0</v>
      </c>
      <c r="AH70" s="889">
        <f t="shared" si="36"/>
        <v>24.938093249999987</v>
      </c>
      <c r="AI70" s="889">
        <f t="shared" si="37"/>
        <v>0</v>
      </c>
      <c r="AJ70" s="889">
        <f t="shared" si="38"/>
        <v>13.854496249999993</v>
      </c>
      <c r="AK70" s="889">
        <f t="shared" si="39"/>
        <v>0</v>
      </c>
      <c r="AL70" s="889">
        <f t="shared" si="40"/>
        <v>13.854496249999993</v>
      </c>
      <c r="AM70" s="889">
        <f t="shared" si="41"/>
        <v>0</v>
      </c>
      <c r="AN70" s="1050">
        <f t="shared" si="42"/>
        <v>27.708992499999987</v>
      </c>
      <c r="AO70" s="1050">
        <f t="shared" si="43"/>
        <v>0</v>
      </c>
      <c r="AP70" s="1050">
        <f t="shared" si="44"/>
        <v>0</v>
      </c>
      <c r="AR70" s="1067">
        <f t="shared" si="45"/>
        <v>0</v>
      </c>
      <c r="AS70" s="1067">
        <f t="shared" si="46"/>
        <v>4.9876186499999982</v>
      </c>
      <c r="AT70" s="1068">
        <f t="shared" si="47"/>
        <v>0</v>
      </c>
      <c r="AU70" s="1068">
        <f t="shared" si="48"/>
        <v>12.469046624999994</v>
      </c>
      <c r="AV70" s="1068">
        <f t="shared" si="49"/>
        <v>0</v>
      </c>
      <c r="AW70" s="1068">
        <f t="shared" si="50"/>
        <v>19.950474599999993</v>
      </c>
      <c r="AX70" s="1068">
        <f t="shared" si="51"/>
        <v>0</v>
      </c>
      <c r="AY70" s="1068">
        <f t="shared" si="52"/>
        <v>2.7708992499999989</v>
      </c>
      <c r="AZ70" s="1068">
        <f t="shared" si="53"/>
        <v>0</v>
      </c>
      <c r="BA70" s="1068">
        <f t="shared" si="54"/>
        <v>6.9272481249999966</v>
      </c>
      <c r="BB70" s="1068">
        <f t="shared" si="55"/>
        <v>0</v>
      </c>
      <c r="BC70" s="1068">
        <f t="shared" si="56"/>
        <v>11.083596999999996</v>
      </c>
      <c r="BD70" s="1068">
        <f t="shared" si="89"/>
        <v>0</v>
      </c>
      <c r="BE70" s="1068">
        <f t="shared" si="90"/>
        <v>0</v>
      </c>
      <c r="BF70" s="1069">
        <f t="shared" si="91"/>
        <v>0</v>
      </c>
      <c r="BH70" s="1067">
        <f t="shared" si="92"/>
        <v>0</v>
      </c>
      <c r="BI70" s="1068">
        <f t="shared" si="93"/>
        <v>0</v>
      </c>
      <c r="BJ70" s="1068">
        <f t="shared" si="94"/>
        <v>0</v>
      </c>
      <c r="BK70" s="1068">
        <f t="shared" si="95"/>
        <v>0</v>
      </c>
      <c r="BL70" s="1068">
        <f t="shared" si="96"/>
        <v>0</v>
      </c>
      <c r="BM70" s="1068">
        <f t="shared" si="97"/>
        <v>0</v>
      </c>
      <c r="BN70" s="1068">
        <f t="shared" si="98"/>
        <v>0</v>
      </c>
      <c r="BO70" s="1068">
        <f t="shared" si="99"/>
        <v>0</v>
      </c>
      <c r="BP70" s="1069">
        <f t="shared" si="100"/>
        <v>0</v>
      </c>
      <c r="BR70" s="1067">
        <f t="shared" si="57"/>
        <v>0</v>
      </c>
      <c r="BS70" s="1067">
        <f t="shared" si="58"/>
        <v>4.9876186499999982</v>
      </c>
      <c r="BT70" s="1068">
        <f t="shared" si="59"/>
        <v>0</v>
      </c>
      <c r="BU70" s="1068">
        <f t="shared" si="60"/>
        <v>12.469046624999994</v>
      </c>
      <c r="BV70" s="1068">
        <f t="shared" si="61"/>
        <v>0</v>
      </c>
      <c r="BW70" s="1068">
        <f t="shared" si="62"/>
        <v>19.950474599999993</v>
      </c>
      <c r="BX70" s="1068">
        <f t="shared" si="63"/>
        <v>0</v>
      </c>
      <c r="BY70" s="1068">
        <f t="shared" si="64"/>
        <v>2.7708992499999989</v>
      </c>
      <c r="BZ70" s="1068">
        <f t="shared" si="65"/>
        <v>0</v>
      </c>
      <c r="CA70" s="1068">
        <f t="shared" si="66"/>
        <v>6.9272481249999966</v>
      </c>
      <c r="CB70" s="1068">
        <f t="shared" si="67"/>
        <v>0</v>
      </c>
      <c r="CC70" s="1068">
        <f t="shared" si="68"/>
        <v>11.083596999999996</v>
      </c>
      <c r="CD70" s="1068">
        <f t="shared" si="101"/>
        <v>0</v>
      </c>
      <c r="CE70" s="1068">
        <f t="shared" si="102"/>
        <v>0</v>
      </c>
      <c r="CF70" s="1069">
        <f t="shared" si="103"/>
        <v>0</v>
      </c>
      <c r="CG70" s="599"/>
      <c r="CH70" s="1067">
        <f t="shared" si="69"/>
        <v>0</v>
      </c>
      <c r="CI70" s="1067">
        <f t="shared" si="70"/>
        <v>2.1375508499999993</v>
      </c>
      <c r="CJ70" s="1068">
        <f t="shared" si="71"/>
        <v>0</v>
      </c>
      <c r="CK70" s="1068">
        <f t="shared" si="72"/>
        <v>5.3438771249999979</v>
      </c>
      <c r="CL70" s="1068">
        <f t="shared" si="73"/>
        <v>0</v>
      </c>
      <c r="CM70" s="1068">
        <f t="shared" si="74"/>
        <v>8.5502033999999973</v>
      </c>
      <c r="CN70" s="1068">
        <f t="shared" si="75"/>
        <v>0</v>
      </c>
      <c r="CO70" s="1068">
        <f t="shared" si="76"/>
        <v>1.1875282499999995</v>
      </c>
      <c r="CP70" s="1068">
        <f t="shared" si="77"/>
        <v>0</v>
      </c>
      <c r="CQ70" s="1069">
        <f t="shared" si="78"/>
        <v>2.9688206249999989</v>
      </c>
      <c r="CR70" s="1069">
        <f t="shared" si="79"/>
        <v>0</v>
      </c>
      <c r="CS70" s="1069">
        <f t="shared" si="80"/>
        <v>4.750112999999998</v>
      </c>
      <c r="CV70" s="345">
        <v>2020</v>
      </c>
      <c r="CW70" s="1097">
        <f>SUM('POSF Inventory'!HF75,'POSF Inventory'!HH75,'POSF Inventory'!HJ75)*$CY$1</f>
        <v>0</v>
      </c>
      <c r="CX70" s="1098">
        <f>SUM('POSF Inventory'!HG75,'POSF Inventory'!HI75,'POSF Inventory'!HK75)*$CY$2</f>
        <v>0.9999025574999999</v>
      </c>
      <c r="CY70" s="1097">
        <f>SUM('POSF Inventory'!HL75,'POSF Inventory'!HN75,'POSF Inventory'!HP75)*$CY$1</f>
        <v>0</v>
      </c>
      <c r="CZ70" s="1098">
        <f>SUM('POSF Inventory'!HM75,'POSF Inventory'!HO75,'POSF Inventory'!HQ75)*$CY$2</f>
        <v>13.165153713249994</v>
      </c>
      <c r="DA70" s="1097">
        <f>SUM('POSF Inventory'!HR75,'POSF Inventory'!HT75,'POSF Inventory'!HV75)*$CY$3</f>
        <v>0</v>
      </c>
      <c r="DB70" s="1098">
        <f>SUM('POSF Inventory'!HS75,'POSF Inventory'!HU75,'POSF Inventory'!HW75)*$CY$4</f>
        <v>46.967792575581264</v>
      </c>
      <c r="DC70" s="1046">
        <f t="shared" si="81"/>
        <v>0</v>
      </c>
      <c r="DD70" s="1050">
        <f t="shared" si="82"/>
        <v>61.132848846331257</v>
      </c>
    </row>
    <row r="71" spans="2:108" x14ac:dyDescent="0.2">
      <c r="B71" s="345">
        <v>2021</v>
      </c>
      <c r="C71" s="774">
        <f>SUM('POSF Inventory'!FF76,'POSF Inventory'!FH76)</f>
        <v>0</v>
      </c>
      <c r="D71" s="774">
        <f>SUM('POSF Inventory'!FB76,'POSF Inventory'!FD76)</f>
        <v>0</v>
      </c>
      <c r="E71" s="774">
        <f>SUM('POSF Inventory'!FC76,'POSF Inventory'!FE76)</f>
        <v>16.608732</v>
      </c>
      <c r="F71" s="774">
        <f>SUM('POSF Inventory'!FB76,'POSF Inventory'!FD76,'POSF Inventory'!J76)</f>
        <v>0</v>
      </c>
      <c r="G71" s="774">
        <f>SUM('POSF Inventory'!FC76,'POSF Inventory'!FE76,'POSF Inventory'!K76)</f>
        <v>56.312032000000002</v>
      </c>
      <c r="H71" s="1106">
        <f>SUM('POSF Inventory'!DL76,'POSF Inventory'!DN76)</f>
        <v>0</v>
      </c>
      <c r="I71" s="1041">
        <f>SUM('POSF Inventory'!DM76,'POSF Inventory'!DO76)</f>
        <v>7.1180279999999998</v>
      </c>
      <c r="J71" s="592"/>
      <c r="K71" s="1046">
        <f t="shared" si="83"/>
        <v>0</v>
      </c>
      <c r="L71" s="1047">
        <f t="shared" si="84"/>
        <v>0</v>
      </c>
      <c r="M71" s="1046">
        <f t="shared" si="85"/>
        <v>0</v>
      </c>
      <c r="N71" s="1047">
        <f t="shared" si="86"/>
        <v>0</v>
      </c>
      <c r="O71" s="1046">
        <f t="shared" si="87"/>
        <v>0</v>
      </c>
      <c r="P71" s="889">
        <f t="shared" si="88"/>
        <v>0</v>
      </c>
      <c r="Q71" s="1048"/>
      <c r="R71" s="889">
        <f t="shared" si="21"/>
        <v>0</v>
      </c>
      <c r="S71" s="889">
        <f t="shared" si="104"/>
        <v>1.6608732000000002</v>
      </c>
      <c r="T71" s="1047">
        <f t="shared" si="23"/>
        <v>0</v>
      </c>
      <c r="U71" s="1047">
        <f t="shared" si="105"/>
        <v>14.947858800000001</v>
      </c>
      <c r="V71" s="1046">
        <f t="shared" si="25"/>
        <v>0</v>
      </c>
      <c r="W71" s="1046">
        <f t="shared" si="106"/>
        <v>8.3043659999999999</v>
      </c>
      <c r="X71" s="1047">
        <f t="shared" si="27"/>
        <v>0</v>
      </c>
      <c r="Y71" s="1047">
        <f t="shared" si="107"/>
        <v>8.3043659999999999</v>
      </c>
      <c r="Z71" s="1049">
        <f t="shared" si="29"/>
        <v>0</v>
      </c>
      <c r="AA71" s="1049">
        <f t="shared" si="108"/>
        <v>16.608732</v>
      </c>
      <c r="AB71" s="1050">
        <f t="shared" si="31"/>
        <v>0</v>
      </c>
      <c r="AC71" s="1050">
        <f t="shared" si="109"/>
        <v>0</v>
      </c>
      <c r="AD71" s="898"/>
      <c r="AE71" s="1046">
        <f t="shared" si="33"/>
        <v>0</v>
      </c>
      <c r="AF71" s="1046">
        <f t="shared" si="34"/>
        <v>1.6608732000000002</v>
      </c>
      <c r="AG71" s="1046">
        <f t="shared" si="35"/>
        <v>0</v>
      </c>
      <c r="AH71" s="889">
        <f t="shared" si="36"/>
        <v>14.947858800000001</v>
      </c>
      <c r="AI71" s="889">
        <f t="shared" si="37"/>
        <v>0</v>
      </c>
      <c r="AJ71" s="889">
        <f t="shared" si="38"/>
        <v>8.3043659999999999</v>
      </c>
      <c r="AK71" s="889">
        <f t="shared" si="39"/>
        <v>0</v>
      </c>
      <c r="AL71" s="889">
        <f t="shared" si="40"/>
        <v>8.3043659999999999</v>
      </c>
      <c r="AM71" s="889">
        <f t="shared" si="41"/>
        <v>0</v>
      </c>
      <c r="AN71" s="1050">
        <f t="shared" si="42"/>
        <v>16.608732</v>
      </c>
      <c r="AO71" s="1050">
        <f t="shared" si="43"/>
        <v>0</v>
      </c>
      <c r="AP71" s="1050">
        <f t="shared" si="44"/>
        <v>0</v>
      </c>
      <c r="AR71" s="1067">
        <f t="shared" si="45"/>
        <v>0</v>
      </c>
      <c r="AS71" s="1067">
        <f t="shared" si="46"/>
        <v>2.9895717600000005</v>
      </c>
      <c r="AT71" s="1068">
        <f t="shared" si="47"/>
        <v>0</v>
      </c>
      <c r="AU71" s="1068">
        <f t="shared" si="48"/>
        <v>7.4739294000000003</v>
      </c>
      <c r="AV71" s="1068">
        <f t="shared" si="49"/>
        <v>0</v>
      </c>
      <c r="AW71" s="1068">
        <f t="shared" si="50"/>
        <v>11.958287040000002</v>
      </c>
      <c r="AX71" s="1068">
        <f t="shared" si="51"/>
        <v>0</v>
      </c>
      <c r="AY71" s="1068">
        <f t="shared" si="52"/>
        <v>1.6608732000000002</v>
      </c>
      <c r="AZ71" s="1068">
        <f t="shared" si="53"/>
        <v>0</v>
      </c>
      <c r="BA71" s="1068">
        <f t="shared" si="54"/>
        <v>4.152183</v>
      </c>
      <c r="BB71" s="1068">
        <f t="shared" si="55"/>
        <v>0</v>
      </c>
      <c r="BC71" s="1068">
        <f t="shared" si="56"/>
        <v>6.6434928000000006</v>
      </c>
      <c r="BD71" s="1068">
        <f t="shared" si="89"/>
        <v>0</v>
      </c>
      <c r="BE71" s="1068">
        <f t="shared" si="90"/>
        <v>0</v>
      </c>
      <c r="BF71" s="1069">
        <f t="shared" si="91"/>
        <v>0</v>
      </c>
      <c r="BH71" s="1067">
        <f t="shared" si="92"/>
        <v>0</v>
      </c>
      <c r="BI71" s="1068">
        <f t="shared" si="93"/>
        <v>0</v>
      </c>
      <c r="BJ71" s="1068">
        <f t="shared" si="94"/>
        <v>0</v>
      </c>
      <c r="BK71" s="1068">
        <f t="shared" si="95"/>
        <v>0</v>
      </c>
      <c r="BL71" s="1068">
        <f t="shared" si="96"/>
        <v>0</v>
      </c>
      <c r="BM71" s="1068">
        <f t="shared" si="97"/>
        <v>0</v>
      </c>
      <c r="BN71" s="1068">
        <f t="shared" si="98"/>
        <v>0</v>
      </c>
      <c r="BO71" s="1068">
        <f t="shared" si="99"/>
        <v>0</v>
      </c>
      <c r="BP71" s="1069">
        <f t="shared" si="100"/>
        <v>0</v>
      </c>
      <c r="BR71" s="1067">
        <f t="shared" si="57"/>
        <v>0</v>
      </c>
      <c r="BS71" s="1067">
        <f t="shared" si="58"/>
        <v>2.9895717600000005</v>
      </c>
      <c r="BT71" s="1068">
        <f t="shared" si="59"/>
        <v>0</v>
      </c>
      <c r="BU71" s="1068">
        <f t="shared" si="60"/>
        <v>7.4739294000000003</v>
      </c>
      <c r="BV71" s="1068">
        <f t="shared" si="61"/>
        <v>0</v>
      </c>
      <c r="BW71" s="1068">
        <f t="shared" si="62"/>
        <v>11.958287040000002</v>
      </c>
      <c r="BX71" s="1068">
        <f t="shared" si="63"/>
        <v>0</v>
      </c>
      <c r="BY71" s="1068">
        <f t="shared" si="64"/>
        <v>1.6608732000000002</v>
      </c>
      <c r="BZ71" s="1068">
        <f t="shared" si="65"/>
        <v>0</v>
      </c>
      <c r="CA71" s="1068">
        <f t="shared" si="66"/>
        <v>4.152183</v>
      </c>
      <c r="CB71" s="1068">
        <f t="shared" si="67"/>
        <v>0</v>
      </c>
      <c r="CC71" s="1068">
        <f t="shared" si="68"/>
        <v>6.6434928000000006</v>
      </c>
      <c r="CD71" s="1068">
        <f t="shared" si="101"/>
        <v>0</v>
      </c>
      <c r="CE71" s="1068">
        <f t="shared" si="102"/>
        <v>0</v>
      </c>
      <c r="CF71" s="1069">
        <f t="shared" si="103"/>
        <v>0</v>
      </c>
      <c r="CG71" s="599"/>
      <c r="CH71" s="1067">
        <f t="shared" si="69"/>
        <v>0</v>
      </c>
      <c r="CI71" s="1067">
        <f t="shared" si="70"/>
        <v>1.2812450399999999</v>
      </c>
      <c r="CJ71" s="1068">
        <f t="shared" si="71"/>
        <v>0</v>
      </c>
      <c r="CK71" s="1068">
        <f t="shared" si="72"/>
        <v>3.2031125999999999</v>
      </c>
      <c r="CL71" s="1068">
        <f t="shared" si="73"/>
        <v>0</v>
      </c>
      <c r="CM71" s="1068">
        <f t="shared" si="74"/>
        <v>5.1249801599999998</v>
      </c>
      <c r="CN71" s="1068">
        <f t="shared" si="75"/>
        <v>0</v>
      </c>
      <c r="CO71" s="1068">
        <f t="shared" si="76"/>
        <v>0.71180280000000007</v>
      </c>
      <c r="CP71" s="1068">
        <f t="shared" si="77"/>
        <v>0</v>
      </c>
      <c r="CQ71" s="1069">
        <f t="shared" si="78"/>
        <v>1.7795069999999999</v>
      </c>
      <c r="CR71" s="1069">
        <f t="shared" si="79"/>
        <v>0</v>
      </c>
      <c r="CS71" s="1069">
        <f t="shared" si="80"/>
        <v>2.8472112000000003</v>
      </c>
      <c r="CV71" s="345">
        <v>2021</v>
      </c>
      <c r="CW71" s="1097">
        <f>SUM('POSF Inventory'!HF76,'POSF Inventory'!HH76,'POSF Inventory'!HJ76)*$CY$1</f>
        <v>0</v>
      </c>
      <c r="CX71" s="1098">
        <f>SUM('POSF Inventory'!HG76,'POSF Inventory'!HI76,'POSF Inventory'!HK76)*$CY$2</f>
        <v>0.79992204599999994</v>
      </c>
      <c r="CY71" s="1097">
        <f>SUM('POSF Inventory'!HL76,'POSF Inventory'!HN76,'POSF Inventory'!HP76)*$CY$1</f>
        <v>0</v>
      </c>
      <c r="CZ71" s="1098">
        <f>SUM('POSF Inventory'!HM76,'POSF Inventory'!HO76,'POSF Inventory'!HQ76)*$CY$2</f>
        <v>8.9173407207499977</v>
      </c>
      <c r="DA71" s="1097">
        <f>SUM('POSF Inventory'!HR76,'POSF Inventory'!HT76,'POSF Inventory'!HV76)*$CY$3</f>
        <v>0</v>
      </c>
      <c r="DB71" s="1098">
        <f>SUM('POSF Inventory'!HS76,'POSF Inventory'!HU76,'POSF Inventory'!HW76)*$CY$4</f>
        <v>44.039473773670018</v>
      </c>
      <c r="DC71" s="1046">
        <f t="shared" si="81"/>
        <v>0</v>
      </c>
      <c r="DD71" s="1050">
        <f t="shared" si="82"/>
        <v>53.756736540420015</v>
      </c>
    </row>
    <row r="72" spans="2:108" x14ac:dyDescent="0.2">
      <c r="B72" s="345">
        <v>2022</v>
      </c>
      <c r="C72" s="774">
        <f>SUM('POSF Inventory'!FF77,'POSF Inventory'!FH77)</f>
        <v>0</v>
      </c>
      <c r="D72" s="774">
        <f>SUM('POSF Inventory'!FB77,'POSF Inventory'!FD77)</f>
        <v>0</v>
      </c>
      <c r="E72" s="774">
        <f>SUM('POSF Inventory'!FC77,'POSF Inventory'!FE77)</f>
        <v>5.5084714999999944</v>
      </c>
      <c r="F72" s="774">
        <f>SUM('POSF Inventory'!FB77,'POSF Inventory'!FD77,'POSF Inventory'!J77)</f>
        <v>0</v>
      </c>
      <c r="G72" s="774">
        <f>SUM('POSF Inventory'!FC77,'POSF Inventory'!FE77,'POSF Inventory'!K77)</f>
        <v>45.211771499999998</v>
      </c>
      <c r="H72" s="1106">
        <f>SUM('POSF Inventory'!DL77,'POSF Inventory'!DN77)</f>
        <v>0</v>
      </c>
      <c r="I72" s="1041">
        <f>SUM('POSF Inventory'!DM77,'POSF Inventory'!DO77)</f>
        <v>2.3607734999999974</v>
      </c>
      <c r="J72" s="592"/>
      <c r="K72" s="1046">
        <f t="shared" ref="K72:K80" si="110">C72*0.1</f>
        <v>0</v>
      </c>
      <c r="L72" s="1047">
        <f t="shared" ref="L72:L80" si="111">C72*0.9</f>
        <v>0</v>
      </c>
      <c r="M72" s="1046">
        <f t="shared" ref="M72:M80" si="112">C72*0.5</f>
        <v>0</v>
      </c>
      <c r="N72" s="1047">
        <f t="shared" ref="N72:N80" si="113">C72*0.5</f>
        <v>0</v>
      </c>
      <c r="O72" s="1046">
        <f t="shared" ref="O72:O80" si="114">C72*1</f>
        <v>0</v>
      </c>
      <c r="P72" s="889">
        <f t="shared" ref="P72:P80" si="115">C72*0</f>
        <v>0</v>
      </c>
      <c r="Q72" s="1048"/>
      <c r="R72" s="889">
        <f t="shared" si="21"/>
        <v>0</v>
      </c>
      <c r="S72" s="889">
        <f t="shared" si="104"/>
        <v>0.55084714999999951</v>
      </c>
      <c r="T72" s="1047">
        <f t="shared" si="23"/>
        <v>0</v>
      </c>
      <c r="U72" s="1047">
        <f t="shared" si="105"/>
        <v>4.9576243499999952</v>
      </c>
      <c r="V72" s="1046">
        <f t="shared" si="25"/>
        <v>0</v>
      </c>
      <c r="W72" s="1046">
        <f t="shared" si="106"/>
        <v>2.7542357499999972</v>
      </c>
      <c r="X72" s="1047">
        <f t="shared" si="27"/>
        <v>0</v>
      </c>
      <c r="Y72" s="1047">
        <f t="shared" si="107"/>
        <v>2.7542357499999972</v>
      </c>
      <c r="Z72" s="1049">
        <f t="shared" si="29"/>
        <v>0</v>
      </c>
      <c r="AA72" s="1049">
        <f t="shared" si="108"/>
        <v>5.5084714999999944</v>
      </c>
      <c r="AB72" s="1050">
        <f t="shared" si="31"/>
        <v>0</v>
      </c>
      <c r="AC72" s="1050">
        <f t="shared" si="109"/>
        <v>0</v>
      </c>
      <c r="AD72" s="898"/>
      <c r="AE72" s="1046">
        <f t="shared" si="33"/>
        <v>0</v>
      </c>
      <c r="AF72" s="1046">
        <f t="shared" si="34"/>
        <v>0.55084714999999951</v>
      </c>
      <c r="AG72" s="1046">
        <f t="shared" si="35"/>
        <v>0</v>
      </c>
      <c r="AH72" s="889">
        <f t="shared" si="36"/>
        <v>4.9576243499999952</v>
      </c>
      <c r="AI72" s="889">
        <f t="shared" si="37"/>
        <v>0</v>
      </c>
      <c r="AJ72" s="889">
        <f t="shared" si="38"/>
        <v>2.7542357499999972</v>
      </c>
      <c r="AK72" s="889">
        <f t="shared" si="39"/>
        <v>0</v>
      </c>
      <c r="AL72" s="889">
        <f t="shared" si="40"/>
        <v>2.7542357499999972</v>
      </c>
      <c r="AM72" s="889">
        <f t="shared" si="41"/>
        <v>0</v>
      </c>
      <c r="AN72" s="1050">
        <f t="shared" si="42"/>
        <v>5.5084714999999944</v>
      </c>
      <c r="AO72" s="1050">
        <f t="shared" si="43"/>
        <v>0</v>
      </c>
      <c r="AP72" s="1050">
        <f t="shared" si="44"/>
        <v>0</v>
      </c>
      <c r="AR72" s="1067">
        <f t="shared" si="45"/>
        <v>0</v>
      </c>
      <c r="AS72" s="1067">
        <f t="shared" si="46"/>
        <v>0.99152486999999911</v>
      </c>
      <c r="AT72" s="1068">
        <f t="shared" si="47"/>
        <v>0</v>
      </c>
      <c r="AU72" s="1068">
        <f t="shared" si="48"/>
        <v>2.4788121749999976</v>
      </c>
      <c r="AV72" s="1068">
        <f t="shared" si="49"/>
        <v>0</v>
      </c>
      <c r="AW72" s="1068">
        <f t="shared" si="50"/>
        <v>3.9660994799999965</v>
      </c>
      <c r="AX72" s="1068">
        <f t="shared" si="51"/>
        <v>0</v>
      </c>
      <c r="AY72" s="1068">
        <f t="shared" si="52"/>
        <v>0.55084714999999951</v>
      </c>
      <c r="AZ72" s="1068">
        <f t="shared" si="53"/>
        <v>0</v>
      </c>
      <c r="BA72" s="1068">
        <f t="shared" si="54"/>
        <v>1.3771178749999986</v>
      </c>
      <c r="BB72" s="1068">
        <f t="shared" si="55"/>
        <v>0</v>
      </c>
      <c r="BC72" s="1068">
        <f t="shared" si="56"/>
        <v>2.203388599999998</v>
      </c>
      <c r="BD72" s="1068">
        <f t="shared" ref="BD72:BD80" si="116">$AS$3*$AP72</f>
        <v>0</v>
      </c>
      <c r="BE72" s="1068">
        <f t="shared" ref="BE72:BE80" si="117">$AT$3*$AP72</f>
        <v>0</v>
      </c>
      <c r="BF72" s="1069">
        <f t="shared" ref="BF72:BF80" si="118">$AU$3*$AP72</f>
        <v>0</v>
      </c>
      <c r="BH72" s="1067">
        <f t="shared" ref="BH72:BH80" si="119">$AS$3*$L72</f>
        <v>0</v>
      </c>
      <c r="BI72" s="1068">
        <f t="shared" ref="BI72:BI80" si="120">$AT$3*$L72</f>
        <v>0</v>
      </c>
      <c r="BJ72" s="1068">
        <f t="shared" ref="BJ72:BJ80" si="121">$AU$3*$L72</f>
        <v>0</v>
      </c>
      <c r="BK72" s="1068">
        <f t="shared" ref="BK72:BK80" si="122">$AS$3*$N72</f>
        <v>0</v>
      </c>
      <c r="BL72" s="1068">
        <f t="shared" ref="BL72:BL80" si="123">$AT$3*$N72</f>
        <v>0</v>
      </c>
      <c r="BM72" s="1068">
        <f t="shared" ref="BM72:BM80" si="124">$AU$3*$N72</f>
        <v>0</v>
      </c>
      <c r="BN72" s="1068">
        <f t="shared" ref="BN72:BN80" si="125">$AS$3*$P72</f>
        <v>0</v>
      </c>
      <c r="BO72" s="1068">
        <f t="shared" ref="BO72:BO80" si="126">$AT$3*$P72</f>
        <v>0</v>
      </c>
      <c r="BP72" s="1069">
        <f t="shared" ref="BP72:BP80" si="127">$AU$3*$P72</f>
        <v>0</v>
      </c>
      <c r="BR72" s="1067">
        <f t="shared" si="57"/>
        <v>0</v>
      </c>
      <c r="BS72" s="1067">
        <f t="shared" si="58"/>
        <v>0.99152486999999911</v>
      </c>
      <c r="BT72" s="1068">
        <f t="shared" si="59"/>
        <v>0</v>
      </c>
      <c r="BU72" s="1068">
        <f t="shared" si="60"/>
        <v>2.4788121749999976</v>
      </c>
      <c r="BV72" s="1068">
        <f t="shared" si="61"/>
        <v>0</v>
      </c>
      <c r="BW72" s="1068">
        <f t="shared" si="62"/>
        <v>3.9660994799999965</v>
      </c>
      <c r="BX72" s="1068">
        <f t="shared" si="63"/>
        <v>0</v>
      </c>
      <c r="BY72" s="1068">
        <f t="shared" si="64"/>
        <v>0.55084714999999951</v>
      </c>
      <c r="BZ72" s="1068">
        <f t="shared" si="65"/>
        <v>0</v>
      </c>
      <c r="CA72" s="1068">
        <f t="shared" si="66"/>
        <v>1.3771178749999986</v>
      </c>
      <c r="CB72" s="1068">
        <f t="shared" si="67"/>
        <v>0</v>
      </c>
      <c r="CC72" s="1068">
        <f t="shared" si="68"/>
        <v>2.203388599999998</v>
      </c>
      <c r="CD72" s="1068">
        <f t="shared" ref="CD72:CD80" si="128">$AS$3*$AC72</f>
        <v>0</v>
      </c>
      <c r="CE72" s="1068">
        <f t="shared" ref="CE72:CE80" si="129">$AT$3*$AC72</f>
        <v>0</v>
      </c>
      <c r="CF72" s="1069">
        <f t="shared" ref="CF72:CF80" si="130">$AU$3*$AC72</f>
        <v>0</v>
      </c>
      <c r="CG72" s="599"/>
      <c r="CH72" s="1067">
        <f t="shared" si="69"/>
        <v>0</v>
      </c>
      <c r="CI72" s="1067">
        <f t="shared" si="70"/>
        <v>0.42493922999999961</v>
      </c>
      <c r="CJ72" s="1068">
        <f t="shared" si="71"/>
        <v>0</v>
      </c>
      <c r="CK72" s="1068">
        <f t="shared" si="72"/>
        <v>1.0623480749999989</v>
      </c>
      <c r="CL72" s="1068">
        <f t="shared" si="73"/>
        <v>0</v>
      </c>
      <c r="CM72" s="1068">
        <f t="shared" si="74"/>
        <v>1.6997569199999985</v>
      </c>
      <c r="CN72" s="1068">
        <f t="shared" si="75"/>
        <v>0</v>
      </c>
      <c r="CO72" s="1068">
        <f t="shared" si="76"/>
        <v>0.23607734999999974</v>
      </c>
      <c r="CP72" s="1068">
        <f t="shared" si="77"/>
        <v>0</v>
      </c>
      <c r="CQ72" s="1069">
        <f t="shared" si="78"/>
        <v>0.59019337499999935</v>
      </c>
      <c r="CR72" s="1069">
        <f t="shared" si="79"/>
        <v>0</v>
      </c>
      <c r="CS72" s="1069">
        <f t="shared" si="80"/>
        <v>0.94430939999999897</v>
      </c>
      <c r="CV72" s="345">
        <v>2022</v>
      </c>
      <c r="CW72" s="1097">
        <f>SUM('POSF Inventory'!HF77,'POSF Inventory'!HH77,'POSF Inventory'!HJ77)*$CY$1</f>
        <v>0</v>
      </c>
      <c r="CX72" s="1098">
        <f>SUM('POSF Inventory'!HG77,'POSF Inventory'!HI77,'POSF Inventory'!HK77)*$CY$2</f>
        <v>0.59994153449999998</v>
      </c>
      <c r="CY72" s="1097">
        <f>SUM('POSF Inventory'!HL77,'POSF Inventory'!HN77,'POSF Inventory'!HP77)*$CY$1</f>
        <v>0</v>
      </c>
      <c r="CZ72" s="1098">
        <f>SUM('POSF Inventory'!HM77,'POSF Inventory'!HO77,'POSF Inventory'!HQ77)*$CY$2</f>
        <v>4.6695277282499985</v>
      </c>
      <c r="DA72" s="1097">
        <f>SUM('POSF Inventory'!HR77,'POSF Inventory'!HT77,'POSF Inventory'!HV77)*$CY$3</f>
        <v>0</v>
      </c>
      <c r="DB72" s="1098">
        <f>SUM('POSF Inventory'!HS77,'POSF Inventory'!HU77,'POSF Inventory'!HW77)*$CY$4</f>
        <v>41.111154971758758</v>
      </c>
      <c r="DC72" s="1046">
        <f t="shared" si="81"/>
        <v>0</v>
      </c>
      <c r="DD72" s="1050">
        <f t="shared" si="82"/>
        <v>46.380624234508758</v>
      </c>
    </row>
    <row r="73" spans="2:108" x14ac:dyDescent="0.2">
      <c r="B73" s="345">
        <v>2023</v>
      </c>
      <c r="C73" s="774">
        <f>SUM('POSF Inventory'!FF78,'POSF Inventory'!FH78)</f>
        <v>0</v>
      </c>
      <c r="D73" s="774">
        <f>SUM('POSF Inventory'!FB78,'POSF Inventory'!FD78)</f>
        <v>0</v>
      </c>
      <c r="E73" s="774">
        <f>SUM('POSF Inventory'!FC78,'POSF Inventory'!FE78)</f>
        <v>0</v>
      </c>
      <c r="F73" s="774">
        <f>SUM('POSF Inventory'!FB78,'POSF Inventory'!FD78,'POSF Inventory'!J78)</f>
        <v>0</v>
      </c>
      <c r="G73" s="774">
        <f>SUM('POSF Inventory'!FC78,'POSF Inventory'!FE78,'POSF Inventory'!K78)</f>
        <v>39.703300000000006</v>
      </c>
      <c r="H73" s="1106">
        <f>SUM('POSF Inventory'!DL78,'POSF Inventory'!DN78)</f>
        <v>0</v>
      </c>
      <c r="I73" s="1041">
        <f>SUM('POSF Inventory'!DM78,'POSF Inventory'!DO78)</f>
        <v>0</v>
      </c>
      <c r="J73" s="592"/>
      <c r="K73" s="1046">
        <f t="shared" si="110"/>
        <v>0</v>
      </c>
      <c r="L73" s="1047">
        <f t="shared" si="111"/>
        <v>0</v>
      </c>
      <c r="M73" s="1046">
        <f t="shared" si="112"/>
        <v>0</v>
      </c>
      <c r="N73" s="1047">
        <f t="shared" si="113"/>
        <v>0</v>
      </c>
      <c r="O73" s="1046">
        <f t="shared" si="114"/>
        <v>0</v>
      </c>
      <c r="P73" s="889">
        <f t="shared" si="115"/>
        <v>0</v>
      </c>
      <c r="Q73" s="1048"/>
      <c r="R73" s="889">
        <f t="shared" ref="R73:R80" si="131">D73*0.1</f>
        <v>0</v>
      </c>
      <c r="S73" s="889">
        <f t="shared" ref="S73:S80" si="132">E73*0.1</f>
        <v>0</v>
      </c>
      <c r="T73" s="1047">
        <f t="shared" ref="T73:T80" si="133">D73*0.9</f>
        <v>0</v>
      </c>
      <c r="U73" s="1047">
        <f t="shared" ref="U73:U80" si="134">E73*0.9</f>
        <v>0</v>
      </c>
      <c r="V73" s="1046">
        <f t="shared" ref="V73:V80" si="135">0.5*D73</f>
        <v>0</v>
      </c>
      <c r="W73" s="1046">
        <f t="shared" ref="W73:W80" si="136">0.5*E73</f>
        <v>0</v>
      </c>
      <c r="X73" s="1047">
        <f t="shared" ref="X73:X80" si="137">D73*0.5</f>
        <v>0</v>
      </c>
      <c r="Y73" s="1047">
        <f t="shared" ref="Y73:Y80" si="138">E73*0.5</f>
        <v>0</v>
      </c>
      <c r="Z73" s="1049">
        <f t="shared" ref="Z73:Z80" si="139">1*D73</f>
        <v>0</v>
      </c>
      <c r="AA73" s="1049">
        <f t="shared" ref="AA73:AA80" si="140">1*E73</f>
        <v>0</v>
      </c>
      <c r="AB73" s="1050">
        <f t="shared" ref="AB73:AB80" si="141">D73*0</f>
        <v>0</v>
      </c>
      <c r="AC73" s="1050">
        <f t="shared" ref="AC73:AC80" si="142">E73*0</f>
        <v>0</v>
      </c>
      <c r="AD73" s="898"/>
      <c r="AE73" s="1046">
        <f t="shared" ref="AE73:AE80" si="143">K73+R73</f>
        <v>0</v>
      </c>
      <c r="AF73" s="1046">
        <f t="shared" ref="AF73:AF80" si="144">K73+S73</f>
        <v>0</v>
      </c>
      <c r="AG73" s="1046">
        <f t="shared" ref="AG73:AG80" si="145">L73+T73</f>
        <v>0</v>
      </c>
      <c r="AH73" s="889">
        <f t="shared" ref="AH73:AH80" si="146">L73+U73</f>
        <v>0</v>
      </c>
      <c r="AI73" s="889">
        <f t="shared" ref="AI73:AI80" si="147">M73+V73</f>
        <v>0</v>
      </c>
      <c r="AJ73" s="889">
        <f t="shared" ref="AJ73:AJ80" si="148">M73+W73</f>
        <v>0</v>
      </c>
      <c r="AK73" s="889">
        <f t="shared" ref="AK73:AK80" si="149">N73+X73</f>
        <v>0</v>
      </c>
      <c r="AL73" s="889">
        <f t="shared" ref="AL73:AL80" si="150">N73+Y73</f>
        <v>0</v>
      </c>
      <c r="AM73" s="889">
        <f t="shared" ref="AM73:AM80" si="151">O73+Z73</f>
        <v>0</v>
      </c>
      <c r="AN73" s="1050">
        <f t="shared" ref="AN73:AN80" si="152">O73+AA73</f>
        <v>0</v>
      </c>
      <c r="AO73" s="1050">
        <f t="shared" ref="AO73:AO80" si="153">P73+AB73</f>
        <v>0</v>
      </c>
      <c r="AP73" s="1050">
        <f t="shared" ref="AP73:AP80" si="154">P73+AC73</f>
        <v>0</v>
      </c>
      <c r="AR73" s="1067">
        <f t="shared" ref="AR73:AR80" si="155">$AS$3*$AG73</f>
        <v>0</v>
      </c>
      <c r="AS73" s="1067">
        <f t="shared" ref="AS73:AS80" si="156">$AS$3*$AH73</f>
        <v>0</v>
      </c>
      <c r="AT73" s="1068">
        <f t="shared" ref="AT73:AT80" si="157">$AT$3*$AG73</f>
        <v>0</v>
      </c>
      <c r="AU73" s="1068">
        <f t="shared" ref="AU73:AU80" si="158">$AT$3*$AH73</f>
        <v>0</v>
      </c>
      <c r="AV73" s="1068">
        <f t="shared" ref="AV73:AV80" si="159">$AU$3*$AG73</f>
        <v>0</v>
      </c>
      <c r="AW73" s="1068">
        <f t="shared" ref="AW73:AW80" si="160">$AU$3*$AH73</f>
        <v>0</v>
      </c>
      <c r="AX73" s="1068">
        <f t="shared" ref="AX73:AX80" si="161">$AS$3*$AK73</f>
        <v>0</v>
      </c>
      <c r="AY73" s="1068">
        <f t="shared" ref="AY73:AY80" si="162">$AS$3*$AL73</f>
        <v>0</v>
      </c>
      <c r="AZ73" s="1068">
        <f t="shared" ref="AZ73:AZ80" si="163">$AT$3*$AK73</f>
        <v>0</v>
      </c>
      <c r="BA73" s="1068">
        <f t="shared" ref="BA73:BA80" si="164">$AT$3*$AL73</f>
        <v>0</v>
      </c>
      <c r="BB73" s="1068">
        <f t="shared" ref="BB73:BB80" si="165">$AU$3*$AK73</f>
        <v>0</v>
      </c>
      <c r="BC73" s="1068">
        <f t="shared" ref="BC73:BC80" si="166">$AU$3*$AL73</f>
        <v>0</v>
      </c>
      <c r="BD73" s="1068">
        <f t="shared" si="116"/>
        <v>0</v>
      </c>
      <c r="BE73" s="1068">
        <f t="shared" si="117"/>
        <v>0</v>
      </c>
      <c r="BF73" s="1069">
        <f t="shared" si="118"/>
        <v>0</v>
      </c>
      <c r="BH73" s="1067">
        <f t="shared" si="119"/>
        <v>0</v>
      </c>
      <c r="BI73" s="1068">
        <f t="shared" si="120"/>
        <v>0</v>
      </c>
      <c r="BJ73" s="1068">
        <f t="shared" si="121"/>
        <v>0</v>
      </c>
      <c r="BK73" s="1068">
        <f t="shared" si="122"/>
        <v>0</v>
      </c>
      <c r="BL73" s="1068">
        <f t="shared" si="123"/>
        <v>0</v>
      </c>
      <c r="BM73" s="1068">
        <f t="shared" si="124"/>
        <v>0</v>
      </c>
      <c r="BN73" s="1068">
        <f t="shared" si="125"/>
        <v>0</v>
      </c>
      <c r="BO73" s="1068">
        <f t="shared" si="126"/>
        <v>0</v>
      </c>
      <c r="BP73" s="1069">
        <f t="shared" si="127"/>
        <v>0</v>
      </c>
      <c r="BR73" s="1067">
        <f t="shared" ref="BR73:BR80" si="167">$AS$3*$T73</f>
        <v>0</v>
      </c>
      <c r="BS73" s="1067">
        <f t="shared" ref="BS73:BS80" si="168">$AS$3*$U73</f>
        <v>0</v>
      </c>
      <c r="BT73" s="1068">
        <f t="shared" ref="BT73:BT80" si="169">$AT$3*$T73</f>
        <v>0</v>
      </c>
      <c r="BU73" s="1068">
        <f t="shared" ref="BU73:BU80" si="170">$AT$3*$U73</f>
        <v>0</v>
      </c>
      <c r="BV73" s="1068">
        <f t="shared" ref="BV73:BV80" si="171">$AU$3*$T73</f>
        <v>0</v>
      </c>
      <c r="BW73" s="1068">
        <f t="shared" ref="BW73:BW80" si="172">$AU$3*$U73</f>
        <v>0</v>
      </c>
      <c r="BX73" s="1068">
        <f t="shared" ref="BX73:BX80" si="173">$AS$3*$X73</f>
        <v>0</v>
      </c>
      <c r="BY73" s="1068">
        <f t="shared" ref="BY73:BY80" si="174">$AS$3*$Y73</f>
        <v>0</v>
      </c>
      <c r="BZ73" s="1068">
        <f t="shared" ref="BZ73:BZ80" si="175">$AT$3*$X73</f>
        <v>0</v>
      </c>
      <c r="CA73" s="1068">
        <f t="shared" ref="CA73:CA80" si="176">$AT$3*$Y73</f>
        <v>0</v>
      </c>
      <c r="CB73" s="1068">
        <f t="shared" ref="CB73:CB80" si="177">$AU$3*$X73</f>
        <v>0</v>
      </c>
      <c r="CC73" s="1068">
        <f t="shared" ref="CC73:CC80" si="178">$AU$3*$Y73</f>
        <v>0</v>
      </c>
      <c r="CD73" s="1068">
        <f t="shared" si="128"/>
        <v>0</v>
      </c>
      <c r="CE73" s="1068">
        <f t="shared" si="129"/>
        <v>0</v>
      </c>
      <c r="CF73" s="1069">
        <f t="shared" si="130"/>
        <v>0</v>
      </c>
      <c r="CG73" s="599"/>
      <c r="CH73" s="1067">
        <f t="shared" ref="CH73:CH80" si="179">$H73*$L$4*$AS$3</f>
        <v>0</v>
      </c>
      <c r="CI73" s="1067">
        <f t="shared" ref="CI73:CI80" si="180">$I73*$L$4*$AS$3</f>
        <v>0</v>
      </c>
      <c r="CJ73" s="1068">
        <f t="shared" ref="CJ73:CJ80" si="181">$H73*$L$4*$AT$3</f>
        <v>0</v>
      </c>
      <c r="CK73" s="1068">
        <f t="shared" ref="CK73:CK80" si="182">$I73*$L$4*$AT$3</f>
        <v>0</v>
      </c>
      <c r="CL73" s="1068">
        <f t="shared" ref="CL73:CL80" si="183">$H73*$L$4*$AU$3</f>
        <v>0</v>
      </c>
      <c r="CM73" s="1068">
        <f t="shared" ref="CM73:CM80" si="184">$I73*$L$4*$AU$3</f>
        <v>0</v>
      </c>
      <c r="CN73" s="1068">
        <f t="shared" ref="CN73:CN80" si="185">$H73*$M$4*$AS$3</f>
        <v>0</v>
      </c>
      <c r="CO73" s="1068">
        <f t="shared" ref="CO73:CO80" si="186">$I73*$M$4*$AS$3</f>
        <v>0</v>
      </c>
      <c r="CP73" s="1068">
        <f t="shared" ref="CP73:CP80" si="187">$H73*$M$4*$AT$3</f>
        <v>0</v>
      </c>
      <c r="CQ73" s="1069">
        <f t="shared" ref="CQ73:CQ80" si="188">$I73*$M$4*$AT$3</f>
        <v>0</v>
      </c>
      <c r="CR73" s="1069">
        <f t="shared" ref="CR73:CR80" si="189">$H73*$M$4*$AU$3</f>
        <v>0</v>
      </c>
      <c r="CS73" s="1069">
        <f t="shared" ref="CS73:CS80" si="190">$I73*$M$4*$AU$3</f>
        <v>0</v>
      </c>
      <c r="CV73" s="345">
        <v>2023</v>
      </c>
      <c r="CW73" s="1097">
        <f>SUM('POSF Inventory'!HF78,'POSF Inventory'!HH78,'POSF Inventory'!HJ78)*$CY$1</f>
        <v>0</v>
      </c>
      <c r="CX73" s="1098">
        <f>SUM('POSF Inventory'!HG78,'POSF Inventory'!HI78,'POSF Inventory'!HK78)*$CY$2</f>
        <v>0.39996102299999997</v>
      </c>
      <c r="CY73" s="1097">
        <f>SUM('POSF Inventory'!HL78,'POSF Inventory'!HN78,'POSF Inventory'!HP78)*$CY$1</f>
        <v>0</v>
      </c>
      <c r="CZ73" s="1098">
        <f>SUM('POSF Inventory'!HM78,'POSF Inventory'!HO78,'POSF Inventory'!HQ78)*$CY$2</f>
        <v>1.4366244392499989</v>
      </c>
      <c r="DA73" s="1097">
        <f>SUM('POSF Inventory'!HR78,'POSF Inventory'!HT78,'POSF Inventory'!HV78)*$CY$3</f>
        <v>0</v>
      </c>
      <c r="DB73" s="1098">
        <f>SUM('POSF Inventory'!HS78,'POSF Inventory'!HU78,'POSF Inventory'!HW78)*$CY$4</f>
        <v>39.579231698400008</v>
      </c>
      <c r="DC73" s="1046">
        <f t="shared" ref="DC73:DC80" si="191">SUM(CW73,CY73,DA73)</f>
        <v>0</v>
      </c>
      <c r="DD73" s="1050">
        <f t="shared" ref="DD73:DD80" si="192">SUM(CX73,CZ73,DB73)</f>
        <v>41.415817160650008</v>
      </c>
    </row>
    <row r="74" spans="2:108" x14ac:dyDescent="0.2">
      <c r="B74" s="345">
        <v>2024</v>
      </c>
      <c r="C74" s="774">
        <f>SUM('POSF Inventory'!FF79,'POSF Inventory'!FH79)</f>
        <v>0</v>
      </c>
      <c r="D74" s="774">
        <f>SUM('POSF Inventory'!FB79,'POSF Inventory'!FD79)</f>
        <v>0</v>
      </c>
      <c r="E74" s="774">
        <f>SUM('POSF Inventory'!FC79,'POSF Inventory'!FE79)</f>
        <v>0</v>
      </c>
      <c r="F74" s="774">
        <f>SUM('POSF Inventory'!FB79,'POSF Inventory'!FD79,'POSF Inventory'!J79)</f>
        <v>0</v>
      </c>
      <c r="G74" s="774">
        <f>SUM('POSF Inventory'!FC79,'POSF Inventory'!FE79,'POSF Inventory'!K79)</f>
        <v>39.703300000000006</v>
      </c>
      <c r="H74" s="1106">
        <f>SUM('POSF Inventory'!DL79,'POSF Inventory'!DN79)</f>
        <v>0</v>
      </c>
      <c r="I74" s="1041">
        <f>SUM('POSF Inventory'!DM79,'POSF Inventory'!DO79)</f>
        <v>0</v>
      </c>
      <c r="J74" s="592"/>
      <c r="K74" s="1046">
        <f t="shared" si="110"/>
        <v>0</v>
      </c>
      <c r="L74" s="1047">
        <f t="shared" si="111"/>
        <v>0</v>
      </c>
      <c r="M74" s="1046">
        <f t="shared" si="112"/>
        <v>0</v>
      </c>
      <c r="N74" s="1047">
        <f t="shared" si="113"/>
        <v>0</v>
      </c>
      <c r="O74" s="1046">
        <f t="shared" si="114"/>
        <v>0</v>
      </c>
      <c r="P74" s="889">
        <f t="shared" si="115"/>
        <v>0</v>
      </c>
      <c r="Q74" s="1048"/>
      <c r="R74" s="889">
        <f t="shared" si="131"/>
        <v>0</v>
      </c>
      <c r="S74" s="889">
        <f t="shared" si="132"/>
        <v>0</v>
      </c>
      <c r="T74" s="1047">
        <f t="shared" si="133"/>
        <v>0</v>
      </c>
      <c r="U74" s="1047">
        <f t="shared" si="134"/>
        <v>0</v>
      </c>
      <c r="V74" s="1046">
        <f t="shared" si="135"/>
        <v>0</v>
      </c>
      <c r="W74" s="1046">
        <f t="shared" si="136"/>
        <v>0</v>
      </c>
      <c r="X74" s="1047">
        <f t="shared" si="137"/>
        <v>0</v>
      </c>
      <c r="Y74" s="1047">
        <f t="shared" si="138"/>
        <v>0</v>
      </c>
      <c r="Z74" s="1049">
        <f t="shared" si="139"/>
        <v>0</v>
      </c>
      <c r="AA74" s="1049">
        <f t="shared" si="140"/>
        <v>0</v>
      </c>
      <c r="AB74" s="1050">
        <f t="shared" si="141"/>
        <v>0</v>
      </c>
      <c r="AC74" s="1050">
        <f t="shared" si="142"/>
        <v>0</v>
      </c>
      <c r="AD74" s="898"/>
      <c r="AE74" s="1046">
        <f t="shared" si="143"/>
        <v>0</v>
      </c>
      <c r="AF74" s="1046">
        <f t="shared" si="144"/>
        <v>0</v>
      </c>
      <c r="AG74" s="1046">
        <f t="shared" si="145"/>
        <v>0</v>
      </c>
      <c r="AH74" s="889">
        <f t="shared" si="146"/>
        <v>0</v>
      </c>
      <c r="AI74" s="889">
        <f t="shared" si="147"/>
        <v>0</v>
      </c>
      <c r="AJ74" s="889">
        <f t="shared" si="148"/>
        <v>0</v>
      </c>
      <c r="AK74" s="889">
        <f t="shared" si="149"/>
        <v>0</v>
      </c>
      <c r="AL74" s="889">
        <f t="shared" si="150"/>
        <v>0</v>
      </c>
      <c r="AM74" s="889">
        <f t="shared" si="151"/>
        <v>0</v>
      </c>
      <c r="AN74" s="1050">
        <f t="shared" si="152"/>
        <v>0</v>
      </c>
      <c r="AO74" s="1050">
        <f t="shared" si="153"/>
        <v>0</v>
      </c>
      <c r="AP74" s="1050">
        <f t="shared" si="154"/>
        <v>0</v>
      </c>
      <c r="AR74" s="1067">
        <f t="shared" si="155"/>
        <v>0</v>
      </c>
      <c r="AS74" s="1067">
        <f t="shared" si="156"/>
        <v>0</v>
      </c>
      <c r="AT74" s="1068">
        <f t="shared" si="157"/>
        <v>0</v>
      </c>
      <c r="AU74" s="1068">
        <f t="shared" si="158"/>
        <v>0</v>
      </c>
      <c r="AV74" s="1068">
        <f t="shared" si="159"/>
        <v>0</v>
      </c>
      <c r="AW74" s="1068">
        <f t="shared" si="160"/>
        <v>0</v>
      </c>
      <c r="AX74" s="1068">
        <f t="shared" si="161"/>
        <v>0</v>
      </c>
      <c r="AY74" s="1068">
        <f t="shared" si="162"/>
        <v>0</v>
      </c>
      <c r="AZ74" s="1068">
        <f t="shared" si="163"/>
        <v>0</v>
      </c>
      <c r="BA74" s="1068">
        <f t="shared" si="164"/>
        <v>0</v>
      </c>
      <c r="BB74" s="1068">
        <f t="shared" si="165"/>
        <v>0</v>
      </c>
      <c r="BC74" s="1068">
        <f t="shared" si="166"/>
        <v>0</v>
      </c>
      <c r="BD74" s="1068">
        <f t="shared" si="116"/>
        <v>0</v>
      </c>
      <c r="BE74" s="1068">
        <f t="shared" si="117"/>
        <v>0</v>
      </c>
      <c r="BF74" s="1069">
        <f t="shared" si="118"/>
        <v>0</v>
      </c>
      <c r="BH74" s="1067">
        <f t="shared" si="119"/>
        <v>0</v>
      </c>
      <c r="BI74" s="1068">
        <f t="shared" si="120"/>
        <v>0</v>
      </c>
      <c r="BJ74" s="1068">
        <f t="shared" si="121"/>
        <v>0</v>
      </c>
      <c r="BK74" s="1068">
        <f t="shared" si="122"/>
        <v>0</v>
      </c>
      <c r="BL74" s="1068">
        <f t="shared" si="123"/>
        <v>0</v>
      </c>
      <c r="BM74" s="1068">
        <f t="shared" si="124"/>
        <v>0</v>
      </c>
      <c r="BN74" s="1068">
        <f t="shared" si="125"/>
        <v>0</v>
      </c>
      <c r="BO74" s="1068">
        <f t="shared" si="126"/>
        <v>0</v>
      </c>
      <c r="BP74" s="1069">
        <f t="shared" si="127"/>
        <v>0</v>
      </c>
      <c r="BR74" s="1067">
        <f t="shared" si="167"/>
        <v>0</v>
      </c>
      <c r="BS74" s="1067">
        <f t="shared" si="168"/>
        <v>0</v>
      </c>
      <c r="BT74" s="1068">
        <f t="shared" si="169"/>
        <v>0</v>
      </c>
      <c r="BU74" s="1068">
        <f t="shared" si="170"/>
        <v>0</v>
      </c>
      <c r="BV74" s="1068">
        <f t="shared" si="171"/>
        <v>0</v>
      </c>
      <c r="BW74" s="1068">
        <f t="shared" si="172"/>
        <v>0</v>
      </c>
      <c r="BX74" s="1068">
        <f t="shared" si="173"/>
        <v>0</v>
      </c>
      <c r="BY74" s="1068">
        <f t="shared" si="174"/>
        <v>0</v>
      </c>
      <c r="BZ74" s="1068">
        <f t="shared" si="175"/>
        <v>0</v>
      </c>
      <c r="CA74" s="1068">
        <f t="shared" si="176"/>
        <v>0</v>
      </c>
      <c r="CB74" s="1068">
        <f t="shared" si="177"/>
        <v>0</v>
      </c>
      <c r="CC74" s="1068">
        <f t="shared" si="178"/>
        <v>0</v>
      </c>
      <c r="CD74" s="1068">
        <f t="shared" si="128"/>
        <v>0</v>
      </c>
      <c r="CE74" s="1068">
        <f t="shared" si="129"/>
        <v>0</v>
      </c>
      <c r="CF74" s="1069">
        <f t="shared" si="130"/>
        <v>0</v>
      </c>
      <c r="CG74" s="599"/>
      <c r="CH74" s="1067">
        <f t="shared" si="179"/>
        <v>0</v>
      </c>
      <c r="CI74" s="1067">
        <f t="shared" si="180"/>
        <v>0</v>
      </c>
      <c r="CJ74" s="1068">
        <f t="shared" si="181"/>
        <v>0</v>
      </c>
      <c r="CK74" s="1068">
        <f t="shared" si="182"/>
        <v>0</v>
      </c>
      <c r="CL74" s="1068">
        <f t="shared" si="183"/>
        <v>0</v>
      </c>
      <c r="CM74" s="1068">
        <f t="shared" si="184"/>
        <v>0</v>
      </c>
      <c r="CN74" s="1068">
        <f t="shared" si="185"/>
        <v>0</v>
      </c>
      <c r="CO74" s="1068">
        <f t="shared" si="186"/>
        <v>0</v>
      </c>
      <c r="CP74" s="1068">
        <f t="shared" si="187"/>
        <v>0</v>
      </c>
      <c r="CQ74" s="1069">
        <f t="shared" si="188"/>
        <v>0</v>
      </c>
      <c r="CR74" s="1069">
        <f t="shared" si="189"/>
        <v>0</v>
      </c>
      <c r="CS74" s="1069">
        <f t="shared" si="190"/>
        <v>0</v>
      </c>
      <c r="CV74" s="345">
        <v>2024</v>
      </c>
      <c r="CW74" s="1097">
        <f>SUM('POSF Inventory'!HF79,'POSF Inventory'!HH79,'POSF Inventory'!HJ79)*$CY$1</f>
        <v>0</v>
      </c>
      <c r="CX74" s="1098">
        <f>SUM('POSF Inventory'!HG79,'POSF Inventory'!HI79,'POSF Inventory'!HK79)*$CY$2</f>
        <v>0.19998051149999999</v>
      </c>
      <c r="CY74" s="1097">
        <f>SUM('POSF Inventory'!HL79,'POSF Inventory'!HN79,'POSF Inventory'!HP79)*$CY$1</f>
        <v>0</v>
      </c>
      <c r="CZ74" s="1098">
        <f>SUM('POSF Inventory'!HM79,'POSF Inventory'!HO79,'POSF Inventory'!HQ79)*$CY$2</f>
        <v>0.218418431</v>
      </c>
      <c r="DA74" s="1097">
        <f>SUM('POSF Inventory'!HR79,'POSF Inventory'!HT79,'POSF Inventory'!HV79)*$CY$3</f>
        <v>0</v>
      </c>
      <c r="DB74" s="1098">
        <f>SUM('POSF Inventory'!HS79,'POSF Inventory'!HU79,'POSF Inventory'!HW79)*$CY$4</f>
        <v>39.422897699200014</v>
      </c>
      <c r="DC74" s="1046">
        <f t="shared" si="191"/>
        <v>0</v>
      </c>
      <c r="DD74" s="1050">
        <f t="shared" si="192"/>
        <v>39.841296641700012</v>
      </c>
    </row>
    <row r="75" spans="2:108" x14ac:dyDescent="0.2">
      <c r="B75" s="345">
        <v>2025</v>
      </c>
      <c r="C75" s="774">
        <f>SUM('POSF Inventory'!FF80,'POSF Inventory'!FH80)</f>
        <v>0</v>
      </c>
      <c r="D75" s="774">
        <f>SUM('POSF Inventory'!FB80,'POSF Inventory'!FD80)</f>
        <v>0</v>
      </c>
      <c r="E75" s="774">
        <f>SUM('POSF Inventory'!FC80,'POSF Inventory'!FE80)</f>
        <v>0</v>
      </c>
      <c r="F75" s="774">
        <f>SUM('POSF Inventory'!FB80,'POSF Inventory'!FD80,'POSF Inventory'!J80)</f>
        <v>0</v>
      </c>
      <c r="G75" s="774">
        <f>SUM('POSF Inventory'!FC80,'POSF Inventory'!FE80,'POSF Inventory'!K80)</f>
        <v>39.703300000000006</v>
      </c>
      <c r="H75" s="1106">
        <f>SUM('POSF Inventory'!DL80,'POSF Inventory'!DN80)</f>
        <v>0</v>
      </c>
      <c r="I75" s="1041">
        <f>SUM('POSF Inventory'!DM80,'POSF Inventory'!DO80)</f>
        <v>0</v>
      </c>
      <c r="J75" s="592"/>
      <c r="K75" s="1046">
        <f t="shared" si="110"/>
        <v>0</v>
      </c>
      <c r="L75" s="1047">
        <f t="shared" si="111"/>
        <v>0</v>
      </c>
      <c r="M75" s="1046">
        <f t="shared" si="112"/>
        <v>0</v>
      </c>
      <c r="N75" s="1047">
        <f t="shared" si="113"/>
        <v>0</v>
      </c>
      <c r="O75" s="1046">
        <f t="shared" si="114"/>
        <v>0</v>
      </c>
      <c r="P75" s="889">
        <f t="shared" si="115"/>
        <v>0</v>
      </c>
      <c r="Q75" s="1048"/>
      <c r="R75" s="889">
        <f t="shared" si="131"/>
        <v>0</v>
      </c>
      <c r="S75" s="889">
        <f t="shared" si="132"/>
        <v>0</v>
      </c>
      <c r="T75" s="1047">
        <f t="shared" si="133"/>
        <v>0</v>
      </c>
      <c r="U75" s="1047">
        <f t="shared" si="134"/>
        <v>0</v>
      </c>
      <c r="V75" s="1046">
        <f t="shared" si="135"/>
        <v>0</v>
      </c>
      <c r="W75" s="1046">
        <f t="shared" si="136"/>
        <v>0</v>
      </c>
      <c r="X75" s="1047">
        <f t="shared" si="137"/>
        <v>0</v>
      </c>
      <c r="Y75" s="1047">
        <f t="shared" si="138"/>
        <v>0</v>
      </c>
      <c r="Z75" s="1049">
        <f t="shared" si="139"/>
        <v>0</v>
      </c>
      <c r="AA75" s="1049">
        <f t="shared" si="140"/>
        <v>0</v>
      </c>
      <c r="AB75" s="1050">
        <f t="shared" si="141"/>
        <v>0</v>
      </c>
      <c r="AC75" s="1050">
        <f t="shared" si="142"/>
        <v>0</v>
      </c>
      <c r="AD75" s="898"/>
      <c r="AE75" s="1046">
        <f t="shared" si="143"/>
        <v>0</v>
      </c>
      <c r="AF75" s="1046">
        <f t="shared" si="144"/>
        <v>0</v>
      </c>
      <c r="AG75" s="1046">
        <f t="shared" si="145"/>
        <v>0</v>
      </c>
      <c r="AH75" s="889">
        <f t="shared" si="146"/>
        <v>0</v>
      </c>
      <c r="AI75" s="889">
        <f t="shared" si="147"/>
        <v>0</v>
      </c>
      <c r="AJ75" s="889">
        <f t="shared" si="148"/>
        <v>0</v>
      </c>
      <c r="AK75" s="889">
        <f t="shared" si="149"/>
        <v>0</v>
      </c>
      <c r="AL75" s="889">
        <f t="shared" si="150"/>
        <v>0</v>
      </c>
      <c r="AM75" s="889">
        <f t="shared" si="151"/>
        <v>0</v>
      </c>
      <c r="AN75" s="1050">
        <f t="shared" si="152"/>
        <v>0</v>
      </c>
      <c r="AO75" s="1050">
        <f t="shared" si="153"/>
        <v>0</v>
      </c>
      <c r="AP75" s="1050">
        <f t="shared" si="154"/>
        <v>0</v>
      </c>
      <c r="AR75" s="1067">
        <f t="shared" si="155"/>
        <v>0</v>
      </c>
      <c r="AS75" s="1067">
        <f t="shared" si="156"/>
        <v>0</v>
      </c>
      <c r="AT75" s="1068">
        <f t="shared" si="157"/>
        <v>0</v>
      </c>
      <c r="AU75" s="1068">
        <f t="shared" si="158"/>
        <v>0</v>
      </c>
      <c r="AV75" s="1068">
        <f t="shared" si="159"/>
        <v>0</v>
      </c>
      <c r="AW75" s="1068">
        <f t="shared" si="160"/>
        <v>0</v>
      </c>
      <c r="AX75" s="1068">
        <f t="shared" si="161"/>
        <v>0</v>
      </c>
      <c r="AY75" s="1068">
        <f t="shared" si="162"/>
        <v>0</v>
      </c>
      <c r="AZ75" s="1068">
        <f t="shared" si="163"/>
        <v>0</v>
      </c>
      <c r="BA75" s="1068">
        <f t="shared" si="164"/>
        <v>0</v>
      </c>
      <c r="BB75" s="1068">
        <f t="shared" si="165"/>
        <v>0</v>
      </c>
      <c r="BC75" s="1068">
        <f t="shared" si="166"/>
        <v>0</v>
      </c>
      <c r="BD75" s="1068">
        <f t="shared" si="116"/>
        <v>0</v>
      </c>
      <c r="BE75" s="1068">
        <f t="shared" si="117"/>
        <v>0</v>
      </c>
      <c r="BF75" s="1069">
        <f t="shared" si="118"/>
        <v>0</v>
      </c>
      <c r="BH75" s="1067">
        <f t="shared" si="119"/>
        <v>0</v>
      </c>
      <c r="BI75" s="1068">
        <f t="shared" si="120"/>
        <v>0</v>
      </c>
      <c r="BJ75" s="1068">
        <f t="shared" si="121"/>
        <v>0</v>
      </c>
      <c r="BK75" s="1068">
        <f t="shared" si="122"/>
        <v>0</v>
      </c>
      <c r="BL75" s="1068">
        <f t="shared" si="123"/>
        <v>0</v>
      </c>
      <c r="BM75" s="1068">
        <f t="shared" si="124"/>
        <v>0</v>
      </c>
      <c r="BN75" s="1068">
        <f t="shared" si="125"/>
        <v>0</v>
      </c>
      <c r="BO75" s="1068">
        <f t="shared" si="126"/>
        <v>0</v>
      </c>
      <c r="BP75" s="1069">
        <f t="shared" si="127"/>
        <v>0</v>
      </c>
      <c r="BR75" s="1067">
        <f t="shared" si="167"/>
        <v>0</v>
      </c>
      <c r="BS75" s="1067">
        <f t="shared" si="168"/>
        <v>0</v>
      </c>
      <c r="BT75" s="1068">
        <f t="shared" si="169"/>
        <v>0</v>
      </c>
      <c r="BU75" s="1068">
        <f t="shared" si="170"/>
        <v>0</v>
      </c>
      <c r="BV75" s="1068">
        <f t="shared" si="171"/>
        <v>0</v>
      </c>
      <c r="BW75" s="1068">
        <f t="shared" si="172"/>
        <v>0</v>
      </c>
      <c r="BX75" s="1068">
        <f t="shared" si="173"/>
        <v>0</v>
      </c>
      <c r="BY75" s="1068">
        <f t="shared" si="174"/>
        <v>0</v>
      </c>
      <c r="BZ75" s="1068">
        <f t="shared" si="175"/>
        <v>0</v>
      </c>
      <c r="CA75" s="1068">
        <f t="shared" si="176"/>
        <v>0</v>
      </c>
      <c r="CB75" s="1068">
        <f t="shared" si="177"/>
        <v>0</v>
      </c>
      <c r="CC75" s="1068">
        <f t="shared" si="178"/>
        <v>0</v>
      </c>
      <c r="CD75" s="1068">
        <f t="shared" si="128"/>
        <v>0</v>
      </c>
      <c r="CE75" s="1068">
        <f t="shared" si="129"/>
        <v>0</v>
      </c>
      <c r="CF75" s="1069">
        <f t="shared" si="130"/>
        <v>0</v>
      </c>
      <c r="CG75" s="599"/>
      <c r="CH75" s="1067">
        <f t="shared" si="179"/>
        <v>0</v>
      </c>
      <c r="CI75" s="1067">
        <f t="shared" si="180"/>
        <v>0</v>
      </c>
      <c r="CJ75" s="1068">
        <f t="shared" si="181"/>
        <v>0</v>
      </c>
      <c r="CK75" s="1068">
        <f t="shared" si="182"/>
        <v>0</v>
      </c>
      <c r="CL75" s="1068">
        <f t="shared" si="183"/>
        <v>0</v>
      </c>
      <c r="CM75" s="1068">
        <f t="shared" si="184"/>
        <v>0</v>
      </c>
      <c r="CN75" s="1068">
        <f t="shared" si="185"/>
        <v>0</v>
      </c>
      <c r="CO75" s="1068">
        <f t="shared" si="186"/>
        <v>0</v>
      </c>
      <c r="CP75" s="1068">
        <f t="shared" si="187"/>
        <v>0</v>
      </c>
      <c r="CQ75" s="1069">
        <f t="shared" si="188"/>
        <v>0</v>
      </c>
      <c r="CR75" s="1069">
        <f t="shared" si="189"/>
        <v>0</v>
      </c>
      <c r="CS75" s="1069">
        <f t="shared" si="190"/>
        <v>0</v>
      </c>
      <c r="CV75" s="345">
        <v>2025</v>
      </c>
      <c r="CW75" s="1097">
        <f>SUM('POSF Inventory'!HF80,'POSF Inventory'!HH80,'POSF Inventory'!HJ80)*$CY$1</f>
        <v>0</v>
      </c>
      <c r="CX75" s="1098">
        <f>SUM('POSF Inventory'!HG80,'POSF Inventory'!HI80,'POSF Inventory'!HK80)*$CY$2</f>
        <v>0</v>
      </c>
      <c r="CY75" s="1097">
        <f>SUM('POSF Inventory'!HL80,'POSF Inventory'!HN80,'POSF Inventory'!HP80)*$CY$1</f>
        <v>0</v>
      </c>
      <c r="CZ75" s="1098">
        <f>SUM('POSF Inventory'!HM80,'POSF Inventory'!HO80,'POSF Inventory'!HQ80)*$CY$2</f>
        <v>0</v>
      </c>
      <c r="DA75" s="1097">
        <f>SUM('POSF Inventory'!HR80,'POSF Inventory'!HT80,'POSF Inventory'!HV80)*$CY$3</f>
        <v>0</v>
      </c>
      <c r="DB75" s="1098">
        <f>SUM('POSF Inventory'!HS80,'POSF Inventory'!HU80,'POSF Inventory'!HW80)*$CY$4</f>
        <v>39.26656370000002</v>
      </c>
      <c r="DC75" s="1046">
        <f t="shared" si="191"/>
        <v>0</v>
      </c>
      <c r="DD75" s="1050">
        <f t="shared" si="192"/>
        <v>39.26656370000002</v>
      </c>
    </row>
    <row r="76" spans="2:108" x14ac:dyDescent="0.2">
      <c r="B76" s="345">
        <v>2026</v>
      </c>
      <c r="C76" s="774">
        <f>SUM('POSF Inventory'!FF81,'POSF Inventory'!FH81)</f>
        <v>0</v>
      </c>
      <c r="D76" s="774">
        <f>SUM('POSF Inventory'!FB81,'POSF Inventory'!FD81)</f>
        <v>0</v>
      </c>
      <c r="E76" s="774">
        <f>SUM('POSF Inventory'!FC81,'POSF Inventory'!FE81)</f>
        <v>0</v>
      </c>
      <c r="F76" s="774">
        <f>SUM('POSF Inventory'!FB81,'POSF Inventory'!FD81,'POSF Inventory'!J81)</f>
        <v>0</v>
      </c>
      <c r="G76" s="774">
        <f>SUM('POSF Inventory'!FC81,'POSF Inventory'!FE81,'POSF Inventory'!K81)</f>
        <v>39.703300000000006</v>
      </c>
      <c r="H76" s="1106">
        <f>SUM('POSF Inventory'!DL81,'POSF Inventory'!DN81)</f>
        <v>0</v>
      </c>
      <c r="I76" s="1041">
        <f>SUM('POSF Inventory'!DM81,'POSF Inventory'!DO81)</f>
        <v>0</v>
      </c>
      <c r="J76" s="592"/>
      <c r="K76" s="1046">
        <f t="shared" si="110"/>
        <v>0</v>
      </c>
      <c r="L76" s="1047">
        <f t="shared" si="111"/>
        <v>0</v>
      </c>
      <c r="M76" s="1046">
        <f t="shared" si="112"/>
        <v>0</v>
      </c>
      <c r="N76" s="1047">
        <f t="shared" si="113"/>
        <v>0</v>
      </c>
      <c r="O76" s="1046">
        <f t="shared" si="114"/>
        <v>0</v>
      </c>
      <c r="P76" s="889">
        <f t="shared" si="115"/>
        <v>0</v>
      </c>
      <c r="Q76" s="1048"/>
      <c r="R76" s="889">
        <f t="shared" si="131"/>
        <v>0</v>
      </c>
      <c r="S76" s="889">
        <f t="shared" si="132"/>
        <v>0</v>
      </c>
      <c r="T76" s="1047">
        <f t="shared" si="133"/>
        <v>0</v>
      </c>
      <c r="U76" s="1047">
        <f t="shared" si="134"/>
        <v>0</v>
      </c>
      <c r="V76" s="1046">
        <f t="shared" si="135"/>
        <v>0</v>
      </c>
      <c r="W76" s="1046">
        <f t="shared" si="136"/>
        <v>0</v>
      </c>
      <c r="X76" s="1047">
        <f t="shared" si="137"/>
        <v>0</v>
      </c>
      <c r="Y76" s="1047">
        <f t="shared" si="138"/>
        <v>0</v>
      </c>
      <c r="Z76" s="1049">
        <f t="shared" si="139"/>
        <v>0</v>
      </c>
      <c r="AA76" s="1049">
        <f t="shared" si="140"/>
        <v>0</v>
      </c>
      <c r="AB76" s="1050">
        <f t="shared" si="141"/>
        <v>0</v>
      </c>
      <c r="AC76" s="1050">
        <f t="shared" si="142"/>
        <v>0</v>
      </c>
      <c r="AD76" s="898"/>
      <c r="AE76" s="1046">
        <f t="shared" si="143"/>
        <v>0</v>
      </c>
      <c r="AF76" s="1046">
        <f t="shared" si="144"/>
        <v>0</v>
      </c>
      <c r="AG76" s="1046">
        <f t="shared" si="145"/>
        <v>0</v>
      </c>
      <c r="AH76" s="889">
        <f t="shared" si="146"/>
        <v>0</v>
      </c>
      <c r="AI76" s="889">
        <f t="shared" si="147"/>
        <v>0</v>
      </c>
      <c r="AJ76" s="889">
        <f t="shared" si="148"/>
        <v>0</v>
      </c>
      <c r="AK76" s="889">
        <f t="shared" si="149"/>
        <v>0</v>
      </c>
      <c r="AL76" s="889">
        <f t="shared" si="150"/>
        <v>0</v>
      </c>
      <c r="AM76" s="889">
        <f t="shared" si="151"/>
        <v>0</v>
      </c>
      <c r="AN76" s="1050">
        <f t="shared" si="152"/>
        <v>0</v>
      </c>
      <c r="AO76" s="1050">
        <f t="shared" si="153"/>
        <v>0</v>
      </c>
      <c r="AP76" s="1050">
        <f t="shared" si="154"/>
        <v>0</v>
      </c>
      <c r="AR76" s="1067">
        <f t="shared" si="155"/>
        <v>0</v>
      </c>
      <c r="AS76" s="1067">
        <f t="shared" si="156"/>
        <v>0</v>
      </c>
      <c r="AT76" s="1068">
        <f t="shared" si="157"/>
        <v>0</v>
      </c>
      <c r="AU76" s="1068">
        <f t="shared" si="158"/>
        <v>0</v>
      </c>
      <c r="AV76" s="1068">
        <f t="shared" si="159"/>
        <v>0</v>
      </c>
      <c r="AW76" s="1068">
        <f t="shared" si="160"/>
        <v>0</v>
      </c>
      <c r="AX76" s="1068">
        <f t="shared" si="161"/>
        <v>0</v>
      </c>
      <c r="AY76" s="1068">
        <f t="shared" si="162"/>
        <v>0</v>
      </c>
      <c r="AZ76" s="1068">
        <f t="shared" si="163"/>
        <v>0</v>
      </c>
      <c r="BA76" s="1068">
        <f t="shared" si="164"/>
        <v>0</v>
      </c>
      <c r="BB76" s="1068">
        <f t="shared" si="165"/>
        <v>0</v>
      </c>
      <c r="BC76" s="1068">
        <f t="shared" si="166"/>
        <v>0</v>
      </c>
      <c r="BD76" s="1068">
        <f t="shared" si="116"/>
        <v>0</v>
      </c>
      <c r="BE76" s="1068">
        <f t="shared" si="117"/>
        <v>0</v>
      </c>
      <c r="BF76" s="1069">
        <f t="shared" si="118"/>
        <v>0</v>
      </c>
      <c r="BH76" s="1067">
        <f t="shared" si="119"/>
        <v>0</v>
      </c>
      <c r="BI76" s="1068">
        <f t="shared" si="120"/>
        <v>0</v>
      </c>
      <c r="BJ76" s="1068">
        <f t="shared" si="121"/>
        <v>0</v>
      </c>
      <c r="BK76" s="1068">
        <f t="shared" si="122"/>
        <v>0</v>
      </c>
      <c r="BL76" s="1068">
        <f t="shared" si="123"/>
        <v>0</v>
      </c>
      <c r="BM76" s="1068">
        <f t="shared" si="124"/>
        <v>0</v>
      </c>
      <c r="BN76" s="1068">
        <f t="shared" si="125"/>
        <v>0</v>
      </c>
      <c r="BO76" s="1068">
        <f t="shared" si="126"/>
        <v>0</v>
      </c>
      <c r="BP76" s="1069">
        <f t="shared" si="127"/>
        <v>0</v>
      </c>
      <c r="BR76" s="1067">
        <f t="shared" si="167"/>
        <v>0</v>
      </c>
      <c r="BS76" s="1067">
        <f t="shared" si="168"/>
        <v>0</v>
      </c>
      <c r="BT76" s="1068">
        <f t="shared" si="169"/>
        <v>0</v>
      </c>
      <c r="BU76" s="1068">
        <f t="shared" si="170"/>
        <v>0</v>
      </c>
      <c r="BV76" s="1068">
        <f t="shared" si="171"/>
        <v>0</v>
      </c>
      <c r="BW76" s="1068">
        <f t="shared" si="172"/>
        <v>0</v>
      </c>
      <c r="BX76" s="1068">
        <f t="shared" si="173"/>
        <v>0</v>
      </c>
      <c r="BY76" s="1068">
        <f t="shared" si="174"/>
        <v>0</v>
      </c>
      <c r="BZ76" s="1068">
        <f t="shared" si="175"/>
        <v>0</v>
      </c>
      <c r="CA76" s="1068">
        <f t="shared" si="176"/>
        <v>0</v>
      </c>
      <c r="CB76" s="1068">
        <f t="shared" si="177"/>
        <v>0</v>
      </c>
      <c r="CC76" s="1068">
        <f t="shared" si="178"/>
        <v>0</v>
      </c>
      <c r="CD76" s="1068">
        <f t="shared" si="128"/>
        <v>0</v>
      </c>
      <c r="CE76" s="1068">
        <f t="shared" si="129"/>
        <v>0</v>
      </c>
      <c r="CF76" s="1069">
        <f t="shared" si="130"/>
        <v>0</v>
      </c>
      <c r="CG76" s="599"/>
      <c r="CH76" s="1067">
        <f t="shared" si="179"/>
        <v>0</v>
      </c>
      <c r="CI76" s="1067">
        <f t="shared" si="180"/>
        <v>0</v>
      </c>
      <c r="CJ76" s="1068">
        <f t="shared" si="181"/>
        <v>0</v>
      </c>
      <c r="CK76" s="1068">
        <f t="shared" si="182"/>
        <v>0</v>
      </c>
      <c r="CL76" s="1068">
        <f t="shared" si="183"/>
        <v>0</v>
      </c>
      <c r="CM76" s="1068">
        <f t="shared" si="184"/>
        <v>0</v>
      </c>
      <c r="CN76" s="1068">
        <f t="shared" si="185"/>
        <v>0</v>
      </c>
      <c r="CO76" s="1068">
        <f t="shared" si="186"/>
        <v>0</v>
      </c>
      <c r="CP76" s="1068">
        <f t="shared" si="187"/>
        <v>0</v>
      </c>
      <c r="CQ76" s="1069">
        <f t="shared" si="188"/>
        <v>0</v>
      </c>
      <c r="CR76" s="1069">
        <f t="shared" si="189"/>
        <v>0</v>
      </c>
      <c r="CS76" s="1069">
        <f t="shared" si="190"/>
        <v>0</v>
      </c>
      <c r="CV76" s="345">
        <v>2026</v>
      </c>
      <c r="CW76" s="1097">
        <f>SUM('POSF Inventory'!HF81,'POSF Inventory'!HH81,'POSF Inventory'!HJ81)*$CY$1</f>
        <v>0</v>
      </c>
      <c r="CX76" s="1098">
        <f>SUM('POSF Inventory'!HG81,'POSF Inventory'!HI81,'POSF Inventory'!HK81)*$CY$2</f>
        <v>0</v>
      </c>
      <c r="CY76" s="1097">
        <f>SUM('POSF Inventory'!HL81,'POSF Inventory'!HN81,'POSF Inventory'!HP81)*$CY$1</f>
        <v>0</v>
      </c>
      <c r="CZ76" s="1098">
        <f>SUM('POSF Inventory'!HM81,'POSF Inventory'!HO81,'POSF Inventory'!HQ81)*$CY$2</f>
        <v>0</v>
      </c>
      <c r="DA76" s="1097">
        <f>SUM('POSF Inventory'!HR81,'POSF Inventory'!HT81,'POSF Inventory'!HV81)*$CY$3</f>
        <v>0</v>
      </c>
      <c r="DB76" s="1098">
        <f>SUM('POSF Inventory'!HS81,'POSF Inventory'!HU81,'POSF Inventory'!HW81)*$CY$4</f>
        <v>39.26656370000002</v>
      </c>
      <c r="DC76" s="1046">
        <f t="shared" si="191"/>
        <v>0</v>
      </c>
      <c r="DD76" s="1050">
        <f t="shared" si="192"/>
        <v>39.26656370000002</v>
      </c>
    </row>
    <row r="77" spans="2:108" x14ac:dyDescent="0.2">
      <c r="B77" s="345">
        <v>2027</v>
      </c>
      <c r="C77" s="774">
        <f>SUM('POSF Inventory'!FF82,'POSF Inventory'!FH82)</f>
        <v>0</v>
      </c>
      <c r="D77" s="774">
        <f>SUM('POSF Inventory'!FB82,'POSF Inventory'!FD82)</f>
        <v>0</v>
      </c>
      <c r="E77" s="774">
        <f>SUM('POSF Inventory'!FC82,'POSF Inventory'!FE82)</f>
        <v>0</v>
      </c>
      <c r="F77" s="774">
        <f>SUM('POSF Inventory'!FB82,'POSF Inventory'!FD82,'POSF Inventory'!J82)</f>
        <v>0</v>
      </c>
      <c r="G77" s="774">
        <f>SUM('POSF Inventory'!FC82,'POSF Inventory'!FE82,'POSF Inventory'!K82)</f>
        <v>39.703300000000006</v>
      </c>
      <c r="H77" s="1106">
        <f>SUM('POSF Inventory'!DL82,'POSF Inventory'!DN82)</f>
        <v>0</v>
      </c>
      <c r="I77" s="1041">
        <f>SUM('POSF Inventory'!DM82,'POSF Inventory'!DO82)</f>
        <v>0</v>
      </c>
      <c r="J77" s="592"/>
      <c r="K77" s="1046">
        <f t="shared" si="110"/>
        <v>0</v>
      </c>
      <c r="L77" s="1047">
        <f t="shared" si="111"/>
        <v>0</v>
      </c>
      <c r="M77" s="1046">
        <f t="shared" si="112"/>
        <v>0</v>
      </c>
      <c r="N77" s="1047">
        <f t="shared" si="113"/>
        <v>0</v>
      </c>
      <c r="O77" s="1046">
        <f t="shared" si="114"/>
        <v>0</v>
      </c>
      <c r="P77" s="889">
        <f t="shared" si="115"/>
        <v>0</v>
      </c>
      <c r="Q77" s="1048"/>
      <c r="R77" s="889">
        <f t="shared" si="131"/>
        <v>0</v>
      </c>
      <c r="S77" s="889">
        <f t="shared" si="132"/>
        <v>0</v>
      </c>
      <c r="T77" s="1047">
        <f t="shared" si="133"/>
        <v>0</v>
      </c>
      <c r="U77" s="1047">
        <f t="shared" si="134"/>
        <v>0</v>
      </c>
      <c r="V77" s="1046">
        <f t="shared" si="135"/>
        <v>0</v>
      </c>
      <c r="W77" s="1046">
        <f t="shared" si="136"/>
        <v>0</v>
      </c>
      <c r="X77" s="1047">
        <f t="shared" si="137"/>
        <v>0</v>
      </c>
      <c r="Y77" s="1047">
        <f t="shared" si="138"/>
        <v>0</v>
      </c>
      <c r="Z77" s="1049">
        <f t="shared" si="139"/>
        <v>0</v>
      </c>
      <c r="AA77" s="1049">
        <f t="shared" si="140"/>
        <v>0</v>
      </c>
      <c r="AB77" s="1050">
        <f t="shared" si="141"/>
        <v>0</v>
      </c>
      <c r="AC77" s="1050">
        <f t="shared" si="142"/>
        <v>0</v>
      </c>
      <c r="AD77" s="898"/>
      <c r="AE77" s="1046">
        <f t="shared" si="143"/>
        <v>0</v>
      </c>
      <c r="AF77" s="1046">
        <f t="shared" si="144"/>
        <v>0</v>
      </c>
      <c r="AG77" s="1046">
        <f t="shared" si="145"/>
        <v>0</v>
      </c>
      <c r="AH77" s="889">
        <f t="shared" si="146"/>
        <v>0</v>
      </c>
      <c r="AI77" s="889">
        <f t="shared" si="147"/>
        <v>0</v>
      </c>
      <c r="AJ77" s="889">
        <f t="shared" si="148"/>
        <v>0</v>
      </c>
      <c r="AK77" s="889">
        <f t="shared" si="149"/>
        <v>0</v>
      </c>
      <c r="AL77" s="889">
        <f t="shared" si="150"/>
        <v>0</v>
      </c>
      <c r="AM77" s="889">
        <f t="shared" si="151"/>
        <v>0</v>
      </c>
      <c r="AN77" s="1050">
        <f t="shared" si="152"/>
        <v>0</v>
      </c>
      <c r="AO77" s="1050">
        <f t="shared" si="153"/>
        <v>0</v>
      </c>
      <c r="AP77" s="1050">
        <f t="shared" si="154"/>
        <v>0</v>
      </c>
      <c r="AR77" s="1067">
        <f t="shared" si="155"/>
        <v>0</v>
      </c>
      <c r="AS77" s="1067">
        <f t="shared" si="156"/>
        <v>0</v>
      </c>
      <c r="AT77" s="1068">
        <f t="shared" si="157"/>
        <v>0</v>
      </c>
      <c r="AU77" s="1068">
        <f t="shared" si="158"/>
        <v>0</v>
      </c>
      <c r="AV77" s="1068">
        <f t="shared" si="159"/>
        <v>0</v>
      </c>
      <c r="AW77" s="1068">
        <f t="shared" si="160"/>
        <v>0</v>
      </c>
      <c r="AX77" s="1068">
        <f t="shared" si="161"/>
        <v>0</v>
      </c>
      <c r="AY77" s="1068">
        <f t="shared" si="162"/>
        <v>0</v>
      </c>
      <c r="AZ77" s="1068">
        <f t="shared" si="163"/>
        <v>0</v>
      </c>
      <c r="BA77" s="1068">
        <f t="shared" si="164"/>
        <v>0</v>
      </c>
      <c r="BB77" s="1068">
        <f t="shared" si="165"/>
        <v>0</v>
      </c>
      <c r="BC77" s="1068">
        <f t="shared" si="166"/>
        <v>0</v>
      </c>
      <c r="BD77" s="1068">
        <f t="shared" si="116"/>
        <v>0</v>
      </c>
      <c r="BE77" s="1068">
        <f t="shared" si="117"/>
        <v>0</v>
      </c>
      <c r="BF77" s="1069">
        <f t="shared" si="118"/>
        <v>0</v>
      </c>
      <c r="BH77" s="1067">
        <f t="shared" si="119"/>
        <v>0</v>
      </c>
      <c r="BI77" s="1068">
        <f t="shared" si="120"/>
        <v>0</v>
      </c>
      <c r="BJ77" s="1068">
        <f t="shared" si="121"/>
        <v>0</v>
      </c>
      <c r="BK77" s="1068">
        <f t="shared" si="122"/>
        <v>0</v>
      </c>
      <c r="BL77" s="1068">
        <f t="shared" si="123"/>
        <v>0</v>
      </c>
      <c r="BM77" s="1068">
        <f t="shared" si="124"/>
        <v>0</v>
      </c>
      <c r="BN77" s="1068">
        <f t="shared" si="125"/>
        <v>0</v>
      </c>
      <c r="BO77" s="1068">
        <f t="shared" si="126"/>
        <v>0</v>
      </c>
      <c r="BP77" s="1069">
        <f t="shared" si="127"/>
        <v>0</v>
      </c>
      <c r="BR77" s="1067">
        <f t="shared" si="167"/>
        <v>0</v>
      </c>
      <c r="BS77" s="1067">
        <f t="shared" si="168"/>
        <v>0</v>
      </c>
      <c r="BT77" s="1068">
        <f t="shared" si="169"/>
        <v>0</v>
      </c>
      <c r="BU77" s="1068">
        <f t="shared" si="170"/>
        <v>0</v>
      </c>
      <c r="BV77" s="1068">
        <f t="shared" si="171"/>
        <v>0</v>
      </c>
      <c r="BW77" s="1068">
        <f t="shared" si="172"/>
        <v>0</v>
      </c>
      <c r="BX77" s="1068">
        <f t="shared" si="173"/>
        <v>0</v>
      </c>
      <c r="BY77" s="1068">
        <f t="shared" si="174"/>
        <v>0</v>
      </c>
      <c r="BZ77" s="1068">
        <f t="shared" si="175"/>
        <v>0</v>
      </c>
      <c r="CA77" s="1068">
        <f t="shared" si="176"/>
        <v>0</v>
      </c>
      <c r="CB77" s="1068">
        <f t="shared" si="177"/>
        <v>0</v>
      </c>
      <c r="CC77" s="1068">
        <f t="shared" si="178"/>
        <v>0</v>
      </c>
      <c r="CD77" s="1068">
        <f t="shared" si="128"/>
        <v>0</v>
      </c>
      <c r="CE77" s="1068">
        <f t="shared" si="129"/>
        <v>0</v>
      </c>
      <c r="CF77" s="1069">
        <f t="shared" si="130"/>
        <v>0</v>
      </c>
      <c r="CG77" s="599"/>
      <c r="CH77" s="1067">
        <f t="shared" si="179"/>
        <v>0</v>
      </c>
      <c r="CI77" s="1067">
        <f t="shared" si="180"/>
        <v>0</v>
      </c>
      <c r="CJ77" s="1068">
        <f t="shared" si="181"/>
        <v>0</v>
      </c>
      <c r="CK77" s="1068">
        <f t="shared" si="182"/>
        <v>0</v>
      </c>
      <c r="CL77" s="1068">
        <f t="shared" si="183"/>
        <v>0</v>
      </c>
      <c r="CM77" s="1068">
        <f t="shared" si="184"/>
        <v>0</v>
      </c>
      <c r="CN77" s="1068">
        <f t="shared" si="185"/>
        <v>0</v>
      </c>
      <c r="CO77" s="1068">
        <f t="shared" si="186"/>
        <v>0</v>
      </c>
      <c r="CP77" s="1068">
        <f t="shared" si="187"/>
        <v>0</v>
      </c>
      <c r="CQ77" s="1069">
        <f t="shared" si="188"/>
        <v>0</v>
      </c>
      <c r="CR77" s="1069">
        <f t="shared" si="189"/>
        <v>0</v>
      </c>
      <c r="CS77" s="1069">
        <f t="shared" si="190"/>
        <v>0</v>
      </c>
      <c r="CV77" s="345">
        <v>2027</v>
      </c>
      <c r="CW77" s="1097">
        <f>SUM('POSF Inventory'!HF82,'POSF Inventory'!HH82,'POSF Inventory'!HJ82)*$CY$1</f>
        <v>0</v>
      </c>
      <c r="CX77" s="1098">
        <f>SUM('POSF Inventory'!HG82,'POSF Inventory'!HI82,'POSF Inventory'!HK82)*$CY$2</f>
        <v>0</v>
      </c>
      <c r="CY77" s="1097">
        <f>SUM('POSF Inventory'!HL82,'POSF Inventory'!HN82,'POSF Inventory'!HP82)*$CY$1</f>
        <v>0</v>
      </c>
      <c r="CZ77" s="1098">
        <f>SUM('POSF Inventory'!HM82,'POSF Inventory'!HO82,'POSF Inventory'!HQ82)*$CY$2</f>
        <v>0</v>
      </c>
      <c r="DA77" s="1097">
        <f>SUM('POSF Inventory'!HR82,'POSF Inventory'!HT82,'POSF Inventory'!HV82)*$CY$3</f>
        <v>0</v>
      </c>
      <c r="DB77" s="1098">
        <f>SUM('POSF Inventory'!HS82,'POSF Inventory'!HU82,'POSF Inventory'!HW82)*$CY$4</f>
        <v>39.26656370000002</v>
      </c>
      <c r="DC77" s="1046">
        <f t="shared" si="191"/>
        <v>0</v>
      </c>
      <c r="DD77" s="1050">
        <f t="shared" si="192"/>
        <v>39.26656370000002</v>
      </c>
    </row>
    <row r="78" spans="2:108" x14ac:dyDescent="0.2">
      <c r="B78" s="345">
        <v>2028</v>
      </c>
      <c r="C78" s="774">
        <f>SUM('POSF Inventory'!FF83,'POSF Inventory'!FH83)</f>
        <v>0</v>
      </c>
      <c r="D78" s="774">
        <f>SUM('POSF Inventory'!FB83,'POSF Inventory'!FD83)</f>
        <v>0</v>
      </c>
      <c r="E78" s="774">
        <f>SUM('POSF Inventory'!FC83,'POSF Inventory'!FE83)</f>
        <v>0</v>
      </c>
      <c r="F78" s="774">
        <f>SUM('POSF Inventory'!FB83,'POSF Inventory'!FD83,'POSF Inventory'!J83)</f>
        <v>0</v>
      </c>
      <c r="G78" s="774">
        <f>SUM('POSF Inventory'!FC83,'POSF Inventory'!FE83,'POSF Inventory'!K83)</f>
        <v>39.703300000000006</v>
      </c>
      <c r="H78" s="1106">
        <f>SUM('POSF Inventory'!DL83,'POSF Inventory'!DN83)</f>
        <v>0</v>
      </c>
      <c r="I78" s="1041">
        <f>SUM('POSF Inventory'!DM83,'POSF Inventory'!DO83)</f>
        <v>0</v>
      </c>
      <c r="J78" s="592"/>
      <c r="K78" s="1046">
        <f t="shared" si="110"/>
        <v>0</v>
      </c>
      <c r="L78" s="1047">
        <f t="shared" si="111"/>
        <v>0</v>
      </c>
      <c r="M78" s="1046">
        <f t="shared" si="112"/>
        <v>0</v>
      </c>
      <c r="N78" s="1047">
        <f t="shared" si="113"/>
        <v>0</v>
      </c>
      <c r="O78" s="1046">
        <f t="shared" si="114"/>
        <v>0</v>
      </c>
      <c r="P78" s="889">
        <f t="shared" si="115"/>
        <v>0</v>
      </c>
      <c r="Q78" s="1048"/>
      <c r="R78" s="889">
        <f t="shared" si="131"/>
        <v>0</v>
      </c>
      <c r="S78" s="889">
        <f t="shared" si="132"/>
        <v>0</v>
      </c>
      <c r="T78" s="1047">
        <f t="shared" si="133"/>
        <v>0</v>
      </c>
      <c r="U78" s="1047">
        <f t="shared" si="134"/>
        <v>0</v>
      </c>
      <c r="V78" s="1046">
        <f t="shared" si="135"/>
        <v>0</v>
      </c>
      <c r="W78" s="1046">
        <f t="shared" si="136"/>
        <v>0</v>
      </c>
      <c r="X78" s="1047">
        <f t="shared" si="137"/>
        <v>0</v>
      </c>
      <c r="Y78" s="1047">
        <f t="shared" si="138"/>
        <v>0</v>
      </c>
      <c r="Z78" s="1049">
        <f t="shared" si="139"/>
        <v>0</v>
      </c>
      <c r="AA78" s="1049">
        <f t="shared" si="140"/>
        <v>0</v>
      </c>
      <c r="AB78" s="1050">
        <f t="shared" si="141"/>
        <v>0</v>
      </c>
      <c r="AC78" s="1050">
        <f t="shared" si="142"/>
        <v>0</v>
      </c>
      <c r="AD78" s="898"/>
      <c r="AE78" s="1046">
        <f t="shared" si="143"/>
        <v>0</v>
      </c>
      <c r="AF78" s="1046">
        <f t="shared" si="144"/>
        <v>0</v>
      </c>
      <c r="AG78" s="1046">
        <f t="shared" si="145"/>
        <v>0</v>
      </c>
      <c r="AH78" s="889">
        <f t="shared" si="146"/>
        <v>0</v>
      </c>
      <c r="AI78" s="889">
        <f t="shared" si="147"/>
        <v>0</v>
      </c>
      <c r="AJ78" s="889">
        <f t="shared" si="148"/>
        <v>0</v>
      </c>
      <c r="AK78" s="889">
        <f t="shared" si="149"/>
        <v>0</v>
      </c>
      <c r="AL78" s="889">
        <f t="shared" si="150"/>
        <v>0</v>
      </c>
      <c r="AM78" s="889">
        <f t="shared" si="151"/>
        <v>0</v>
      </c>
      <c r="AN78" s="1050">
        <f t="shared" si="152"/>
        <v>0</v>
      </c>
      <c r="AO78" s="1050">
        <f t="shared" si="153"/>
        <v>0</v>
      </c>
      <c r="AP78" s="1050">
        <f t="shared" si="154"/>
        <v>0</v>
      </c>
      <c r="AR78" s="1067">
        <f t="shared" si="155"/>
        <v>0</v>
      </c>
      <c r="AS78" s="1067">
        <f t="shared" si="156"/>
        <v>0</v>
      </c>
      <c r="AT78" s="1068">
        <f t="shared" si="157"/>
        <v>0</v>
      </c>
      <c r="AU78" s="1068">
        <f t="shared" si="158"/>
        <v>0</v>
      </c>
      <c r="AV78" s="1068">
        <f t="shared" si="159"/>
        <v>0</v>
      </c>
      <c r="AW78" s="1068">
        <f t="shared" si="160"/>
        <v>0</v>
      </c>
      <c r="AX78" s="1068">
        <f t="shared" si="161"/>
        <v>0</v>
      </c>
      <c r="AY78" s="1068">
        <f t="shared" si="162"/>
        <v>0</v>
      </c>
      <c r="AZ78" s="1068">
        <f t="shared" si="163"/>
        <v>0</v>
      </c>
      <c r="BA78" s="1068">
        <f t="shared" si="164"/>
        <v>0</v>
      </c>
      <c r="BB78" s="1068">
        <f t="shared" si="165"/>
        <v>0</v>
      </c>
      <c r="BC78" s="1068">
        <f t="shared" si="166"/>
        <v>0</v>
      </c>
      <c r="BD78" s="1068">
        <f t="shared" si="116"/>
        <v>0</v>
      </c>
      <c r="BE78" s="1068">
        <f t="shared" si="117"/>
        <v>0</v>
      </c>
      <c r="BF78" s="1069">
        <f t="shared" si="118"/>
        <v>0</v>
      </c>
      <c r="BH78" s="1067">
        <f t="shared" si="119"/>
        <v>0</v>
      </c>
      <c r="BI78" s="1068">
        <f t="shared" si="120"/>
        <v>0</v>
      </c>
      <c r="BJ78" s="1068">
        <f t="shared" si="121"/>
        <v>0</v>
      </c>
      <c r="BK78" s="1068">
        <f t="shared" si="122"/>
        <v>0</v>
      </c>
      <c r="BL78" s="1068">
        <f t="shared" si="123"/>
        <v>0</v>
      </c>
      <c r="BM78" s="1068">
        <f t="shared" si="124"/>
        <v>0</v>
      </c>
      <c r="BN78" s="1068">
        <f t="shared" si="125"/>
        <v>0</v>
      </c>
      <c r="BO78" s="1068">
        <f t="shared" si="126"/>
        <v>0</v>
      </c>
      <c r="BP78" s="1069">
        <f t="shared" si="127"/>
        <v>0</v>
      </c>
      <c r="BR78" s="1067">
        <f t="shared" si="167"/>
        <v>0</v>
      </c>
      <c r="BS78" s="1067">
        <f t="shared" si="168"/>
        <v>0</v>
      </c>
      <c r="BT78" s="1068">
        <f t="shared" si="169"/>
        <v>0</v>
      </c>
      <c r="BU78" s="1068">
        <f t="shared" si="170"/>
        <v>0</v>
      </c>
      <c r="BV78" s="1068">
        <f t="shared" si="171"/>
        <v>0</v>
      </c>
      <c r="BW78" s="1068">
        <f t="shared" si="172"/>
        <v>0</v>
      </c>
      <c r="BX78" s="1068">
        <f t="shared" si="173"/>
        <v>0</v>
      </c>
      <c r="BY78" s="1068">
        <f t="shared" si="174"/>
        <v>0</v>
      </c>
      <c r="BZ78" s="1068">
        <f t="shared" si="175"/>
        <v>0</v>
      </c>
      <c r="CA78" s="1068">
        <f t="shared" si="176"/>
        <v>0</v>
      </c>
      <c r="CB78" s="1068">
        <f t="shared" si="177"/>
        <v>0</v>
      </c>
      <c r="CC78" s="1068">
        <f t="shared" si="178"/>
        <v>0</v>
      </c>
      <c r="CD78" s="1068">
        <f t="shared" si="128"/>
        <v>0</v>
      </c>
      <c r="CE78" s="1068">
        <f t="shared" si="129"/>
        <v>0</v>
      </c>
      <c r="CF78" s="1069">
        <f t="shared" si="130"/>
        <v>0</v>
      </c>
      <c r="CG78" s="599"/>
      <c r="CH78" s="1067">
        <f t="shared" si="179"/>
        <v>0</v>
      </c>
      <c r="CI78" s="1067">
        <f t="shared" si="180"/>
        <v>0</v>
      </c>
      <c r="CJ78" s="1068">
        <f t="shared" si="181"/>
        <v>0</v>
      </c>
      <c r="CK78" s="1068">
        <f t="shared" si="182"/>
        <v>0</v>
      </c>
      <c r="CL78" s="1068">
        <f t="shared" si="183"/>
        <v>0</v>
      </c>
      <c r="CM78" s="1068">
        <f t="shared" si="184"/>
        <v>0</v>
      </c>
      <c r="CN78" s="1068">
        <f t="shared" si="185"/>
        <v>0</v>
      </c>
      <c r="CO78" s="1068">
        <f t="shared" si="186"/>
        <v>0</v>
      </c>
      <c r="CP78" s="1068">
        <f t="shared" si="187"/>
        <v>0</v>
      </c>
      <c r="CQ78" s="1069">
        <f t="shared" si="188"/>
        <v>0</v>
      </c>
      <c r="CR78" s="1069">
        <f t="shared" si="189"/>
        <v>0</v>
      </c>
      <c r="CS78" s="1069">
        <f t="shared" si="190"/>
        <v>0</v>
      </c>
      <c r="CV78" s="345">
        <v>2028</v>
      </c>
      <c r="CW78" s="1097">
        <f>SUM('POSF Inventory'!HF83,'POSF Inventory'!HH83,'POSF Inventory'!HJ83)*$CY$1</f>
        <v>0</v>
      </c>
      <c r="CX78" s="1098">
        <f>SUM('POSF Inventory'!HG83,'POSF Inventory'!HI83,'POSF Inventory'!HK83)*$CY$2</f>
        <v>0</v>
      </c>
      <c r="CY78" s="1097">
        <f>SUM('POSF Inventory'!HL83,'POSF Inventory'!HN83,'POSF Inventory'!HP83)*$CY$1</f>
        <v>0</v>
      </c>
      <c r="CZ78" s="1098">
        <f>SUM('POSF Inventory'!HM83,'POSF Inventory'!HO83,'POSF Inventory'!HQ83)*$CY$2</f>
        <v>0</v>
      </c>
      <c r="DA78" s="1097">
        <f>SUM('POSF Inventory'!HR83,'POSF Inventory'!HT83,'POSF Inventory'!HV83)*$CY$3</f>
        <v>0</v>
      </c>
      <c r="DB78" s="1098">
        <f>SUM('POSF Inventory'!HS83,'POSF Inventory'!HU83,'POSF Inventory'!HW83)*$CY$4</f>
        <v>39.26656370000002</v>
      </c>
      <c r="DC78" s="1046">
        <f t="shared" si="191"/>
        <v>0</v>
      </c>
      <c r="DD78" s="1050">
        <f t="shared" si="192"/>
        <v>39.26656370000002</v>
      </c>
    </row>
    <row r="79" spans="2:108" x14ac:dyDescent="0.2">
      <c r="B79" s="345">
        <v>2029</v>
      </c>
      <c r="C79" s="774">
        <f>SUM('POSF Inventory'!FF84,'POSF Inventory'!FH84)</f>
        <v>0</v>
      </c>
      <c r="D79" s="774">
        <f>SUM('POSF Inventory'!FB84,'POSF Inventory'!FD84)</f>
        <v>0</v>
      </c>
      <c r="E79" s="774">
        <f>SUM('POSF Inventory'!FC84,'POSF Inventory'!FE84)</f>
        <v>0</v>
      </c>
      <c r="F79" s="774">
        <f>SUM('POSF Inventory'!FB84,'POSF Inventory'!FD84,'POSF Inventory'!J84)</f>
        <v>0</v>
      </c>
      <c r="G79" s="774">
        <f>SUM('POSF Inventory'!FC84,'POSF Inventory'!FE84,'POSF Inventory'!K84)</f>
        <v>39.703300000000006</v>
      </c>
      <c r="H79" s="1106">
        <f>SUM('POSF Inventory'!DL84,'POSF Inventory'!DN84)</f>
        <v>0</v>
      </c>
      <c r="I79" s="1041">
        <f>SUM('POSF Inventory'!DM84,'POSF Inventory'!DO84)</f>
        <v>0</v>
      </c>
      <c r="J79" s="592"/>
      <c r="K79" s="1046">
        <f t="shared" si="110"/>
        <v>0</v>
      </c>
      <c r="L79" s="1047">
        <f t="shared" si="111"/>
        <v>0</v>
      </c>
      <c r="M79" s="1046">
        <f t="shared" si="112"/>
        <v>0</v>
      </c>
      <c r="N79" s="1047">
        <f t="shared" si="113"/>
        <v>0</v>
      </c>
      <c r="O79" s="1046">
        <f t="shared" si="114"/>
        <v>0</v>
      </c>
      <c r="P79" s="889">
        <f t="shared" si="115"/>
        <v>0</v>
      </c>
      <c r="Q79" s="1048"/>
      <c r="R79" s="889">
        <f t="shared" si="131"/>
        <v>0</v>
      </c>
      <c r="S79" s="889">
        <f t="shared" si="132"/>
        <v>0</v>
      </c>
      <c r="T79" s="1047">
        <f t="shared" si="133"/>
        <v>0</v>
      </c>
      <c r="U79" s="1047">
        <f t="shared" si="134"/>
        <v>0</v>
      </c>
      <c r="V79" s="1046">
        <f t="shared" si="135"/>
        <v>0</v>
      </c>
      <c r="W79" s="1046">
        <f t="shared" si="136"/>
        <v>0</v>
      </c>
      <c r="X79" s="1047">
        <f t="shared" si="137"/>
        <v>0</v>
      </c>
      <c r="Y79" s="1047">
        <f t="shared" si="138"/>
        <v>0</v>
      </c>
      <c r="Z79" s="1049">
        <f t="shared" si="139"/>
        <v>0</v>
      </c>
      <c r="AA79" s="1049">
        <f t="shared" si="140"/>
        <v>0</v>
      </c>
      <c r="AB79" s="1050">
        <f t="shared" si="141"/>
        <v>0</v>
      </c>
      <c r="AC79" s="1050">
        <f t="shared" si="142"/>
        <v>0</v>
      </c>
      <c r="AD79" s="898"/>
      <c r="AE79" s="1046">
        <f t="shared" si="143"/>
        <v>0</v>
      </c>
      <c r="AF79" s="1046">
        <f t="shared" si="144"/>
        <v>0</v>
      </c>
      <c r="AG79" s="1046">
        <f t="shared" si="145"/>
        <v>0</v>
      </c>
      <c r="AH79" s="889">
        <f t="shared" si="146"/>
        <v>0</v>
      </c>
      <c r="AI79" s="889">
        <f t="shared" si="147"/>
        <v>0</v>
      </c>
      <c r="AJ79" s="889">
        <f t="shared" si="148"/>
        <v>0</v>
      </c>
      <c r="AK79" s="889">
        <f t="shared" si="149"/>
        <v>0</v>
      </c>
      <c r="AL79" s="889">
        <f t="shared" si="150"/>
        <v>0</v>
      </c>
      <c r="AM79" s="889">
        <f t="shared" si="151"/>
        <v>0</v>
      </c>
      <c r="AN79" s="1050">
        <f t="shared" si="152"/>
        <v>0</v>
      </c>
      <c r="AO79" s="1050">
        <f t="shared" si="153"/>
        <v>0</v>
      </c>
      <c r="AP79" s="1050">
        <f t="shared" si="154"/>
        <v>0</v>
      </c>
      <c r="AR79" s="1067">
        <f t="shared" si="155"/>
        <v>0</v>
      </c>
      <c r="AS79" s="1067">
        <f t="shared" si="156"/>
        <v>0</v>
      </c>
      <c r="AT79" s="1068">
        <f t="shared" si="157"/>
        <v>0</v>
      </c>
      <c r="AU79" s="1068">
        <f t="shared" si="158"/>
        <v>0</v>
      </c>
      <c r="AV79" s="1068">
        <f t="shared" si="159"/>
        <v>0</v>
      </c>
      <c r="AW79" s="1068">
        <f t="shared" si="160"/>
        <v>0</v>
      </c>
      <c r="AX79" s="1068">
        <f t="shared" si="161"/>
        <v>0</v>
      </c>
      <c r="AY79" s="1068">
        <f t="shared" si="162"/>
        <v>0</v>
      </c>
      <c r="AZ79" s="1068">
        <f t="shared" si="163"/>
        <v>0</v>
      </c>
      <c r="BA79" s="1068">
        <f t="shared" si="164"/>
        <v>0</v>
      </c>
      <c r="BB79" s="1068">
        <f t="shared" si="165"/>
        <v>0</v>
      </c>
      <c r="BC79" s="1068">
        <f t="shared" si="166"/>
        <v>0</v>
      </c>
      <c r="BD79" s="1068">
        <f t="shared" si="116"/>
        <v>0</v>
      </c>
      <c r="BE79" s="1068">
        <f t="shared" si="117"/>
        <v>0</v>
      </c>
      <c r="BF79" s="1069">
        <f t="shared" si="118"/>
        <v>0</v>
      </c>
      <c r="BH79" s="1067">
        <f t="shared" si="119"/>
        <v>0</v>
      </c>
      <c r="BI79" s="1068">
        <f t="shared" si="120"/>
        <v>0</v>
      </c>
      <c r="BJ79" s="1068">
        <f t="shared" si="121"/>
        <v>0</v>
      </c>
      <c r="BK79" s="1068">
        <f t="shared" si="122"/>
        <v>0</v>
      </c>
      <c r="BL79" s="1068">
        <f t="shared" si="123"/>
        <v>0</v>
      </c>
      <c r="BM79" s="1068">
        <f t="shared" si="124"/>
        <v>0</v>
      </c>
      <c r="BN79" s="1068">
        <f t="shared" si="125"/>
        <v>0</v>
      </c>
      <c r="BO79" s="1068">
        <f t="shared" si="126"/>
        <v>0</v>
      </c>
      <c r="BP79" s="1069">
        <f t="shared" si="127"/>
        <v>0</v>
      </c>
      <c r="BR79" s="1067">
        <f t="shared" si="167"/>
        <v>0</v>
      </c>
      <c r="BS79" s="1067">
        <f t="shared" si="168"/>
        <v>0</v>
      </c>
      <c r="BT79" s="1068">
        <f t="shared" si="169"/>
        <v>0</v>
      </c>
      <c r="BU79" s="1068">
        <f t="shared" si="170"/>
        <v>0</v>
      </c>
      <c r="BV79" s="1068">
        <f t="shared" si="171"/>
        <v>0</v>
      </c>
      <c r="BW79" s="1068">
        <f t="shared" si="172"/>
        <v>0</v>
      </c>
      <c r="BX79" s="1068">
        <f t="shared" si="173"/>
        <v>0</v>
      </c>
      <c r="BY79" s="1068">
        <f t="shared" si="174"/>
        <v>0</v>
      </c>
      <c r="BZ79" s="1068">
        <f t="shared" si="175"/>
        <v>0</v>
      </c>
      <c r="CA79" s="1068">
        <f t="shared" si="176"/>
        <v>0</v>
      </c>
      <c r="CB79" s="1068">
        <f t="shared" si="177"/>
        <v>0</v>
      </c>
      <c r="CC79" s="1068">
        <f t="shared" si="178"/>
        <v>0</v>
      </c>
      <c r="CD79" s="1068">
        <f t="shared" si="128"/>
        <v>0</v>
      </c>
      <c r="CE79" s="1068">
        <f t="shared" si="129"/>
        <v>0</v>
      </c>
      <c r="CF79" s="1069">
        <f t="shared" si="130"/>
        <v>0</v>
      </c>
      <c r="CG79" s="599"/>
      <c r="CH79" s="1067">
        <f t="shared" si="179"/>
        <v>0</v>
      </c>
      <c r="CI79" s="1067">
        <f t="shared" si="180"/>
        <v>0</v>
      </c>
      <c r="CJ79" s="1068">
        <f t="shared" si="181"/>
        <v>0</v>
      </c>
      <c r="CK79" s="1068">
        <f t="shared" si="182"/>
        <v>0</v>
      </c>
      <c r="CL79" s="1068">
        <f t="shared" si="183"/>
        <v>0</v>
      </c>
      <c r="CM79" s="1068">
        <f t="shared" si="184"/>
        <v>0</v>
      </c>
      <c r="CN79" s="1068">
        <f t="shared" si="185"/>
        <v>0</v>
      </c>
      <c r="CO79" s="1068">
        <f t="shared" si="186"/>
        <v>0</v>
      </c>
      <c r="CP79" s="1068">
        <f t="shared" si="187"/>
        <v>0</v>
      </c>
      <c r="CQ79" s="1069">
        <f t="shared" si="188"/>
        <v>0</v>
      </c>
      <c r="CR79" s="1069">
        <f t="shared" si="189"/>
        <v>0</v>
      </c>
      <c r="CS79" s="1069">
        <f t="shared" si="190"/>
        <v>0</v>
      </c>
      <c r="CV79" s="345">
        <v>2029</v>
      </c>
      <c r="CW79" s="1097">
        <f>SUM('POSF Inventory'!HF84,'POSF Inventory'!HH84,'POSF Inventory'!HJ84)*$CY$1</f>
        <v>0</v>
      </c>
      <c r="CX79" s="1098">
        <f>SUM('POSF Inventory'!HG84,'POSF Inventory'!HI84,'POSF Inventory'!HK84)*$CY$2</f>
        <v>0</v>
      </c>
      <c r="CY79" s="1097">
        <f>SUM('POSF Inventory'!HL84,'POSF Inventory'!HN84,'POSF Inventory'!HP84)*$CY$1</f>
        <v>0</v>
      </c>
      <c r="CZ79" s="1098">
        <f>SUM('POSF Inventory'!HM84,'POSF Inventory'!HO84,'POSF Inventory'!HQ84)*$CY$2</f>
        <v>0</v>
      </c>
      <c r="DA79" s="1097">
        <f>SUM('POSF Inventory'!HR84,'POSF Inventory'!HT84,'POSF Inventory'!HV84)*$CY$3</f>
        <v>0</v>
      </c>
      <c r="DB79" s="1098">
        <f>SUM('POSF Inventory'!HS84,'POSF Inventory'!HU84,'POSF Inventory'!HW84)*$CY$4</f>
        <v>39.26656370000002</v>
      </c>
      <c r="DC79" s="1046">
        <f t="shared" si="191"/>
        <v>0</v>
      </c>
      <c r="DD79" s="1050">
        <f t="shared" si="192"/>
        <v>39.26656370000002</v>
      </c>
    </row>
    <row r="80" spans="2:108" ht="17" thickBot="1" x14ac:dyDescent="0.25">
      <c r="B80" s="348">
        <v>2030</v>
      </c>
      <c r="C80" s="1042">
        <f>SUM('POSF Inventory'!FF85,'POSF Inventory'!FH85)</f>
        <v>0</v>
      </c>
      <c r="D80" s="774">
        <f>SUM('POSF Inventory'!FB85,'POSF Inventory'!FD85)</f>
        <v>0</v>
      </c>
      <c r="E80" s="1042">
        <f>SUM('POSF Inventory'!FC85,'POSF Inventory'!FE85)</f>
        <v>0</v>
      </c>
      <c r="F80" s="774">
        <f>SUM('POSF Inventory'!FB85,'POSF Inventory'!FD85,'POSF Inventory'!J85)</f>
        <v>0</v>
      </c>
      <c r="G80" s="774">
        <f>SUM('POSF Inventory'!FC85,'POSF Inventory'!FE85,'POSF Inventory'!K85)</f>
        <v>39.703300000000006</v>
      </c>
      <c r="H80" s="1107">
        <f>SUM('POSF Inventory'!DL85,'POSF Inventory'!DN85)</f>
        <v>0</v>
      </c>
      <c r="I80" s="1043">
        <f>SUM('POSF Inventory'!DM85,'POSF Inventory'!DO85)</f>
        <v>0</v>
      </c>
      <c r="J80" s="592"/>
      <c r="K80" s="1051">
        <f t="shared" si="110"/>
        <v>0</v>
      </c>
      <c r="L80" s="1052">
        <f t="shared" si="111"/>
        <v>0</v>
      </c>
      <c r="M80" s="1046">
        <f t="shared" si="112"/>
        <v>0</v>
      </c>
      <c r="N80" s="1052">
        <f t="shared" si="113"/>
        <v>0</v>
      </c>
      <c r="O80" s="1046">
        <f t="shared" si="114"/>
        <v>0</v>
      </c>
      <c r="P80" s="1053">
        <f t="shared" si="115"/>
        <v>0</v>
      </c>
      <c r="Q80" s="1048"/>
      <c r="R80" s="889">
        <f t="shared" si="131"/>
        <v>0</v>
      </c>
      <c r="S80" s="889">
        <f t="shared" si="132"/>
        <v>0</v>
      </c>
      <c r="T80" s="1047">
        <f t="shared" si="133"/>
        <v>0</v>
      </c>
      <c r="U80" s="1052">
        <f t="shared" si="134"/>
        <v>0</v>
      </c>
      <c r="V80" s="1046">
        <f t="shared" si="135"/>
        <v>0</v>
      </c>
      <c r="W80" s="1046">
        <f t="shared" si="136"/>
        <v>0</v>
      </c>
      <c r="X80" s="1047">
        <f t="shared" si="137"/>
        <v>0</v>
      </c>
      <c r="Y80" s="1052">
        <f t="shared" si="138"/>
        <v>0</v>
      </c>
      <c r="Z80" s="1049">
        <f t="shared" si="139"/>
        <v>0</v>
      </c>
      <c r="AA80" s="1049">
        <f t="shared" si="140"/>
        <v>0</v>
      </c>
      <c r="AB80" s="1050">
        <f t="shared" si="141"/>
        <v>0</v>
      </c>
      <c r="AC80" s="1054">
        <f t="shared" si="142"/>
        <v>0</v>
      </c>
      <c r="AD80" s="898"/>
      <c r="AE80" s="1051">
        <f t="shared" si="143"/>
        <v>0</v>
      </c>
      <c r="AF80" s="1051">
        <f t="shared" si="144"/>
        <v>0</v>
      </c>
      <c r="AG80" s="1051">
        <f t="shared" si="145"/>
        <v>0</v>
      </c>
      <c r="AH80" s="1053">
        <f t="shared" si="146"/>
        <v>0</v>
      </c>
      <c r="AI80" s="1053">
        <f t="shared" si="147"/>
        <v>0</v>
      </c>
      <c r="AJ80" s="1053">
        <f t="shared" si="148"/>
        <v>0</v>
      </c>
      <c r="AK80" s="1053">
        <f t="shared" si="149"/>
        <v>0</v>
      </c>
      <c r="AL80" s="1053">
        <f t="shared" si="150"/>
        <v>0</v>
      </c>
      <c r="AM80" s="1053">
        <f t="shared" si="151"/>
        <v>0</v>
      </c>
      <c r="AN80" s="1054">
        <f t="shared" si="152"/>
        <v>0</v>
      </c>
      <c r="AO80" s="1054">
        <f t="shared" si="153"/>
        <v>0</v>
      </c>
      <c r="AP80" s="1054">
        <f t="shared" si="154"/>
        <v>0</v>
      </c>
      <c r="AR80" s="1090">
        <f t="shared" si="155"/>
        <v>0</v>
      </c>
      <c r="AS80" s="1090">
        <f t="shared" si="156"/>
        <v>0</v>
      </c>
      <c r="AT80" s="1091">
        <f t="shared" si="157"/>
        <v>0</v>
      </c>
      <c r="AU80" s="1091">
        <f t="shared" si="158"/>
        <v>0</v>
      </c>
      <c r="AV80" s="1091">
        <f t="shared" si="159"/>
        <v>0</v>
      </c>
      <c r="AW80" s="1091">
        <f t="shared" si="160"/>
        <v>0</v>
      </c>
      <c r="AX80" s="1091">
        <f t="shared" si="161"/>
        <v>0</v>
      </c>
      <c r="AY80" s="1091">
        <f t="shared" si="162"/>
        <v>0</v>
      </c>
      <c r="AZ80" s="1091">
        <f t="shared" si="163"/>
        <v>0</v>
      </c>
      <c r="BA80" s="1091">
        <f t="shared" si="164"/>
        <v>0</v>
      </c>
      <c r="BB80" s="1091">
        <f t="shared" si="165"/>
        <v>0</v>
      </c>
      <c r="BC80" s="1091">
        <f t="shared" si="166"/>
        <v>0</v>
      </c>
      <c r="BD80" s="1091">
        <f t="shared" si="116"/>
        <v>0</v>
      </c>
      <c r="BE80" s="1091">
        <f t="shared" si="117"/>
        <v>0</v>
      </c>
      <c r="BF80" s="1092">
        <f t="shared" si="118"/>
        <v>0</v>
      </c>
      <c r="BH80" s="1067">
        <f t="shared" si="119"/>
        <v>0</v>
      </c>
      <c r="BI80" s="1068">
        <f t="shared" si="120"/>
        <v>0</v>
      </c>
      <c r="BJ80" s="1068">
        <f t="shared" si="121"/>
        <v>0</v>
      </c>
      <c r="BK80" s="1068">
        <f t="shared" si="122"/>
        <v>0</v>
      </c>
      <c r="BL80" s="1068">
        <f t="shared" si="123"/>
        <v>0</v>
      </c>
      <c r="BM80" s="1068">
        <f t="shared" si="124"/>
        <v>0</v>
      </c>
      <c r="BN80" s="1068">
        <f t="shared" si="125"/>
        <v>0</v>
      </c>
      <c r="BO80" s="1068">
        <f t="shared" si="126"/>
        <v>0</v>
      </c>
      <c r="BP80" s="1069">
        <f t="shared" si="127"/>
        <v>0</v>
      </c>
      <c r="BR80" s="1067">
        <f t="shared" si="167"/>
        <v>0</v>
      </c>
      <c r="BS80" s="1067">
        <f t="shared" si="168"/>
        <v>0</v>
      </c>
      <c r="BT80" s="1068">
        <f t="shared" si="169"/>
        <v>0</v>
      </c>
      <c r="BU80" s="1068">
        <f t="shared" si="170"/>
        <v>0</v>
      </c>
      <c r="BV80" s="1068">
        <f t="shared" si="171"/>
        <v>0</v>
      </c>
      <c r="BW80" s="1068">
        <f t="shared" si="172"/>
        <v>0</v>
      </c>
      <c r="BX80" s="1068">
        <f t="shared" si="173"/>
        <v>0</v>
      </c>
      <c r="BY80" s="1068">
        <f t="shared" si="174"/>
        <v>0</v>
      </c>
      <c r="BZ80" s="1068">
        <f t="shared" si="175"/>
        <v>0</v>
      </c>
      <c r="CA80" s="1068">
        <f t="shared" si="176"/>
        <v>0</v>
      </c>
      <c r="CB80" s="1068">
        <f t="shared" si="177"/>
        <v>0</v>
      </c>
      <c r="CC80" s="1068">
        <f t="shared" si="178"/>
        <v>0</v>
      </c>
      <c r="CD80" s="1068">
        <f t="shared" si="128"/>
        <v>0</v>
      </c>
      <c r="CE80" s="1068">
        <f t="shared" si="129"/>
        <v>0</v>
      </c>
      <c r="CF80" s="1069">
        <f t="shared" si="130"/>
        <v>0</v>
      </c>
      <c r="CG80" s="599"/>
      <c r="CH80" s="1070">
        <f t="shared" si="179"/>
        <v>0</v>
      </c>
      <c r="CI80" s="1070">
        <f t="shared" si="180"/>
        <v>0</v>
      </c>
      <c r="CJ80" s="1071">
        <f t="shared" si="181"/>
        <v>0</v>
      </c>
      <c r="CK80" s="1071">
        <f t="shared" si="182"/>
        <v>0</v>
      </c>
      <c r="CL80" s="1071">
        <f t="shared" si="183"/>
        <v>0</v>
      </c>
      <c r="CM80" s="1071">
        <f t="shared" si="184"/>
        <v>0</v>
      </c>
      <c r="CN80" s="1071">
        <f t="shared" si="185"/>
        <v>0</v>
      </c>
      <c r="CO80" s="1071">
        <f t="shared" si="186"/>
        <v>0</v>
      </c>
      <c r="CP80" s="1071">
        <f t="shared" si="187"/>
        <v>0</v>
      </c>
      <c r="CQ80" s="1072">
        <f t="shared" si="188"/>
        <v>0</v>
      </c>
      <c r="CR80" s="1072">
        <f t="shared" si="189"/>
        <v>0</v>
      </c>
      <c r="CS80" s="1072">
        <f t="shared" si="190"/>
        <v>0</v>
      </c>
      <c r="CV80" s="345">
        <v>2030</v>
      </c>
      <c r="CW80" s="1097">
        <f>SUM('POSF Inventory'!HF85,'POSF Inventory'!HH85,'POSF Inventory'!HJ85)*$CY$1</f>
        <v>0</v>
      </c>
      <c r="CX80" s="1098">
        <f>SUM('POSF Inventory'!HG85,'POSF Inventory'!HI85,'POSF Inventory'!HK85)*$CY$2</f>
        <v>0</v>
      </c>
      <c r="CY80" s="1097">
        <f>SUM('POSF Inventory'!HL85,'POSF Inventory'!HN85,'POSF Inventory'!HP85)*$CY$1</f>
        <v>0</v>
      </c>
      <c r="CZ80" s="1098">
        <f>SUM('POSF Inventory'!HM85,'POSF Inventory'!HO85,'POSF Inventory'!HQ85)*$CY$2</f>
        <v>0</v>
      </c>
      <c r="DA80" s="1097">
        <f>SUM('POSF Inventory'!HR85,'POSF Inventory'!HT85,'POSF Inventory'!HV85)*$CY$3</f>
        <v>0</v>
      </c>
      <c r="DB80" s="1098">
        <f>SUM('POSF Inventory'!HS85,'POSF Inventory'!HU85,'POSF Inventory'!HW85)*$CY$4</f>
        <v>39.26656370000002</v>
      </c>
      <c r="DC80" s="1051">
        <f t="shared" si="191"/>
        <v>0</v>
      </c>
      <c r="DD80" s="1054">
        <f t="shared" si="192"/>
        <v>39.26656370000002</v>
      </c>
    </row>
    <row r="81" spans="2:106" x14ac:dyDescent="0.2">
      <c r="B81" s="345">
        <v>2031</v>
      </c>
      <c r="AQ81" s="466"/>
      <c r="AR81" s="1093"/>
      <c r="AS81" s="1093"/>
      <c r="AT81" s="1094"/>
      <c r="AU81" s="1094"/>
      <c r="AV81" s="1094"/>
      <c r="AW81" s="1094"/>
      <c r="AX81" s="1094"/>
      <c r="AY81" s="1094"/>
      <c r="AZ81" s="1094"/>
      <c r="BA81" s="1094"/>
      <c r="BB81" s="1094"/>
      <c r="BC81" s="1094"/>
      <c r="BD81" s="1094"/>
      <c r="BE81" s="1094"/>
      <c r="BF81" s="1095"/>
      <c r="CV81" s="345">
        <v>2031</v>
      </c>
      <c r="CW81" s="1096"/>
      <c r="CX81" s="1096"/>
      <c r="CY81" s="1096"/>
      <c r="CZ81" s="1096"/>
      <c r="DA81" s="1096"/>
      <c r="DB81" s="1096"/>
    </row>
    <row r="82" spans="2:106" x14ac:dyDescent="0.2">
      <c r="B82" s="348">
        <v>2032</v>
      </c>
      <c r="CV82" s="345">
        <v>2032</v>
      </c>
      <c r="CW82" s="1096"/>
      <c r="CX82" s="1096"/>
      <c r="CY82" s="1096"/>
      <c r="CZ82" s="1096"/>
      <c r="DA82" s="1096"/>
      <c r="DB82" s="1096"/>
    </row>
    <row r="83" spans="2:106" x14ac:dyDescent="0.2">
      <c r="B83" s="345">
        <v>2033</v>
      </c>
      <c r="CV83" s="345">
        <v>2033</v>
      </c>
      <c r="CW83" s="1096"/>
      <c r="CX83" s="1096"/>
      <c r="CY83" s="1096"/>
      <c r="CZ83" s="1096"/>
      <c r="DA83" s="1096"/>
      <c r="DB83" s="1096"/>
    </row>
    <row r="84" spans="2:106" x14ac:dyDescent="0.2">
      <c r="B84" s="348">
        <v>2034</v>
      </c>
      <c r="CV84" s="345">
        <v>2034</v>
      </c>
      <c r="CW84" s="1096"/>
      <c r="CX84" s="1096"/>
      <c r="CY84" s="1096"/>
      <c r="CZ84" s="1096"/>
      <c r="DA84" s="1096"/>
      <c r="DB84" s="1096"/>
    </row>
    <row r="85" spans="2:106" x14ac:dyDescent="0.2">
      <c r="B85" s="345">
        <v>2035</v>
      </c>
      <c r="CV85" s="345">
        <v>2035</v>
      </c>
      <c r="CW85" s="1096"/>
      <c r="CX85" s="1096"/>
      <c r="CY85" s="1096"/>
      <c r="CZ85" s="1096"/>
      <c r="DA85" s="1096"/>
      <c r="DB85" s="1096"/>
    </row>
    <row r="86" spans="2:106" x14ac:dyDescent="0.2">
      <c r="B86" s="348">
        <v>2036</v>
      </c>
      <c r="CV86" s="345">
        <v>2036</v>
      </c>
      <c r="CW86" s="1096"/>
      <c r="CX86" s="1096"/>
      <c r="CY86" s="1096"/>
      <c r="CZ86" s="1096"/>
      <c r="DA86" s="1096"/>
      <c r="DB86" s="1096"/>
    </row>
    <row r="87" spans="2:106" x14ac:dyDescent="0.2">
      <c r="B87" s="345">
        <v>2037</v>
      </c>
      <c r="CV87" s="345">
        <v>2037</v>
      </c>
      <c r="CW87" s="1096"/>
      <c r="CX87" s="1096"/>
      <c r="CY87" s="1096"/>
      <c r="CZ87" s="1096"/>
      <c r="DA87" s="1096"/>
      <c r="DB87" s="1096"/>
    </row>
    <row r="88" spans="2:106" x14ac:dyDescent="0.2">
      <c r="B88" s="348">
        <v>2038</v>
      </c>
      <c r="CV88" s="345">
        <v>2038</v>
      </c>
      <c r="CW88" s="1096"/>
      <c r="CX88" s="1096"/>
      <c r="CY88" s="1096"/>
      <c r="CZ88" s="1096"/>
      <c r="DA88" s="1096"/>
      <c r="DB88" s="1096"/>
    </row>
    <row r="89" spans="2:106" x14ac:dyDescent="0.2">
      <c r="B89" s="345">
        <v>2039</v>
      </c>
      <c r="CV89" s="345">
        <v>2039</v>
      </c>
      <c r="CW89" s="1096"/>
      <c r="CX89" s="1096"/>
      <c r="CY89" s="1096"/>
      <c r="CZ89" s="1096"/>
      <c r="DA89" s="1096"/>
      <c r="DB89" s="1096"/>
    </row>
    <row r="90" spans="2:106" x14ac:dyDescent="0.2">
      <c r="B90" s="348">
        <v>2040</v>
      </c>
      <c r="CV90" s="345">
        <v>2040</v>
      </c>
      <c r="CW90" s="1096"/>
      <c r="CX90" s="1096"/>
      <c r="CY90" s="1096"/>
      <c r="CZ90" s="1096"/>
      <c r="DA90" s="1096"/>
      <c r="DB90" s="1096"/>
    </row>
    <row r="91" spans="2:106" x14ac:dyDescent="0.2">
      <c r="B91" s="345">
        <v>2041</v>
      </c>
      <c r="CV91" s="345">
        <v>2041</v>
      </c>
      <c r="CW91" s="1096"/>
      <c r="CX91" s="1096"/>
      <c r="CY91" s="1096"/>
      <c r="CZ91" s="1096"/>
      <c r="DA91" s="1096"/>
      <c r="DB91" s="1096"/>
    </row>
    <row r="92" spans="2:106" x14ac:dyDescent="0.2">
      <c r="B92" s="348">
        <v>2042</v>
      </c>
      <c r="CV92" s="345">
        <v>2042</v>
      </c>
      <c r="CW92" s="1096"/>
      <c r="CX92" s="1096"/>
      <c r="CY92" s="1096"/>
      <c r="CZ92" s="1096"/>
      <c r="DA92" s="1096"/>
      <c r="DB92" s="1096"/>
    </row>
    <row r="93" spans="2:106" x14ac:dyDescent="0.2">
      <c r="B93" s="345">
        <v>2043</v>
      </c>
      <c r="CV93" s="345">
        <v>2043</v>
      </c>
      <c r="CW93" s="1096"/>
      <c r="CX93" s="1096"/>
      <c r="CY93" s="1096"/>
      <c r="CZ93" s="1096"/>
      <c r="DA93" s="1096"/>
      <c r="DB93" s="1096"/>
    </row>
    <row r="94" spans="2:106" x14ac:dyDescent="0.2">
      <c r="B94" s="348">
        <v>2044</v>
      </c>
      <c r="CV94" s="345">
        <v>2044</v>
      </c>
      <c r="CW94" s="1096"/>
      <c r="CX94" s="1096"/>
      <c r="CY94" s="1096"/>
      <c r="CZ94" s="1096"/>
      <c r="DA94" s="1096"/>
      <c r="DB94" s="1096"/>
    </row>
    <row r="95" spans="2:106" x14ac:dyDescent="0.2">
      <c r="B95" s="345">
        <v>2045</v>
      </c>
      <c r="CV95" s="345">
        <v>2045</v>
      </c>
      <c r="CW95" s="1096"/>
      <c r="CX95" s="1096"/>
      <c r="CY95" s="1096"/>
      <c r="CZ95" s="1096"/>
      <c r="DA95" s="1096"/>
      <c r="DB95" s="1096"/>
    </row>
    <row r="96" spans="2:106" x14ac:dyDescent="0.2">
      <c r="B96" s="348">
        <v>2046</v>
      </c>
      <c r="CV96" s="345">
        <v>2046</v>
      </c>
      <c r="CW96" s="1096"/>
      <c r="CX96" s="1096"/>
      <c r="CY96" s="1096"/>
      <c r="CZ96" s="1096"/>
      <c r="DA96" s="1096"/>
      <c r="DB96" s="1096"/>
    </row>
    <row r="97" spans="2:106" x14ac:dyDescent="0.2">
      <c r="B97" s="345">
        <v>2047</v>
      </c>
      <c r="CV97" s="345">
        <v>2047</v>
      </c>
      <c r="CW97" s="1096"/>
      <c r="CX97" s="1096"/>
      <c r="CY97" s="1096"/>
      <c r="CZ97" s="1096"/>
      <c r="DA97" s="1096"/>
      <c r="DB97" s="1096"/>
    </row>
    <row r="98" spans="2:106" x14ac:dyDescent="0.2">
      <c r="B98" s="348">
        <v>2048</v>
      </c>
      <c r="CV98" s="345">
        <v>2048</v>
      </c>
      <c r="CW98" s="1096"/>
      <c r="CX98" s="1096"/>
      <c r="CY98" s="1096"/>
      <c r="CZ98" s="1096"/>
      <c r="DA98" s="1096"/>
      <c r="DB98" s="1096"/>
    </row>
    <row r="99" spans="2:106" x14ac:dyDescent="0.2">
      <c r="B99" s="345">
        <v>2049</v>
      </c>
      <c r="CV99" s="345">
        <v>2049</v>
      </c>
      <c r="CW99" s="1096"/>
      <c r="CX99" s="1096"/>
      <c r="CY99" s="1096"/>
      <c r="CZ99" s="1096"/>
      <c r="DA99" s="1096"/>
      <c r="DB99" s="1096"/>
    </row>
    <row r="100" spans="2:106" x14ac:dyDescent="0.2">
      <c r="B100" s="348">
        <v>2050</v>
      </c>
      <c r="CV100" s="345">
        <v>2050</v>
      </c>
      <c r="CW100" s="1096"/>
      <c r="CX100" s="1096"/>
      <c r="CY100" s="1096"/>
      <c r="CZ100" s="1096"/>
      <c r="DA100" s="1096"/>
      <c r="DB100" s="1096"/>
    </row>
  </sheetData>
  <mergeCells count="32">
    <mergeCell ref="H6:I6"/>
    <mergeCell ref="C5:I5"/>
    <mergeCell ref="R6:U6"/>
    <mergeCell ref="DC6:DD6"/>
    <mergeCell ref="CW5:DD5"/>
    <mergeCell ref="CW6:CX6"/>
    <mergeCell ref="CY6:CZ6"/>
    <mergeCell ref="DA6:DB6"/>
    <mergeCell ref="V6:Y6"/>
    <mergeCell ref="Z6:AC6"/>
    <mergeCell ref="BR6:BW6"/>
    <mergeCell ref="BX6:CC6"/>
    <mergeCell ref="CD6:CF6"/>
    <mergeCell ref="K6:L6"/>
    <mergeCell ref="M6:N6"/>
    <mergeCell ref="O6:P6"/>
    <mergeCell ref="AE6:AH6"/>
    <mergeCell ref="AI6:AL6"/>
    <mergeCell ref="AM6:AP6"/>
    <mergeCell ref="K5:AP5"/>
    <mergeCell ref="AR5:BF5"/>
    <mergeCell ref="BR5:CF5"/>
    <mergeCell ref="CH6:CM6"/>
    <mergeCell ref="CN6:CS6"/>
    <mergeCell ref="CH5:CS5"/>
    <mergeCell ref="AR6:AW6"/>
    <mergeCell ref="AX6:BC6"/>
    <mergeCell ref="BD6:BF6"/>
    <mergeCell ref="BH5:BP5"/>
    <mergeCell ref="BH6:BJ6"/>
    <mergeCell ref="BK6:BM6"/>
    <mergeCell ref="BN6:BP6"/>
  </mergeCells>
  <pageMargins left="0.7" right="0.7" top="0.75" bottom="0.75" header="0.3" footer="0.3"/>
  <pageSetup paperSize="9" orientation="portrait" horizontalDpi="4294967292" verticalDpi="429496729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
  <sheetViews>
    <sheetView showGridLines="0" workbookViewId="0">
      <selection activeCell="A2" sqref="A2"/>
    </sheetView>
  </sheetViews>
  <sheetFormatPr baseColWidth="10" defaultColWidth="11" defaultRowHeight="16" x14ac:dyDescent="0.2"/>
  <cols>
    <col min="1" max="1" width="16.5" customWidth="1"/>
    <col min="2" max="2" width="23.83203125" bestFit="1" customWidth="1"/>
    <col min="3" max="3" width="24.1640625" bestFit="1" customWidth="1"/>
    <col min="4" max="4" width="32.33203125" bestFit="1" customWidth="1"/>
    <col min="5" max="5" width="22.83203125" bestFit="1" customWidth="1"/>
    <col min="6" max="6" width="23.33203125" bestFit="1" customWidth="1"/>
  </cols>
  <sheetData>
    <row r="1" spans="1:6" ht="21" x14ac:dyDescent="0.25">
      <c r="A1" s="596" t="s">
        <v>1784</v>
      </c>
    </row>
    <row r="3" spans="1:6" ht="19" x14ac:dyDescent="0.25">
      <c r="A3" s="918" t="s">
        <v>1</v>
      </c>
      <c r="B3" s="918" t="s">
        <v>1777</v>
      </c>
      <c r="C3" s="918" t="s">
        <v>1778</v>
      </c>
      <c r="D3" s="918" t="s">
        <v>1779</v>
      </c>
      <c r="E3" s="918" t="s">
        <v>1780</v>
      </c>
      <c r="F3" s="918" t="s">
        <v>1781</v>
      </c>
    </row>
    <row r="4" spans="1:6" ht="18" x14ac:dyDescent="0.25">
      <c r="A4" s="919">
        <v>1958</v>
      </c>
      <c r="B4" s="772">
        <v>0</v>
      </c>
      <c r="C4" s="772">
        <v>0</v>
      </c>
      <c r="D4" s="920">
        <v>0.125</v>
      </c>
      <c r="E4" s="772">
        <f>B4*D4</f>
        <v>0</v>
      </c>
      <c r="F4" s="772">
        <f>C4*D4</f>
        <v>0</v>
      </c>
    </row>
    <row r="5" spans="1:6" ht="18" x14ac:dyDescent="0.25">
      <c r="A5" s="919">
        <v>1959</v>
      </c>
      <c r="B5" s="772">
        <v>0</v>
      </c>
      <c r="C5" s="772">
        <v>0</v>
      </c>
      <c r="D5" s="920">
        <v>0.125</v>
      </c>
      <c r="E5" s="772">
        <f t="shared" ref="E5" si="0">B5*D5</f>
        <v>0</v>
      </c>
      <c r="F5" s="772">
        <f t="shared" ref="F5:F68" si="1">C5*D5</f>
        <v>0</v>
      </c>
    </row>
    <row r="6" spans="1:6" ht="18" x14ac:dyDescent="0.25">
      <c r="A6" s="919">
        <v>1960</v>
      </c>
      <c r="B6" s="772">
        <v>0</v>
      </c>
      <c r="C6" s="772">
        <v>0</v>
      </c>
      <c r="D6" s="920">
        <v>0.125</v>
      </c>
      <c r="E6" s="772">
        <f t="shared" ref="E6" si="2">B6*D6</f>
        <v>0</v>
      </c>
      <c r="F6" s="772">
        <f t="shared" si="1"/>
        <v>0</v>
      </c>
    </row>
    <row r="7" spans="1:6" ht="18" x14ac:dyDescent="0.25">
      <c r="A7" s="919">
        <v>1961</v>
      </c>
      <c r="B7" s="772">
        <v>0</v>
      </c>
      <c r="C7" s="772">
        <v>0</v>
      </c>
      <c r="D7" s="920">
        <v>0.125</v>
      </c>
      <c r="E7" s="772">
        <f t="shared" ref="E7" si="3">B7*D7</f>
        <v>0</v>
      </c>
      <c r="F7" s="772">
        <f t="shared" si="1"/>
        <v>0</v>
      </c>
    </row>
    <row r="8" spans="1:6" ht="18" x14ac:dyDescent="0.25">
      <c r="A8" s="919">
        <v>1962</v>
      </c>
      <c r="B8" s="772">
        <v>0</v>
      </c>
      <c r="C8" s="772">
        <v>0</v>
      </c>
      <c r="D8" s="920">
        <v>0.125</v>
      </c>
      <c r="E8" s="772">
        <f t="shared" ref="E8" si="4">B8*D8</f>
        <v>0</v>
      </c>
      <c r="F8" s="772">
        <f t="shared" si="1"/>
        <v>0</v>
      </c>
    </row>
    <row r="9" spans="1:6" ht="18" x14ac:dyDescent="0.25">
      <c r="A9" s="919">
        <v>1963</v>
      </c>
      <c r="B9" s="772">
        <v>0</v>
      </c>
      <c r="C9" s="772">
        <v>0</v>
      </c>
      <c r="D9" s="920">
        <v>0.125</v>
      </c>
      <c r="E9" s="772">
        <f t="shared" ref="E9" si="5">B9*D9</f>
        <v>0</v>
      </c>
      <c r="F9" s="772">
        <f t="shared" si="1"/>
        <v>0</v>
      </c>
    </row>
    <row r="10" spans="1:6" ht="18" x14ac:dyDescent="0.25">
      <c r="A10" s="919">
        <v>1964</v>
      </c>
      <c r="B10" s="772">
        <v>0</v>
      </c>
      <c r="C10" s="772">
        <v>0</v>
      </c>
      <c r="D10" s="920">
        <v>0.125</v>
      </c>
      <c r="E10" s="772">
        <f t="shared" ref="E10" si="6">B10*D10</f>
        <v>0</v>
      </c>
      <c r="F10" s="772">
        <f t="shared" si="1"/>
        <v>0</v>
      </c>
    </row>
    <row r="11" spans="1:6" ht="18" x14ac:dyDescent="0.25">
      <c r="A11" s="919">
        <v>1965</v>
      </c>
      <c r="B11" s="772">
        <v>0</v>
      </c>
      <c r="C11" s="772">
        <v>0</v>
      </c>
      <c r="D11" s="920">
        <v>0.125</v>
      </c>
      <c r="E11" s="772">
        <f t="shared" ref="E11" si="7">B11*D11</f>
        <v>0</v>
      </c>
      <c r="F11" s="772">
        <f t="shared" si="1"/>
        <v>0</v>
      </c>
    </row>
    <row r="12" spans="1:6" ht="18" x14ac:dyDescent="0.25">
      <c r="A12" s="919">
        <v>1966</v>
      </c>
      <c r="B12" s="772">
        <v>0</v>
      </c>
      <c r="C12" s="772">
        <v>0</v>
      </c>
      <c r="D12" s="920">
        <v>0.125</v>
      </c>
      <c r="E12" s="772">
        <f t="shared" ref="E12" si="8">B12*D12</f>
        <v>0</v>
      </c>
      <c r="F12" s="772">
        <f t="shared" si="1"/>
        <v>0</v>
      </c>
    </row>
    <row r="13" spans="1:6" ht="18" x14ac:dyDescent="0.25">
      <c r="A13" s="919">
        <v>1967</v>
      </c>
      <c r="B13" s="772">
        <v>0</v>
      </c>
      <c r="C13" s="772">
        <v>0</v>
      </c>
      <c r="D13" s="920">
        <v>0.125</v>
      </c>
      <c r="E13" s="772">
        <f t="shared" ref="E13" si="9">B13*D13</f>
        <v>0</v>
      </c>
      <c r="F13" s="772">
        <f t="shared" si="1"/>
        <v>0</v>
      </c>
    </row>
    <row r="14" spans="1:6" ht="18" x14ac:dyDescent="0.25">
      <c r="A14" s="919">
        <v>1968</v>
      </c>
      <c r="B14" s="772">
        <v>0</v>
      </c>
      <c r="C14" s="772">
        <v>0</v>
      </c>
      <c r="D14" s="920">
        <v>0.125</v>
      </c>
      <c r="E14" s="772">
        <f t="shared" ref="E14" si="10">B14*D14</f>
        <v>0</v>
      </c>
      <c r="F14" s="772">
        <f t="shared" si="1"/>
        <v>0</v>
      </c>
    </row>
    <row r="15" spans="1:6" ht="18" x14ac:dyDescent="0.25">
      <c r="A15" s="919">
        <v>1969</v>
      </c>
      <c r="B15" s="772">
        <v>0</v>
      </c>
      <c r="C15" s="772">
        <v>0</v>
      </c>
      <c r="D15" s="920">
        <v>0.125</v>
      </c>
      <c r="E15" s="772">
        <f t="shared" ref="E15" si="11">B15*D15</f>
        <v>0</v>
      </c>
      <c r="F15" s="772">
        <f t="shared" si="1"/>
        <v>0</v>
      </c>
    </row>
    <row r="16" spans="1:6" ht="18" x14ac:dyDescent="0.25">
      <c r="A16" s="919">
        <v>1970</v>
      </c>
      <c r="B16" s="772">
        <v>0</v>
      </c>
      <c r="C16" s="772">
        <v>0</v>
      </c>
      <c r="D16" s="920">
        <v>0.125</v>
      </c>
      <c r="E16" s="772">
        <f t="shared" ref="E16" si="12">B16*D16</f>
        <v>0</v>
      </c>
      <c r="F16" s="772">
        <f t="shared" si="1"/>
        <v>0</v>
      </c>
    </row>
    <row r="17" spans="1:6" ht="18" x14ac:dyDescent="0.25">
      <c r="A17" s="919">
        <v>1971</v>
      </c>
      <c r="B17" s="772">
        <v>0</v>
      </c>
      <c r="C17" s="772">
        <v>0</v>
      </c>
      <c r="D17" s="920">
        <v>0.125</v>
      </c>
      <c r="E17" s="772">
        <f t="shared" ref="E17" si="13">B17*D17</f>
        <v>0</v>
      </c>
      <c r="F17" s="772">
        <f t="shared" si="1"/>
        <v>0</v>
      </c>
    </row>
    <row r="18" spans="1:6" ht="18" x14ac:dyDescent="0.25">
      <c r="A18" s="919">
        <v>1972</v>
      </c>
      <c r="B18" s="772">
        <v>0</v>
      </c>
      <c r="C18" s="772">
        <v>0</v>
      </c>
      <c r="D18" s="920">
        <v>0.125</v>
      </c>
      <c r="E18" s="772">
        <f t="shared" ref="E18" si="14">B18*D18</f>
        <v>0</v>
      </c>
      <c r="F18" s="772">
        <f t="shared" si="1"/>
        <v>0</v>
      </c>
    </row>
    <row r="19" spans="1:6" ht="18" x14ac:dyDescent="0.25">
      <c r="A19" s="919">
        <v>1973</v>
      </c>
      <c r="B19" s="772">
        <v>0</v>
      </c>
      <c r="C19" s="772">
        <v>0</v>
      </c>
      <c r="D19" s="920">
        <v>0.125</v>
      </c>
      <c r="E19" s="772">
        <f t="shared" ref="E19" si="15">B19*D19</f>
        <v>0</v>
      </c>
      <c r="F19" s="772">
        <f t="shared" si="1"/>
        <v>0</v>
      </c>
    </row>
    <row r="20" spans="1:6" ht="18" x14ac:dyDescent="0.25">
      <c r="A20" s="919">
        <v>1974</v>
      </c>
      <c r="B20" s="772">
        <v>0</v>
      </c>
      <c r="C20" s="772">
        <v>0</v>
      </c>
      <c r="D20" s="920">
        <v>0.125</v>
      </c>
      <c r="E20" s="772">
        <f t="shared" ref="E20" si="16">B20*D20</f>
        <v>0</v>
      </c>
      <c r="F20" s="772">
        <f t="shared" si="1"/>
        <v>0</v>
      </c>
    </row>
    <row r="21" spans="1:6" ht="18" x14ac:dyDescent="0.25">
      <c r="A21" s="919">
        <v>1975</v>
      </c>
      <c r="B21" s="772">
        <v>0</v>
      </c>
      <c r="C21" s="772">
        <v>0</v>
      </c>
      <c r="D21" s="920">
        <v>0.125</v>
      </c>
      <c r="E21" s="772">
        <f t="shared" ref="E21" si="17">B21*D21</f>
        <v>0</v>
      </c>
      <c r="F21" s="772">
        <f t="shared" si="1"/>
        <v>0</v>
      </c>
    </row>
    <row r="22" spans="1:6" ht="18" x14ac:dyDescent="0.25">
      <c r="A22" s="919">
        <v>1976</v>
      </c>
      <c r="B22" s="772">
        <v>0</v>
      </c>
      <c r="C22" s="772">
        <v>0</v>
      </c>
      <c r="D22" s="920">
        <v>0.125</v>
      </c>
      <c r="E22" s="772">
        <f t="shared" ref="E22" si="18">B22*D22</f>
        <v>0</v>
      </c>
      <c r="F22" s="772">
        <f t="shared" si="1"/>
        <v>0</v>
      </c>
    </row>
    <row r="23" spans="1:6" ht="18" x14ac:dyDescent="0.25">
      <c r="A23" s="919">
        <v>1977</v>
      </c>
      <c r="B23" s="772">
        <v>0</v>
      </c>
      <c r="C23" s="772">
        <v>0</v>
      </c>
      <c r="D23" s="920">
        <v>0.125</v>
      </c>
      <c r="E23" s="772">
        <f t="shared" ref="E23" si="19">B23*D23</f>
        <v>0</v>
      </c>
      <c r="F23" s="772">
        <f t="shared" si="1"/>
        <v>0</v>
      </c>
    </row>
    <row r="24" spans="1:6" ht="18" x14ac:dyDescent="0.25">
      <c r="A24" s="919">
        <v>1978</v>
      </c>
      <c r="B24" s="772">
        <v>0</v>
      </c>
      <c r="C24" s="772">
        <v>0</v>
      </c>
      <c r="D24" s="920">
        <v>0.125</v>
      </c>
      <c r="E24" s="772">
        <f t="shared" ref="E24" si="20">B24*D24</f>
        <v>0</v>
      </c>
      <c r="F24" s="772">
        <f t="shared" si="1"/>
        <v>0</v>
      </c>
    </row>
    <row r="25" spans="1:6" ht="18" x14ac:dyDescent="0.25">
      <c r="A25" s="919">
        <v>1979</v>
      </c>
      <c r="B25" s="772">
        <v>0</v>
      </c>
      <c r="C25" s="772">
        <v>0</v>
      </c>
      <c r="D25" s="920">
        <v>0.125</v>
      </c>
      <c r="E25" s="772">
        <f t="shared" ref="E25" si="21">B25*D25</f>
        <v>0</v>
      </c>
      <c r="F25" s="772">
        <f t="shared" si="1"/>
        <v>0</v>
      </c>
    </row>
    <row r="26" spans="1:6" ht="18" x14ac:dyDescent="0.25">
      <c r="A26" s="919">
        <v>1980</v>
      </c>
      <c r="B26" s="772">
        <v>0</v>
      </c>
      <c r="C26" s="772">
        <v>0</v>
      </c>
      <c r="D26" s="920">
        <v>0.125</v>
      </c>
      <c r="E26" s="772">
        <f t="shared" ref="E26" si="22">B26*D26</f>
        <v>0</v>
      </c>
      <c r="F26" s="772">
        <f t="shared" si="1"/>
        <v>0</v>
      </c>
    </row>
    <row r="27" spans="1:6" ht="18" x14ac:dyDescent="0.25">
      <c r="A27" s="919">
        <v>1981</v>
      </c>
      <c r="B27" s="772">
        <v>0</v>
      </c>
      <c r="C27" s="772">
        <v>0</v>
      </c>
      <c r="D27" s="920">
        <v>0.125</v>
      </c>
      <c r="E27" s="772">
        <f t="shared" ref="E27" si="23">B27*D27</f>
        <v>0</v>
      </c>
      <c r="F27" s="772">
        <f t="shared" si="1"/>
        <v>0</v>
      </c>
    </row>
    <row r="28" spans="1:6" ht="18" x14ac:dyDescent="0.25">
      <c r="A28" s="919">
        <v>1982</v>
      </c>
      <c r="B28" s="772">
        <v>0</v>
      </c>
      <c r="C28" s="772">
        <v>0</v>
      </c>
      <c r="D28" s="920">
        <v>0.125</v>
      </c>
      <c r="E28" s="772">
        <f t="shared" ref="E28" si="24">B28*D28</f>
        <v>0</v>
      </c>
      <c r="F28" s="772">
        <f t="shared" si="1"/>
        <v>0</v>
      </c>
    </row>
    <row r="29" spans="1:6" ht="18" x14ac:dyDescent="0.25">
      <c r="A29" s="919">
        <v>1983</v>
      </c>
      <c r="B29" s="772">
        <v>0</v>
      </c>
      <c r="C29" s="772">
        <v>0</v>
      </c>
      <c r="D29" s="920">
        <v>0.125</v>
      </c>
      <c r="E29" s="772">
        <f t="shared" ref="E29" si="25">B29*D29</f>
        <v>0</v>
      </c>
      <c r="F29" s="772">
        <f t="shared" si="1"/>
        <v>0</v>
      </c>
    </row>
    <row r="30" spans="1:6" ht="18" x14ac:dyDescent="0.25">
      <c r="A30" s="919">
        <v>1984</v>
      </c>
      <c r="B30" s="772">
        <v>0</v>
      </c>
      <c r="C30" s="772">
        <v>0</v>
      </c>
      <c r="D30" s="920">
        <v>0.125</v>
      </c>
      <c r="E30" s="772">
        <f t="shared" ref="E30" si="26">B30*D30</f>
        <v>0</v>
      </c>
      <c r="F30" s="772">
        <f t="shared" si="1"/>
        <v>0</v>
      </c>
    </row>
    <row r="31" spans="1:6" ht="18" x14ac:dyDescent="0.25">
      <c r="A31" s="919">
        <v>1985</v>
      </c>
      <c r="B31" s="772">
        <v>0</v>
      </c>
      <c r="C31" s="772">
        <v>0</v>
      </c>
      <c r="D31" s="920">
        <v>0.125</v>
      </c>
      <c r="E31" s="772">
        <f t="shared" ref="E31" si="27">B31*D31</f>
        <v>0</v>
      </c>
      <c r="F31" s="772">
        <f t="shared" si="1"/>
        <v>0</v>
      </c>
    </row>
    <row r="32" spans="1:6" ht="18" x14ac:dyDescent="0.25">
      <c r="A32" s="919">
        <v>1986</v>
      </c>
      <c r="B32" s="772">
        <v>0</v>
      </c>
      <c r="C32" s="772">
        <v>0</v>
      </c>
      <c r="D32" s="920">
        <v>0.125</v>
      </c>
      <c r="E32" s="772">
        <f t="shared" ref="E32" si="28">B32*D32</f>
        <v>0</v>
      </c>
      <c r="F32" s="772">
        <f t="shared" si="1"/>
        <v>0</v>
      </c>
    </row>
    <row r="33" spans="1:6" ht="18" x14ac:dyDescent="0.25">
      <c r="A33" s="919">
        <v>1987</v>
      </c>
      <c r="B33" s="772">
        <v>0</v>
      </c>
      <c r="C33" s="772">
        <v>0</v>
      </c>
      <c r="D33" s="920">
        <v>0.125</v>
      </c>
      <c r="E33" s="772">
        <f t="shared" ref="E33" si="29">B33*D33</f>
        <v>0</v>
      </c>
      <c r="F33" s="772">
        <f t="shared" si="1"/>
        <v>0</v>
      </c>
    </row>
    <row r="34" spans="1:6" ht="18" x14ac:dyDescent="0.25">
      <c r="A34" s="919">
        <v>1988</v>
      </c>
      <c r="B34" s="772">
        <v>0</v>
      </c>
      <c r="C34" s="772">
        <v>0</v>
      </c>
      <c r="D34" s="920">
        <v>0.125</v>
      </c>
      <c r="E34" s="772">
        <f t="shared" ref="E34" si="30">B34*D34</f>
        <v>0</v>
      </c>
      <c r="F34" s="772">
        <f t="shared" si="1"/>
        <v>0</v>
      </c>
    </row>
    <row r="35" spans="1:6" ht="18" x14ac:dyDescent="0.25">
      <c r="A35" s="919">
        <v>1989</v>
      </c>
      <c r="B35" s="772">
        <v>0</v>
      </c>
      <c r="C35" s="772">
        <v>0</v>
      </c>
      <c r="D35" s="920">
        <v>0.125</v>
      </c>
      <c r="E35" s="772">
        <f t="shared" ref="E35" si="31">B35*D35</f>
        <v>0</v>
      </c>
      <c r="F35" s="772">
        <f t="shared" si="1"/>
        <v>0</v>
      </c>
    </row>
    <row r="36" spans="1:6" ht="18" x14ac:dyDescent="0.25">
      <c r="A36" s="919">
        <v>1990</v>
      </c>
      <c r="B36" s="772">
        <v>0</v>
      </c>
      <c r="C36" s="772">
        <v>0</v>
      </c>
      <c r="D36" s="920">
        <v>0.125</v>
      </c>
      <c r="E36" s="772">
        <f t="shared" ref="E36" si="32">B36*D36</f>
        <v>0</v>
      </c>
      <c r="F36" s="772">
        <f t="shared" si="1"/>
        <v>0</v>
      </c>
    </row>
    <row r="37" spans="1:6" ht="18" x14ac:dyDescent="0.25">
      <c r="A37" s="919">
        <v>1991</v>
      </c>
      <c r="B37" s="772">
        <v>0</v>
      </c>
      <c r="C37" s="772">
        <v>0</v>
      </c>
      <c r="D37" s="920">
        <v>0.125</v>
      </c>
      <c r="E37" s="772">
        <f t="shared" ref="E37" si="33">B37*D37</f>
        <v>0</v>
      </c>
      <c r="F37" s="772">
        <f t="shared" si="1"/>
        <v>0</v>
      </c>
    </row>
    <row r="38" spans="1:6" ht="18" x14ac:dyDescent="0.25">
      <c r="A38" s="919">
        <v>1992</v>
      </c>
      <c r="B38" s="772">
        <v>0</v>
      </c>
      <c r="C38" s="772">
        <v>0</v>
      </c>
      <c r="D38" s="920">
        <v>0.125</v>
      </c>
      <c r="E38" s="772">
        <f t="shared" ref="E38" si="34">B38*D38</f>
        <v>0</v>
      </c>
      <c r="F38" s="772">
        <f t="shared" si="1"/>
        <v>0</v>
      </c>
    </row>
    <row r="39" spans="1:6" ht="18" x14ac:dyDescent="0.25">
      <c r="A39" s="919">
        <v>1993</v>
      </c>
      <c r="B39" s="772">
        <v>0</v>
      </c>
      <c r="C39" s="772">
        <v>0</v>
      </c>
      <c r="D39" s="920">
        <v>0.125</v>
      </c>
      <c r="E39" s="772">
        <f t="shared" ref="E39" si="35">B39*D39</f>
        <v>0</v>
      </c>
      <c r="F39" s="772">
        <f t="shared" si="1"/>
        <v>0</v>
      </c>
    </row>
    <row r="40" spans="1:6" ht="18" x14ac:dyDescent="0.25">
      <c r="A40" s="919">
        <v>1994</v>
      </c>
      <c r="B40" s="772">
        <v>0</v>
      </c>
      <c r="C40" s="772">
        <v>0</v>
      </c>
      <c r="D40" s="920">
        <v>0.125</v>
      </c>
      <c r="E40" s="772">
        <f t="shared" ref="E40" si="36">B40*D40</f>
        <v>0</v>
      </c>
      <c r="F40" s="772">
        <f t="shared" si="1"/>
        <v>0</v>
      </c>
    </row>
    <row r="41" spans="1:6" ht="18" x14ac:dyDescent="0.25">
      <c r="A41" s="919">
        <v>1995</v>
      </c>
      <c r="B41" s="772">
        <v>0</v>
      </c>
      <c r="C41" s="772">
        <v>0</v>
      </c>
      <c r="D41" s="920">
        <v>0.125</v>
      </c>
      <c r="E41" s="772">
        <f t="shared" ref="E41" si="37">B41*D41</f>
        <v>0</v>
      </c>
      <c r="F41" s="772">
        <f t="shared" si="1"/>
        <v>0</v>
      </c>
    </row>
    <row r="42" spans="1:6" ht="18" x14ac:dyDescent="0.25">
      <c r="A42" s="919">
        <v>1996</v>
      </c>
      <c r="B42" s="772">
        <v>0</v>
      </c>
      <c r="C42" s="772">
        <v>0</v>
      </c>
      <c r="D42" s="920">
        <v>0.125</v>
      </c>
      <c r="E42" s="772">
        <f t="shared" ref="E42" si="38">B42*D42</f>
        <v>0</v>
      </c>
      <c r="F42" s="772">
        <f t="shared" si="1"/>
        <v>0</v>
      </c>
    </row>
    <row r="43" spans="1:6" ht="18" x14ac:dyDescent="0.25">
      <c r="A43" s="919">
        <v>1997</v>
      </c>
      <c r="B43" s="772">
        <v>0</v>
      </c>
      <c r="C43" s="772">
        <v>0</v>
      </c>
      <c r="D43" s="920">
        <v>0.125</v>
      </c>
      <c r="E43" s="772">
        <f t="shared" ref="E43" si="39">B43*D43</f>
        <v>0</v>
      </c>
      <c r="F43" s="772">
        <f t="shared" si="1"/>
        <v>0</v>
      </c>
    </row>
    <row r="44" spans="1:6" ht="18" x14ac:dyDescent="0.25">
      <c r="A44" s="919">
        <v>1998</v>
      </c>
      <c r="B44" s="772">
        <v>0</v>
      </c>
      <c r="C44" s="772">
        <v>0</v>
      </c>
      <c r="D44" s="920">
        <v>0.125</v>
      </c>
      <c r="E44" s="772">
        <f t="shared" ref="E44" si="40">B44*D44</f>
        <v>0</v>
      </c>
      <c r="F44" s="772">
        <f t="shared" si="1"/>
        <v>0</v>
      </c>
    </row>
    <row r="45" spans="1:6" ht="18" x14ac:dyDescent="0.25">
      <c r="A45" s="919">
        <v>1999</v>
      </c>
      <c r="B45" s="772">
        <v>0</v>
      </c>
      <c r="C45" s="772">
        <v>0</v>
      </c>
      <c r="D45" s="920">
        <v>0.125</v>
      </c>
      <c r="E45" s="772">
        <f t="shared" ref="E45" si="41">B45*D45</f>
        <v>0</v>
      </c>
      <c r="F45" s="772">
        <f t="shared" si="1"/>
        <v>0</v>
      </c>
    </row>
    <row r="46" spans="1:6" ht="18" x14ac:dyDescent="0.25">
      <c r="A46" s="919">
        <v>2000</v>
      </c>
      <c r="B46" s="772">
        <v>0</v>
      </c>
      <c r="C46" s="772">
        <v>0</v>
      </c>
      <c r="D46" s="920">
        <v>0.125</v>
      </c>
      <c r="E46" s="772">
        <f t="shared" ref="E46" si="42">B46*D46</f>
        <v>0</v>
      </c>
      <c r="F46" s="772">
        <f t="shared" si="1"/>
        <v>0</v>
      </c>
    </row>
    <row r="47" spans="1:6" ht="18" x14ac:dyDescent="0.25">
      <c r="A47" s="919">
        <v>2001</v>
      </c>
      <c r="B47" s="772">
        <v>0</v>
      </c>
      <c r="C47" s="772">
        <v>0</v>
      </c>
      <c r="D47" s="920">
        <v>0.125</v>
      </c>
      <c r="E47" s="772">
        <f t="shared" ref="E47" si="43">B47*D47</f>
        <v>0</v>
      </c>
      <c r="F47" s="772">
        <f t="shared" si="1"/>
        <v>0</v>
      </c>
    </row>
    <row r="48" spans="1:6" ht="18" x14ac:dyDescent="0.25">
      <c r="A48" s="919">
        <v>2002</v>
      </c>
      <c r="B48" s="772">
        <v>29.55</v>
      </c>
      <c r="C48" s="772">
        <v>29.55</v>
      </c>
      <c r="D48" s="920">
        <v>0.125</v>
      </c>
      <c r="E48" s="772">
        <f t="shared" ref="E48" si="44">B48*D48</f>
        <v>3.6937500000000001</v>
      </c>
      <c r="F48" s="772">
        <f t="shared" si="1"/>
        <v>3.6937500000000001</v>
      </c>
    </row>
    <row r="49" spans="1:6" ht="18" x14ac:dyDescent="0.25">
      <c r="A49" s="921">
        <v>2003</v>
      </c>
      <c r="B49" s="772">
        <v>49.25</v>
      </c>
      <c r="C49" s="772">
        <v>49.25</v>
      </c>
      <c r="D49" s="920">
        <v>0.125</v>
      </c>
      <c r="E49" s="772">
        <f t="shared" ref="E49" si="45">B49*D49</f>
        <v>6.15625</v>
      </c>
      <c r="F49" s="772">
        <f t="shared" si="1"/>
        <v>6.15625</v>
      </c>
    </row>
    <row r="50" spans="1:6" ht="18" x14ac:dyDescent="0.25">
      <c r="A50" s="921">
        <v>2004</v>
      </c>
      <c r="B50" s="772">
        <v>98.5</v>
      </c>
      <c r="C50" s="772">
        <v>98.5</v>
      </c>
      <c r="D50" s="920">
        <v>0.125</v>
      </c>
      <c r="E50" s="772">
        <f t="shared" ref="E50" si="46">B50*D50</f>
        <v>12.3125</v>
      </c>
      <c r="F50" s="772">
        <f t="shared" si="1"/>
        <v>12.3125</v>
      </c>
    </row>
    <row r="51" spans="1:6" ht="18" x14ac:dyDescent="0.25">
      <c r="A51" s="921">
        <v>2005</v>
      </c>
      <c r="B51" s="772">
        <v>167.45</v>
      </c>
      <c r="C51" s="772">
        <v>167.45</v>
      </c>
      <c r="D51" s="920">
        <v>0.125</v>
      </c>
      <c r="E51" s="772">
        <f t="shared" ref="E51" si="47">B51*D51</f>
        <v>20.931249999999999</v>
      </c>
      <c r="F51" s="772">
        <f t="shared" si="1"/>
        <v>20.931249999999999</v>
      </c>
    </row>
    <row r="52" spans="1:6" ht="18" x14ac:dyDescent="0.25">
      <c r="A52" s="921">
        <v>2006</v>
      </c>
      <c r="B52" s="772">
        <v>246.25</v>
      </c>
      <c r="C52" s="772">
        <v>246.25</v>
      </c>
      <c r="D52" s="920">
        <v>0.125</v>
      </c>
      <c r="E52" s="772">
        <f t="shared" ref="E52" si="48">B52*D52</f>
        <v>30.78125</v>
      </c>
      <c r="F52" s="772">
        <f t="shared" si="1"/>
        <v>30.78125</v>
      </c>
    </row>
    <row r="53" spans="1:6" ht="18" x14ac:dyDescent="0.25">
      <c r="A53" s="921">
        <v>2007</v>
      </c>
      <c r="B53" s="772">
        <v>177.3</v>
      </c>
      <c r="C53" s="772">
        <v>177.3</v>
      </c>
      <c r="D53" s="920">
        <v>0.125</v>
      </c>
      <c r="E53" s="772">
        <f t="shared" ref="E53" si="49">B53*D53</f>
        <v>22.162500000000001</v>
      </c>
      <c r="F53" s="772">
        <f t="shared" si="1"/>
        <v>22.162500000000001</v>
      </c>
    </row>
    <row r="54" spans="1:6" ht="18" x14ac:dyDescent="0.25">
      <c r="A54" s="921">
        <v>2008</v>
      </c>
      <c r="B54" s="772">
        <v>98.5</v>
      </c>
      <c r="C54" s="772">
        <v>98.5</v>
      </c>
      <c r="D54" s="920">
        <v>0.125</v>
      </c>
      <c r="E54" s="772">
        <f t="shared" ref="E54" si="50">B54*D54</f>
        <v>12.3125</v>
      </c>
      <c r="F54" s="772">
        <f t="shared" si="1"/>
        <v>12.3125</v>
      </c>
    </row>
    <row r="55" spans="1:6" ht="18" x14ac:dyDescent="0.25">
      <c r="A55" s="921">
        <v>2009</v>
      </c>
      <c r="B55" s="772">
        <v>98.5</v>
      </c>
      <c r="C55" s="772">
        <v>98.5</v>
      </c>
      <c r="D55" s="920">
        <v>0.3</v>
      </c>
      <c r="E55" s="772">
        <f t="shared" ref="E55" si="51">B55*D55</f>
        <v>29.549999999999997</v>
      </c>
      <c r="F55" s="772">
        <f t="shared" si="1"/>
        <v>29.549999999999997</v>
      </c>
    </row>
    <row r="56" spans="1:6" ht="18" x14ac:dyDescent="0.25">
      <c r="A56" s="921">
        <v>2010</v>
      </c>
      <c r="B56" s="772">
        <v>98.5</v>
      </c>
      <c r="C56" s="772">
        <v>98.5</v>
      </c>
      <c r="D56" s="920">
        <v>0.3</v>
      </c>
      <c r="E56" s="772">
        <f t="shared" ref="E56" si="52">B56*D56</f>
        <v>29.549999999999997</v>
      </c>
      <c r="F56" s="772">
        <f t="shared" si="1"/>
        <v>29.549999999999997</v>
      </c>
    </row>
    <row r="57" spans="1:6" ht="18" x14ac:dyDescent="0.25">
      <c r="A57" s="921">
        <v>2011</v>
      </c>
      <c r="B57" s="772">
        <v>78.8</v>
      </c>
      <c r="C57" s="772">
        <v>98.5</v>
      </c>
      <c r="D57" s="920">
        <v>0.3</v>
      </c>
      <c r="E57" s="772">
        <f t="shared" ref="E57" si="53">B57*D57</f>
        <v>23.639999999999997</v>
      </c>
      <c r="F57" s="772">
        <f t="shared" si="1"/>
        <v>29.549999999999997</v>
      </c>
    </row>
    <row r="58" spans="1:6" ht="18" x14ac:dyDescent="0.25">
      <c r="A58" s="921">
        <v>2012</v>
      </c>
      <c r="B58" s="772">
        <v>59.1</v>
      </c>
      <c r="C58" s="772">
        <v>98.5</v>
      </c>
      <c r="D58" s="920">
        <v>0.3</v>
      </c>
      <c r="E58" s="772">
        <f t="shared" ref="E58" si="54">B58*D58</f>
        <v>17.73</v>
      </c>
      <c r="F58" s="772">
        <f t="shared" si="1"/>
        <v>29.549999999999997</v>
      </c>
    </row>
    <row r="59" spans="1:6" ht="18" x14ac:dyDescent="0.25">
      <c r="A59" s="921">
        <v>2013</v>
      </c>
      <c r="B59" s="772">
        <v>39.4</v>
      </c>
      <c r="C59" s="772">
        <v>98.5</v>
      </c>
      <c r="D59" s="920">
        <v>0.3</v>
      </c>
      <c r="E59" s="772">
        <f t="shared" ref="E59" si="55">B59*D59</f>
        <v>11.819999999999999</v>
      </c>
      <c r="F59" s="772">
        <f t="shared" si="1"/>
        <v>29.549999999999997</v>
      </c>
    </row>
    <row r="60" spans="1:6" ht="18" x14ac:dyDescent="0.25">
      <c r="A60" s="921">
        <v>2014</v>
      </c>
      <c r="B60" s="772">
        <v>19.7</v>
      </c>
      <c r="C60" s="772">
        <v>98.5</v>
      </c>
      <c r="D60" s="920">
        <v>0.3</v>
      </c>
      <c r="E60" s="772">
        <f t="shared" ref="E60" si="56">B60*D60</f>
        <v>5.9099999999999993</v>
      </c>
      <c r="F60" s="772">
        <f t="shared" si="1"/>
        <v>29.549999999999997</v>
      </c>
    </row>
    <row r="61" spans="1:6" ht="18" x14ac:dyDescent="0.25">
      <c r="A61" s="921">
        <v>2015</v>
      </c>
      <c r="B61" s="772">
        <v>0</v>
      </c>
      <c r="C61" s="772">
        <v>98.5</v>
      </c>
      <c r="D61" s="920">
        <v>0.3</v>
      </c>
      <c r="E61" s="772">
        <f t="shared" ref="E61" si="57">B61*D61</f>
        <v>0</v>
      </c>
      <c r="F61" s="772">
        <f t="shared" si="1"/>
        <v>29.549999999999997</v>
      </c>
    </row>
    <row r="62" spans="1:6" ht="18" x14ac:dyDescent="0.25">
      <c r="A62" s="922">
        <v>2016</v>
      </c>
      <c r="B62" s="772">
        <v>0</v>
      </c>
      <c r="C62" s="772">
        <v>98.5</v>
      </c>
      <c r="D62" s="920">
        <v>0.3</v>
      </c>
      <c r="E62" s="772">
        <f t="shared" ref="E62" si="58">B62*D62</f>
        <v>0</v>
      </c>
      <c r="F62" s="772">
        <f t="shared" si="1"/>
        <v>29.549999999999997</v>
      </c>
    </row>
    <row r="63" spans="1:6" ht="18" x14ac:dyDescent="0.25">
      <c r="A63" s="922">
        <v>2017</v>
      </c>
      <c r="B63" s="772">
        <v>0</v>
      </c>
      <c r="C63" s="772">
        <v>98.5</v>
      </c>
      <c r="D63" s="920">
        <v>0.3</v>
      </c>
      <c r="E63" s="772">
        <f t="shared" ref="E63" si="59">B63*D63</f>
        <v>0</v>
      </c>
      <c r="F63" s="772">
        <f t="shared" si="1"/>
        <v>29.549999999999997</v>
      </c>
    </row>
    <row r="64" spans="1:6" ht="18" x14ac:dyDescent="0.25">
      <c r="A64" s="922">
        <v>2018</v>
      </c>
      <c r="B64" s="772">
        <v>0</v>
      </c>
      <c r="C64" s="772">
        <v>98.5</v>
      </c>
      <c r="D64" s="920">
        <v>0.3</v>
      </c>
      <c r="E64" s="772">
        <f t="shared" ref="E64" si="60">B64*D64</f>
        <v>0</v>
      </c>
      <c r="F64" s="772">
        <f t="shared" si="1"/>
        <v>29.549999999999997</v>
      </c>
    </row>
    <row r="65" spans="1:6" ht="18" x14ac:dyDescent="0.25">
      <c r="A65" s="922">
        <v>2019</v>
      </c>
      <c r="B65" s="772">
        <v>0</v>
      </c>
      <c r="C65" s="772">
        <v>98.5</v>
      </c>
      <c r="D65" s="920">
        <v>0.3</v>
      </c>
      <c r="E65" s="772">
        <f t="shared" ref="E65" si="61">B65*D65</f>
        <v>0</v>
      </c>
      <c r="F65" s="772">
        <f t="shared" si="1"/>
        <v>29.549999999999997</v>
      </c>
    </row>
    <row r="66" spans="1:6" ht="18" x14ac:dyDescent="0.25">
      <c r="A66" s="922">
        <v>2020</v>
      </c>
      <c r="B66" s="772">
        <v>0</v>
      </c>
      <c r="C66" s="772">
        <v>98.5</v>
      </c>
      <c r="D66" s="920">
        <v>0.3</v>
      </c>
      <c r="E66" s="772">
        <f t="shared" ref="E66" si="62">B66*D66</f>
        <v>0</v>
      </c>
      <c r="F66" s="772">
        <f t="shared" si="1"/>
        <v>29.549999999999997</v>
      </c>
    </row>
    <row r="67" spans="1:6" ht="18" x14ac:dyDescent="0.25">
      <c r="A67" s="922">
        <v>2021</v>
      </c>
      <c r="B67" s="772">
        <v>0</v>
      </c>
      <c r="C67" s="772">
        <v>98.5</v>
      </c>
      <c r="D67" s="920">
        <v>0.3</v>
      </c>
      <c r="E67" s="772">
        <f t="shared" ref="E67" si="63">B67*D67</f>
        <v>0</v>
      </c>
      <c r="F67" s="772">
        <f t="shared" si="1"/>
        <v>29.549999999999997</v>
      </c>
    </row>
    <row r="68" spans="1:6" ht="18" x14ac:dyDescent="0.25">
      <c r="A68" s="922">
        <v>2022</v>
      </c>
      <c r="B68" s="772">
        <v>0</v>
      </c>
      <c r="C68" s="772">
        <v>98.5</v>
      </c>
      <c r="D68" s="920">
        <v>0.3</v>
      </c>
      <c r="E68" s="772">
        <f t="shared" ref="E68" si="64">B68*D68</f>
        <v>0</v>
      </c>
      <c r="F68" s="772">
        <f t="shared" si="1"/>
        <v>29.549999999999997</v>
      </c>
    </row>
    <row r="69" spans="1:6" ht="18" x14ac:dyDescent="0.25">
      <c r="A69" s="922">
        <v>2023</v>
      </c>
      <c r="B69" s="772">
        <v>0</v>
      </c>
      <c r="C69" s="772">
        <v>98.5</v>
      </c>
      <c r="D69" s="920">
        <v>0.3</v>
      </c>
      <c r="E69" s="772">
        <f t="shared" ref="E69" si="65">B69*D69</f>
        <v>0</v>
      </c>
      <c r="F69" s="772">
        <f t="shared" ref="F69:F76" si="66">C69*D69</f>
        <v>29.549999999999997</v>
      </c>
    </row>
    <row r="70" spans="1:6" ht="18" x14ac:dyDescent="0.25">
      <c r="A70" s="922">
        <v>2024</v>
      </c>
      <c r="B70" s="772">
        <v>0</v>
      </c>
      <c r="C70" s="772">
        <v>98.5</v>
      </c>
      <c r="D70" s="920">
        <v>0.3</v>
      </c>
      <c r="E70" s="772">
        <f t="shared" ref="E70" si="67">B70*D70</f>
        <v>0</v>
      </c>
      <c r="F70" s="772">
        <f t="shared" si="66"/>
        <v>29.549999999999997</v>
      </c>
    </row>
    <row r="71" spans="1:6" ht="18" x14ac:dyDescent="0.25">
      <c r="A71" s="922">
        <v>2025</v>
      </c>
      <c r="B71" s="772">
        <v>0</v>
      </c>
      <c r="C71" s="772">
        <v>98.5</v>
      </c>
      <c r="D71" s="920">
        <v>0.3</v>
      </c>
      <c r="E71" s="772">
        <f t="shared" ref="E71" si="68">B71*D71</f>
        <v>0</v>
      </c>
      <c r="F71" s="772">
        <f t="shared" si="66"/>
        <v>29.549999999999997</v>
      </c>
    </row>
    <row r="72" spans="1:6" ht="18" x14ac:dyDescent="0.25">
      <c r="A72" s="922">
        <v>2026</v>
      </c>
      <c r="B72" s="772">
        <v>0</v>
      </c>
      <c r="C72" s="772">
        <v>98.5</v>
      </c>
      <c r="D72" s="920">
        <v>0.3</v>
      </c>
      <c r="E72" s="772">
        <f t="shared" ref="E72" si="69">B72*D72</f>
        <v>0</v>
      </c>
      <c r="F72" s="772">
        <f t="shared" si="66"/>
        <v>29.549999999999997</v>
      </c>
    </row>
    <row r="73" spans="1:6" ht="18" x14ac:dyDescent="0.25">
      <c r="A73" s="922">
        <v>2027</v>
      </c>
      <c r="B73" s="772">
        <v>0</v>
      </c>
      <c r="C73" s="772">
        <v>98.5</v>
      </c>
      <c r="D73" s="920">
        <v>0.3</v>
      </c>
      <c r="E73" s="772">
        <f t="shared" ref="E73" si="70">B73*D73</f>
        <v>0</v>
      </c>
      <c r="F73" s="772">
        <f t="shared" si="66"/>
        <v>29.549999999999997</v>
      </c>
    </row>
    <row r="74" spans="1:6" ht="18" x14ac:dyDescent="0.25">
      <c r="A74" s="922">
        <v>2028</v>
      </c>
      <c r="B74" s="772">
        <v>0</v>
      </c>
      <c r="C74" s="772">
        <v>98.5</v>
      </c>
      <c r="D74" s="920">
        <v>0.3</v>
      </c>
      <c r="E74" s="772">
        <f t="shared" ref="E74" si="71">B74*D74</f>
        <v>0</v>
      </c>
      <c r="F74" s="772">
        <f t="shared" si="66"/>
        <v>29.549999999999997</v>
      </c>
    </row>
    <row r="75" spans="1:6" ht="18" x14ac:dyDescent="0.25">
      <c r="A75" s="922">
        <v>2029</v>
      </c>
      <c r="B75" s="772">
        <v>0</v>
      </c>
      <c r="C75" s="772">
        <v>98.5</v>
      </c>
      <c r="D75" s="920">
        <v>0.3</v>
      </c>
      <c r="E75" s="772">
        <f t="shared" ref="E75" si="72">B75*D75</f>
        <v>0</v>
      </c>
      <c r="F75" s="772">
        <f t="shared" si="66"/>
        <v>29.549999999999997</v>
      </c>
    </row>
    <row r="76" spans="1:6" ht="18" x14ac:dyDescent="0.25">
      <c r="A76" s="922">
        <v>2030</v>
      </c>
      <c r="B76" s="772">
        <v>0</v>
      </c>
      <c r="C76" s="772">
        <v>98.5</v>
      </c>
      <c r="D76" s="920">
        <v>0.3</v>
      </c>
      <c r="E76" s="772">
        <f t="shared" ref="E76" si="73">B76*D76</f>
        <v>0</v>
      </c>
      <c r="F76" s="772">
        <f t="shared" si="66"/>
        <v>29.549999999999997</v>
      </c>
    </row>
    <row r="78" spans="1:6" x14ac:dyDescent="0.2">
      <c r="A78" s="686" t="s">
        <v>1782</v>
      </c>
      <c r="B78" s="346">
        <f>SUM(B4:B61)</f>
        <v>1260.8</v>
      </c>
      <c r="C78" s="346">
        <f>SUM(C4:C61)</f>
        <v>1556.3</v>
      </c>
      <c r="D78" s="346"/>
      <c r="E78" s="346">
        <f>SUM(E4:E61)</f>
        <v>226.54999999999995</v>
      </c>
      <c r="F78" s="346">
        <f>SUM(F4:F61)</f>
        <v>315.20000000000005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199"/>
  <sheetViews>
    <sheetView showGridLines="0" workbookViewId="0">
      <pane ySplit="9" topLeftCell="A10" activePane="bottomLeft" state="frozen"/>
      <selection pane="bottomLeft" activeCell="BP138" sqref="BP138"/>
    </sheetView>
  </sheetViews>
  <sheetFormatPr baseColWidth="10" defaultColWidth="11" defaultRowHeight="16" x14ac:dyDescent="0.2"/>
  <cols>
    <col min="1" max="1" width="14.5" customWidth="1"/>
    <col min="2" max="2" width="13.33203125" customWidth="1"/>
    <col min="3" max="3" width="36.6640625" customWidth="1"/>
    <col min="4" max="4" width="21.1640625" customWidth="1"/>
    <col min="5" max="5" width="13" customWidth="1"/>
    <col min="7" max="7" width="16.33203125" customWidth="1"/>
    <col min="8" max="8" width="11.6640625" customWidth="1"/>
    <col min="36" max="36" width="18" customWidth="1"/>
    <col min="37" max="37" width="10.5" customWidth="1"/>
    <col min="38" max="38" width="16.1640625" bestFit="1" customWidth="1"/>
    <col min="39" max="39" width="16.33203125" bestFit="1" customWidth="1"/>
    <col min="40" max="40" width="17.1640625" customWidth="1"/>
    <col min="41" max="41" width="14.33203125" bestFit="1" customWidth="1"/>
    <col min="65" max="65" width="12.83203125" customWidth="1"/>
    <col min="67" max="67" width="15.83203125" customWidth="1"/>
    <col min="68" max="68" width="23" customWidth="1"/>
    <col min="69" max="69" width="23.5" customWidth="1"/>
    <col min="70" max="70" width="20.33203125" customWidth="1"/>
    <col min="71" max="71" width="14.6640625" customWidth="1"/>
    <col min="83" max="84" width="18.6640625" bestFit="1" customWidth="1"/>
    <col min="87" max="87" width="18.83203125" customWidth="1"/>
    <col min="88" max="88" width="15.33203125" customWidth="1"/>
    <col min="102" max="102" width="14" customWidth="1"/>
  </cols>
  <sheetData>
    <row r="1" spans="1:91" ht="18" x14ac:dyDescent="0.25">
      <c r="G1" s="1"/>
      <c r="H1" s="1"/>
      <c r="I1" s="1"/>
      <c r="AI1" s="339"/>
      <c r="AJ1" s="340"/>
      <c r="AK1" s="1"/>
      <c r="AL1" s="1"/>
      <c r="BK1" s="536"/>
    </row>
    <row r="2" spans="1:91" ht="18" x14ac:dyDescent="0.25">
      <c r="G2" s="6"/>
      <c r="H2" s="6"/>
      <c r="I2" s="6"/>
      <c r="AI2" s="339"/>
      <c r="AJ2" s="340"/>
      <c r="AK2" s="6"/>
      <c r="AL2" s="6"/>
      <c r="BK2" s="536"/>
    </row>
    <row r="3" spans="1:91" ht="32" x14ac:dyDescent="0.4">
      <c r="B3" s="860" t="s">
        <v>1671</v>
      </c>
      <c r="F3" s="330"/>
      <c r="G3" s="330"/>
      <c r="H3" s="6"/>
      <c r="I3" s="1"/>
      <c r="AI3" s="339"/>
      <c r="AJ3" s="340"/>
      <c r="AK3" s="1"/>
      <c r="AL3" s="1"/>
      <c r="BK3" s="536"/>
    </row>
    <row r="4" spans="1:91" ht="18" x14ac:dyDescent="0.25">
      <c r="G4" s="1"/>
      <c r="H4" s="1"/>
      <c r="I4" s="1"/>
      <c r="AI4" s="339"/>
      <c r="AJ4" s="340"/>
      <c r="AK4" s="1"/>
      <c r="AL4" s="1"/>
      <c r="BK4" s="536"/>
    </row>
    <row r="5" spans="1:91" ht="42" customHeight="1" x14ac:dyDescent="0.25">
      <c r="A5" s="1313" t="s">
        <v>928</v>
      </c>
      <c r="B5" s="1313"/>
      <c r="C5" s="1313"/>
      <c r="D5" s="1313"/>
      <c r="E5" s="1313"/>
      <c r="G5" s="1313" t="s">
        <v>933</v>
      </c>
      <c r="H5" s="1313"/>
      <c r="I5" s="1313"/>
      <c r="K5" s="1313" t="s">
        <v>931</v>
      </c>
      <c r="L5" s="1313"/>
      <c r="M5" s="1313"/>
      <c r="N5" s="1313"/>
      <c r="O5" s="1313"/>
      <c r="P5" s="1313"/>
      <c r="Q5" s="1313"/>
      <c r="R5" s="1313"/>
      <c r="S5" s="1313"/>
      <c r="T5" s="1313"/>
      <c r="U5" s="1313"/>
      <c r="W5" s="1313" t="s">
        <v>932</v>
      </c>
      <c r="X5" s="1313"/>
      <c r="Y5" s="1313"/>
      <c r="Z5" s="1313"/>
      <c r="AA5" s="1313"/>
      <c r="AB5" s="1313"/>
      <c r="AC5" s="1313"/>
      <c r="AD5" s="1313"/>
      <c r="AE5" s="1313"/>
      <c r="AF5" s="1313"/>
      <c r="AG5" s="1313"/>
      <c r="AI5" s="339"/>
      <c r="AJ5" s="1313" t="s">
        <v>1065</v>
      </c>
      <c r="AK5" s="1313"/>
      <c r="AL5" s="1313"/>
      <c r="AM5" s="330"/>
      <c r="AN5" s="1313" t="s">
        <v>936</v>
      </c>
      <c r="AO5" s="1313"/>
      <c r="AP5" s="1313"/>
      <c r="AQ5" s="1313"/>
      <c r="AR5" s="1313"/>
      <c r="AS5" s="1313"/>
      <c r="AT5" s="1313"/>
      <c r="AU5" s="1313"/>
      <c r="AV5" s="1313"/>
      <c r="AW5" s="1313"/>
      <c r="AX5" s="1313"/>
      <c r="AZ5" s="1313" t="s">
        <v>937</v>
      </c>
      <c r="BA5" s="1313"/>
      <c r="BB5" s="1313"/>
      <c r="BC5" s="1313"/>
      <c r="BD5" s="1313"/>
      <c r="BE5" s="1313"/>
      <c r="BF5" s="1313"/>
      <c r="BG5" s="1313"/>
      <c r="BH5" s="1313"/>
      <c r="BI5" s="1313"/>
      <c r="BJ5" s="1313"/>
      <c r="BK5" s="536"/>
      <c r="BM5" s="1312" t="s">
        <v>1067</v>
      </c>
      <c r="BN5" s="1312"/>
      <c r="BO5" s="1312"/>
      <c r="BP5" s="330"/>
      <c r="BQ5" s="1313" t="s">
        <v>1122</v>
      </c>
      <c r="BR5" s="1313"/>
      <c r="BS5" s="1313"/>
      <c r="BT5" s="1313"/>
      <c r="BU5" s="1313"/>
      <c r="BV5" s="1313"/>
      <c r="BW5" s="1313"/>
      <c r="BX5" s="1313"/>
      <c r="BY5" s="1313"/>
      <c r="BZ5" s="1313"/>
      <c r="CA5" s="1313"/>
      <c r="CC5" s="1313" t="s">
        <v>938</v>
      </c>
      <c r="CD5" s="1313"/>
      <c r="CE5" s="1313"/>
      <c r="CF5" s="1313"/>
      <c r="CG5" s="1313"/>
      <c r="CH5" s="1313"/>
      <c r="CI5" s="1313"/>
      <c r="CJ5" s="1313"/>
      <c r="CK5" s="1313"/>
      <c r="CL5" s="1313"/>
      <c r="CM5" s="1313"/>
    </row>
    <row r="6" spans="1:91" ht="18" x14ac:dyDescent="0.25">
      <c r="G6" s="1"/>
      <c r="H6" s="1"/>
      <c r="I6" s="1"/>
      <c r="AI6" s="339"/>
      <c r="AJ6" s="340"/>
      <c r="AK6" s="1"/>
      <c r="AL6" s="1"/>
      <c r="BK6" s="536"/>
      <c r="BM6" s="340"/>
      <c r="BN6" s="1"/>
      <c r="BO6" s="1"/>
    </row>
    <row r="7" spans="1:91" ht="16" customHeight="1" x14ac:dyDescent="0.2">
      <c r="G7" s="326" t="s">
        <v>1</v>
      </c>
      <c r="H7" s="1193" t="s">
        <v>934</v>
      </c>
      <c r="I7" s="1149"/>
      <c r="U7" s="332"/>
      <c r="V7" s="332"/>
      <c r="AG7" s="332"/>
      <c r="AI7" s="339"/>
      <c r="AJ7" s="329" t="s">
        <v>1</v>
      </c>
      <c r="AK7" s="1149" t="s">
        <v>935</v>
      </c>
      <c r="AL7" s="1149"/>
      <c r="AX7" s="332"/>
      <c r="AY7" s="332"/>
      <c r="BJ7" s="332"/>
      <c r="BK7" s="536"/>
      <c r="BM7" s="329" t="s">
        <v>1</v>
      </c>
      <c r="BN7" s="1215" t="s">
        <v>1066</v>
      </c>
      <c r="BO7" s="1164"/>
      <c r="CA7" s="332"/>
      <c r="CB7" s="332"/>
      <c r="CM7" s="332"/>
    </row>
    <row r="8" spans="1:91" ht="16" customHeight="1" x14ac:dyDescent="0.2">
      <c r="G8" s="334"/>
      <c r="H8" s="1193"/>
      <c r="I8" s="1149"/>
      <c r="K8" s="332"/>
      <c r="L8" s="332"/>
      <c r="W8" s="332"/>
      <c r="X8" s="332"/>
      <c r="AI8" s="339"/>
      <c r="AJ8" s="334"/>
      <c r="AK8" s="1149"/>
      <c r="AL8" s="1149"/>
      <c r="AN8" s="332"/>
      <c r="AO8" s="332"/>
      <c r="AZ8" s="332"/>
      <c r="BA8" s="332"/>
      <c r="BK8" s="536"/>
      <c r="BM8" s="334"/>
      <c r="BN8" s="1215"/>
      <c r="BO8" s="1164"/>
      <c r="BQ8" s="332"/>
      <c r="BR8" s="332"/>
      <c r="CC8" s="332"/>
      <c r="CD8" s="332"/>
    </row>
    <row r="9" spans="1:91" ht="18" x14ac:dyDescent="0.25">
      <c r="A9" s="7" t="s">
        <v>859</v>
      </c>
      <c r="B9" s="7" t="s">
        <v>910</v>
      </c>
      <c r="C9" s="7" t="s">
        <v>911</v>
      </c>
      <c r="D9" s="7" t="s">
        <v>912</v>
      </c>
      <c r="E9" s="7" t="s">
        <v>913</v>
      </c>
      <c r="G9" s="335"/>
      <c r="H9" s="7" t="s">
        <v>41</v>
      </c>
      <c r="I9" s="8" t="s">
        <v>42</v>
      </c>
      <c r="K9" s="331" t="s">
        <v>903</v>
      </c>
      <c r="L9" s="331" t="s">
        <v>904</v>
      </c>
      <c r="M9" s="331" t="s">
        <v>399</v>
      </c>
      <c r="N9" s="331" t="s">
        <v>400</v>
      </c>
      <c r="O9" s="331" t="s">
        <v>905</v>
      </c>
      <c r="P9" s="331" t="s">
        <v>692</v>
      </c>
      <c r="Q9" s="331" t="s">
        <v>906</v>
      </c>
      <c r="R9" s="331" t="s">
        <v>907</v>
      </c>
      <c r="S9" s="331" t="s">
        <v>908</v>
      </c>
      <c r="T9" s="331" t="s">
        <v>909</v>
      </c>
      <c r="U9" s="331" t="s">
        <v>0</v>
      </c>
      <c r="W9" s="331" t="s">
        <v>903</v>
      </c>
      <c r="X9" s="331" t="s">
        <v>904</v>
      </c>
      <c r="Y9" s="331" t="s">
        <v>399</v>
      </c>
      <c r="Z9" s="331" t="s">
        <v>400</v>
      </c>
      <c r="AA9" s="331" t="s">
        <v>905</v>
      </c>
      <c r="AB9" s="331" t="s">
        <v>692</v>
      </c>
      <c r="AC9" s="331" t="s">
        <v>906</v>
      </c>
      <c r="AD9" s="331" t="s">
        <v>907</v>
      </c>
      <c r="AE9" s="331" t="s">
        <v>908</v>
      </c>
      <c r="AF9" s="331" t="s">
        <v>909</v>
      </c>
      <c r="AG9" s="331" t="s">
        <v>0</v>
      </c>
      <c r="AI9" s="339"/>
      <c r="AJ9" s="335"/>
      <c r="AK9" s="8" t="s">
        <v>41</v>
      </c>
      <c r="AL9" s="8" t="s">
        <v>42</v>
      </c>
      <c r="AN9" s="331" t="s">
        <v>903</v>
      </c>
      <c r="AO9" s="331" t="s">
        <v>904</v>
      </c>
      <c r="AP9" s="331" t="s">
        <v>399</v>
      </c>
      <c r="AQ9" s="331" t="s">
        <v>400</v>
      </c>
      <c r="AR9" s="331" t="s">
        <v>905</v>
      </c>
      <c r="AS9" s="331" t="s">
        <v>692</v>
      </c>
      <c r="AT9" s="331" t="s">
        <v>906</v>
      </c>
      <c r="AU9" s="331" t="s">
        <v>907</v>
      </c>
      <c r="AV9" s="331" t="s">
        <v>908</v>
      </c>
      <c r="AW9" s="331" t="s">
        <v>909</v>
      </c>
      <c r="AX9" s="331" t="s">
        <v>0</v>
      </c>
      <c r="AZ9" s="331" t="s">
        <v>903</v>
      </c>
      <c r="BA9" s="331" t="s">
        <v>904</v>
      </c>
      <c r="BB9" s="331" t="s">
        <v>399</v>
      </c>
      <c r="BC9" s="331" t="s">
        <v>400</v>
      </c>
      <c r="BD9" s="331" t="s">
        <v>905</v>
      </c>
      <c r="BE9" s="331" t="s">
        <v>692</v>
      </c>
      <c r="BF9" s="331" t="s">
        <v>906</v>
      </c>
      <c r="BG9" s="331" t="s">
        <v>907</v>
      </c>
      <c r="BH9" s="331" t="s">
        <v>908</v>
      </c>
      <c r="BI9" s="331" t="s">
        <v>909</v>
      </c>
      <c r="BJ9" s="331" t="s">
        <v>0</v>
      </c>
      <c r="BK9" s="536"/>
      <c r="BM9" s="335"/>
      <c r="BN9" s="8" t="s">
        <v>41</v>
      </c>
      <c r="BO9" s="8" t="s">
        <v>42</v>
      </c>
      <c r="BQ9" s="331" t="s">
        <v>903</v>
      </c>
      <c r="BR9" s="331" t="s">
        <v>904</v>
      </c>
      <c r="BS9" s="331" t="s">
        <v>399</v>
      </c>
      <c r="BT9" s="331" t="s">
        <v>400</v>
      </c>
      <c r="BU9" s="331" t="s">
        <v>905</v>
      </c>
      <c r="BV9" s="331" t="s">
        <v>692</v>
      </c>
      <c r="BW9" s="331" t="s">
        <v>906</v>
      </c>
      <c r="BX9" s="331" t="s">
        <v>907</v>
      </c>
      <c r="BY9" s="331" t="s">
        <v>908</v>
      </c>
      <c r="BZ9" s="331" t="s">
        <v>909</v>
      </c>
      <c r="CA9" s="331" t="s">
        <v>0</v>
      </c>
      <c r="CC9" s="331" t="s">
        <v>903</v>
      </c>
      <c r="CD9" s="331" t="s">
        <v>904</v>
      </c>
      <c r="CE9" s="331" t="s">
        <v>399</v>
      </c>
      <c r="CF9" s="331" t="s">
        <v>400</v>
      </c>
      <c r="CG9" s="331" t="s">
        <v>905</v>
      </c>
      <c r="CH9" s="331" t="s">
        <v>692</v>
      </c>
      <c r="CI9" s="331" t="s">
        <v>906</v>
      </c>
      <c r="CJ9" s="331" t="s">
        <v>907</v>
      </c>
      <c r="CK9" s="331" t="s">
        <v>908</v>
      </c>
      <c r="CL9" s="331" t="s">
        <v>909</v>
      </c>
      <c r="CM9" s="331" t="s">
        <v>0</v>
      </c>
    </row>
    <row r="10" spans="1:91" ht="18" x14ac:dyDescent="0.25">
      <c r="A10" s="327">
        <v>1</v>
      </c>
      <c r="B10" s="327" t="s">
        <v>914</v>
      </c>
      <c r="C10" s="333"/>
      <c r="D10" s="333"/>
      <c r="E10" s="333"/>
      <c r="G10" s="18">
        <v>1958</v>
      </c>
      <c r="H10" s="1271">
        <v>26</v>
      </c>
      <c r="I10" s="1224"/>
      <c r="M10" s="337">
        <v>0.5</v>
      </c>
      <c r="N10" s="336">
        <v>0.5</v>
      </c>
      <c r="U10" s="336">
        <f>SUM(K10:T10)</f>
        <v>1</v>
      </c>
      <c r="Y10" s="336">
        <v>0.9</v>
      </c>
      <c r="Z10" s="336">
        <v>0.1</v>
      </c>
      <c r="AC10" s="336">
        <v>0</v>
      </c>
      <c r="AG10" s="336">
        <f>SUM(W10:AF10)</f>
        <v>1</v>
      </c>
      <c r="AI10" s="339"/>
      <c r="AJ10" s="18">
        <v>1958</v>
      </c>
      <c r="AK10" s="327">
        <v>0</v>
      </c>
      <c r="AL10" s="327">
        <v>0</v>
      </c>
      <c r="AP10" s="337">
        <v>0.3</v>
      </c>
      <c r="AQ10" s="336">
        <v>0.7</v>
      </c>
      <c r="AX10" s="336">
        <f>SUM(AN10:AW10)</f>
        <v>1</v>
      </c>
      <c r="BB10" s="337">
        <v>0.3</v>
      </c>
      <c r="BC10" s="336">
        <v>0.7</v>
      </c>
      <c r="BJ10" s="336">
        <f>SUM(AZ10:BI10)</f>
        <v>1</v>
      </c>
      <c r="BK10" s="536"/>
      <c r="BM10" s="18">
        <v>1958</v>
      </c>
      <c r="BN10" s="1225">
        <v>0</v>
      </c>
      <c r="BO10" s="1225"/>
      <c r="BS10" s="336"/>
      <c r="BT10" s="336"/>
      <c r="BU10" s="336"/>
      <c r="BV10" s="336"/>
      <c r="BW10" s="336"/>
      <c r="CA10" s="336">
        <f>SUM(BQ10:BZ10)</f>
        <v>0</v>
      </c>
      <c r="CE10" s="573">
        <f t="shared" ref="CE10:CE59" si="0">$CE$61</f>
        <v>0</v>
      </c>
      <c r="CF10" s="573">
        <f t="shared" ref="CF10:CF59" si="1">$CF$61</f>
        <v>0</v>
      </c>
      <c r="CG10" s="473">
        <f t="shared" ref="CG10:CG59" si="2">$CG$61</f>
        <v>3.9725838568564688E-5</v>
      </c>
      <c r="CH10" s="473">
        <f t="shared" ref="CH10:CH59" si="3">$CH$61</f>
        <v>0.52241707971968876</v>
      </c>
      <c r="CI10" s="473">
        <f t="shared" ref="CI10:CI59" si="4">$CI$61</f>
        <v>0.47754319444174265</v>
      </c>
      <c r="CM10" s="336">
        <f>SUM(CC10:CL10)</f>
        <v>1</v>
      </c>
    </row>
    <row r="11" spans="1:91" ht="18" x14ac:dyDescent="0.25">
      <c r="A11" s="327">
        <v>2</v>
      </c>
      <c r="B11" s="327" t="s">
        <v>915</v>
      </c>
      <c r="C11" s="333"/>
      <c r="D11" s="333"/>
      <c r="E11" s="333"/>
      <c r="G11" s="18">
        <v>1959</v>
      </c>
      <c r="H11" s="1271">
        <v>53</v>
      </c>
      <c r="I11" s="1224"/>
      <c r="M11" s="337">
        <v>0.5</v>
      </c>
      <c r="N11" s="336">
        <v>0.5</v>
      </c>
      <c r="U11" s="336">
        <f t="shared" ref="U11:U74" si="5">SUM(K11:T11)</f>
        <v>1</v>
      </c>
      <c r="Y11" s="336">
        <v>0.9</v>
      </c>
      <c r="Z11" s="336">
        <v>0.1</v>
      </c>
      <c r="AC11" s="336">
        <v>0</v>
      </c>
      <c r="AG11" s="336">
        <f t="shared" ref="AG11:AG74" si="6">SUM(W11:AF11)</f>
        <v>1</v>
      </c>
      <c r="AI11" s="339"/>
      <c r="AJ11" s="18">
        <v>1959</v>
      </c>
      <c r="AK11" s="327">
        <v>0</v>
      </c>
      <c r="AL11" s="327">
        <v>0</v>
      </c>
      <c r="AP11" s="337">
        <v>0.3</v>
      </c>
      <c r="AQ11" s="336">
        <v>0.7</v>
      </c>
      <c r="AX11" s="336">
        <f t="shared" ref="AX11:AX74" si="7">SUM(AN11:AW11)</f>
        <v>1</v>
      </c>
      <c r="BB11" s="337">
        <v>0.3</v>
      </c>
      <c r="BC11" s="336">
        <v>0.7</v>
      </c>
      <c r="BJ11" s="336">
        <f t="shared" ref="BJ11:BJ74" si="8">SUM(AZ11:BI11)</f>
        <v>1</v>
      </c>
      <c r="BK11" s="536"/>
      <c r="BM11" s="18">
        <v>1959</v>
      </c>
      <c r="BN11" s="1224">
        <v>0</v>
      </c>
      <c r="BO11" s="1224"/>
      <c r="BS11" s="336"/>
      <c r="BT11" s="336"/>
      <c r="BU11" s="336"/>
      <c r="BV11" s="336"/>
      <c r="BW11" s="336"/>
      <c r="CA11" s="336">
        <f t="shared" ref="CA11:CA74" si="9">SUM(BQ11:BZ11)</f>
        <v>0</v>
      </c>
      <c r="CE11" s="573">
        <f t="shared" si="0"/>
        <v>0</v>
      </c>
      <c r="CF11" s="573">
        <f t="shared" si="1"/>
        <v>0</v>
      </c>
      <c r="CG11" s="473">
        <f t="shared" si="2"/>
        <v>3.9725838568564688E-5</v>
      </c>
      <c r="CH11" s="473">
        <f t="shared" si="3"/>
        <v>0.52241707971968876</v>
      </c>
      <c r="CI11" s="473">
        <f t="shared" si="4"/>
        <v>0.47754319444174265</v>
      </c>
      <c r="CM11" s="336">
        <f t="shared" ref="CM11:CM74" si="10">SUM(CC11:CL11)</f>
        <v>1</v>
      </c>
    </row>
    <row r="12" spans="1:91" ht="18" x14ac:dyDescent="0.25">
      <c r="A12" s="327">
        <v>3</v>
      </c>
      <c r="B12" s="327" t="s">
        <v>916</v>
      </c>
      <c r="C12" s="333" t="s">
        <v>929</v>
      </c>
      <c r="D12" s="333" t="s">
        <v>925</v>
      </c>
      <c r="E12" s="333" t="s">
        <v>927</v>
      </c>
      <c r="G12" s="18">
        <v>1960</v>
      </c>
      <c r="H12" s="1271">
        <v>79</v>
      </c>
      <c r="I12" s="1224"/>
      <c r="M12" s="337">
        <v>0.5</v>
      </c>
      <c r="N12" s="336">
        <v>0.5</v>
      </c>
      <c r="U12" s="336">
        <f t="shared" si="5"/>
        <v>1</v>
      </c>
      <c r="Y12" s="336">
        <v>0.9</v>
      </c>
      <c r="Z12" s="336">
        <v>0.1</v>
      </c>
      <c r="AC12" s="336">
        <v>0</v>
      </c>
      <c r="AG12" s="336">
        <f t="shared" si="6"/>
        <v>1</v>
      </c>
      <c r="AI12" s="339"/>
      <c r="AJ12" s="18">
        <v>1960</v>
      </c>
      <c r="AK12" s="327">
        <v>0</v>
      </c>
      <c r="AL12" s="327">
        <v>0</v>
      </c>
      <c r="AP12" s="337">
        <v>0.3</v>
      </c>
      <c r="AQ12" s="336">
        <v>0.7</v>
      </c>
      <c r="AX12" s="336">
        <f t="shared" si="7"/>
        <v>1</v>
      </c>
      <c r="BB12" s="337">
        <v>0.3</v>
      </c>
      <c r="BC12" s="336">
        <v>0.7</v>
      </c>
      <c r="BJ12" s="336">
        <f t="shared" si="8"/>
        <v>1</v>
      </c>
      <c r="BK12" s="536"/>
      <c r="BM12" s="18">
        <v>1960</v>
      </c>
      <c r="BN12" s="1224">
        <v>0</v>
      </c>
      <c r="BO12" s="1224"/>
      <c r="BS12" s="336"/>
      <c r="BT12" s="336"/>
      <c r="BU12" s="336"/>
      <c r="BV12" s="336"/>
      <c r="BW12" s="336"/>
      <c r="CA12" s="336">
        <f t="shared" si="9"/>
        <v>0</v>
      </c>
      <c r="CE12" s="573">
        <f t="shared" si="0"/>
        <v>0</v>
      </c>
      <c r="CF12" s="573">
        <f t="shared" si="1"/>
        <v>0</v>
      </c>
      <c r="CG12" s="473">
        <f t="shared" si="2"/>
        <v>3.9725838568564688E-5</v>
      </c>
      <c r="CH12" s="473">
        <f t="shared" si="3"/>
        <v>0.52241707971968876</v>
      </c>
      <c r="CI12" s="473">
        <f t="shared" si="4"/>
        <v>0.47754319444174265</v>
      </c>
      <c r="CM12" s="336">
        <f t="shared" si="10"/>
        <v>1</v>
      </c>
    </row>
    <row r="13" spans="1:91" ht="18" x14ac:dyDescent="0.25">
      <c r="A13" s="327">
        <v>4</v>
      </c>
      <c r="B13" s="327" t="s">
        <v>917</v>
      </c>
      <c r="C13" s="333" t="s">
        <v>924</v>
      </c>
      <c r="D13" s="333"/>
      <c r="E13" s="333" t="s">
        <v>930</v>
      </c>
      <c r="G13" s="18">
        <v>1961</v>
      </c>
      <c r="H13" s="1271">
        <v>106</v>
      </c>
      <c r="I13" s="1224"/>
      <c r="M13" s="337">
        <v>0.5</v>
      </c>
      <c r="N13" s="336">
        <v>0.5</v>
      </c>
      <c r="U13" s="336">
        <f t="shared" si="5"/>
        <v>1</v>
      </c>
      <c r="Y13" s="336">
        <v>0.9</v>
      </c>
      <c r="Z13" s="336">
        <v>0.1</v>
      </c>
      <c r="AC13" s="336">
        <v>0</v>
      </c>
      <c r="AG13" s="336">
        <f t="shared" si="6"/>
        <v>1</v>
      </c>
      <c r="AI13" s="339"/>
      <c r="AJ13" s="18">
        <v>1961</v>
      </c>
      <c r="AK13" s="327">
        <v>0</v>
      </c>
      <c r="AL13" s="327">
        <v>0</v>
      </c>
      <c r="AP13" s="337">
        <v>0.3</v>
      </c>
      <c r="AQ13" s="336">
        <v>0.7</v>
      </c>
      <c r="AX13" s="336">
        <f t="shared" si="7"/>
        <v>1</v>
      </c>
      <c r="BB13" s="337">
        <v>0.3</v>
      </c>
      <c r="BC13" s="336">
        <v>0.7</v>
      </c>
      <c r="BJ13" s="336">
        <f t="shared" si="8"/>
        <v>1</v>
      </c>
      <c r="BK13" s="536"/>
      <c r="BM13" s="18">
        <v>1961</v>
      </c>
      <c r="BN13" s="1224">
        <v>0</v>
      </c>
      <c r="BO13" s="1224"/>
      <c r="BS13" s="336"/>
      <c r="BT13" s="336"/>
      <c r="BU13" s="336"/>
      <c r="BV13" s="336"/>
      <c r="BW13" s="336"/>
      <c r="CA13" s="336">
        <f t="shared" si="9"/>
        <v>0</v>
      </c>
      <c r="CE13" s="573">
        <f t="shared" si="0"/>
        <v>0</v>
      </c>
      <c r="CF13" s="573">
        <f t="shared" si="1"/>
        <v>0</v>
      </c>
      <c r="CG13" s="473">
        <f t="shared" si="2"/>
        <v>3.9725838568564688E-5</v>
      </c>
      <c r="CH13" s="473">
        <f t="shared" si="3"/>
        <v>0.52241707971968876</v>
      </c>
      <c r="CI13" s="473">
        <f t="shared" si="4"/>
        <v>0.47754319444174265</v>
      </c>
      <c r="CM13" s="336">
        <f t="shared" si="10"/>
        <v>1</v>
      </c>
    </row>
    <row r="14" spans="1:91" ht="18" x14ac:dyDescent="0.25">
      <c r="A14" s="327">
        <v>5</v>
      </c>
      <c r="B14" s="327" t="s">
        <v>918</v>
      </c>
      <c r="C14" s="333" t="s">
        <v>926</v>
      </c>
      <c r="D14" s="333"/>
      <c r="E14" s="333"/>
      <c r="G14" s="18">
        <v>1962</v>
      </c>
      <c r="H14" s="1271">
        <v>132</v>
      </c>
      <c r="I14" s="1224"/>
      <c r="M14" s="337">
        <v>0.5</v>
      </c>
      <c r="N14" s="336">
        <v>0.5</v>
      </c>
      <c r="U14" s="336">
        <f t="shared" si="5"/>
        <v>1</v>
      </c>
      <c r="Y14" s="336">
        <v>0.9</v>
      </c>
      <c r="Z14" s="336">
        <v>0.1</v>
      </c>
      <c r="AC14" s="336">
        <v>0</v>
      </c>
      <c r="AG14" s="336">
        <f t="shared" si="6"/>
        <v>1</v>
      </c>
      <c r="AI14" s="339"/>
      <c r="AJ14" s="18">
        <v>1962</v>
      </c>
      <c r="AK14" s="327">
        <v>0</v>
      </c>
      <c r="AL14" s="327">
        <v>0</v>
      </c>
      <c r="AP14" s="337">
        <v>0.3</v>
      </c>
      <c r="AQ14" s="336">
        <v>0.7</v>
      </c>
      <c r="AX14" s="336">
        <f t="shared" si="7"/>
        <v>1</v>
      </c>
      <c r="BB14" s="337">
        <v>0.3</v>
      </c>
      <c r="BC14" s="336">
        <v>0.7</v>
      </c>
      <c r="BJ14" s="336">
        <f t="shared" si="8"/>
        <v>1</v>
      </c>
      <c r="BK14" s="536"/>
      <c r="BM14" s="18">
        <v>1962</v>
      </c>
      <c r="BN14" s="1224">
        <v>0</v>
      </c>
      <c r="BO14" s="1224"/>
      <c r="BS14" s="336"/>
      <c r="BT14" s="336"/>
      <c r="BU14" s="336"/>
      <c r="BV14" s="336"/>
      <c r="BW14" s="336"/>
      <c r="CA14" s="336">
        <f t="shared" si="9"/>
        <v>0</v>
      </c>
      <c r="CE14" s="573">
        <f t="shared" si="0"/>
        <v>0</v>
      </c>
      <c r="CF14" s="573">
        <f t="shared" si="1"/>
        <v>0</v>
      </c>
      <c r="CG14" s="473">
        <f t="shared" si="2"/>
        <v>3.9725838568564688E-5</v>
      </c>
      <c r="CH14" s="473">
        <f t="shared" si="3"/>
        <v>0.52241707971968876</v>
      </c>
      <c r="CI14" s="473">
        <f t="shared" si="4"/>
        <v>0.47754319444174265</v>
      </c>
      <c r="CM14" s="336">
        <f t="shared" si="10"/>
        <v>1</v>
      </c>
    </row>
    <row r="15" spans="1:91" ht="18" x14ac:dyDescent="0.25">
      <c r="A15" s="327">
        <v>6</v>
      </c>
      <c r="B15" s="327" t="s">
        <v>919</v>
      </c>
      <c r="C15" s="333" t="s">
        <v>926</v>
      </c>
      <c r="D15" s="333"/>
      <c r="E15" s="333"/>
      <c r="G15" s="18">
        <v>1963</v>
      </c>
      <c r="H15" s="1271">
        <v>159</v>
      </c>
      <c r="I15" s="1224"/>
      <c r="M15" s="337">
        <v>0.5</v>
      </c>
      <c r="N15" s="336">
        <v>0.5</v>
      </c>
      <c r="U15" s="336">
        <f t="shared" si="5"/>
        <v>1</v>
      </c>
      <c r="Y15" s="336">
        <v>0.9</v>
      </c>
      <c r="Z15" s="336">
        <v>0.1</v>
      </c>
      <c r="AC15" s="336">
        <v>0</v>
      </c>
      <c r="AG15" s="336">
        <f t="shared" si="6"/>
        <v>1</v>
      </c>
      <c r="AI15" s="339"/>
      <c r="AJ15" s="18">
        <v>1963</v>
      </c>
      <c r="AK15" s="327">
        <v>0</v>
      </c>
      <c r="AL15" s="327">
        <v>0</v>
      </c>
      <c r="AP15" s="337">
        <v>0.3</v>
      </c>
      <c r="AQ15" s="336">
        <v>0.7</v>
      </c>
      <c r="AX15" s="336">
        <f t="shared" si="7"/>
        <v>1</v>
      </c>
      <c r="BB15" s="337">
        <v>0.3</v>
      </c>
      <c r="BC15" s="336">
        <v>0.7</v>
      </c>
      <c r="BJ15" s="336">
        <f t="shared" si="8"/>
        <v>1</v>
      </c>
      <c r="BK15" s="536"/>
      <c r="BM15" s="18">
        <v>1963</v>
      </c>
      <c r="BN15" s="1224">
        <v>0</v>
      </c>
      <c r="BO15" s="1224"/>
      <c r="BS15" s="336"/>
      <c r="BT15" s="336"/>
      <c r="BU15" s="336"/>
      <c r="BV15" s="336"/>
      <c r="BW15" s="336"/>
      <c r="CA15" s="336">
        <f t="shared" si="9"/>
        <v>0</v>
      </c>
      <c r="CE15" s="573">
        <f t="shared" si="0"/>
        <v>0</v>
      </c>
      <c r="CF15" s="573">
        <f t="shared" si="1"/>
        <v>0</v>
      </c>
      <c r="CG15" s="473">
        <f t="shared" si="2"/>
        <v>3.9725838568564688E-5</v>
      </c>
      <c r="CH15" s="473">
        <f t="shared" si="3"/>
        <v>0.52241707971968876</v>
      </c>
      <c r="CI15" s="473">
        <f t="shared" si="4"/>
        <v>0.47754319444174265</v>
      </c>
      <c r="CM15" s="336">
        <f t="shared" si="10"/>
        <v>1</v>
      </c>
    </row>
    <row r="16" spans="1:91" ht="18" x14ac:dyDescent="0.25">
      <c r="A16" s="327">
        <v>7</v>
      </c>
      <c r="B16" s="327" t="s">
        <v>920</v>
      </c>
      <c r="C16" s="333" t="s">
        <v>926</v>
      </c>
      <c r="D16" s="333"/>
      <c r="E16" s="333"/>
      <c r="G16" s="18">
        <v>1964</v>
      </c>
      <c r="H16" s="1271">
        <v>185</v>
      </c>
      <c r="I16" s="1224"/>
      <c r="M16" s="337">
        <v>0.5</v>
      </c>
      <c r="N16" s="336">
        <v>0.5</v>
      </c>
      <c r="U16" s="336">
        <f t="shared" si="5"/>
        <v>1</v>
      </c>
      <c r="Y16" s="336">
        <v>0.9</v>
      </c>
      <c r="Z16" s="336">
        <v>0.1</v>
      </c>
      <c r="AC16" s="336">
        <v>0</v>
      </c>
      <c r="AG16" s="336">
        <f t="shared" si="6"/>
        <v>1</v>
      </c>
      <c r="AI16" s="339"/>
      <c r="AJ16" s="18">
        <v>1964</v>
      </c>
      <c r="AK16" s="327">
        <v>0</v>
      </c>
      <c r="AL16" s="327">
        <v>0</v>
      </c>
      <c r="AP16" s="337">
        <v>0.3</v>
      </c>
      <c r="AQ16" s="336">
        <v>0.7</v>
      </c>
      <c r="AX16" s="336">
        <f t="shared" si="7"/>
        <v>1</v>
      </c>
      <c r="BB16" s="337">
        <v>0.3</v>
      </c>
      <c r="BC16" s="336">
        <v>0.7</v>
      </c>
      <c r="BJ16" s="336">
        <f t="shared" si="8"/>
        <v>1</v>
      </c>
      <c r="BK16" s="536"/>
      <c r="BM16" s="18">
        <v>1964</v>
      </c>
      <c r="BN16" s="1224">
        <v>0</v>
      </c>
      <c r="BO16" s="1224"/>
      <c r="BS16" s="336"/>
      <c r="BT16" s="336"/>
      <c r="BU16" s="336"/>
      <c r="BV16" s="336"/>
      <c r="BW16" s="336"/>
      <c r="CA16" s="336">
        <f t="shared" si="9"/>
        <v>0</v>
      </c>
      <c r="CE16" s="573">
        <f t="shared" si="0"/>
        <v>0</v>
      </c>
      <c r="CF16" s="573">
        <f t="shared" si="1"/>
        <v>0</v>
      </c>
      <c r="CG16" s="473">
        <f t="shared" si="2"/>
        <v>3.9725838568564688E-5</v>
      </c>
      <c r="CH16" s="473">
        <f t="shared" si="3"/>
        <v>0.52241707971968876</v>
      </c>
      <c r="CI16" s="473">
        <f t="shared" si="4"/>
        <v>0.47754319444174265</v>
      </c>
      <c r="CM16" s="336">
        <f t="shared" si="10"/>
        <v>1</v>
      </c>
    </row>
    <row r="17" spans="1:91" ht="18" x14ac:dyDescent="0.25">
      <c r="A17" s="327">
        <v>8</v>
      </c>
      <c r="B17" s="327" t="s">
        <v>921</v>
      </c>
      <c r="C17" s="333"/>
      <c r="D17" s="333"/>
      <c r="E17" s="333"/>
      <c r="G17" s="18">
        <v>1965</v>
      </c>
      <c r="H17" s="1271">
        <v>212</v>
      </c>
      <c r="I17" s="1224"/>
      <c r="M17" s="337">
        <v>0.5</v>
      </c>
      <c r="N17" s="336">
        <v>0.5</v>
      </c>
      <c r="U17" s="336">
        <f t="shared" si="5"/>
        <v>1</v>
      </c>
      <c r="Y17" s="336">
        <v>0.9</v>
      </c>
      <c r="Z17" s="336">
        <v>0.1</v>
      </c>
      <c r="AC17" s="336">
        <v>0</v>
      </c>
      <c r="AG17" s="336">
        <f t="shared" si="6"/>
        <v>1</v>
      </c>
      <c r="AI17" s="339"/>
      <c r="AJ17" s="18">
        <v>1965</v>
      </c>
      <c r="AK17" s="327">
        <v>0</v>
      </c>
      <c r="AL17" s="327">
        <v>0</v>
      </c>
      <c r="AP17" s="337">
        <v>0.3</v>
      </c>
      <c r="AQ17" s="336">
        <v>0.7</v>
      </c>
      <c r="AX17" s="336">
        <f t="shared" si="7"/>
        <v>1</v>
      </c>
      <c r="BB17" s="337">
        <v>0.3</v>
      </c>
      <c r="BC17" s="336">
        <v>0.7</v>
      </c>
      <c r="BJ17" s="336">
        <f t="shared" si="8"/>
        <v>1</v>
      </c>
      <c r="BK17" s="536"/>
      <c r="BM17" s="18">
        <v>1965</v>
      </c>
      <c r="BN17" s="1224">
        <v>0</v>
      </c>
      <c r="BO17" s="1224"/>
      <c r="BS17" s="336"/>
      <c r="BT17" s="336"/>
      <c r="BU17" s="336"/>
      <c r="BV17" s="336"/>
      <c r="BW17" s="336"/>
      <c r="CA17" s="336">
        <f t="shared" si="9"/>
        <v>0</v>
      </c>
      <c r="CE17" s="573">
        <f t="shared" si="0"/>
        <v>0</v>
      </c>
      <c r="CF17" s="573">
        <f t="shared" si="1"/>
        <v>0</v>
      </c>
      <c r="CG17" s="473">
        <f t="shared" si="2"/>
        <v>3.9725838568564688E-5</v>
      </c>
      <c r="CH17" s="473">
        <f t="shared" si="3"/>
        <v>0.52241707971968876</v>
      </c>
      <c r="CI17" s="473">
        <f t="shared" si="4"/>
        <v>0.47754319444174265</v>
      </c>
      <c r="CM17" s="336">
        <f t="shared" si="10"/>
        <v>1</v>
      </c>
    </row>
    <row r="18" spans="1:91" ht="18" x14ac:dyDescent="0.25">
      <c r="A18" s="327">
        <v>9</v>
      </c>
      <c r="B18" s="327" t="s">
        <v>922</v>
      </c>
      <c r="C18" s="333"/>
      <c r="D18" s="333"/>
      <c r="E18" s="333"/>
      <c r="G18" s="18">
        <v>1966</v>
      </c>
      <c r="H18" s="1271">
        <v>238</v>
      </c>
      <c r="I18" s="1224"/>
      <c r="M18" s="337">
        <v>0.5</v>
      </c>
      <c r="N18" s="336">
        <v>0.5</v>
      </c>
      <c r="U18" s="336">
        <f t="shared" si="5"/>
        <v>1</v>
      </c>
      <c r="Y18" s="336">
        <v>0.9</v>
      </c>
      <c r="Z18" s="336">
        <v>0.1</v>
      </c>
      <c r="AC18" s="336">
        <v>0</v>
      </c>
      <c r="AG18" s="336">
        <f t="shared" si="6"/>
        <v>1</v>
      </c>
      <c r="AI18" s="339"/>
      <c r="AJ18" s="18">
        <v>1966</v>
      </c>
      <c r="AK18" s="327">
        <v>0</v>
      </c>
      <c r="AL18" s="327">
        <v>0</v>
      </c>
      <c r="AP18" s="337">
        <v>0.3</v>
      </c>
      <c r="AQ18" s="336">
        <v>0.7</v>
      </c>
      <c r="AX18" s="336">
        <f t="shared" si="7"/>
        <v>1</v>
      </c>
      <c r="BB18" s="337">
        <v>0.3</v>
      </c>
      <c r="BC18" s="336">
        <v>0.7</v>
      </c>
      <c r="BJ18" s="336">
        <f t="shared" si="8"/>
        <v>1</v>
      </c>
      <c r="BK18" s="536"/>
      <c r="BM18" s="18">
        <v>1966</v>
      </c>
      <c r="BN18" s="1224">
        <v>0</v>
      </c>
      <c r="BO18" s="1224"/>
      <c r="BS18" s="336"/>
      <c r="BT18" s="336"/>
      <c r="BU18" s="336"/>
      <c r="BV18" s="336"/>
      <c r="BW18" s="336"/>
      <c r="CA18" s="336">
        <f t="shared" si="9"/>
        <v>0</v>
      </c>
      <c r="CE18" s="573">
        <f t="shared" si="0"/>
        <v>0</v>
      </c>
      <c r="CF18" s="573">
        <f t="shared" si="1"/>
        <v>0</v>
      </c>
      <c r="CG18" s="473">
        <f t="shared" si="2"/>
        <v>3.9725838568564688E-5</v>
      </c>
      <c r="CH18" s="473">
        <f t="shared" si="3"/>
        <v>0.52241707971968876</v>
      </c>
      <c r="CI18" s="473">
        <f t="shared" si="4"/>
        <v>0.47754319444174265</v>
      </c>
      <c r="CM18" s="336">
        <f t="shared" si="10"/>
        <v>1</v>
      </c>
    </row>
    <row r="19" spans="1:91" ht="18" x14ac:dyDescent="0.25">
      <c r="A19" s="327">
        <v>10</v>
      </c>
      <c r="B19" s="327" t="s">
        <v>923</v>
      </c>
      <c r="C19" s="333"/>
      <c r="D19" s="333"/>
      <c r="E19" s="333"/>
      <c r="G19" s="18">
        <v>1967</v>
      </c>
      <c r="H19" s="1271">
        <v>265</v>
      </c>
      <c r="I19" s="1224"/>
      <c r="M19" s="337">
        <v>0.5</v>
      </c>
      <c r="N19" s="336">
        <v>0.5</v>
      </c>
      <c r="U19" s="336">
        <f t="shared" si="5"/>
        <v>1</v>
      </c>
      <c r="Y19" s="336">
        <v>0.9</v>
      </c>
      <c r="Z19" s="336">
        <v>0.1</v>
      </c>
      <c r="AC19" s="336">
        <v>0</v>
      </c>
      <c r="AG19" s="336">
        <f t="shared" si="6"/>
        <v>1</v>
      </c>
      <c r="AI19" s="339"/>
      <c r="AJ19" s="18">
        <v>1967</v>
      </c>
      <c r="AK19" s="327">
        <v>0</v>
      </c>
      <c r="AL19" s="327">
        <v>0</v>
      </c>
      <c r="AP19" s="337">
        <v>0.3</v>
      </c>
      <c r="AQ19" s="336">
        <v>0.7</v>
      </c>
      <c r="AX19" s="336">
        <f t="shared" si="7"/>
        <v>1</v>
      </c>
      <c r="BB19" s="337">
        <v>0.3</v>
      </c>
      <c r="BC19" s="336">
        <v>0.7</v>
      </c>
      <c r="BJ19" s="336">
        <f t="shared" si="8"/>
        <v>1</v>
      </c>
      <c r="BK19" s="536"/>
      <c r="BM19" s="18">
        <v>1967</v>
      </c>
      <c r="BN19" s="1224">
        <v>0</v>
      </c>
      <c r="BO19" s="1224"/>
      <c r="BS19" s="336"/>
      <c r="BT19" s="336"/>
      <c r="BU19" s="336"/>
      <c r="BV19" s="336"/>
      <c r="BW19" s="336"/>
      <c r="CA19" s="336">
        <f t="shared" si="9"/>
        <v>0</v>
      </c>
      <c r="CE19" s="573">
        <f t="shared" si="0"/>
        <v>0</v>
      </c>
      <c r="CF19" s="573">
        <f t="shared" si="1"/>
        <v>0</v>
      </c>
      <c r="CG19" s="473">
        <f t="shared" si="2"/>
        <v>3.9725838568564688E-5</v>
      </c>
      <c r="CH19" s="473">
        <f t="shared" si="3"/>
        <v>0.52241707971968876</v>
      </c>
      <c r="CI19" s="473">
        <f t="shared" si="4"/>
        <v>0.47754319444174265</v>
      </c>
      <c r="CM19" s="336">
        <f t="shared" si="10"/>
        <v>1</v>
      </c>
    </row>
    <row r="20" spans="1:91" ht="18" x14ac:dyDescent="0.25">
      <c r="G20" s="18">
        <v>1968</v>
      </c>
      <c r="H20" s="1271">
        <v>291</v>
      </c>
      <c r="I20" s="1224"/>
      <c r="M20" s="337">
        <v>0.5</v>
      </c>
      <c r="N20" s="336">
        <v>0.5</v>
      </c>
      <c r="U20" s="336">
        <f t="shared" si="5"/>
        <v>1</v>
      </c>
      <c r="Y20" s="336">
        <v>0.9</v>
      </c>
      <c r="Z20" s="336">
        <v>0.1</v>
      </c>
      <c r="AC20" s="336">
        <v>0</v>
      </c>
      <c r="AG20" s="336">
        <f t="shared" si="6"/>
        <v>1</v>
      </c>
      <c r="AI20" s="339"/>
      <c r="AJ20" s="18">
        <v>1968</v>
      </c>
      <c r="AK20" s="327">
        <v>0</v>
      </c>
      <c r="AL20" s="327">
        <v>0</v>
      </c>
      <c r="AP20" s="337">
        <v>0.3</v>
      </c>
      <c r="AQ20" s="336">
        <v>0.7</v>
      </c>
      <c r="AX20" s="336">
        <f t="shared" si="7"/>
        <v>1</v>
      </c>
      <c r="BB20" s="337">
        <v>0.3</v>
      </c>
      <c r="BC20" s="336">
        <v>0.7</v>
      </c>
      <c r="BJ20" s="336">
        <f t="shared" si="8"/>
        <v>1</v>
      </c>
      <c r="BK20" s="536"/>
      <c r="BM20" s="18">
        <v>1968</v>
      </c>
      <c r="BN20" s="1224">
        <v>0</v>
      </c>
      <c r="BO20" s="1224"/>
      <c r="BS20" s="336"/>
      <c r="BT20" s="336"/>
      <c r="BU20" s="336"/>
      <c r="BV20" s="336"/>
      <c r="BW20" s="336"/>
      <c r="CA20" s="336">
        <f t="shared" si="9"/>
        <v>0</v>
      </c>
      <c r="CE20" s="573">
        <f t="shared" si="0"/>
        <v>0</v>
      </c>
      <c r="CF20" s="573">
        <f t="shared" si="1"/>
        <v>0</v>
      </c>
      <c r="CG20" s="473">
        <f t="shared" si="2"/>
        <v>3.9725838568564688E-5</v>
      </c>
      <c r="CH20" s="473">
        <f t="shared" si="3"/>
        <v>0.52241707971968876</v>
      </c>
      <c r="CI20" s="473">
        <f t="shared" si="4"/>
        <v>0.47754319444174265</v>
      </c>
      <c r="CM20" s="336">
        <f t="shared" si="10"/>
        <v>1</v>
      </c>
    </row>
    <row r="21" spans="1:91" ht="18" x14ac:dyDescent="0.25">
      <c r="G21" s="18">
        <v>1969</v>
      </c>
      <c r="H21" s="1271">
        <v>318</v>
      </c>
      <c r="I21" s="1224"/>
      <c r="M21" s="337">
        <v>0.5</v>
      </c>
      <c r="N21" s="336">
        <v>0.5</v>
      </c>
      <c r="U21" s="336">
        <f t="shared" si="5"/>
        <v>1</v>
      </c>
      <c r="Y21" s="336">
        <v>0.9</v>
      </c>
      <c r="Z21" s="336">
        <v>0.1</v>
      </c>
      <c r="AC21" s="336">
        <v>0</v>
      </c>
      <c r="AG21" s="336">
        <f t="shared" si="6"/>
        <v>1</v>
      </c>
      <c r="AI21" s="339"/>
      <c r="AJ21" s="18">
        <v>1969</v>
      </c>
      <c r="AK21" s="327">
        <v>0</v>
      </c>
      <c r="AL21" s="327">
        <v>0</v>
      </c>
      <c r="AP21" s="337">
        <v>0.3</v>
      </c>
      <c r="AQ21" s="336">
        <v>0.7</v>
      </c>
      <c r="AX21" s="336">
        <f t="shared" si="7"/>
        <v>1</v>
      </c>
      <c r="BB21" s="337">
        <v>0.3</v>
      </c>
      <c r="BC21" s="336">
        <v>0.7</v>
      </c>
      <c r="BJ21" s="336">
        <f t="shared" si="8"/>
        <v>1</v>
      </c>
      <c r="BK21" s="536"/>
      <c r="BM21" s="18">
        <v>1969</v>
      </c>
      <c r="BN21" s="1224">
        <v>0</v>
      </c>
      <c r="BO21" s="1224"/>
      <c r="BS21" s="336"/>
      <c r="BT21" s="336"/>
      <c r="BU21" s="336"/>
      <c r="BV21" s="336"/>
      <c r="BW21" s="336"/>
      <c r="CA21" s="336">
        <f t="shared" si="9"/>
        <v>0</v>
      </c>
      <c r="CE21" s="573">
        <f t="shared" si="0"/>
        <v>0</v>
      </c>
      <c r="CF21" s="573">
        <f t="shared" si="1"/>
        <v>0</v>
      </c>
      <c r="CG21" s="473">
        <f t="shared" si="2"/>
        <v>3.9725838568564688E-5</v>
      </c>
      <c r="CH21" s="473">
        <f t="shared" si="3"/>
        <v>0.52241707971968876</v>
      </c>
      <c r="CI21" s="473">
        <f t="shared" si="4"/>
        <v>0.47754319444174265</v>
      </c>
      <c r="CM21" s="336">
        <f t="shared" si="10"/>
        <v>1</v>
      </c>
    </row>
    <row r="22" spans="1:91" ht="18" x14ac:dyDescent="0.25">
      <c r="G22" s="18">
        <v>1970</v>
      </c>
      <c r="H22" s="1271">
        <v>344</v>
      </c>
      <c r="I22" s="1224"/>
      <c r="M22" s="337">
        <v>0.5</v>
      </c>
      <c r="N22" s="336">
        <v>0.5</v>
      </c>
      <c r="U22" s="336">
        <f t="shared" si="5"/>
        <v>1</v>
      </c>
      <c r="Y22" s="336">
        <v>0.9</v>
      </c>
      <c r="Z22" s="336">
        <v>0.1</v>
      </c>
      <c r="AC22" s="336">
        <v>0</v>
      </c>
      <c r="AG22" s="336">
        <f t="shared" si="6"/>
        <v>1</v>
      </c>
      <c r="AI22" s="339"/>
      <c r="AJ22" s="18">
        <v>1970</v>
      </c>
      <c r="AK22" s="327">
        <v>0</v>
      </c>
      <c r="AL22" s="327">
        <v>0</v>
      </c>
      <c r="AP22" s="337">
        <v>0.3</v>
      </c>
      <c r="AQ22" s="336">
        <v>0.7</v>
      </c>
      <c r="AX22" s="336">
        <f t="shared" si="7"/>
        <v>1</v>
      </c>
      <c r="BB22" s="337">
        <v>0.3</v>
      </c>
      <c r="BC22" s="336">
        <v>0.7</v>
      </c>
      <c r="BJ22" s="336">
        <f t="shared" si="8"/>
        <v>1</v>
      </c>
      <c r="BK22" s="536"/>
      <c r="BM22" s="18">
        <v>1970</v>
      </c>
      <c r="BN22" s="1224">
        <v>0</v>
      </c>
      <c r="BO22" s="1224"/>
      <c r="BS22" s="336"/>
      <c r="BT22" s="336"/>
      <c r="BU22" s="336"/>
      <c r="BV22" s="336"/>
      <c r="BW22" s="336"/>
      <c r="CA22" s="336">
        <f t="shared" si="9"/>
        <v>0</v>
      </c>
      <c r="CE22" s="573">
        <f t="shared" si="0"/>
        <v>0</v>
      </c>
      <c r="CF22" s="573">
        <f t="shared" si="1"/>
        <v>0</v>
      </c>
      <c r="CG22" s="473">
        <f t="shared" si="2"/>
        <v>3.9725838568564688E-5</v>
      </c>
      <c r="CH22" s="473">
        <f t="shared" si="3"/>
        <v>0.52241707971968876</v>
      </c>
      <c r="CI22" s="473">
        <f t="shared" si="4"/>
        <v>0.47754319444174265</v>
      </c>
      <c r="CM22" s="336">
        <f t="shared" si="10"/>
        <v>1</v>
      </c>
    </row>
    <row r="23" spans="1:91" ht="18" x14ac:dyDescent="0.25">
      <c r="G23" s="18">
        <v>1971</v>
      </c>
      <c r="H23" s="1271">
        <v>370</v>
      </c>
      <c r="I23" s="1224"/>
      <c r="M23" s="337">
        <v>0.5</v>
      </c>
      <c r="N23" s="336">
        <v>0.5</v>
      </c>
      <c r="U23" s="336">
        <f t="shared" si="5"/>
        <v>1</v>
      </c>
      <c r="Y23" s="336">
        <v>0.9</v>
      </c>
      <c r="Z23" s="336">
        <v>0.1</v>
      </c>
      <c r="AC23" s="336">
        <v>0</v>
      </c>
      <c r="AG23" s="336">
        <f t="shared" si="6"/>
        <v>1</v>
      </c>
      <c r="AI23" s="339"/>
      <c r="AJ23" s="18">
        <v>1971</v>
      </c>
      <c r="AK23" s="327">
        <v>0</v>
      </c>
      <c r="AL23" s="327">
        <v>0</v>
      </c>
      <c r="AP23" s="337">
        <v>0.3</v>
      </c>
      <c r="AQ23" s="336">
        <v>0.7</v>
      </c>
      <c r="AX23" s="336">
        <f t="shared" si="7"/>
        <v>1</v>
      </c>
      <c r="BB23" s="337">
        <v>0.3</v>
      </c>
      <c r="BC23" s="336">
        <v>0.7</v>
      </c>
      <c r="BJ23" s="336">
        <f t="shared" si="8"/>
        <v>1</v>
      </c>
      <c r="BK23" s="536"/>
      <c r="BM23" s="18">
        <v>1971</v>
      </c>
      <c r="BN23" s="1224">
        <v>0</v>
      </c>
      <c r="BO23" s="1224"/>
      <c r="BS23" s="336"/>
      <c r="BT23" s="336"/>
      <c r="BU23" s="336"/>
      <c r="BV23" s="336"/>
      <c r="BW23" s="336"/>
      <c r="CA23" s="336">
        <f t="shared" si="9"/>
        <v>0</v>
      </c>
      <c r="CE23" s="573">
        <f t="shared" si="0"/>
        <v>0</v>
      </c>
      <c r="CF23" s="573">
        <f t="shared" si="1"/>
        <v>0</v>
      </c>
      <c r="CG23" s="473">
        <f t="shared" si="2"/>
        <v>3.9725838568564688E-5</v>
      </c>
      <c r="CH23" s="473">
        <f t="shared" si="3"/>
        <v>0.52241707971968876</v>
      </c>
      <c r="CI23" s="473">
        <f t="shared" si="4"/>
        <v>0.47754319444174265</v>
      </c>
      <c r="CM23" s="336">
        <f t="shared" si="10"/>
        <v>1</v>
      </c>
    </row>
    <row r="24" spans="1:91" ht="18" x14ac:dyDescent="0.25">
      <c r="G24" s="18">
        <v>1972</v>
      </c>
      <c r="H24" s="1271">
        <v>397</v>
      </c>
      <c r="I24" s="1224"/>
      <c r="M24" s="337">
        <v>0.5</v>
      </c>
      <c r="N24" s="336">
        <v>0.5</v>
      </c>
      <c r="U24" s="336">
        <f t="shared" si="5"/>
        <v>1</v>
      </c>
      <c r="Y24" s="336">
        <v>0.9</v>
      </c>
      <c r="Z24" s="336">
        <v>0.1</v>
      </c>
      <c r="AC24" s="336">
        <v>0</v>
      </c>
      <c r="AG24" s="336">
        <f t="shared" si="6"/>
        <v>1</v>
      </c>
      <c r="AI24" s="339"/>
      <c r="AJ24" s="18">
        <v>1972</v>
      </c>
      <c r="AK24" s="327">
        <v>0</v>
      </c>
      <c r="AL24" s="327">
        <v>0</v>
      </c>
      <c r="AP24" s="337">
        <v>0.3</v>
      </c>
      <c r="AQ24" s="336">
        <v>0.7</v>
      </c>
      <c r="AX24" s="336">
        <f t="shared" si="7"/>
        <v>1</v>
      </c>
      <c r="BB24" s="337">
        <v>0.3</v>
      </c>
      <c r="BC24" s="336">
        <v>0.7</v>
      </c>
      <c r="BJ24" s="336">
        <f t="shared" si="8"/>
        <v>1</v>
      </c>
      <c r="BK24" s="536"/>
      <c r="BM24" s="18">
        <v>1972</v>
      </c>
      <c r="BN24" s="1224">
        <v>0</v>
      </c>
      <c r="BO24" s="1224"/>
      <c r="BS24" s="336"/>
      <c r="BT24" s="336"/>
      <c r="BU24" s="336"/>
      <c r="BV24" s="336"/>
      <c r="BW24" s="336"/>
      <c r="CA24" s="336">
        <f t="shared" si="9"/>
        <v>0</v>
      </c>
      <c r="CE24" s="573">
        <f t="shared" si="0"/>
        <v>0</v>
      </c>
      <c r="CF24" s="573">
        <f t="shared" si="1"/>
        <v>0</v>
      </c>
      <c r="CG24" s="473">
        <f t="shared" si="2"/>
        <v>3.9725838568564688E-5</v>
      </c>
      <c r="CH24" s="473">
        <f t="shared" si="3"/>
        <v>0.52241707971968876</v>
      </c>
      <c r="CI24" s="473">
        <f t="shared" si="4"/>
        <v>0.47754319444174265</v>
      </c>
      <c r="CM24" s="336">
        <f t="shared" si="10"/>
        <v>1</v>
      </c>
    </row>
    <row r="25" spans="1:91" ht="18" x14ac:dyDescent="0.25">
      <c r="G25" s="18">
        <v>1973</v>
      </c>
      <c r="H25" s="1271">
        <v>423</v>
      </c>
      <c r="I25" s="1224"/>
      <c r="M25" s="337">
        <v>0.5</v>
      </c>
      <c r="N25" s="336">
        <v>0.5</v>
      </c>
      <c r="U25" s="336">
        <f t="shared" si="5"/>
        <v>1</v>
      </c>
      <c r="Y25" s="336">
        <v>0.9</v>
      </c>
      <c r="Z25" s="336">
        <v>0.1</v>
      </c>
      <c r="AC25" s="336">
        <v>0</v>
      </c>
      <c r="AG25" s="336">
        <f t="shared" si="6"/>
        <v>1</v>
      </c>
      <c r="AI25" s="339"/>
      <c r="AJ25" s="18">
        <v>1973</v>
      </c>
      <c r="AK25" s="327">
        <v>0</v>
      </c>
      <c r="AL25" s="327">
        <v>0</v>
      </c>
      <c r="AP25" s="337">
        <v>0.3</v>
      </c>
      <c r="AQ25" s="336">
        <v>0.7</v>
      </c>
      <c r="AX25" s="336">
        <f t="shared" si="7"/>
        <v>1</v>
      </c>
      <c r="BB25" s="337">
        <v>0.3</v>
      </c>
      <c r="BC25" s="336">
        <v>0.7</v>
      </c>
      <c r="BJ25" s="336">
        <f t="shared" si="8"/>
        <v>1</v>
      </c>
      <c r="BK25" s="536"/>
      <c r="BM25" s="18">
        <v>1973</v>
      </c>
      <c r="BN25" s="1224">
        <v>0</v>
      </c>
      <c r="BO25" s="1224"/>
      <c r="BS25" s="336"/>
      <c r="BT25" s="336"/>
      <c r="BU25" s="336"/>
      <c r="BV25" s="336"/>
      <c r="BW25" s="336"/>
      <c r="CA25" s="336">
        <f t="shared" si="9"/>
        <v>0</v>
      </c>
      <c r="CE25" s="573">
        <f t="shared" si="0"/>
        <v>0</v>
      </c>
      <c r="CF25" s="573">
        <f t="shared" si="1"/>
        <v>0</v>
      </c>
      <c r="CG25" s="473">
        <f t="shared" si="2"/>
        <v>3.9725838568564688E-5</v>
      </c>
      <c r="CH25" s="473">
        <f t="shared" si="3"/>
        <v>0.52241707971968876</v>
      </c>
      <c r="CI25" s="473">
        <f t="shared" si="4"/>
        <v>0.47754319444174265</v>
      </c>
      <c r="CM25" s="336">
        <f t="shared" si="10"/>
        <v>1</v>
      </c>
    </row>
    <row r="26" spans="1:91" ht="18" x14ac:dyDescent="0.25">
      <c r="G26" s="18">
        <v>1974</v>
      </c>
      <c r="H26" s="1271">
        <v>450</v>
      </c>
      <c r="I26" s="1224"/>
      <c r="M26" s="337">
        <v>0.5</v>
      </c>
      <c r="N26" s="336">
        <v>0.5</v>
      </c>
      <c r="U26" s="336">
        <f t="shared" si="5"/>
        <v>1</v>
      </c>
      <c r="Y26" s="336">
        <v>0.9</v>
      </c>
      <c r="Z26" s="336">
        <v>0.1</v>
      </c>
      <c r="AC26" s="336">
        <v>0</v>
      </c>
      <c r="AG26" s="336">
        <f t="shared" si="6"/>
        <v>1</v>
      </c>
      <c r="AI26" s="339"/>
      <c r="AJ26" s="18">
        <v>1974</v>
      </c>
      <c r="AK26" s="327">
        <v>0</v>
      </c>
      <c r="AL26" s="327">
        <v>0</v>
      </c>
      <c r="AP26" s="337">
        <v>0.3</v>
      </c>
      <c r="AQ26" s="336">
        <v>0.7</v>
      </c>
      <c r="AX26" s="336">
        <f t="shared" si="7"/>
        <v>1</v>
      </c>
      <c r="BB26" s="337">
        <v>0.3</v>
      </c>
      <c r="BC26" s="336">
        <v>0.7</v>
      </c>
      <c r="BJ26" s="336">
        <f t="shared" si="8"/>
        <v>1</v>
      </c>
      <c r="BK26" s="536"/>
      <c r="BM26" s="18">
        <v>1974</v>
      </c>
      <c r="BN26" s="1224">
        <v>0</v>
      </c>
      <c r="BO26" s="1224"/>
      <c r="BS26" s="336"/>
      <c r="BT26" s="336"/>
      <c r="BU26" s="336"/>
      <c r="BV26" s="336"/>
      <c r="BW26" s="336"/>
      <c r="CA26" s="336">
        <f t="shared" si="9"/>
        <v>0</v>
      </c>
      <c r="CE26" s="573">
        <f t="shared" si="0"/>
        <v>0</v>
      </c>
      <c r="CF26" s="573">
        <f t="shared" si="1"/>
        <v>0</v>
      </c>
      <c r="CG26" s="473">
        <f t="shared" si="2"/>
        <v>3.9725838568564688E-5</v>
      </c>
      <c r="CH26" s="473">
        <f t="shared" si="3"/>
        <v>0.52241707971968876</v>
      </c>
      <c r="CI26" s="473">
        <f t="shared" si="4"/>
        <v>0.47754319444174265</v>
      </c>
      <c r="CM26" s="336">
        <f t="shared" si="10"/>
        <v>1</v>
      </c>
    </row>
    <row r="27" spans="1:91" ht="18" x14ac:dyDescent="0.25">
      <c r="G27" s="18">
        <v>1975</v>
      </c>
      <c r="H27" s="1271">
        <v>476</v>
      </c>
      <c r="I27" s="1224"/>
      <c r="M27" s="337">
        <v>0.5</v>
      </c>
      <c r="N27" s="336">
        <v>0.5</v>
      </c>
      <c r="U27" s="336">
        <f t="shared" si="5"/>
        <v>1</v>
      </c>
      <c r="Y27" s="336">
        <v>0.9</v>
      </c>
      <c r="Z27" s="336">
        <v>0.1</v>
      </c>
      <c r="AC27" s="336">
        <v>0</v>
      </c>
      <c r="AG27" s="336">
        <f t="shared" si="6"/>
        <v>1</v>
      </c>
      <c r="AI27" s="339"/>
      <c r="AJ27" s="18">
        <v>1975</v>
      </c>
      <c r="AK27" s="327">
        <v>0</v>
      </c>
      <c r="AL27" s="327">
        <v>0</v>
      </c>
      <c r="AP27" s="337">
        <v>0.3</v>
      </c>
      <c r="AQ27" s="336">
        <v>0.7</v>
      </c>
      <c r="AX27" s="336">
        <f t="shared" si="7"/>
        <v>1</v>
      </c>
      <c r="BB27" s="337">
        <v>0.3</v>
      </c>
      <c r="BC27" s="336">
        <v>0.7</v>
      </c>
      <c r="BJ27" s="336">
        <f t="shared" si="8"/>
        <v>1</v>
      </c>
      <c r="BK27" s="536"/>
      <c r="BM27" s="18">
        <v>1975</v>
      </c>
      <c r="BN27" s="1224">
        <v>0</v>
      </c>
      <c r="BO27" s="1224"/>
      <c r="BS27" s="336"/>
      <c r="BT27" s="336"/>
      <c r="BU27" s="336"/>
      <c r="BV27" s="336"/>
      <c r="BW27" s="336"/>
      <c r="CA27" s="336">
        <f t="shared" si="9"/>
        <v>0</v>
      </c>
      <c r="CE27" s="573">
        <f t="shared" si="0"/>
        <v>0</v>
      </c>
      <c r="CF27" s="573">
        <f t="shared" si="1"/>
        <v>0</v>
      </c>
      <c r="CG27" s="473">
        <f t="shared" si="2"/>
        <v>3.9725838568564688E-5</v>
      </c>
      <c r="CH27" s="473">
        <f t="shared" si="3"/>
        <v>0.52241707971968876</v>
      </c>
      <c r="CI27" s="473">
        <f t="shared" si="4"/>
        <v>0.47754319444174265</v>
      </c>
      <c r="CM27" s="336">
        <f t="shared" si="10"/>
        <v>1</v>
      </c>
    </row>
    <row r="28" spans="1:91" ht="18" x14ac:dyDescent="0.25">
      <c r="G28" s="18">
        <v>1976</v>
      </c>
      <c r="H28" s="1271">
        <v>667</v>
      </c>
      <c r="I28" s="1224"/>
      <c r="M28" s="337">
        <v>0.5</v>
      </c>
      <c r="N28" s="336">
        <v>0.5</v>
      </c>
      <c r="U28" s="336">
        <f t="shared" si="5"/>
        <v>1</v>
      </c>
      <c r="Y28" s="336">
        <v>0.9</v>
      </c>
      <c r="Z28" s="336">
        <v>0.1</v>
      </c>
      <c r="AC28" s="336">
        <v>0</v>
      </c>
      <c r="AG28" s="336">
        <f t="shared" si="6"/>
        <v>1</v>
      </c>
      <c r="AI28" s="339"/>
      <c r="AJ28" s="18">
        <v>1976</v>
      </c>
      <c r="AK28" s="327">
        <v>0</v>
      </c>
      <c r="AL28" s="327">
        <v>0</v>
      </c>
      <c r="AP28" s="337">
        <v>0.3</v>
      </c>
      <c r="AQ28" s="336">
        <v>0.7</v>
      </c>
      <c r="AX28" s="336">
        <f t="shared" si="7"/>
        <v>1</v>
      </c>
      <c r="BB28" s="337">
        <v>0.3</v>
      </c>
      <c r="BC28" s="336">
        <v>0.7</v>
      </c>
      <c r="BJ28" s="336">
        <f t="shared" si="8"/>
        <v>1</v>
      </c>
      <c r="BK28" s="536"/>
      <c r="BM28" s="18">
        <v>1976</v>
      </c>
      <c r="BN28" s="1224">
        <v>0</v>
      </c>
      <c r="BO28" s="1224"/>
      <c r="BS28" s="336"/>
      <c r="BT28" s="336"/>
      <c r="BU28" s="336"/>
      <c r="BV28" s="336"/>
      <c r="BW28" s="336"/>
      <c r="CA28" s="336">
        <f t="shared" si="9"/>
        <v>0</v>
      </c>
      <c r="CE28" s="573">
        <f t="shared" si="0"/>
        <v>0</v>
      </c>
      <c r="CF28" s="573">
        <f t="shared" si="1"/>
        <v>0</v>
      </c>
      <c r="CG28" s="473">
        <f t="shared" si="2"/>
        <v>3.9725838568564688E-5</v>
      </c>
      <c r="CH28" s="473">
        <f t="shared" si="3"/>
        <v>0.52241707971968876</v>
      </c>
      <c r="CI28" s="473">
        <f t="shared" si="4"/>
        <v>0.47754319444174265</v>
      </c>
      <c r="CM28" s="336">
        <f t="shared" si="10"/>
        <v>1</v>
      </c>
    </row>
    <row r="29" spans="1:91" ht="18" x14ac:dyDescent="0.25">
      <c r="G29" s="18">
        <v>1977</v>
      </c>
      <c r="H29" s="1271">
        <v>857</v>
      </c>
      <c r="I29" s="1224"/>
      <c r="M29" s="337">
        <v>0.5</v>
      </c>
      <c r="N29" s="336">
        <v>0.5</v>
      </c>
      <c r="U29" s="336">
        <f t="shared" si="5"/>
        <v>1</v>
      </c>
      <c r="Y29" s="336">
        <v>0.9</v>
      </c>
      <c r="Z29" s="336">
        <v>0.1</v>
      </c>
      <c r="AC29" s="336">
        <v>0</v>
      </c>
      <c r="AG29" s="336">
        <f t="shared" si="6"/>
        <v>1</v>
      </c>
      <c r="AI29" s="339"/>
      <c r="AJ29" s="18">
        <v>1977</v>
      </c>
      <c r="AK29" s="327">
        <v>0</v>
      </c>
      <c r="AL29" s="327">
        <v>0</v>
      </c>
      <c r="AP29" s="337">
        <v>0.3</v>
      </c>
      <c r="AQ29" s="336">
        <v>0.7</v>
      </c>
      <c r="AX29" s="336">
        <f t="shared" si="7"/>
        <v>1</v>
      </c>
      <c r="BB29" s="337">
        <v>0.3</v>
      </c>
      <c r="BC29" s="336">
        <v>0.7</v>
      </c>
      <c r="BJ29" s="336">
        <f t="shared" si="8"/>
        <v>1</v>
      </c>
      <c r="BK29" s="536"/>
      <c r="BM29" s="18">
        <v>1977</v>
      </c>
      <c r="BN29" s="1224">
        <v>0</v>
      </c>
      <c r="BO29" s="1224"/>
      <c r="BS29" s="336"/>
      <c r="BT29" s="336"/>
      <c r="BU29" s="336"/>
      <c r="BV29" s="336"/>
      <c r="BW29" s="336"/>
      <c r="CA29" s="336">
        <f t="shared" si="9"/>
        <v>0</v>
      </c>
      <c r="CE29" s="573">
        <f t="shared" si="0"/>
        <v>0</v>
      </c>
      <c r="CF29" s="573">
        <f t="shared" si="1"/>
        <v>0</v>
      </c>
      <c r="CG29" s="473">
        <f t="shared" si="2"/>
        <v>3.9725838568564688E-5</v>
      </c>
      <c r="CH29" s="473">
        <f t="shared" si="3"/>
        <v>0.52241707971968876</v>
      </c>
      <c r="CI29" s="473">
        <f t="shared" si="4"/>
        <v>0.47754319444174265</v>
      </c>
      <c r="CM29" s="336">
        <f t="shared" si="10"/>
        <v>1</v>
      </c>
    </row>
    <row r="30" spans="1:91" ht="18" x14ac:dyDescent="0.25">
      <c r="G30" s="18">
        <v>1978</v>
      </c>
      <c r="H30" s="1271">
        <v>1048</v>
      </c>
      <c r="I30" s="1224"/>
      <c r="M30" s="337">
        <v>0.5</v>
      </c>
      <c r="N30" s="336">
        <v>0.5</v>
      </c>
      <c r="U30" s="336">
        <f t="shared" si="5"/>
        <v>1</v>
      </c>
      <c r="Y30" s="336">
        <v>0.9</v>
      </c>
      <c r="Z30" s="336">
        <v>0.1</v>
      </c>
      <c r="AC30" s="336">
        <v>0</v>
      </c>
      <c r="AG30" s="336">
        <f t="shared" si="6"/>
        <v>1</v>
      </c>
      <c r="AI30" s="339"/>
      <c r="AJ30" s="18">
        <v>1978</v>
      </c>
      <c r="AK30" s="327">
        <v>0</v>
      </c>
      <c r="AL30" s="327">
        <v>0</v>
      </c>
      <c r="AP30" s="337">
        <v>0.3</v>
      </c>
      <c r="AQ30" s="336">
        <v>0.7</v>
      </c>
      <c r="AX30" s="336">
        <f t="shared" si="7"/>
        <v>1</v>
      </c>
      <c r="BB30" s="337">
        <v>0.3</v>
      </c>
      <c r="BC30" s="336">
        <v>0.7</v>
      </c>
      <c r="BJ30" s="336">
        <f t="shared" si="8"/>
        <v>1</v>
      </c>
      <c r="BK30" s="536"/>
      <c r="BM30" s="18">
        <v>1978</v>
      </c>
      <c r="BN30" s="1224">
        <v>0</v>
      </c>
      <c r="BO30" s="1224"/>
      <c r="BS30" s="336"/>
      <c r="BT30" s="336"/>
      <c r="BU30" s="336"/>
      <c r="BV30" s="336"/>
      <c r="BW30" s="336"/>
      <c r="CA30" s="336">
        <f t="shared" si="9"/>
        <v>0</v>
      </c>
      <c r="CE30" s="573">
        <f t="shared" si="0"/>
        <v>0</v>
      </c>
      <c r="CF30" s="573">
        <f t="shared" si="1"/>
        <v>0</v>
      </c>
      <c r="CG30" s="473">
        <f t="shared" si="2"/>
        <v>3.9725838568564688E-5</v>
      </c>
      <c r="CH30" s="473">
        <f t="shared" si="3"/>
        <v>0.52241707971968876</v>
      </c>
      <c r="CI30" s="473">
        <f t="shared" si="4"/>
        <v>0.47754319444174265</v>
      </c>
      <c r="CM30" s="336">
        <f t="shared" si="10"/>
        <v>1</v>
      </c>
    </row>
    <row r="31" spans="1:91" ht="18" x14ac:dyDescent="0.25">
      <c r="G31" s="18">
        <v>1979</v>
      </c>
      <c r="H31" s="1271">
        <v>1238</v>
      </c>
      <c r="I31" s="1224"/>
      <c r="M31" s="337">
        <v>0.5</v>
      </c>
      <c r="N31" s="336">
        <v>0.5</v>
      </c>
      <c r="U31" s="336">
        <f t="shared" si="5"/>
        <v>1</v>
      </c>
      <c r="Y31" s="336">
        <v>0.9</v>
      </c>
      <c r="Z31" s="336">
        <v>0.1</v>
      </c>
      <c r="AC31" s="336">
        <v>0</v>
      </c>
      <c r="AG31" s="336">
        <f t="shared" si="6"/>
        <v>1</v>
      </c>
      <c r="AI31" s="339"/>
      <c r="AJ31" s="18">
        <v>1979</v>
      </c>
      <c r="AK31" s="327">
        <v>0</v>
      </c>
      <c r="AL31" s="327">
        <v>0</v>
      </c>
      <c r="AP31" s="337">
        <v>0.3</v>
      </c>
      <c r="AQ31" s="336">
        <v>0.7</v>
      </c>
      <c r="AX31" s="336">
        <f t="shared" si="7"/>
        <v>1</v>
      </c>
      <c r="BB31" s="337">
        <v>0.3</v>
      </c>
      <c r="BC31" s="336">
        <v>0.7</v>
      </c>
      <c r="BJ31" s="336">
        <f t="shared" si="8"/>
        <v>1</v>
      </c>
      <c r="BK31" s="536"/>
      <c r="BM31" s="18">
        <v>1979</v>
      </c>
      <c r="BN31" s="1224">
        <v>0</v>
      </c>
      <c r="BO31" s="1224"/>
      <c r="BS31" s="336"/>
      <c r="BT31" s="336"/>
      <c r="BU31" s="336"/>
      <c r="BV31" s="336"/>
      <c r="BW31" s="336"/>
      <c r="CA31" s="336">
        <f t="shared" si="9"/>
        <v>0</v>
      </c>
      <c r="CE31" s="573">
        <f t="shared" si="0"/>
        <v>0</v>
      </c>
      <c r="CF31" s="573">
        <f t="shared" si="1"/>
        <v>0</v>
      </c>
      <c r="CG31" s="473">
        <f t="shared" si="2"/>
        <v>3.9725838568564688E-5</v>
      </c>
      <c r="CH31" s="473">
        <f t="shared" si="3"/>
        <v>0.52241707971968876</v>
      </c>
      <c r="CI31" s="473">
        <f t="shared" si="4"/>
        <v>0.47754319444174265</v>
      </c>
      <c r="CM31" s="336">
        <f t="shared" si="10"/>
        <v>1</v>
      </c>
    </row>
    <row r="32" spans="1:91" ht="18" x14ac:dyDescent="0.25">
      <c r="G32" s="18">
        <v>1980</v>
      </c>
      <c r="H32" s="1271">
        <v>1429</v>
      </c>
      <c r="I32" s="1224"/>
      <c r="M32" s="337">
        <v>0.5</v>
      </c>
      <c r="N32" s="336">
        <v>0.5</v>
      </c>
      <c r="U32" s="336">
        <f t="shared" si="5"/>
        <v>1</v>
      </c>
      <c r="Y32" s="336">
        <v>0.9</v>
      </c>
      <c r="Z32" s="336">
        <v>0.1</v>
      </c>
      <c r="AC32" s="336">
        <v>0</v>
      </c>
      <c r="AG32" s="336">
        <f t="shared" si="6"/>
        <v>1</v>
      </c>
      <c r="AI32" s="339"/>
      <c r="AJ32" s="18">
        <v>1980</v>
      </c>
      <c r="AK32" s="327">
        <v>0</v>
      </c>
      <c r="AL32" s="327">
        <v>0</v>
      </c>
      <c r="AP32" s="337">
        <v>0.3</v>
      </c>
      <c r="AQ32" s="336">
        <v>0.7</v>
      </c>
      <c r="AX32" s="336">
        <f t="shared" si="7"/>
        <v>1</v>
      </c>
      <c r="BB32" s="337">
        <v>0.3</v>
      </c>
      <c r="BC32" s="336">
        <v>0.7</v>
      </c>
      <c r="BJ32" s="336">
        <f t="shared" si="8"/>
        <v>1</v>
      </c>
      <c r="BK32" s="536"/>
      <c r="BM32" s="18">
        <v>1980</v>
      </c>
      <c r="BN32" s="1224">
        <v>0</v>
      </c>
      <c r="BO32" s="1224"/>
      <c r="BS32" s="336"/>
      <c r="BT32" s="336"/>
      <c r="BU32" s="336"/>
      <c r="BV32" s="336"/>
      <c r="BW32" s="336"/>
      <c r="CA32" s="336">
        <f t="shared" si="9"/>
        <v>0</v>
      </c>
      <c r="CE32" s="573">
        <f t="shared" si="0"/>
        <v>0</v>
      </c>
      <c r="CF32" s="573">
        <f t="shared" si="1"/>
        <v>0</v>
      </c>
      <c r="CG32" s="473">
        <f t="shared" si="2"/>
        <v>3.9725838568564688E-5</v>
      </c>
      <c r="CH32" s="473">
        <f t="shared" si="3"/>
        <v>0.52241707971968876</v>
      </c>
      <c r="CI32" s="473">
        <f t="shared" si="4"/>
        <v>0.47754319444174265</v>
      </c>
      <c r="CM32" s="336">
        <f t="shared" si="10"/>
        <v>1</v>
      </c>
    </row>
    <row r="33" spans="7:91" ht="18" x14ac:dyDescent="0.25">
      <c r="G33" s="18">
        <v>1981</v>
      </c>
      <c r="H33" s="1271">
        <v>1619</v>
      </c>
      <c r="I33" s="1224"/>
      <c r="M33" s="337">
        <v>0.5</v>
      </c>
      <c r="N33" s="336">
        <v>0.5</v>
      </c>
      <c r="U33" s="336">
        <f t="shared" si="5"/>
        <v>1</v>
      </c>
      <c r="Y33" s="336">
        <v>0.9</v>
      </c>
      <c r="Z33" s="336">
        <v>0.1</v>
      </c>
      <c r="AC33" s="336">
        <v>0</v>
      </c>
      <c r="AG33" s="336">
        <f t="shared" si="6"/>
        <v>1</v>
      </c>
      <c r="AI33" s="339"/>
      <c r="AJ33" s="18">
        <v>1981</v>
      </c>
      <c r="AK33" s="327">
        <v>0</v>
      </c>
      <c r="AL33" s="327">
        <v>0</v>
      </c>
      <c r="AP33" s="337">
        <v>0.3</v>
      </c>
      <c r="AQ33" s="336">
        <v>0.7</v>
      </c>
      <c r="AX33" s="336">
        <f t="shared" si="7"/>
        <v>1</v>
      </c>
      <c r="BB33" s="337">
        <v>0.3</v>
      </c>
      <c r="BC33" s="336">
        <v>0.7</v>
      </c>
      <c r="BJ33" s="336">
        <f t="shared" si="8"/>
        <v>1</v>
      </c>
      <c r="BK33" s="536"/>
      <c r="BM33" s="18">
        <v>1981</v>
      </c>
      <c r="BN33" s="1224">
        <v>0</v>
      </c>
      <c r="BO33" s="1224"/>
      <c r="BS33" s="336"/>
      <c r="BT33" s="336"/>
      <c r="BU33" s="336"/>
      <c r="BV33" s="336"/>
      <c r="BW33" s="336"/>
      <c r="CA33" s="336">
        <f t="shared" si="9"/>
        <v>0</v>
      </c>
      <c r="CE33" s="573">
        <f t="shared" si="0"/>
        <v>0</v>
      </c>
      <c r="CF33" s="573">
        <f t="shared" si="1"/>
        <v>0</v>
      </c>
      <c r="CG33" s="473">
        <f t="shared" si="2"/>
        <v>3.9725838568564688E-5</v>
      </c>
      <c r="CH33" s="473">
        <f t="shared" si="3"/>
        <v>0.52241707971968876</v>
      </c>
      <c r="CI33" s="473">
        <f t="shared" si="4"/>
        <v>0.47754319444174265</v>
      </c>
      <c r="CM33" s="336">
        <f t="shared" si="10"/>
        <v>1</v>
      </c>
    </row>
    <row r="34" spans="7:91" ht="18" x14ac:dyDescent="0.25">
      <c r="G34" s="18">
        <v>1982</v>
      </c>
      <c r="H34" s="1271">
        <v>1810</v>
      </c>
      <c r="I34" s="1224"/>
      <c r="M34" s="337">
        <v>0.5</v>
      </c>
      <c r="N34" s="336">
        <v>0.5</v>
      </c>
      <c r="U34" s="336">
        <f t="shared" si="5"/>
        <v>1</v>
      </c>
      <c r="Y34" s="336">
        <v>0.9</v>
      </c>
      <c r="Z34" s="336">
        <v>0.1</v>
      </c>
      <c r="AC34" s="336">
        <v>0</v>
      </c>
      <c r="AG34" s="336">
        <f t="shared" si="6"/>
        <v>1</v>
      </c>
      <c r="AI34" s="339"/>
      <c r="AJ34" s="18">
        <v>1982</v>
      </c>
      <c r="AK34" s="327">
        <v>0</v>
      </c>
      <c r="AL34" s="327">
        <v>0</v>
      </c>
      <c r="AP34" s="337">
        <v>0.3</v>
      </c>
      <c r="AQ34" s="336">
        <v>0.7</v>
      </c>
      <c r="AX34" s="336">
        <f t="shared" si="7"/>
        <v>1</v>
      </c>
      <c r="BB34" s="337">
        <v>0.3</v>
      </c>
      <c r="BC34" s="336">
        <v>0.7</v>
      </c>
      <c r="BJ34" s="336">
        <f t="shared" si="8"/>
        <v>1</v>
      </c>
      <c r="BK34" s="536"/>
      <c r="BM34" s="18">
        <v>1982</v>
      </c>
      <c r="BN34" s="1224">
        <v>0</v>
      </c>
      <c r="BO34" s="1224"/>
      <c r="BS34" s="336"/>
      <c r="BT34" s="336"/>
      <c r="BU34" s="336"/>
      <c r="BV34" s="336"/>
      <c r="BW34" s="336"/>
      <c r="CA34" s="336">
        <f t="shared" si="9"/>
        <v>0</v>
      </c>
      <c r="CE34" s="573">
        <f t="shared" si="0"/>
        <v>0</v>
      </c>
      <c r="CF34" s="573">
        <f t="shared" si="1"/>
        <v>0</v>
      </c>
      <c r="CG34" s="473">
        <f t="shared" si="2"/>
        <v>3.9725838568564688E-5</v>
      </c>
      <c r="CH34" s="473">
        <f t="shared" si="3"/>
        <v>0.52241707971968876</v>
      </c>
      <c r="CI34" s="473">
        <f t="shared" si="4"/>
        <v>0.47754319444174265</v>
      </c>
      <c r="CM34" s="336">
        <f t="shared" si="10"/>
        <v>1</v>
      </c>
    </row>
    <row r="35" spans="7:91" ht="18" x14ac:dyDescent="0.25">
      <c r="G35" s="18">
        <v>1983</v>
      </c>
      <c r="H35" s="1271">
        <v>2000</v>
      </c>
      <c r="I35" s="1224"/>
      <c r="M35" s="337">
        <v>0.5</v>
      </c>
      <c r="N35" s="336">
        <v>0.5</v>
      </c>
      <c r="U35" s="336">
        <f t="shared" si="5"/>
        <v>1</v>
      </c>
      <c r="Y35" s="336">
        <v>0.9</v>
      </c>
      <c r="Z35" s="336">
        <v>0.1</v>
      </c>
      <c r="AC35" s="336">
        <v>0</v>
      </c>
      <c r="AG35" s="336">
        <f t="shared" si="6"/>
        <v>1</v>
      </c>
      <c r="AI35" s="339"/>
      <c r="AJ35" s="18">
        <v>1983</v>
      </c>
      <c r="AK35" s="327">
        <v>0</v>
      </c>
      <c r="AL35" s="327">
        <v>0</v>
      </c>
      <c r="AP35" s="337">
        <v>0.3</v>
      </c>
      <c r="AQ35" s="336">
        <v>0.7</v>
      </c>
      <c r="AX35" s="336">
        <f t="shared" si="7"/>
        <v>1</v>
      </c>
      <c r="BB35" s="337">
        <v>0.3</v>
      </c>
      <c r="BC35" s="336">
        <v>0.7</v>
      </c>
      <c r="BJ35" s="336">
        <f t="shared" si="8"/>
        <v>1</v>
      </c>
      <c r="BK35" s="536"/>
      <c r="BM35" s="18">
        <v>1983</v>
      </c>
      <c r="BN35" s="1224">
        <v>0</v>
      </c>
      <c r="BO35" s="1224"/>
      <c r="BS35" s="336"/>
      <c r="BT35" s="336"/>
      <c r="BU35" s="336"/>
      <c r="BV35" s="336"/>
      <c r="BW35" s="336"/>
      <c r="CA35" s="336">
        <f t="shared" si="9"/>
        <v>0</v>
      </c>
      <c r="CE35" s="573">
        <f t="shared" si="0"/>
        <v>0</v>
      </c>
      <c r="CF35" s="573">
        <f t="shared" si="1"/>
        <v>0</v>
      </c>
      <c r="CG35" s="473">
        <f t="shared" si="2"/>
        <v>3.9725838568564688E-5</v>
      </c>
      <c r="CH35" s="473">
        <f t="shared" si="3"/>
        <v>0.52241707971968876</v>
      </c>
      <c r="CI35" s="473">
        <f t="shared" si="4"/>
        <v>0.47754319444174265</v>
      </c>
      <c r="CM35" s="336">
        <f t="shared" si="10"/>
        <v>1</v>
      </c>
    </row>
    <row r="36" spans="7:91" ht="18" x14ac:dyDescent="0.25">
      <c r="G36" s="18">
        <v>1984</v>
      </c>
      <c r="H36" s="1271">
        <v>2191</v>
      </c>
      <c r="I36" s="1224"/>
      <c r="M36" s="337">
        <v>0.5</v>
      </c>
      <c r="N36" s="336">
        <v>0.5</v>
      </c>
      <c r="U36" s="336">
        <f t="shared" si="5"/>
        <v>1</v>
      </c>
      <c r="Y36" s="336">
        <v>0.9</v>
      </c>
      <c r="Z36" s="336">
        <v>0.1</v>
      </c>
      <c r="AC36" s="336">
        <v>0</v>
      </c>
      <c r="AG36" s="336">
        <f t="shared" si="6"/>
        <v>1</v>
      </c>
      <c r="AI36" s="339"/>
      <c r="AJ36" s="18">
        <v>1984</v>
      </c>
      <c r="AK36" s="327">
        <v>0</v>
      </c>
      <c r="AL36" s="327">
        <v>0</v>
      </c>
      <c r="AP36" s="337">
        <v>0.3</v>
      </c>
      <c r="AQ36" s="336">
        <v>0.7</v>
      </c>
      <c r="AX36" s="336">
        <f t="shared" si="7"/>
        <v>1</v>
      </c>
      <c r="BB36" s="337">
        <v>0.3</v>
      </c>
      <c r="BC36" s="336">
        <v>0.7</v>
      </c>
      <c r="BJ36" s="336">
        <f t="shared" si="8"/>
        <v>1</v>
      </c>
      <c r="BK36" s="536"/>
      <c r="BM36" s="18">
        <v>1984</v>
      </c>
      <c r="BN36" s="1224">
        <v>0</v>
      </c>
      <c r="BO36" s="1224"/>
      <c r="BS36" s="336"/>
      <c r="BT36" s="336"/>
      <c r="BU36" s="336"/>
      <c r="BV36" s="336"/>
      <c r="BW36" s="336"/>
      <c r="CA36" s="336">
        <f t="shared" si="9"/>
        <v>0</v>
      </c>
      <c r="CE36" s="573">
        <f t="shared" si="0"/>
        <v>0</v>
      </c>
      <c r="CF36" s="573">
        <f t="shared" si="1"/>
        <v>0</v>
      </c>
      <c r="CG36" s="473">
        <f t="shared" si="2"/>
        <v>3.9725838568564688E-5</v>
      </c>
      <c r="CH36" s="473">
        <f t="shared" si="3"/>
        <v>0.52241707971968876</v>
      </c>
      <c r="CI36" s="473">
        <f t="shared" si="4"/>
        <v>0.47754319444174265</v>
      </c>
      <c r="CM36" s="336">
        <f t="shared" si="10"/>
        <v>1</v>
      </c>
    </row>
    <row r="37" spans="7:91" ht="18" x14ac:dyDescent="0.25">
      <c r="G37" s="18">
        <v>1985</v>
      </c>
      <c r="H37" s="1271">
        <v>2381</v>
      </c>
      <c r="I37" s="1224"/>
      <c r="M37" s="337">
        <v>0.5</v>
      </c>
      <c r="N37" s="336">
        <v>0.5</v>
      </c>
      <c r="U37" s="336">
        <f t="shared" si="5"/>
        <v>1</v>
      </c>
      <c r="Y37" s="336">
        <v>0.9</v>
      </c>
      <c r="Z37" s="336">
        <v>0.1</v>
      </c>
      <c r="AC37" s="336">
        <v>0</v>
      </c>
      <c r="AG37" s="336">
        <f t="shared" si="6"/>
        <v>1</v>
      </c>
      <c r="AI37" s="339"/>
      <c r="AJ37" s="18">
        <v>1985</v>
      </c>
      <c r="AK37" s="327">
        <v>0</v>
      </c>
      <c r="AL37" s="327">
        <v>0</v>
      </c>
      <c r="AP37" s="337">
        <v>0.3</v>
      </c>
      <c r="AQ37" s="336">
        <v>0.7</v>
      </c>
      <c r="AX37" s="336">
        <f t="shared" si="7"/>
        <v>1</v>
      </c>
      <c r="BB37" s="337">
        <v>0.3</v>
      </c>
      <c r="BC37" s="336">
        <v>0.7</v>
      </c>
      <c r="BJ37" s="336">
        <f t="shared" si="8"/>
        <v>1</v>
      </c>
      <c r="BK37" s="536"/>
      <c r="BM37" s="18">
        <v>1985</v>
      </c>
      <c r="BN37" s="1224">
        <v>0</v>
      </c>
      <c r="BO37" s="1224"/>
      <c r="BS37" s="336"/>
      <c r="BT37" s="336"/>
      <c r="BU37" s="336"/>
      <c r="BV37" s="336"/>
      <c r="BW37" s="336"/>
      <c r="CA37" s="336">
        <f t="shared" si="9"/>
        <v>0</v>
      </c>
      <c r="CE37" s="573">
        <f t="shared" si="0"/>
        <v>0</v>
      </c>
      <c r="CF37" s="573">
        <f t="shared" si="1"/>
        <v>0</v>
      </c>
      <c r="CG37" s="473">
        <f t="shared" si="2"/>
        <v>3.9725838568564688E-5</v>
      </c>
      <c r="CH37" s="473">
        <f t="shared" si="3"/>
        <v>0.52241707971968876</v>
      </c>
      <c r="CI37" s="473">
        <f t="shared" si="4"/>
        <v>0.47754319444174265</v>
      </c>
      <c r="CM37" s="336">
        <f t="shared" si="10"/>
        <v>1</v>
      </c>
    </row>
    <row r="38" spans="7:91" ht="18" x14ac:dyDescent="0.25">
      <c r="G38" s="18">
        <v>1986</v>
      </c>
      <c r="H38" s="1271">
        <v>2381</v>
      </c>
      <c r="I38" s="1224"/>
      <c r="M38" s="337">
        <v>0.5</v>
      </c>
      <c r="N38" s="336">
        <v>0.5</v>
      </c>
      <c r="U38" s="336">
        <f t="shared" si="5"/>
        <v>1</v>
      </c>
      <c r="Y38" s="336">
        <v>0.9</v>
      </c>
      <c r="Z38" s="336">
        <v>0.1</v>
      </c>
      <c r="AC38" s="336">
        <v>0</v>
      </c>
      <c r="AG38" s="336">
        <f t="shared" si="6"/>
        <v>1</v>
      </c>
      <c r="AI38" s="339"/>
      <c r="AJ38" s="18">
        <v>1986</v>
      </c>
      <c r="AK38" s="327">
        <v>0</v>
      </c>
      <c r="AL38" s="327">
        <v>0</v>
      </c>
      <c r="AP38" s="337">
        <v>0.3</v>
      </c>
      <c r="AQ38" s="336">
        <v>0.7</v>
      </c>
      <c r="AX38" s="336">
        <f t="shared" si="7"/>
        <v>1</v>
      </c>
      <c r="BB38" s="337">
        <v>0.3</v>
      </c>
      <c r="BC38" s="336">
        <v>0.7</v>
      </c>
      <c r="BJ38" s="336">
        <f t="shared" si="8"/>
        <v>1</v>
      </c>
      <c r="BK38" s="536"/>
      <c r="BM38" s="18">
        <v>1986</v>
      </c>
      <c r="BN38" s="1224">
        <v>0</v>
      </c>
      <c r="BO38" s="1224"/>
      <c r="BS38" s="336"/>
      <c r="BT38" s="336"/>
      <c r="BU38" s="336"/>
      <c r="BV38" s="336"/>
      <c r="BW38" s="336"/>
      <c r="CA38" s="336">
        <f t="shared" si="9"/>
        <v>0</v>
      </c>
      <c r="CE38" s="573">
        <f t="shared" si="0"/>
        <v>0</v>
      </c>
      <c r="CF38" s="573">
        <f t="shared" si="1"/>
        <v>0</v>
      </c>
      <c r="CG38" s="473">
        <f t="shared" si="2"/>
        <v>3.9725838568564688E-5</v>
      </c>
      <c r="CH38" s="473">
        <f t="shared" si="3"/>
        <v>0.52241707971968876</v>
      </c>
      <c r="CI38" s="473">
        <f t="shared" si="4"/>
        <v>0.47754319444174265</v>
      </c>
      <c r="CM38" s="336">
        <f t="shared" si="10"/>
        <v>1</v>
      </c>
    </row>
    <row r="39" spans="7:91" ht="18" x14ac:dyDescent="0.25">
      <c r="G39" s="18">
        <v>1987</v>
      </c>
      <c r="H39" s="1271">
        <v>2381</v>
      </c>
      <c r="I39" s="1224"/>
      <c r="M39" s="337">
        <v>0.5</v>
      </c>
      <c r="N39" s="336">
        <v>0.5</v>
      </c>
      <c r="U39" s="336">
        <f t="shared" si="5"/>
        <v>1</v>
      </c>
      <c r="Y39" s="336">
        <v>0.9</v>
      </c>
      <c r="Z39" s="336">
        <v>0.1</v>
      </c>
      <c r="AC39" s="336">
        <v>0</v>
      </c>
      <c r="AG39" s="336">
        <f t="shared" si="6"/>
        <v>1</v>
      </c>
      <c r="AI39" s="339"/>
      <c r="AJ39" s="18">
        <v>1987</v>
      </c>
      <c r="AK39" s="327">
        <v>0</v>
      </c>
      <c r="AL39" s="327">
        <v>0</v>
      </c>
      <c r="AP39" s="337">
        <v>0.3</v>
      </c>
      <c r="AQ39" s="336">
        <v>0.7</v>
      </c>
      <c r="AX39" s="336">
        <f t="shared" si="7"/>
        <v>1</v>
      </c>
      <c r="BB39" s="337">
        <v>0.3</v>
      </c>
      <c r="BC39" s="336">
        <v>0.7</v>
      </c>
      <c r="BJ39" s="336">
        <f t="shared" si="8"/>
        <v>1</v>
      </c>
      <c r="BK39" s="536"/>
      <c r="BM39" s="18">
        <v>1987</v>
      </c>
      <c r="BN39" s="1224">
        <v>0</v>
      </c>
      <c r="BO39" s="1224"/>
      <c r="BS39" s="336"/>
      <c r="BT39" s="336"/>
      <c r="BU39" s="336"/>
      <c r="BV39" s="336"/>
      <c r="BW39" s="336"/>
      <c r="CA39" s="336">
        <f t="shared" si="9"/>
        <v>0</v>
      </c>
      <c r="CE39" s="573">
        <f t="shared" si="0"/>
        <v>0</v>
      </c>
      <c r="CF39" s="573">
        <f t="shared" si="1"/>
        <v>0</v>
      </c>
      <c r="CG39" s="473">
        <f t="shared" si="2"/>
        <v>3.9725838568564688E-5</v>
      </c>
      <c r="CH39" s="473">
        <f t="shared" si="3"/>
        <v>0.52241707971968876</v>
      </c>
      <c r="CI39" s="473">
        <f t="shared" si="4"/>
        <v>0.47754319444174265</v>
      </c>
      <c r="CM39" s="336">
        <f t="shared" si="10"/>
        <v>1</v>
      </c>
    </row>
    <row r="40" spans="7:91" ht="18" x14ac:dyDescent="0.25">
      <c r="G40" s="18">
        <v>1988</v>
      </c>
      <c r="H40" s="1271">
        <v>2381</v>
      </c>
      <c r="I40" s="1224"/>
      <c r="M40" s="337">
        <v>0.5</v>
      </c>
      <c r="N40" s="336">
        <v>0.5</v>
      </c>
      <c r="U40" s="336">
        <f t="shared" si="5"/>
        <v>1</v>
      </c>
      <c r="Y40" s="336">
        <v>0.9</v>
      </c>
      <c r="Z40" s="336">
        <v>0.1</v>
      </c>
      <c r="AC40" s="336">
        <v>0</v>
      </c>
      <c r="AG40" s="336">
        <f t="shared" si="6"/>
        <v>1</v>
      </c>
      <c r="AI40" s="339"/>
      <c r="AJ40" s="18">
        <v>1988</v>
      </c>
      <c r="AK40" s="327">
        <v>0</v>
      </c>
      <c r="AL40" s="327">
        <v>0</v>
      </c>
      <c r="AP40" s="337">
        <v>0.3</v>
      </c>
      <c r="AQ40" s="336">
        <v>0.7</v>
      </c>
      <c r="AX40" s="336">
        <f t="shared" si="7"/>
        <v>1</v>
      </c>
      <c r="BB40" s="337">
        <v>0.3</v>
      </c>
      <c r="BC40" s="336">
        <v>0.7</v>
      </c>
      <c r="BJ40" s="336">
        <f t="shared" si="8"/>
        <v>1</v>
      </c>
      <c r="BK40" s="536"/>
      <c r="BM40" s="18">
        <v>1988</v>
      </c>
      <c r="BN40" s="1224">
        <v>0</v>
      </c>
      <c r="BO40" s="1224"/>
      <c r="BS40" s="336"/>
      <c r="BT40" s="336"/>
      <c r="BU40" s="336"/>
      <c r="BV40" s="336"/>
      <c r="BW40" s="336"/>
      <c r="CA40" s="336">
        <f t="shared" si="9"/>
        <v>0</v>
      </c>
      <c r="CE40" s="573">
        <f t="shared" si="0"/>
        <v>0</v>
      </c>
      <c r="CF40" s="573">
        <f t="shared" si="1"/>
        <v>0</v>
      </c>
      <c r="CG40" s="473">
        <f t="shared" si="2"/>
        <v>3.9725838568564688E-5</v>
      </c>
      <c r="CH40" s="473">
        <f t="shared" si="3"/>
        <v>0.52241707971968876</v>
      </c>
      <c r="CI40" s="473">
        <f t="shared" si="4"/>
        <v>0.47754319444174265</v>
      </c>
      <c r="CM40" s="336">
        <f t="shared" si="10"/>
        <v>1</v>
      </c>
    </row>
    <row r="41" spans="7:91" ht="18" x14ac:dyDescent="0.25">
      <c r="G41" s="18">
        <v>1989</v>
      </c>
      <c r="H41" s="1271">
        <v>2381</v>
      </c>
      <c r="I41" s="1224"/>
      <c r="M41" s="337">
        <v>0.5</v>
      </c>
      <c r="N41" s="336">
        <v>0.5</v>
      </c>
      <c r="U41" s="336">
        <f t="shared" si="5"/>
        <v>1</v>
      </c>
      <c r="Y41" s="336">
        <v>0.9</v>
      </c>
      <c r="Z41" s="336">
        <v>0.1</v>
      </c>
      <c r="AC41" s="336">
        <v>0</v>
      </c>
      <c r="AG41" s="336">
        <f t="shared" si="6"/>
        <v>1</v>
      </c>
      <c r="AI41" s="339"/>
      <c r="AJ41" s="18">
        <v>1989</v>
      </c>
      <c r="AK41" s="327">
        <v>0</v>
      </c>
      <c r="AL41" s="327">
        <v>0</v>
      </c>
      <c r="AP41" s="337">
        <v>0.3</v>
      </c>
      <c r="AQ41" s="336">
        <v>0.7</v>
      </c>
      <c r="AX41" s="336">
        <f t="shared" si="7"/>
        <v>1</v>
      </c>
      <c r="BB41" s="337">
        <v>0.3</v>
      </c>
      <c r="BC41" s="336">
        <v>0.7</v>
      </c>
      <c r="BJ41" s="336">
        <f t="shared" si="8"/>
        <v>1</v>
      </c>
      <c r="BK41" s="536"/>
      <c r="BM41" s="18">
        <v>1989</v>
      </c>
      <c r="BN41" s="1224">
        <v>0</v>
      </c>
      <c r="BO41" s="1224"/>
      <c r="BS41" s="336"/>
      <c r="BT41" s="336"/>
      <c r="BU41" s="336"/>
      <c r="BV41" s="336"/>
      <c r="BW41" s="336"/>
      <c r="CA41" s="336">
        <f t="shared" si="9"/>
        <v>0</v>
      </c>
      <c r="CE41" s="573">
        <f t="shared" si="0"/>
        <v>0</v>
      </c>
      <c r="CF41" s="573">
        <f t="shared" si="1"/>
        <v>0</v>
      </c>
      <c r="CG41" s="473">
        <f t="shared" si="2"/>
        <v>3.9725838568564688E-5</v>
      </c>
      <c r="CH41" s="473">
        <f t="shared" si="3"/>
        <v>0.52241707971968876</v>
      </c>
      <c r="CI41" s="473">
        <f t="shared" si="4"/>
        <v>0.47754319444174265</v>
      </c>
      <c r="CM41" s="336">
        <f t="shared" si="10"/>
        <v>1</v>
      </c>
    </row>
    <row r="42" spans="7:91" ht="18" x14ac:dyDescent="0.25">
      <c r="G42" s="18">
        <v>1990</v>
      </c>
      <c r="H42" s="1271">
        <v>2722</v>
      </c>
      <c r="I42" s="1224"/>
      <c r="M42" s="337">
        <v>0.5</v>
      </c>
      <c r="N42" s="336">
        <v>0.5</v>
      </c>
      <c r="U42" s="336">
        <f t="shared" si="5"/>
        <v>1</v>
      </c>
      <c r="Y42" s="336">
        <v>0.9</v>
      </c>
      <c r="Z42" s="336">
        <v>0.1</v>
      </c>
      <c r="AC42" s="336">
        <v>0</v>
      </c>
      <c r="AG42" s="336">
        <f t="shared" si="6"/>
        <v>1</v>
      </c>
      <c r="AI42" s="339"/>
      <c r="AJ42" s="18">
        <v>1990</v>
      </c>
      <c r="AK42" s="327">
        <v>0</v>
      </c>
      <c r="AL42" s="327">
        <v>0</v>
      </c>
      <c r="AP42" s="337">
        <v>0.3</v>
      </c>
      <c r="AQ42" s="336">
        <v>0.7</v>
      </c>
      <c r="AX42" s="336">
        <f t="shared" si="7"/>
        <v>1</v>
      </c>
      <c r="BB42" s="337">
        <v>0.3</v>
      </c>
      <c r="BC42" s="336">
        <v>0.7</v>
      </c>
      <c r="BJ42" s="336">
        <f t="shared" si="8"/>
        <v>1</v>
      </c>
      <c r="BK42" s="536"/>
      <c r="BM42" s="18">
        <v>1990</v>
      </c>
      <c r="BN42" s="1224">
        <v>0</v>
      </c>
      <c r="BO42" s="1224"/>
      <c r="BS42" s="336"/>
      <c r="BT42" s="336"/>
      <c r="BU42" s="336"/>
      <c r="BV42" s="336"/>
      <c r="BW42" s="336"/>
      <c r="CA42" s="336">
        <f t="shared" si="9"/>
        <v>0</v>
      </c>
      <c r="CE42" s="573">
        <f t="shared" si="0"/>
        <v>0</v>
      </c>
      <c r="CF42" s="573">
        <f t="shared" si="1"/>
        <v>0</v>
      </c>
      <c r="CG42" s="473">
        <f t="shared" si="2"/>
        <v>3.9725838568564688E-5</v>
      </c>
      <c r="CH42" s="473">
        <f t="shared" si="3"/>
        <v>0.52241707971968876</v>
      </c>
      <c r="CI42" s="473">
        <f t="shared" si="4"/>
        <v>0.47754319444174265</v>
      </c>
      <c r="CM42" s="336">
        <f t="shared" si="10"/>
        <v>1</v>
      </c>
    </row>
    <row r="43" spans="7:91" ht="18" x14ac:dyDescent="0.25">
      <c r="G43" s="18">
        <v>1991</v>
      </c>
      <c r="H43" s="1271">
        <v>2722</v>
      </c>
      <c r="I43" s="1224"/>
      <c r="M43" s="337">
        <v>0.5</v>
      </c>
      <c r="N43" s="336">
        <v>0.5</v>
      </c>
      <c r="U43" s="336">
        <f t="shared" si="5"/>
        <v>1</v>
      </c>
      <c r="Y43" s="336">
        <v>0.9</v>
      </c>
      <c r="Z43" s="336">
        <v>0.1</v>
      </c>
      <c r="AC43" s="336">
        <v>0</v>
      </c>
      <c r="AG43" s="336">
        <f t="shared" si="6"/>
        <v>1</v>
      </c>
      <c r="AI43" s="339"/>
      <c r="AJ43" s="18">
        <v>1991</v>
      </c>
      <c r="AK43" s="327">
        <v>0</v>
      </c>
      <c r="AL43" s="327">
        <v>0</v>
      </c>
      <c r="AP43" s="337">
        <v>0.3</v>
      </c>
      <c r="AQ43" s="336">
        <v>0.7</v>
      </c>
      <c r="AX43" s="336">
        <f t="shared" si="7"/>
        <v>1</v>
      </c>
      <c r="BB43" s="337">
        <v>0.3</v>
      </c>
      <c r="BC43" s="336">
        <v>0.7</v>
      </c>
      <c r="BJ43" s="336">
        <f t="shared" si="8"/>
        <v>1</v>
      </c>
      <c r="BK43" s="536"/>
      <c r="BM43" s="18">
        <v>1991</v>
      </c>
      <c r="BN43" s="1224">
        <v>0</v>
      </c>
      <c r="BO43" s="1224"/>
      <c r="BS43" s="336"/>
      <c r="BT43" s="336"/>
      <c r="BU43" s="336"/>
      <c r="BV43" s="336"/>
      <c r="BW43" s="336"/>
      <c r="CA43" s="336">
        <f t="shared" si="9"/>
        <v>0</v>
      </c>
      <c r="CE43" s="573">
        <f t="shared" si="0"/>
        <v>0</v>
      </c>
      <c r="CF43" s="573">
        <f t="shared" si="1"/>
        <v>0</v>
      </c>
      <c r="CG43" s="473">
        <f t="shared" si="2"/>
        <v>3.9725838568564688E-5</v>
      </c>
      <c r="CH43" s="473">
        <f t="shared" si="3"/>
        <v>0.52241707971968876</v>
      </c>
      <c r="CI43" s="473">
        <f t="shared" si="4"/>
        <v>0.47754319444174265</v>
      </c>
      <c r="CM43" s="336">
        <f t="shared" si="10"/>
        <v>1</v>
      </c>
    </row>
    <row r="44" spans="7:91" ht="18" x14ac:dyDescent="0.25">
      <c r="G44" s="18">
        <v>1992</v>
      </c>
      <c r="H44" s="1271">
        <v>2722</v>
      </c>
      <c r="I44" s="1224"/>
      <c r="M44" s="337">
        <v>0.5</v>
      </c>
      <c r="N44" s="336">
        <v>0.5</v>
      </c>
      <c r="U44" s="336">
        <f t="shared" si="5"/>
        <v>1</v>
      </c>
      <c r="Y44" s="336">
        <v>0.9</v>
      </c>
      <c r="Z44" s="336">
        <v>0.1</v>
      </c>
      <c r="AC44" s="336">
        <v>0</v>
      </c>
      <c r="AG44" s="336">
        <f t="shared" si="6"/>
        <v>1</v>
      </c>
      <c r="AI44" s="339"/>
      <c r="AJ44" s="18">
        <v>1992</v>
      </c>
      <c r="AK44" s="327">
        <v>0</v>
      </c>
      <c r="AL44" s="327">
        <v>0</v>
      </c>
      <c r="AP44" s="337">
        <v>0.3</v>
      </c>
      <c r="AQ44" s="336">
        <v>0.7</v>
      </c>
      <c r="AX44" s="336">
        <f t="shared" si="7"/>
        <v>1</v>
      </c>
      <c r="BB44" s="337">
        <v>0.3</v>
      </c>
      <c r="BC44" s="336">
        <v>0.7</v>
      </c>
      <c r="BJ44" s="336">
        <f t="shared" si="8"/>
        <v>1</v>
      </c>
      <c r="BK44" s="536"/>
      <c r="BM44" s="18">
        <v>1992</v>
      </c>
      <c r="BN44" s="1224">
        <v>0</v>
      </c>
      <c r="BO44" s="1224"/>
      <c r="BS44" s="336"/>
      <c r="BT44" s="336"/>
      <c r="BU44" s="336"/>
      <c r="BV44" s="336"/>
      <c r="BW44" s="336"/>
      <c r="CA44" s="336">
        <f t="shared" si="9"/>
        <v>0</v>
      </c>
      <c r="CE44" s="573">
        <f t="shared" si="0"/>
        <v>0</v>
      </c>
      <c r="CF44" s="573">
        <f t="shared" si="1"/>
        <v>0</v>
      </c>
      <c r="CG44" s="473">
        <f t="shared" si="2"/>
        <v>3.9725838568564688E-5</v>
      </c>
      <c r="CH44" s="473">
        <f t="shared" si="3"/>
        <v>0.52241707971968876</v>
      </c>
      <c r="CI44" s="473">
        <f t="shared" si="4"/>
        <v>0.47754319444174265</v>
      </c>
      <c r="CM44" s="336">
        <f t="shared" si="10"/>
        <v>1</v>
      </c>
    </row>
    <row r="45" spans="7:91" ht="18" x14ac:dyDescent="0.25">
      <c r="G45" s="18">
        <v>1993</v>
      </c>
      <c r="H45" s="1271">
        <v>2722</v>
      </c>
      <c r="I45" s="1224"/>
      <c r="M45" s="337">
        <v>0.5</v>
      </c>
      <c r="N45" s="336">
        <v>0.5</v>
      </c>
      <c r="U45" s="336">
        <f t="shared" si="5"/>
        <v>1</v>
      </c>
      <c r="Y45" s="336">
        <v>0.9</v>
      </c>
      <c r="Z45" s="336">
        <v>0.1</v>
      </c>
      <c r="AC45" s="336">
        <v>0</v>
      </c>
      <c r="AG45" s="336">
        <f t="shared" si="6"/>
        <v>1</v>
      </c>
      <c r="AI45" s="339"/>
      <c r="AJ45" s="18">
        <v>1993</v>
      </c>
      <c r="AK45" s="327">
        <v>0</v>
      </c>
      <c r="AL45" s="327">
        <v>0</v>
      </c>
      <c r="AP45" s="337">
        <v>0.3</v>
      </c>
      <c r="AQ45" s="336">
        <v>0.7</v>
      </c>
      <c r="AX45" s="336">
        <f t="shared" si="7"/>
        <v>1</v>
      </c>
      <c r="BB45" s="337">
        <v>0.3</v>
      </c>
      <c r="BC45" s="336">
        <v>0.7</v>
      </c>
      <c r="BJ45" s="336">
        <f t="shared" si="8"/>
        <v>1</v>
      </c>
      <c r="BK45" s="536"/>
      <c r="BM45" s="18">
        <v>1993</v>
      </c>
      <c r="BN45" s="1224">
        <v>0</v>
      </c>
      <c r="BO45" s="1224"/>
      <c r="BS45" s="336"/>
      <c r="BT45" s="336"/>
      <c r="BU45" s="336"/>
      <c r="BV45" s="336"/>
      <c r="BW45" s="336"/>
      <c r="CA45" s="336">
        <f t="shared" si="9"/>
        <v>0</v>
      </c>
      <c r="CE45" s="573">
        <f t="shared" si="0"/>
        <v>0</v>
      </c>
      <c r="CF45" s="573">
        <f t="shared" si="1"/>
        <v>0</v>
      </c>
      <c r="CG45" s="473">
        <f t="shared" si="2"/>
        <v>3.9725838568564688E-5</v>
      </c>
      <c r="CH45" s="473">
        <f t="shared" si="3"/>
        <v>0.52241707971968876</v>
      </c>
      <c r="CI45" s="473">
        <f t="shared" si="4"/>
        <v>0.47754319444174265</v>
      </c>
      <c r="CM45" s="336">
        <f t="shared" si="10"/>
        <v>1</v>
      </c>
    </row>
    <row r="46" spans="7:91" ht="18" x14ac:dyDescent="0.25">
      <c r="G46" s="18">
        <v>1994</v>
      </c>
      <c r="H46" s="1271">
        <v>2722</v>
      </c>
      <c r="I46" s="1224"/>
      <c r="M46" s="337">
        <v>0.5</v>
      </c>
      <c r="N46" s="336">
        <v>0.5</v>
      </c>
      <c r="U46" s="336">
        <f t="shared" si="5"/>
        <v>1</v>
      </c>
      <c r="Y46" s="336">
        <v>0.9</v>
      </c>
      <c r="Z46" s="336">
        <v>0.1</v>
      </c>
      <c r="AC46" s="336">
        <v>0</v>
      </c>
      <c r="AG46" s="336">
        <f t="shared" si="6"/>
        <v>1</v>
      </c>
      <c r="AI46" s="339"/>
      <c r="AJ46" s="18">
        <v>1994</v>
      </c>
      <c r="AK46" s="327">
        <v>0</v>
      </c>
      <c r="AL46" s="327">
        <v>0</v>
      </c>
      <c r="AP46" s="337">
        <v>0.3</v>
      </c>
      <c r="AQ46" s="336">
        <v>0.7</v>
      </c>
      <c r="AX46" s="336">
        <f t="shared" si="7"/>
        <v>1</v>
      </c>
      <c r="BB46" s="337">
        <v>0.3</v>
      </c>
      <c r="BC46" s="336">
        <v>0.7</v>
      </c>
      <c r="BJ46" s="336">
        <f t="shared" si="8"/>
        <v>1</v>
      </c>
      <c r="BK46" s="536"/>
      <c r="BM46" s="18">
        <v>1994</v>
      </c>
      <c r="BN46" s="1224">
        <v>0</v>
      </c>
      <c r="BO46" s="1224"/>
      <c r="BS46" s="336"/>
      <c r="BT46" s="336"/>
      <c r="BU46" s="336"/>
      <c r="BV46" s="336"/>
      <c r="BW46" s="336"/>
      <c r="CA46" s="336">
        <f t="shared" si="9"/>
        <v>0</v>
      </c>
      <c r="CE46" s="573">
        <f t="shared" si="0"/>
        <v>0</v>
      </c>
      <c r="CF46" s="573">
        <f t="shared" si="1"/>
        <v>0</v>
      </c>
      <c r="CG46" s="473">
        <f t="shared" si="2"/>
        <v>3.9725838568564688E-5</v>
      </c>
      <c r="CH46" s="473">
        <f t="shared" si="3"/>
        <v>0.52241707971968876</v>
      </c>
      <c r="CI46" s="473">
        <f t="shared" si="4"/>
        <v>0.47754319444174265</v>
      </c>
      <c r="CM46" s="336">
        <f t="shared" si="10"/>
        <v>1</v>
      </c>
    </row>
    <row r="47" spans="7:91" ht="18" x14ac:dyDescent="0.25">
      <c r="G47" s="18">
        <v>1995</v>
      </c>
      <c r="H47" s="1271">
        <v>3629</v>
      </c>
      <c r="I47" s="1224"/>
      <c r="M47" s="337">
        <v>0.5</v>
      </c>
      <c r="N47" s="336">
        <v>0.5</v>
      </c>
      <c r="U47" s="336">
        <f t="shared" si="5"/>
        <v>1</v>
      </c>
      <c r="Y47" s="336">
        <v>0.9</v>
      </c>
      <c r="Z47" s="336">
        <v>0.1</v>
      </c>
      <c r="AC47" s="336">
        <v>0</v>
      </c>
      <c r="AG47" s="336">
        <f t="shared" si="6"/>
        <v>1</v>
      </c>
      <c r="AI47" s="339"/>
      <c r="AJ47" s="18">
        <v>1995</v>
      </c>
      <c r="AK47" s="327">
        <v>0</v>
      </c>
      <c r="AL47" s="327">
        <v>0</v>
      </c>
      <c r="AP47" s="337">
        <v>0.3</v>
      </c>
      <c r="AQ47" s="336">
        <v>0.7</v>
      </c>
      <c r="AX47" s="336">
        <f t="shared" si="7"/>
        <v>1</v>
      </c>
      <c r="BB47" s="337">
        <v>0.3</v>
      </c>
      <c r="BC47" s="336">
        <v>0.7</v>
      </c>
      <c r="BJ47" s="336">
        <f t="shared" si="8"/>
        <v>1</v>
      </c>
      <c r="BK47" s="536"/>
      <c r="BM47" s="18">
        <v>1995</v>
      </c>
      <c r="BN47" s="1224">
        <v>0</v>
      </c>
      <c r="BO47" s="1224"/>
      <c r="BS47" s="336"/>
      <c r="BT47" s="336"/>
      <c r="BU47" s="336"/>
      <c r="BV47" s="336"/>
      <c r="BW47" s="336"/>
      <c r="CA47" s="336">
        <f t="shared" si="9"/>
        <v>0</v>
      </c>
      <c r="CE47" s="573">
        <f t="shared" si="0"/>
        <v>0</v>
      </c>
      <c r="CF47" s="573">
        <f t="shared" si="1"/>
        <v>0</v>
      </c>
      <c r="CG47" s="473">
        <f t="shared" si="2"/>
        <v>3.9725838568564688E-5</v>
      </c>
      <c r="CH47" s="473">
        <f t="shared" si="3"/>
        <v>0.52241707971968876</v>
      </c>
      <c r="CI47" s="473">
        <f t="shared" si="4"/>
        <v>0.47754319444174265</v>
      </c>
      <c r="CM47" s="336">
        <f t="shared" si="10"/>
        <v>1</v>
      </c>
    </row>
    <row r="48" spans="7:91" ht="18" x14ac:dyDescent="0.25">
      <c r="G48" s="18">
        <v>1996</v>
      </c>
      <c r="H48" s="1271">
        <v>3629</v>
      </c>
      <c r="I48" s="1224"/>
      <c r="M48" s="337">
        <v>0.5</v>
      </c>
      <c r="N48" s="336">
        <v>0.5</v>
      </c>
      <c r="U48" s="336">
        <f t="shared" si="5"/>
        <v>1</v>
      </c>
      <c r="Y48" s="336">
        <v>0.9</v>
      </c>
      <c r="Z48" s="336">
        <v>0.1</v>
      </c>
      <c r="AC48" s="336">
        <v>0</v>
      </c>
      <c r="AG48" s="336">
        <f t="shared" si="6"/>
        <v>1</v>
      </c>
      <c r="AI48" s="339"/>
      <c r="AJ48" s="18">
        <v>1996</v>
      </c>
      <c r="AK48" s="327">
        <v>0</v>
      </c>
      <c r="AL48" s="327">
        <v>0</v>
      </c>
      <c r="AP48" s="337">
        <v>0.3</v>
      </c>
      <c r="AQ48" s="336">
        <v>0.7</v>
      </c>
      <c r="AX48" s="336">
        <f t="shared" si="7"/>
        <v>1</v>
      </c>
      <c r="BB48" s="337">
        <v>0.3</v>
      </c>
      <c r="BC48" s="336">
        <v>0.7</v>
      </c>
      <c r="BJ48" s="336">
        <f t="shared" si="8"/>
        <v>1</v>
      </c>
      <c r="BK48" s="536"/>
      <c r="BM48" s="18">
        <v>1996</v>
      </c>
      <c r="BN48" s="1224">
        <v>0</v>
      </c>
      <c r="BO48" s="1224"/>
      <c r="BS48" s="336"/>
      <c r="BT48" s="336"/>
      <c r="BU48" s="336"/>
      <c r="BV48" s="336"/>
      <c r="BW48" s="336"/>
      <c r="CA48" s="336">
        <f t="shared" si="9"/>
        <v>0</v>
      </c>
      <c r="CE48" s="573">
        <f t="shared" si="0"/>
        <v>0</v>
      </c>
      <c r="CF48" s="573">
        <f t="shared" si="1"/>
        <v>0</v>
      </c>
      <c r="CG48" s="473">
        <f t="shared" si="2"/>
        <v>3.9725838568564688E-5</v>
      </c>
      <c r="CH48" s="473">
        <f t="shared" si="3"/>
        <v>0.52241707971968876</v>
      </c>
      <c r="CI48" s="473">
        <f t="shared" si="4"/>
        <v>0.47754319444174265</v>
      </c>
      <c r="CM48" s="336">
        <f t="shared" si="10"/>
        <v>1</v>
      </c>
    </row>
    <row r="49" spans="7:93" ht="18" x14ac:dyDescent="0.25">
      <c r="G49" s="18">
        <v>1997</v>
      </c>
      <c r="H49" s="1271">
        <v>3629</v>
      </c>
      <c r="I49" s="1224"/>
      <c r="M49" s="337">
        <v>0.5</v>
      </c>
      <c r="N49" s="336">
        <v>0.5</v>
      </c>
      <c r="U49" s="336">
        <f t="shared" si="5"/>
        <v>1</v>
      </c>
      <c r="Y49" s="336">
        <v>0.9</v>
      </c>
      <c r="Z49" s="336">
        <v>0.1</v>
      </c>
      <c r="AC49" s="336">
        <v>0</v>
      </c>
      <c r="AG49" s="336">
        <f t="shared" si="6"/>
        <v>1</v>
      </c>
      <c r="AI49" s="339"/>
      <c r="AJ49" s="18">
        <v>1997</v>
      </c>
      <c r="AK49" s="327">
        <v>0</v>
      </c>
      <c r="AL49" s="327">
        <v>0</v>
      </c>
      <c r="AP49" s="337">
        <v>0.3</v>
      </c>
      <c r="AQ49" s="336">
        <v>0.7</v>
      </c>
      <c r="AX49" s="336">
        <f t="shared" si="7"/>
        <v>1</v>
      </c>
      <c r="BB49" s="337">
        <v>0.3</v>
      </c>
      <c r="BC49" s="336">
        <v>0.7</v>
      </c>
      <c r="BJ49" s="336">
        <f t="shared" si="8"/>
        <v>1</v>
      </c>
      <c r="BK49" s="536"/>
      <c r="BM49" s="18">
        <v>1997</v>
      </c>
      <c r="BN49" s="1224">
        <v>0</v>
      </c>
      <c r="BO49" s="1224"/>
      <c r="BS49" s="336"/>
      <c r="BT49" s="336"/>
      <c r="BU49" s="336"/>
      <c r="BV49" s="336"/>
      <c r="BW49" s="336"/>
      <c r="CA49" s="336">
        <f t="shared" si="9"/>
        <v>0</v>
      </c>
      <c r="CE49" s="573">
        <f t="shared" si="0"/>
        <v>0</v>
      </c>
      <c r="CF49" s="573">
        <f t="shared" si="1"/>
        <v>0</v>
      </c>
      <c r="CG49" s="473">
        <f t="shared" si="2"/>
        <v>3.9725838568564688E-5</v>
      </c>
      <c r="CH49" s="473">
        <f t="shared" si="3"/>
        <v>0.52241707971968876</v>
      </c>
      <c r="CI49" s="473">
        <f t="shared" si="4"/>
        <v>0.47754319444174265</v>
      </c>
      <c r="CM49" s="336">
        <f t="shared" si="10"/>
        <v>1</v>
      </c>
    </row>
    <row r="50" spans="7:93" ht="18" x14ac:dyDescent="0.25">
      <c r="G50" s="18">
        <v>1998</v>
      </c>
      <c r="H50" s="1271">
        <v>3629</v>
      </c>
      <c r="I50" s="1224"/>
      <c r="M50" s="337">
        <v>0.5</v>
      </c>
      <c r="N50" s="336">
        <v>0.5</v>
      </c>
      <c r="U50" s="336">
        <f t="shared" si="5"/>
        <v>1</v>
      </c>
      <c r="Y50" s="336">
        <v>0.9</v>
      </c>
      <c r="Z50" s="336">
        <v>0.1</v>
      </c>
      <c r="AC50" s="336">
        <v>0</v>
      </c>
      <c r="AG50" s="336">
        <f t="shared" si="6"/>
        <v>1</v>
      </c>
      <c r="AI50" s="339"/>
      <c r="AJ50" s="18">
        <v>1998</v>
      </c>
      <c r="AK50" s="327">
        <v>0</v>
      </c>
      <c r="AL50" s="327">
        <v>0</v>
      </c>
      <c r="AP50" s="337">
        <v>0.3</v>
      </c>
      <c r="AQ50" s="336">
        <v>0.7</v>
      </c>
      <c r="AX50" s="336">
        <f t="shared" si="7"/>
        <v>1</v>
      </c>
      <c r="BB50" s="337">
        <v>0.3</v>
      </c>
      <c r="BC50" s="336">
        <v>0.7</v>
      </c>
      <c r="BJ50" s="336">
        <f t="shared" si="8"/>
        <v>1</v>
      </c>
      <c r="BK50" s="536"/>
      <c r="BM50" s="18">
        <v>1998</v>
      </c>
      <c r="BN50" s="1224">
        <v>0</v>
      </c>
      <c r="BO50" s="1224"/>
      <c r="BS50" s="336"/>
      <c r="BT50" s="336"/>
      <c r="BU50" s="336"/>
      <c r="BV50" s="336"/>
      <c r="BW50" s="336"/>
      <c r="CA50" s="336">
        <f t="shared" si="9"/>
        <v>0</v>
      </c>
      <c r="CE50" s="573">
        <f t="shared" si="0"/>
        <v>0</v>
      </c>
      <c r="CF50" s="573">
        <f t="shared" si="1"/>
        <v>0</v>
      </c>
      <c r="CG50" s="473">
        <f t="shared" si="2"/>
        <v>3.9725838568564688E-5</v>
      </c>
      <c r="CH50" s="473">
        <f t="shared" si="3"/>
        <v>0.52241707971968876</v>
      </c>
      <c r="CI50" s="473">
        <f t="shared" si="4"/>
        <v>0.47754319444174265</v>
      </c>
      <c r="CM50" s="336">
        <f t="shared" si="10"/>
        <v>1</v>
      </c>
    </row>
    <row r="51" spans="7:93" ht="18" x14ac:dyDescent="0.25">
      <c r="G51" s="18">
        <v>1999</v>
      </c>
      <c r="H51" s="1271">
        <v>3629</v>
      </c>
      <c r="I51" s="1224"/>
      <c r="M51" s="337">
        <v>0.5</v>
      </c>
      <c r="N51" s="336">
        <v>0.5</v>
      </c>
      <c r="U51" s="336">
        <f t="shared" si="5"/>
        <v>1</v>
      </c>
      <c r="Y51" s="336">
        <v>0.9</v>
      </c>
      <c r="Z51" s="336">
        <v>0.1</v>
      </c>
      <c r="AC51" s="336">
        <v>0</v>
      </c>
      <c r="AG51" s="336">
        <f t="shared" si="6"/>
        <v>1</v>
      </c>
      <c r="AI51" s="339"/>
      <c r="AJ51" s="18">
        <v>1999</v>
      </c>
      <c r="AK51" s="327">
        <v>0</v>
      </c>
      <c r="AL51" s="327">
        <v>0</v>
      </c>
      <c r="AP51" s="337">
        <v>0.3</v>
      </c>
      <c r="AQ51" s="336">
        <v>0.7</v>
      </c>
      <c r="AX51" s="336">
        <f t="shared" si="7"/>
        <v>1</v>
      </c>
      <c r="BB51" s="337">
        <v>0.3</v>
      </c>
      <c r="BC51" s="336">
        <v>0.7</v>
      </c>
      <c r="BJ51" s="336">
        <f t="shared" si="8"/>
        <v>1</v>
      </c>
      <c r="BK51" s="536"/>
      <c r="BM51" s="18">
        <v>1999</v>
      </c>
      <c r="BN51" s="1224">
        <v>0</v>
      </c>
      <c r="BO51" s="1224"/>
      <c r="BS51" s="336"/>
      <c r="BT51" s="336"/>
      <c r="BU51" s="336"/>
      <c r="BV51" s="336"/>
      <c r="BW51" s="336"/>
      <c r="CA51" s="336">
        <f t="shared" si="9"/>
        <v>0</v>
      </c>
      <c r="CE51" s="573">
        <f t="shared" si="0"/>
        <v>0</v>
      </c>
      <c r="CF51" s="573">
        <f t="shared" si="1"/>
        <v>0</v>
      </c>
      <c r="CG51" s="473">
        <f t="shared" si="2"/>
        <v>3.9725838568564688E-5</v>
      </c>
      <c r="CH51" s="473">
        <f t="shared" si="3"/>
        <v>0.52241707971968876</v>
      </c>
      <c r="CI51" s="473">
        <f t="shared" si="4"/>
        <v>0.47754319444174265</v>
      </c>
      <c r="CM51" s="336">
        <f t="shared" si="10"/>
        <v>1</v>
      </c>
    </row>
    <row r="52" spans="7:93" ht="18" x14ac:dyDescent="0.25">
      <c r="G52" s="18">
        <v>2000</v>
      </c>
      <c r="H52" s="1271">
        <v>4368</v>
      </c>
      <c r="I52" s="1224"/>
      <c r="M52" s="337">
        <v>0.5</v>
      </c>
      <c r="N52" s="336">
        <v>0.5</v>
      </c>
      <c r="U52" s="336">
        <f t="shared" si="5"/>
        <v>1</v>
      </c>
      <c r="Y52" s="336">
        <v>0.9</v>
      </c>
      <c r="Z52" s="336">
        <v>0.1</v>
      </c>
      <c r="AC52" s="336">
        <v>0</v>
      </c>
      <c r="AG52" s="336">
        <f t="shared" si="6"/>
        <v>1</v>
      </c>
      <c r="AI52" s="339"/>
      <c r="AJ52" s="18">
        <v>2000</v>
      </c>
      <c r="AK52" s="327">
        <v>0</v>
      </c>
      <c r="AL52" s="327">
        <v>0</v>
      </c>
      <c r="AP52" s="337">
        <v>0.3</v>
      </c>
      <c r="AQ52" s="336">
        <v>0.7</v>
      </c>
      <c r="AX52" s="336">
        <f t="shared" si="7"/>
        <v>1</v>
      </c>
      <c r="BB52" s="337">
        <v>0.3</v>
      </c>
      <c r="BC52" s="336">
        <v>0.7</v>
      </c>
      <c r="BJ52" s="336">
        <f t="shared" si="8"/>
        <v>1</v>
      </c>
      <c r="BK52" s="536"/>
      <c r="BM52" s="18">
        <v>2000</v>
      </c>
      <c r="BN52" s="1224">
        <v>0</v>
      </c>
      <c r="BO52" s="1224"/>
      <c r="BS52" s="336"/>
      <c r="BT52" s="336"/>
      <c r="BU52" s="336"/>
      <c r="BV52" s="336"/>
      <c r="BW52" s="336"/>
      <c r="CA52" s="336">
        <f t="shared" si="9"/>
        <v>0</v>
      </c>
      <c r="CE52" s="573">
        <f t="shared" si="0"/>
        <v>0</v>
      </c>
      <c r="CF52" s="573">
        <f t="shared" si="1"/>
        <v>0</v>
      </c>
      <c r="CG52" s="473">
        <f t="shared" si="2"/>
        <v>3.9725838568564688E-5</v>
      </c>
      <c r="CH52" s="473">
        <f t="shared" si="3"/>
        <v>0.52241707971968876</v>
      </c>
      <c r="CI52" s="473">
        <f t="shared" si="4"/>
        <v>0.47754319444174265</v>
      </c>
      <c r="CM52" s="336">
        <f t="shared" si="10"/>
        <v>1</v>
      </c>
    </row>
    <row r="53" spans="7:93" ht="18" x14ac:dyDescent="0.25">
      <c r="G53" s="18">
        <v>2001</v>
      </c>
      <c r="H53" s="1271">
        <v>218</v>
      </c>
      <c r="I53" s="1224"/>
      <c r="M53" s="337">
        <v>0.5</v>
      </c>
      <c r="N53" s="336">
        <v>0.5</v>
      </c>
      <c r="U53" s="336">
        <f t="shared" si="5"/>
        <v>1</v>
      </c>
      <c r="Y53" s="336">
        <v>0.9</v>
      </c>
      <c r="Z53" s="336">
        <v>0.1</v>
      </c>
      <c r="AC53" s="336">
        <v>0</v>
      </c>
      <c r="AG53" s="336">
        <f t="shared" si="6"/>
        <v>1</v>
      </c>
      <c r="AI53" s="339"/>
      <c r="AJ53" s="18">
        <v>2001</v>
      </c>
      <c r="AK53" s="327">
        <v>0</v>
      </c>
      <c r="AL53" s="327">
        <v>0</v>
      </c>
      <c r="AP53" s="337">
        <v>0.3</v>
      </c>
      <c r="AQ53" s="336">
        <v>0.7</v>
      </c>
      <c r="AX53" s="336">
        <f t="shared" si="7"/>
        <v>1</v>
      </c>
      <c r="BB53" s="337">
        <v>0.3</v>
      </c>
      <c r="BC53" s="336">
        <v>0.7</v>
      </c>
      <c r="BJ53" s="336">
        <f t="shared" si="8"/>
        <v>1</v>
      </c>
      <c r="BK53" s="536"/>
      <c r="BM53" s="18">
        <v>2001</v>
      </c>
      <c r="BN53" s="1224">
        <v>0</v>
      </c>
      <c r="BO53" s="1224"/>
      <c r="BS53" s="336"/>
      <c r="BT53" s="336"/>
      <c r="BU53" s="336"/>
      <c r="BV53" s="336"/>
      <c r="BW53" s="336"/>
      <c r="CA53" s="336">
        <f t="shared" si="9"/>
        <v>0</v>
      </c>
      <c r="CE53" s="573">
        <f t="shared" si="0"/>
        <v>0</v>
      </c>
      <c r="CF53" s="573">
        <f t="shared" si="1"/>
        <v>0</v>
      </c>
      <c r="CG53" s="473">
        <f t="shared" si="2"/>
        <v>3.9725838568564688E-5</v>
      </c>
      <c r="CH53" s="473">
        <f t="shared" si="3"/>
        <v>0.52241707971968876</v>
      </c>
      <c r="CI53" s="473">
        <f t="shared" si="4"/>
        <v>0.47754319444174265</v>
      </c>
      <c r="CM53" s="336">
        <f t="shared" si="10"/>
        <v>1</v>
      </c>
    </row>
    <row r="54" spans="7:93" ht="18" x14ac:dyDescent="0.25">
      <c r="G54" s="18">
        <v>2002</v>
      </c>
      <c r="H54" s="1271">
        <v>151</v>
      </c>
      <c r="I54" s="1224"/>
      <c r="M54" s="337">
        <v>0.5</v>
      </c>
      <c r="N54" s="336">
        <v>0.5</v>
      </c>
      <c r="U54" s="336">
        <f t="shared" si="5"/>
        <v>1</v>
      </c>
      <c r="Y54" s="336">
        <v>0.9</v>
      </c>
      <c r="Z54" s="336">
        <v>0.1</v>
      </c>
      <c r="AC54" s="336">
        <v>0</v>
      </c>
      <c r="AG54" s="336">
        <f t="shared" si="6"/>
        <v>1</v>
      </c>
      <c r="AI54" s="339"/>
      <c r="AJ54" s="18">
        <v>2002</v>
      </c>
      <c r="AK54" s="327">
        <v>30</v>
      </c>
      <c r="AL54" s="327">
        <v>30</v>
      </c>
      <c r="AP54" s="337">
        <v>0.3</v>
      </c>
      <c r="AQ54" s="336">
        <v>0.7</v>
      </c>
      <c r="AX54" s="336">
        <f t="shared" si="7"/>
        <v>1</v>
      </c>
      <c r="BB54" s="337">
        <v>0.3</v>
      </c>
      <c r="BC54" s="336">
        <v>0.7</v>
      </c>
      <c r="BJ54" s="336">
        <f t="shared" si="8"/>
        <v>1</v>
      </c>
      <c r="BK54" s="536"/>
      <c r="BM54" s="18">
        <v>2002</v>
      </c>
      <c r="BN54" s="1224">
        <v>0</v>
      </c>
      <c r="BO54" s="1224"/>
      <c r="BS54" s="336"/>
      <c r="BT54" s="336"/>
      <c r="BU54" s="336"/>
      <c r="BV54" s="336"/>
      <c r="BW54" s="336"/>
      <c r="CA54" s="336">
        <f t="shared" si="9"/>
        <v>0</v>
      </c>
      <c r="CE54" s="573">
        <f t="shared" si="0"/>
        <v>0</v>
      </c>
      <c r="CF54" s="573">
        <f t="shared" si="1"/>
        <v>0</v>
      </c>
      <c r="CG54" s="473">
        <f t="shared" si="2"/>
        <v>3.9725838568564688E-5</v>
      </c>
      <c r="CH54" s="473">
        <f t="shared" si="3"/>
        <v>0.52241707971968876</v>
      </c>
      <c r="CI54" s="473">
        <f t="shared" si="4"/>
        <v>0.47754319444174265</v>
      </c>
      <c r="CM54" s="336">
        <f t="shared" si="10"/>
        <v>1</v>
      </c>
    </row>
    <row r="55" spans="7:93" ht="18" x14ac:dyDescent="0.25">
      <c r="G55" s="9">
        <v>2003</v>
      </c>
      <c r="H55" s="10">
        <v>50</v>
      </c>
      <c r="I55" s="11">
        <v>160</v>
      </c>
      <c r="M55" s="337">
        <v>0.5</v>
      </c>
      <c r="N55" s="336">
        <v>0.5</v>
      </c>
      <c r="U55" s="336">
        <f t="shared" si="5"/>
        <v>1</v>
      </c>
      <c r="Y55" s="336">
        <v>0.9</v>
      </c>
      <c r="Z55" s="336">
        <v>0.1</v>
      </c>
      <c r="AC55" s="336">
        <v>0</v>
      </c>
      <c r="AG55" s="336">
        <f t="shared" si="6"/>
        <v>1</v>
      </c>
      <c r="AI55" s="339"/>
      <c r="AJ55" s="9">
        <v>2003</v>
      </c>
      <c r="AK55" s="11">
        <v>50</v>
      </c>
      <c r="AL55" s="11">
        <v>50</v>
      </c>
      <c r="AP55" s="337">
        <v>0.3</v>
      </c>
      <c r="AQ55" s="336">
        <v>0.7</v>
      </c>
      <c r="AX55" s="336">
        <f t="shared" si="7"/>
        <v>1</v>
      </c>
      <c r="BB55" s="337">
        <v>0.3</v>
      </c>
      <c r="BC55" s="336">
        <v>0.7</v>
      </c>
      <c r="BJ55" s="336">
        <f t="shared" si="8"/>
        <v>1</v>
      </c>
      <c r="BK55" s="536"/>
      <c r="BM55" s="9">
        <v>2003</v>
      </c>
      <c r="BN55" s="1322">
        <v>0</v>
      </c>
      <c r="BO55" s="1322"/>
      <c r="BS55" s="336"/>
      <c r="BT55" s="336"/>
      <c r="BU55" s="336"/>
      <c r="BV55" s="336"/>
      <c r="BW55" s="336"/>
      <c r="CA55" s="336">
        <f t="shared" si="9"/>
        <v>0</v>
      </c>
      <c r="CE55" s="573">
        <f t="shared" si="0"/>
        <v>0</v>
      </c>
      <c r="CF55" s="573">
        <f t="shared" si="1"/>
        <v>0</v>
      </c>
      <c r="CG55" s="473">
        <f t="shared" si="2"/>
        <v>3.9725838568564688E-5</v>
      </c>
      <c r="CH55" s="473">
        <f t="shared" si="3"/>
        <v>0.52241707971968876</v>
      </c>
      <c r="CI55" s="473">
        <f t="shared" si="4"/>
        <v>0.47754319444174265</v>
      </c>
      <c r="CM55" s="336">
        <f t="shared" si="10"/>
        <v>1</v>
      </c>
    </row>
    <row r="56" spans="7:93" ht="18" x14ac:dyDescent="0.25">
      <c r="G56" s="9">
        <v>2004</v>
      </c>
      <c r="H56" s="10">
        <v>50</v>
      </c>
      <c r="I56" s="11">
        <v>160</v>
      </c>
      <c r="M56" s="337">
        <v>0.5</v>
      </c>
      <c r="N56" s="336">
        <v>0.5</v>
      </c>
      <c r="U56" s="336">
        <f t="shared" si="5"/>
        <v>1</v>
      </c>
      <c r="Y56" s="336">
        <v>0.9</v>
      </c>
      <c r="Z56" s="336">
        <v>0.1</v>
      </c>
      <c r="AC56" s="336">
        <v>0</v>
      </c>
      <c r="AG56" s="336">
        <f t="shared" si="6"/>
        <v>1</v>
      </c>
      <c r="AI56" s="339"/>
      <c r="AJ56" s="9">
        <v>2004</v>
      </c>
      <c r="AK56" s="11">
        <v>100</v>
      </c>
      <c r="AL56" s="11">
        <v>100</v>
      </c>
      <c r="AP56" s="337">
        <v>0.3</v>
      </c>
      <c r="AQ56" s="336">
        <v>0.7</v>
      </c>
      <c r="AX56" s="336">
        <f t="shared" si="7"/>
        <v>1</v>
      </c>
      <c r="BB56" s="337">
        <v>0.3</v>
      </c>
      <c r="BC56" s="336">
        <v>0.7</v>
      </c>
      <c r="BJ56" s="336">
        <f t="shared" si="8"/>
        <v>1</v>
      </c>
      <c r="BK56" s="536"/>
      <c r="BM56" s="9">
        <v>2004</v>
      </c>
      <c r="BN56" s="1322">
        <f>BQ129</f>
        <v>30</v>
      </c>
      <c r="BO56" s="1322"/>
      <c r="BS56" s="336"/>
      <c r="BT56" s="336"/>
      <c r="BU56" s="336"/>
      <c r="BV56" s="336"/>
      <c r="BW56" s="336"/>
      <c r="CA56" s="336">
        <f t="shared" si="9"/>
        <v>0</v>
      </c>
      <c r="CE56" s="573">
        <f t="shared" si="0"/>
        <v>0</v>
      </c>
      <c r="CF56" s="573">
        <f t="shared" si="1"/>
        <v>0</v>
      </c>
      <c r="CG56" s="473">
        <f t="shared" si="2"/>
        <v>3.9725838568564688E-5</v>
      </c>
      <c r="CH56" s="473">
        <f t="shared" si="3"/>
        <v>0.52241707971968876</v>
      </c>
      <c r="CI56" s="473">
        <f t="shared" si="4"/>
        <v>0.47754319444174265</v>
      </c>
      <c r="CM56" s="336">
        <f t="shared" si="10"/>
        <v>1</v>
      </c>
    </row>
    <row r="57" spans="7:93" ht="18" x14ac:dyDescent="0.25">
      <c r="G57" s="9">
        <v>2005</v>
      </c>
      <c r="H57" s="10">
        <v>73</v>
      </c>
      <c r="I57" s="11">
        <v>162</v>
      </c>
      <c r="M57" s="337">
        <v>0.5</v>
      </c>
      <c r="N57" s="336">
        <v>0.5</v>
      </c>
      <c r="U57" s="336">
        <f t="shared" si="5"/>
        <v>1</v>
      </c>
      <c r="Y57" s="336">
        <v>0.9</v>
      </c>
      <c r="Z57" s="336">
        <v>0.1</v>
      </c>
      <c r="AC57" s="336">
        <v>0</v>
      </c>
      <c r="AG57" s="336">
        <f t="shared" si="6"/>
        <v>1</v>
      </c>
      <c r="AI57" s="339"/>
      <c r="AJ57" s="9">
        <v>2005</v>
      </c>
      <c r="AK57" s="11">
        <v>170</v>
      </c>
      <c r="AL57" s="11">
        <v>170</v>
      </c>
      <c r="AP57" s="337">
        <v>0.3</v>
      </c>
      <c r="AQ57" s="336">
        <v>0.7</v>
      </c>
      <c r="AX57" s="336">
        <f t="shared" si="7"/>
        <v>1</v>
      </c>
      <c r="BB57" s="337">
        <v>0.3</v>
      </c>
      <c r="BC57" s="336">
        <v>0.7</v>
      </c>
      <c r="BJ57" s="336">
        <f t="shared" si="8"/>
        <v>1</v>
      </c>
      <c r="BK57" s="536"/>
      <c r="BM57" s="9">
        <v>2005</v>
      </c>
      <c r="BN57" s="1322">
        <f t="shared" ref="BN57:BN67" si="11">BQ130</f>
        <v>30.0334</v>
      </c>
      <c r="BO57" s="1322"/>
      <c r="BS57" s="336"/>
      <c r="BT57" s="336"/>
      <c r="BU57" s="336"/>
      <c r="BV57" s="336"/>
      <c r="BW57" s="336"/>
      <c r="CA57" s="336">
        <f t="shared" si="9"/>
        <v>0</v>
      </c>
      <c r="CE57" s="573">
        <f t="shared" si="0"/>
        <v>0</v>
      </c>
      <c r="CF57" s="573">
        <f t="shared" si="1"/>
        <v>0</v>
      </c>
      <c r="CG57" s="473">
        <f t="shared" si="2"/>
        <v>3.9725838568564688E-5</v>
      </c>
      <c r="CH57" s="473">
        <f t="shared" si="3"/>
        <v>0.52241707971968876</v>
      </c>
      <c r="CI57" s="473">
        <f t="shared" si="4"/>
        <v>0.47754319444174265</v>
      </c>
      <c r="CM57" s="336">
        <f t="shared" si="10"/>
        <v>1</v>
      </c>
    </row>
    <row r="58" spans="7:93" ht="18" x14ac:dyDescent="0.25">
      <c r="G58" s="9">
        <v>2006</v>
      </c>
      <c r="H58" s="10">
        <v>50</v>
      </c>
      <c r="I58" s="11">
        <v>100</v>
      </c>
      <c r="M58" s="337">
        <v>0.5</v>
      </c>
      <c r="N58" s="336">
        <v>0.5</v>
      </c>
      <c r="U58" s="336">
        <f t="shared" si="5"/>
        <v>1</v>
      </c>
      <c r="Y58" s="336">
        <v>0.9</v>
      </c>
      <c r="Z58" s="336">
        <v>0.1</v>
      </c>
      <c r="AC58" s="336">
        <v>0</v>
      </c>
      <c r="AG58" s="336">
        <f t="shared" si="6"/>
        <v>1</v>
      </c>
      <c r="AI58" s="339"/>
      <c r="AJ58" s="9">
        <v>2006</v>
      </c>
      <c r="AK58" s="11">
        <v>250</v>
      </c>
      <c r="AL58" s="11">
        <v>250</v>
      </c>
      <c r="AP58" s="337">
        <v>0.3</v>
      </c>
      <c r="AQ58" s="336">
        <v>0.7</v>
      </c>
      <c r="AX58" s="336">
        <f t="shared" si="7"/>
        <v>1</v>
      </c>
      <c r="BB58" s="337">
        <v>0.3</v>
      </c>
      <c r="BC58" s="336">
        <v>0.7</v>
      </c>
      <c r="BJ58" s="336">
        <f t="shared" si="8"/>
        <v>1</v>
      </c>
      <c r="BK58" s="536"/>
      <c r="BM58" s="9">
        <v>2006</v>
      </c>
      <c r="BN58" s="1322">
        <f t="shared" si="11"/>
        <v>30.954999999999998</v>
      </c>
      <c r="BO58" s="1322"/>
      <c r="BS58" s="336"/>
      <c r="BT58" s="336"/>
      <c r="BU58" s="336"/>
      <c r="BV58" s="336"/>
      <c r="BW58" s="336"/>
      <c r="CA58" s="336">
        <f t="shared" si="9"/>
        <v>0</v>
      </c>
      <c r="CE58" s="573">
        <f t="shared" si="0"/>
        <v>0</v>
      </c>
      <c r="CF58" s="573">
        <f t="shared" si="1"/>
        <v>0</v>
      </c>
      <c r="CG58" s="473">
        <f t="shared" si="2"/>
        <v>3.9725838568564688E-5</v>
      </c>
      <c r="CH58" s="473">
        <f t="shared" si="3"/>
        <v>0.52241707971968876</v>
      </c>
      <c r="CI58" s="473">
        <f t="shared" si="4"/>
        <v>0.47754319444174265</v>
      </c>
      <c r="CM58" s="336">
        <f t="shared" si="10"/>
        <v>1</v>
      </c>
    </row>
    <row r="59" spans="7:93" ht="18" x14ac:dyDescent="0.25">
      <c r="G59" s="9">
        <v>2007</v>
      </c>
      <c r="H59" s="10">
        <v>25</v>
      </c>
      <c r="I59" s="11">
        <v>50</v>
      </c>
      <c r="M59" s="337">
        <v>0.5</v>
      </c>
      <c r="N59" s="336">
        <v>0.5</v>
      </c>
      <c r="U59" s="336">
        <f t="shared" si="5"/>
        <v>1</v>
      </c>
      <c r="Y59" s="336">
        <v>0.9</v>
      </c>
      <c r="Z59" s="336">
        <v>0.1</v>
      </c>
      <c r="AC59" s="336">
        <v>0</v>
      </c>
      <c r="AG59" s="336">
        <f t="shared" si="6"/>
        <v>1</v>
      </c>
      <c r="AI59" s="339"/>
      <c r="AJ59" s="9">
        <v>2007</v>
      </c>
      <c r="AK59" s="11">
        <v>180</v>
      </c>
      <c r="AL59" s="11">
        <v>180</v>
      </c>
      <c r="AP59" s="337">
        <v>0.3</v>
      </c>
      <c r="AQ59" s="336">
        <v>0.7</v>
      </c>
      <c r="AX59" s="336">
        <f t="shared" si="7"/>
        <v>1</v>
      </c>
      <c r="BB59" s="337">
        <v>0.3</v>
      </c>
      <c r="BC59" s="336">
        <v>0.7</v>
      </c>
      <c r="BJ59" s="336">
        <f t="shared" si="8"/>
        <v>1</v>
      </c>
      <c r="BK59" s="536"/>
      <c r="BM59" s="9">
        <v>2007</v>
      </c>
      <c r="BN59" s="1322">
        <f t="shared" si="11"/>
        <v>30.985600000000002</v>
      </c>
      <c r="BO59" s="1322"/>
      <c r="BS59" s="336"/>
      <c r="BT59" s="336"/>
      <c r="BU59" s="336"/>
      <c r="BV59" s="336"/>
      <c r="BW59" s="336"/>
      <c r="CA59" s="336">
        <f t="shared" si="9"/>
        <v>0</v>
      </c>
      <c r="CE59" s="573">
        <f t="shared" si="0"/>
        <v>0</v>
      </c>
      <c r="CF59" s="573">
        <f t="shared" si="1"/>
        <v>0</v>
      </c>
      <c r="CG59" s="473">
        <f t="shared" si="2"/>
        <v>3.9725838568564688E-5</v>
      </c>
      <c r="CH59" s="473">
        <f t="shared" si="3"/>
        <v>0.52241707971968876</v>
      </c>
      <c r="CI59" s="473">
        <f t="shared" si="4"/>
        <v>0.47754319444174265</v>
      </c>
      <c r="CM59" s="336">
        <f t="shared" si="10"/>
        <v>1</v>
      </c>
    </row>
    <row r="60" spans="7:93" ht="18" x14ac:dyDescent="0.25">
      <c r="G60" s="9">
        <v>2008</v>
      </c>
      <c r="H60" s="10">
        <v>0</v>
      </c>
      <c r="I60" s="11">
        <v>0</v>
      </c>
      <c r="M60" s="337">
        <v>0.5</v>
      </c>
      <c r="N60" s="336">
        <v>0.5</v>
      </c>
      <c r="U60" s="336">
        <f t="shared" si="5"/>
        <v>1</v>
      </c>
      <c r="Y60" s="336">
        <v>0.9</v>
      </c>
      <c r="Z60" s="336">
        <v>0.1</v>
      </c>
      <c r="AC60" s="336">
        <v>0</v>
      </c>
      <c r="AG60" s="336">
        <f t="shared" si="6"/>
        <v>1</v>
      </c>
      <c r="AI60" s="339"/>
      <c r="AJ60" s="9">
        <v>2008</v>
      </c>
      <c r="AK60" s="11">
        <v>100</v>
      </c>
      <c r="AL60" s="11">
        <v>100</v>
      </c>
      <c r="AP60" s="337">
        <v>0.3</v>
      </c>
      <c r="AQ60" s="336">
        <v>0.7</v>
      </c>
      <c r="AX60" s="336">
        <f t="shared" si="7"/>
        <v>1</v>
      </c>
      <c r="BB60" s="337">
        <v>0.3</v>
      </c>
      <c r="BC60" s="336">
        <v>0.7</v>
      </c>
      <c r="BJ60" s="336">
        <f t="shared" si="8"/>
        <v>1</v>
      </c>
      <c r="BK60" s="536"/>
      <c r="BM60" s="9">
        <v>2008</v>
      </c>
      <c r="BN60" s="1322">
        <f t="shared" si="11"/>
        <v>30</v>
      </c>
      <c r="BO60" s="1322"/>
      <c r="BS60" s="336"/>
      <c r="BT60" s="336"/>
      <c r="BU60" s="336"/>
      <c r="BV60" s="336"/>
      <c r="BW60" s="336"/>
      <c r="CA60" s="336">
        <f t="shared" si="9"/>
        <v>0</v>
      </c>
      <c r="CE60" s="573">
        <f>$CE$61</f>
        <v>0</v>
      </c>
      <c r="CF60" s="573">
        <f>$CF$61</f>
        <v>0</v>
      </c>
      <c r="CG60" s="473">
        <f>$CG$61</f>
        <v>3.9725838568564688E-5</v>
      </c>
      <c r="CH60" s="473">
        <f>$CH$61</f>
        <v>0.52241707971968876</v>
      </c>
      <c r="CI60" s="473">
        <f>$CI$61</f>
        <v>0.47754319444174265</v>
      </c>
      <c r="CM60" s="336">
        <f t="shared" si="10"/>
        <v>1</v>
      </c>
      <c r="CO60" t="s">
        <v>1116</v>
      </c>
    </row>
    <row r="61" spans="7:93" ht="18" x14ac:dyDescent="0.25">
      <c r="G61" s="9">
        <v>2009</v>
      </c>
      <c r="H61" s="10">
        <v>0</v>
      </c>
      <c r="I61" s="11">
        <v>0</v>
      </c>
      <c r="M61" s="337">
        <v>0.5</v>
      </c>
      <c r="N61" s="336">
        <v>0.5</v>
      </c>
      <c r="U61" s="336">
        <f t="shared" si="5"/>
        <v>1</v>
      </c>
      <c r="Y61" s="336">
        <v>0.9</v>
      </c>
      <c r="Z61" s="336">
        <v>0.1</v>
      </c>
      <c r="AC61" s="336">
        <v>0</v>
      </c>
      <c r="AG61" s="336">
        <f t="shared" si="6"/>
        <v>1</v>
      </c>
      <c r="AI61" s="339"/>
      <c r="AJ61" s="9">
        <v>2009</v>
      </c>
      <c r="AK61" s="11">
        <v>100</v>
      </c>
      <c r="AL61" s="11">
        <v>100</v>
      </c>
      <c r="AP61" s="337">
        <v>0.3</v>
      </c>
      <c r="AQ61" s="336">
        <v>0.7</v>
      </c>
      <c r="AX61" s="336">
        <f t="shared" si="7"/>
        <v>1</v>
      </c>
      <c r="BB61" s="337">
        <v>0.3</v>
      </c>
      <c r="BC61" s="336">
        <v>0.7</v>
      </c>
      <c r="BJ61" s="336">
        <f t="shared" si="8"/>
        <v>1</v>
      </c>
      <c r="BK61" s="536"/>
      <c r="BM61" s="9">
        <v>2009</v>
      </c>
      <c r="BN61" s="1322">
        <f t="shared" si="11"/>
        <v>23.295500000000001</v>
      </c>
      <c r="BO61" s="1322"/>
      <c r="BS61" s="336"/>
      <c r="BT61" s="336"/>
      <c r="BU61" s="336"/>
      <c r="BV61" s="336"/>
      <c r="BW61" s="336"/>
      <c r="CA61" s="336">
        <f t="shared" si="9"/>
        <v>0</v>
      </c>
      <c r="CE61" s="573">
        <f t="shared" ref="CE61:CF61" si="12">CO194</f>
        <v>0</v>
      </c>
      <c r="CF61" s="573">
        <f t="shared" si="12"/>
        <v>0</v>
      </c>
      <c r="CG61" s="473">
        <f>CQ194</f>
        <v>3.9725838568564688E-5</v>
      </c>
      <c r="CH61" s="473">
        <f t="shared" ref="CH61:CI61" si="13">CR194</f>
        <v>0.52241707971968876</v>
      </c>
      <c r="CI61" s="473">
        <f t="shared" si="13"/>
        <v>0.47754319444174265</v>
      </c>
      <c r="CM61" s="336">
        <f t="shared" si="10"/>
        <v>1</v>
      </c>
      <c r="CO61" t="s">
        <v>1115</v>
      </c>
    </row>
    <row r="62" spans="7:93" ht="18" x14ac:dyDescent="0.25">
      <c r="G62" s="9">
        <v>2010</v>
      </c>
      <c r="H62" s="10">
        <v>0</v>
      </c>
      <c r="I62" s="11">
        <v>0</v>
      </c>
      <c r="M62" s="337">
        <v>0.5</v>
      </c>
      <c r="N62" s="336">
        <v>0.5</v>
      </c>
      <c r="U62" s="336">
        <f t="shared" si="5"/>
        <v>1</v>
      </c>
      <c r="Y62" s="336">
        <v>0.9</v>
      </c>
      <c r="Z62" s="336">
        <v>0.1</v>
      </c>
      <c r="AC62" s="336">
        <v>0</v>
      </c>
      <c r="AG62" s="336">
        <f t="shared" si="6"/>
        <v>1</v>
      </c>
      <c r="AI62" s="339"/>
      <c r="AJ62" s="9">
        <v>2010</v>
      </c>
      <c r="AK62" s="11">
        <v>100</v>
      </c>
      <c r="AL62" s="11">
        <v>100</v>
      </c>
      <c r="AP62" s="337">
        <v>0.3</v>
      </c>
      <c r="AQ62" s="336">
        <v>0.7</v>
      </c>
      <c r="AX62" s="336">
        <f t="shared" si="7"/>
        <v>1</v>
      </c>
      <c r="BB62" s="337">
        <v>0.3</v>
      </c>
      <c r="BC62" s="336">
        <v>0.7</v>
      </c>
      <c r="BJ62" s="336">
        <f t="shared" si="8"/>
        <v>1</v>
      </c>
      <c r="BK62" s="536"/>
      <c r="BM62" s="9">
        <v>2010</v>
      </c>
      <c r="BN62" s="1322">
        <f t="shared" si="11"/>
        <v>30.932600000000001</v>
      </c>
      <c r="BO62" s="1322"/>
      <c r="BS62" s="336"/>
      <c r="BT62" s="336"/>
      <c r="BU62" s="336"/>
      <c r="BV62" s="336"/>
      <c r="BW62" s="336"/>
      <c r="CA62" s="336">
        <f t="shared" si="9"/>
        <v>0</v>
      </c>
      <c r="CE62" s="573">
        <f t="shared" ref="CE62:CE64" si="14">CO195</f>
        <v>0</v>
      </c>
      <c r="CF62" s="573">
        <f t="shared" ref="CF62:CF64" si="15">CP195</f>
        <v>1.5913764948347975E-6</v>
      </c>
      <c r="CG62" s="473">
        <f t="shared" ref="CG62:CG65" si="16">CQ195</f>
        <v>5.4893418225779967E-5</v>
      </c>
      <c r="CH62" s="473">
        <f t="shared" ref="CH62:CH65" si="17">CR195</f>
        <v>0.43386199924768981</v>
      </c>
      <c r="CI62" s="473">
        <f t="shared" ref="CI62:CI65" si="18">CS195</f>
        <v>0.5660815159575896</v>
      </c>
      <c r="CM62" s="336">
        <f t="shared" si="10"/>
        <v>1</v>
      </c>
      <c r="CO62" t="s">
        <v>1115</v>
      </c>
    </row>
    <row r="63" spans="7:93" ht="18" x14ac:dyDescent="0.25">
      <c r="G63" s="9">
        <v>2011</v>
      </c>
      <c r="H63" s="10">
        <v>0</v>
      </c>
      <c r="I63" s="11">
        <v>0</v>
      </c>
      <c r="M63" s="337">
        <v>0.5</v>
      </c>
      <c r="N63" s="336">
        <v>0.5</v>
      </c>
      <c r="U63" s="336">
        <f t="shared" si="5"/>
        <v>1</v>
      </c>
      <c r="Y63" s="336">
        <v>0.9</v>
      </c>
      <c r="Z63" s="336">
        <v>0.1</v>
      </c>
      <c r="AC63" s="336">
        <v>0</v>
      </c>
      <c r="AG63" s="336">
        <f t="shared" si="6"/>
        <v>1</v>
      </c>
      <c r="AI63" s="339"/>
      <c r="AJ63" s="9">
        <v>2011</v>
      </c>
      <c r="AK63" s="11">
        <v>80</v>
      </c>
      <c r="AL63" s="11">
        <v>100</v>
      </c>
      <c r="AP63" s="337">
        <v>0.3</v>
      </c>
      <c r="AQ63" s="336">
        <v>0.7</v>
      </c>
      <c r="AX63" s="336">
        <f t="shared" si="7"/>
        <v>1</v>
      </c>
      <c r="BB63" s="337">
        <v>0.3</v>
      </c>
      <c r="BC63" s="336">
        <v>0.7</v>
      </c>
      <c r="BJ63" s="336">
        <f t="shared" si="8"/>
        <v>1</v>
      </c>
      <c r="BK63" s="536"/>
      <c r="BM63" s="9">
        <v>2011</v>
      </c>
      <c r="BN63" s="1322">
        <f t="shared" si="11"/>
        <v>35.965199999999996</v>
      </c>
      <c r="BO63" s="1322"/>
      <c r="BS63" s="336"/>
      <c r="BT63" s="336"/>
      <c r="BU63" s="336"/>
      <c r="BV63" s="336"/>
      <c r="BW63" s="336"/>
      <c r="CA63" s="336">
        <f t="shared" si="9"/>
        <v>0</v>
      </c>
      <c r="CE63" s="573">
        <f t="shared" si="14"/>
        <v>0</v>
      </c>
      <c r="CF63" s="573">
        <f t="shared" si="15"/>
        <v>0</v>
      </c>
      <c r="CG63" s="473">
        <f t="shared" si="16"/>
        <v>2.376252629259636E-5</v>
      </c>
      <c r="CH63" s="473">
        <f t="shared" si="17"/>
        <v>0.49597988418848682</v>
      </c>
      <c r="CI63" s="473">
        <f t="shared" si="18"/>
        <v>0.50399635328522063</v>
      </c>
      <c r="CM63" s="336">
        <f t="shared" si="10"/>
        <v>1</v>
      </c>
      <c r="CO63" t="s">
        <v>1115</v>
      </c>
    </row>
    <row r="64" spans="7:93" ht="18" x14ac:dyDescent="0.25">
      <c r="G64" s="9">
        <v>2012</v>
      </c>
      <c r="H64" s="10">
        <v>0</v>
      </c>
      <c r="I64" s="11">
        <v>0</v>
      </c>
      <c r="M64" s="337">
        <v>0.5</v>
      </c>
      <c r="N64" s="336">
        <v>0.5</v>
      </c>
      <c r="U64" s="336">
        <f t="shared" si="5"/>
        <v>1</v>
      </c>
      <c r="Y64" s="336">
        <v>0.9</v>
      </c>
      <c r="Z64" s="336">
        <v>0.1</v>
      </c>
      <c r="AC64" s="336">
        <v>0</v>
      </c>
      <c r="AG64" s="336">
        <f t="shared" si="6"/>
        <v>1</v>
      </c>
      <c r="AI64" s="339"/>
      <c r="AJ64" s="9">
        <v>2012</v>
      </c>
      <c r="AK64" s="11">
        <v>60</v>
      </c>
      <c r="AL64" s="11">
        <v>100</v>
      </c>
      <c r="AP64" s="337">
        <v>0.3</v>
      </c>
      <c r="AQ64" s="336">
        <v>0.7</v>
      </c>
      <c r="AX64" s="336">
        <f t="shared" si="7"/>
        <v>1</v>
      </c>
      <c r="BB64" s="337">
        <v>0.3</v>
      </c>
      <c r="BC64" s="336">
        <v>0.7</v>
      </c>
      <c r="BJ64" s="336">
        <f t="shared" si="8"/>
        <v>1</v>
      </c>
      <c r="BK64" s="536"/>
      <c r="BM64" s="9">
        <v>2012</v>
      </c>
      <c r="BN64" s="1322">
        <f t="shared" si="11"/>
        <v>31.768799999999999</v>
      </c>
      <c r="BO64" s="1322"/>
      <c r="BS64" s="336"/>
      <c r="BT64" s="336"/>
      <c r="BU64" s="336"/>
      <c r="BV64" s="336"/>
      <c r="BW64" s="336"/>
      <c r="CA64" s="336">
        <f t="shared" si="9"/>
        <v>0</v>
      </c>
      <c r="CE64" s="573">
        <f t="shared" si="14"/>
        <v>0</v>
      </c>
      <c r="CF64" s="573">
        <f t="shared" si="15"/>
        <v>0</v>
      </c>
      <c r="CG64" s="473">
        <f t="shared" si="16"/>
        <v>2.2622581168433763E-5</v>
      </c>
      <c r="CH64" s="473">
        <f t="shared" si="17"/>
        <v>0.48553302251085756</v>
      </c>
      <c r="CI64" s="473">
        <f t="shared" si="18"/>
        <v>0.51444435490797402</v>
      </c>
      <c r="CM64" s="336">
        <f t="shared" si="10"/>
        <v>1</v>
      </c>
      <c r="CO64" t="s">
        <v>1115</v>
      </c>
    </row>
    <row r="65" spans="7:93" ht="18" x14ac:dyDescent="0.25">
      <c r="G65" s="9">
        <v>2013</v>
      </c>
      <c r="H65" s="10">
        <v>0</v>
      </c>
      <c r="I65" s="11">
        <v>0</v>
      </c>
      <c r="M65" s="337">
        <v>0.5</v>
      </c>
      <c r="N65" s="336">
        <v>0.5</v>
      </c>
      <c r="U65" s="336">
        <f t="shared" si="5"/>
        <v>1</v>
      </c>
      <c r="Y65" s="336">
        <v>0.9</v>
      </c>
      <c r="Z65" s="336">
        <v>0.1</v>
      </c>
      <c r="AC65" s="336">
        <v>0</v>
      </c>
      <c r="AG65" s="336">
        <f t="shared" si="6"/>
        <v>1</v>
      </c>
      <c r="AI65" s="339"/>
      <c r="AJ65" s="9">
        <v>2013</v>
      </c>
      <c r="AK65" s="11">
        <v>40</v>
      </c>
      <c r="AL65" s="11">
        <v>100</v>
      </c>
      <c r="AP65" s="337">
        <v>0.3</v>
      </c>
      <c r="AQ65" s="336">
        <v>0.7</v>
      </c>
      <c r="AX65" s="336">
        <f t="shared" si="7"/>
        <v>1</v>
      </c>
      <c r="BB65" s="337">
        <v>0.3</v>
      </c>
      <c r="BC65" s="336">
        <v>0.7</v>
      </c>
      <c r="BJ65" s="336">
        <f t="shared" si="8"/>
        <v>1</v>
      </c>
      <c r="BK65" s="536"/>
      <c r="BM65" s="9">
        <v>2013</v>
      </c>
      <c r="BN65" s="1322">
        <f t="shared" si="11"/>
        <v>40.562800000000003</v>
      </c>
      <c r="BO65" s="1322"/>
      <c r="BS65" s="336"/>
      <c r="BT65" s="336"/>
      <c r="BU65" s="336"/>
      <c r="BV65" s="336"/>
      <c r="BW65" s="336"/>
      <c r="CA65" s="336">
        <f t="shared" si="9"/>
        <v>0</v>
      </c>
      <c r="CE65" s="573">
        <f t="shared" ref="CE65" si="19">CO198</f>
        <v>0</v>
      </c>
      <c r="CF65" s="573">
        <f t="shared" ref="CF65" si="20">CP198</f>
        <v>0</v>
      </c>
      <c r="CG65" s="473">
        <f t="shared" si="16"/>
        <v>2.7193585897996872E-5</v>
      </c>
      <c r="CH65" s="473">
        <f t="shared" si="17"/>
        <v>0.42703822279992382</v>
      </c>
      <c r="CI65" s="473">
        <f t="shared" si="18"/>
        <v>0.57293458361417815</v>
      </c>
      <c r="CM65" s="336">
        <f t="shared" si="10"/>
        <v>1</v>
      </c>
      <c r="CO65" t="s">
        <v>1115</v>
      </c>
    </row>
    <row r="66" spans="7:93" ht="18" x14ac:dyDescent="0.25">
      <c r="G66" s="9">
        <v>2014</v>
      </c>
      <c r="H66" s="10">
        <v>0</v>
      </c>
      <c r="I66" s="11">
        <v>0</v>
      </c>
      <c r="M66" s="337">
        <v>0.5</v>
      </c>
      <c r="N66" s="336">
        <v>0.5</v>
      </c>
      <c r="U66" s="336">
        <f t="shared" si="5"/>
        <v>1</v>
      </c>
      <c r="Y66" s="336">
        <v>0.9</v>
      </c>
      <c r="Z66" s="336">
        <v>0.1</v>
      </c>
      <c r="AC66" s="336">
        <v>0</v>
      </c>
      <c r="AG66" s="336">
        <f t="shared" si="6"/>
        <v>1</v>
      </c>
      <c r="AI66" s="339"/>
      <c r="AJ66" s="9">
        <v>2014</v>
      </c>
      <c r="AK66" s="11">
        <v>20</v>
      </c>
      <c r="AL66" s="11">
        <v>100</v>
      </c>
      <c r="AP66" s="337">
        <v>0.3</v>
      </c>
      <c r="AQ66" s="336">
        <v>0.7</v>
      </c>
      <c r="AX66" s="336">
        <f t="shared" si="7"/>
        <v>1</v>
      </c>
      <c r="BB66" s="337">
        <v>0.3</v>
      </c>
      <c r="BC66" s="336">
        <v>0.7</v>
      </c>
      <c r="BJ66" s="336">
        <f t="shared" si="8"/>
        <v>1</v>
      </c>
      <c r="BK66" s="536"/>
      <c r="BM66" s="9">
        <v>2014</v>
      </c>
      <c r="BN66" s="1322">
        <f t="shared" si="11"/>
        <v>40.133000000000003</v>
      </c>
      <c r="BO66" s="1322"/>
      <c r="BS66" s="336"/>
      <c r="BT66" s="336"/>
      <c r="BU66" s="336"/>
      <c r="BV66" s="336"/>
      <c r="BW66" s="336"/>
      <c r="CA66" s="336">
        <f t="shared" si="9"/>
        <v>0</v>
      </c>
      <c r="CE66" s="573">
        <f>$CE$65</f>
        <v>0</v>
      </c>
      <c r="CF66" s="573">
        <f>$CF$65</f>
        <v>0</v>
      </c>
      <c r="CG66" s="473">
        <f>$CG$65</f>
        <v>2.7193585897996872E-5</v>
      </c>
      <c r="CH66" s="473">
        <f>$CH$65</f>
        <v>0.42703822279992382</v>
      </c>
      <c r="CI66" s="473">
        <f>$CI$65</f>
        <v>0.57293458361417815</v>
      </c>
      <c r="CM66" s="336">
        <f t="shared" si="10"/>
        <v>1</v>
      </c>
      <c r="CO66" t="s">
        <v>1117</v>
      </c>
    </row>
    <row r="67" spans="7:93" ht="18" x14ac:dyDescent="0.25">
      <c r="G67" s="9">
        <v>2015</v>
      </c>
      <c r="H67" s="10">
        <v>0</v>
      </c>
      <c r="I67" s="11">
        <v>0</v>
      </c>
      <c r="M67" s="337">
        <v>0.5</v>
      </c>
      <c r="N67" s="336">
        <v>0.5</v>
      </c>
      <c r="U67" s="336">
        <f t="shared" si="5"/>
        <v>1</v>
      </c>
      <c r="Y67" s="336">
        <v>0.9</v>
      </c>
      <c r="Z67" s="336">
        <v>0.1</v>
      </c>
      <c r="AC67" s="336">
        <v>0</v>
      </c>
      <c r="AG67" s="336">
        <f t="shared" si="6"/>
        <v>1</v>
      </c>
      <c r="AI67" s="339"/>
      <c r="AJ67" s="9">
        <v>2015</v>
      </c>
      <c r="AK67" s="11">
        <v>0</v>
      </c>
      <c r="AL67" s="11">
        <v>100</v>
      </c>
      <c r="AP67" s="337">
        <v>0.3</v>
      </c>
      <c r="AQ67" s="336">
        <v>0.7</v>
      </c>
      <c r="AX67" s="336">
        <f t="shared" si="7"/>
        <v>1</v>
      </c>
      <c r="BB67" s="337">
        <v>0.3</v>
      </c>
      <c r="BC67" s="336">
        <v>0.7</v>
      </c>
      <c r="BJ67" s="336">
        <f t="shared" si="8"/>
        <v>1</v>
      </c>
      <c r="BK67" s="536"/>
      <c r="BM67" s="9">
        <v>2015</v>
      </c>
      <c r="BN67" s="1322">
        <f t="shared" si="11"/>
        <v>39.703300000000006</v>
      </c>
      <c r="BO67" s="1322"/>
      <c r="BS67" s="336"/>
      <c r="BT67" s="336"/>
      <c r="BU67" s="336"/>
      <c r="BV67" s="336"/>
      <c r="BW67" s="336"/>
      <c r="CA67" s="336">
        <f t="shared" si="9"/>
        <v>0</v>
      </c>
      <c r="CE67" s="573">
        <f t="shared" ref="CE67:CE82" si="21">$CE$65</f>
        <v>0</v>
      </c>
      <c r="CF67" s="573">
        <f t="shared" ref="CF67:CF82" si="22">$CF$65</f>
        <v>0</v>
      </c>
      <c r="CG67" s="473">
        <f t="shared" ref="CG67:CG82" si="23">$CG$65</f>
        <v>2.7193585897996872E-5</v>
      </c>
      <c r="CH67" s="473">
        <f t="shared" ref="CH67:CH82" si="24">$CH$65</f>
        <v>0.42703822279992382</v>
      </c>
      <c r="CI67" s="473">
        <f t="shared" ref="CI67:CI82" si="25">$CI$65</f>
        <v>0.57293458361417815</v>
      </c>
      <c r="CM67" s="336">
        <f t="shared" si="10"/>
        <v>1</v>
      </c>
    </row>
    <row r="68" spans="7:93" ht="18" x14ac:dyDescent="0.25">
      <c r="G68" s="12">
        <v>2016</v>
      </c>
      <c r="H68" s="13">
        <v>0</v>
      </c>
      <c r="I68" s="14">
        <v>0</v>
      </c>
      <c r="M68" s="337">
        <v>0.5</v>
      </c>
      <c r="N68" s="336">
        <v>0.5</v>
      </c>
      <c r="U68" s="336">
        <f t="shared" si="5"/>
        <v>1</v>
      </c>
      <c r="Y68" s="336">
        <v>0.9</v>
      </c>
      <c r="Z68" s="336">
        <v>0.1</v>
      </c>
      <c r="AC68" s="336">
        <v>0</v>
      </c>
      <c r="AG68" s="336">
        <f t="shared" si="6"/>
        <v>1</v>
      </c>
      <c r="AI68" s="339"/>
      <c r="AJ68" s="12">
        <v>2016</v>
      </c>
      <c r="AK68" s="14">
        <v>0</v>
      </c>
      <c r="AL68" s="14">
        <v>100</v>
      </c>
      <c r="AP68" s="337">
        <v>0.3</v>
      </c>
      <c r="AQ68" s="336">
        <v>0.7</v>
      </c>
      <c r="AX68" s="336">
        <f t="shared" si="7"/>
        <v>1</v>
      </c>
      <c r="BB68" s="337">
        <v>0.3</v>
      </c>
      <c r="BC68" s="336">
        <v>0.7</v>
      </c>
      <c r="BJ68" s="336">
        <f t="shared" si="8"/>
        <v>1</v>
      </c>
      <c r="BK68" s="536"/>
      <c r="BM68" s="12">
        <v>2016</v>
      </c>
      <c r="BN68" s="468">
        <v>0</v>
      </c>
      <c r="BO68" s="468">
        <v>60</v>
      </c>
      <c r="BS68" s="336"/>
      <c r="BT68" s="336"/>
      <c r="BU68" s="336"/>
      <c r="BV68" s="336"/>
      <c r="BW68" s="336"/>
      <c r="CA68" s="336">
        <f t="shared" si="9"/>
        <v>0</v>
      </c>
      <c r="CE68" s="573">
        <f t="shared" si="21"/>
        <v>0</v>
      </c>
      <c r="CF68" s="573">
        <f t="shared" si="22"/>
        <v>0</v>
      </c>
      <c r="CG68" s="473">
        <f t="shared" si="23"/>
        <v>2.7193585897996872E-5</v>
      </c>
      <c r="CH68" s="473">
        <f t="shared" si="24"/>
        <v>0.42703822279992382</v>
      </c>
      <c r="CI68" s="473">
        <f t="shared" si="25"/>
        <v>0.57293458361417815</v>
      </c>
      <c r="CM68" s="336">
        <f t="shared" si="10"/>
        <v>1</v>
      </c>
    </row>
    <row r="69" spans="7:93" ht="18" x14ac:dyDescent="0.25">
      <c r="G69" s="12">
        <v>2017</v>
      </c>
      <c r="H69" s="13">
        <v>0</v>
      </c>
      <c r="I69" s="14">
        <v>0</v>
      </c>
      <c r="M69" s="337">
        <v>0.5</v>
      </c>
      <c r="N69" s="336">
        <v>0.5</v>
      </c>
      <c r="U69" s="336">
        <f t="shared" si="5"/>
        <v>1</v>
      </c>
      <c r="Y69" s="336">
        <v>0.9</v>
      </c>
      <c r="Z69" s="336">
        <v>0.1</v>
      </c>
      <c r="AC69" s="336">
        <v>0</v>
      </c>
      <c r="AG69" s="336">
        <f t="shared" si="6"/>
        <v>1</v>
      </c>
      <c r="AI69" s="339"/>
      <c r="AJ69" s="12">
        <v>2017</v>
      </c>
      <c r="AK69" s="14">
        <v>0</v>
      </c>
      <c r="AL69" s="14">
        <v>100</v>
      </c>
      <c r="AP69" s="337">
        <v>0.3</v>
      </c>
      <c r="AQ69" s="336">
        <v>0.7</v>
      </c>
      <c r="AX69" s="336">
        <f t="shared" si="7"/>
        <v>1</v>
      </c>
      <c r="BB69" s="337">
        <v>0.3</v>
      </c>
      <c r="BC69" s="336">
        <v>0.7</v>
      </c>
      <c r="BJ69" s="336">
        <f t="shared" si="8"/>
        <v>1</v>
      </c>
      <c r="BK69" s="536"/>
      <c r="BM69" s="12">
        <v>2017</v>
      </c>
      <c r="BN69" s="468">
        <v>0</v>
      </c>
      <c r="BO69" s="468">
        <v>60</v>
      </c>
      <c r="BS69" s="336"/>
      <c r="BT69" s="336"/>
      <c r="BU69" s="336"/>
      <c r="BV69" s="336"/>
      <c r="BW69" s="336"/>
      <c r="CA69" s="336">
        <f t="shared" si="9"/>
        <v>0</v>
      </c>
      <c r="CE69" s="573">
        <f t="shared" si="21"/>
        <v>0</v>
      </c>
      <c r="CF69" s="573">
        <f t="shared" si="22"/>
        <v>0</v>
      </c>
      <c r="CG69" s="473">
        <f t="shared" si="23"/>
        <v>2.7193585897996872E-5</v>
      </c>
      <c r="CH69" s="473">
        <f t="shared" si="24"/>
        <v>0.42703822279992382</v>
      </c>
      <c r="CI69" s="473">
        <f t="shared" si="25"/>
        <v>0.57293458361417815</v>
      </c>
      <c r="CM69" s="336">
        <f t="shared" si="10"/>
        <v>1</v>
      </c>
    </row>
    <row r="70" spans="7:93" ht="18" x14ac:dyDescent="0.25">
      <c r="G70" s="12">
        <v>2018</v>
      </c>
      <c r="H70" s="13">
        <v>0</v>
      </c>
      <c r="I70" s="14">
        <v>0</v>
      </c>
      <c r="M70" s="337">
        <v>0.5</v>
      </c>
      <c r="N70" s="336">
        <v>0.5</v>
      </c>
      <c r="U70" s="336">
        <f t="shared" si="5"/>
        <v>1</v>
      </c>
      <c r="Y70" s="336">
        <v>0.9</v>
      </c>
      <c r="Z70" s="336">
        <v>0.1</v>
      </c>
      <c r="AC70" s="336">
        <v>0</v>
      </c>
      <c r="AG70" s="336">
        <f t="shared" si="6"/>
        <v>1</v>
      </c>
      <c r="AI70" s="339"/>
      <c r="AJ70" s="12">
        <v>2018</v>
      </c>
      <c r="AK70" s="14">
        <v>0</v>
      </c>
      <c r="AL70" s="14">
        <v>100</v>
      </c>
      <c r="AP70" s="337">
        <v>0.3</v>
      </c>
      <c r="AQ70" s="336">
        <v>0.7</v>
      </c>
      <c r="AX70" s="336">
        <f t="shared" si="7"/>
        <v>1</v>
      </c>
      <c r="BB70" s="337">
        <v>0.3</v>
      </c>
      <c r="BC70" s="336">
        <v>0.7</v>
      </c>
      <c r="BJ70" s="336">
        <f t="shared" si="8"/>
        <v>1</v>
      </c>
      <c r="BK70" s="536"/>
      <c r="BM70" s="12">
        <v>2018</v>
      </c>
      <c r="BN70" s="468">
        <v>0</v>
      </c>
      <c r="BO70" s="468">
        <v>60</v>
      </c>
      <c r="BS70" s="336"/>
      <c r="BT70" s="336"/>
      <c r="BU70" s="336"/>
      <c r="BV70" s="336"/>
      <c r="BW70" s="336"/>
      <c r="CA70" s="336">
        <f t="shared" si="9"/>
        <v>0</v>
      </c>
      <c r="CE70" s="573">
        <f t="shared" si="21"/>
        <v>0</v>
      </c>
      <c r="CF70" s="573">
        <f t="shared" si="22"/>
        <v>0</v>
      </c>
      <c r="CG70" s="473">
        <f t="shared" si="23"/>
        <v>2.7193585897996872E-5</v>
      </c>
      <c r="CH70" s="473">
        <f t="shared" si="24"/>
        <v>0.42703822279992382</v>
      </c>
      <c r="CI70" s="473">
        <f t="shared" si="25"/>
        <v>0.57293458361417815</v>
      </c>
      <c r="CM70" s="336">
        <f t="shared" si="10"/>
        <v>1</v>
      </c>
    </row>
    <row r="71" spans="7:93" ht="18" x14ac:dyDescent="0.25">
      <c r="G71" s="12">
        <v>2019</v>
      </c>
      <c r="H71" s="13">
        <v>0</v>
      </c>
      <c r="I71" s="14">
        <v>0</v>
      </c>
      <c r="M71" s="337">
        <v>0.5</v>
      </c>
      <c r="N71" s="336">
        <v>0.5</v>
      </c>
      <c r="U71" s="336">
        <f t="shared" si="5"/>
        <v>1</v>
      </c>
      <c r="Y71" s="336">
        <v>0.9</v>
      </c>
      <c r="Z71" s="336">
        <v>0.1</v>
      </c>
      <c r="AC71" s="336">
        <v>0</v>
      </c>
      <c r="AG71" s="336">
        <f t="shared" si="6"/>
        <v>1</v>
      </c>
      <c r="AI71" s="339"/>
      <c r="AJ71" s="12">
        <v>2019</v>
      </c>
      <c r="AK71" s="14">
        <v>0</v>
      </c>
      <c r="AL71" s="14">
        <v>100</v>
      </c>
      <c r="AP71" s="337">
        <v>0.3</v>
      </c>
      <c r="AQ71" s="336">
        <v>0.7</v>
      </c>
      <c r="AX71" s="336">
        <f t="shared" si="7"/>
        <v>1</v>
      </c>
      <c r="BB71" s="337">
        <v>0.3</v>
      </c>
      <c r="BC71" s="336">
        <v>0.7</v>
      </c>
      <c r="BJ71" s="336">
        <f t="shared" si="8"/>
        <v>1</v>
      </c>
      <c r="BK71" s="536"/>
      <c r="BM71" s="12">
        <v>2019</v>
      </c>
      <c r="BN71" s="468">
        <v>0</v>
      </c>
      <c r="BO71" s="468">
        <v>60</v>
      </c>
      <c r="BS71" s="336"/>
      <c r="BT71" s="336"/>
      <c r="BU71" s="336"/>
      <c r="BV71" s="336"/>
      <c r="BW71" s="336"/>
      <c r="CA71" s="336">
        <f t="shared" si="9"/>
        <v>0</v>
      </c>
      <c r="CE71" s="573">
        <f t="shared" si="21"/>
        <v>0</v>
      </c>
      <c r="CF71" s="573">
        <f t="shared" si="22"/>
        <v>0</v>
      </c>
      <c r="CG71" s="473">
        <f t="shared" si="23"/>
        <v>2.7193585897996872E-5</v>
      </c>
      <c r="CH71" s="473">
        <f t="shared" si="24"/>
        <v>0.42703822279992382</v>
      </c>
      <c r="CI71" s="473">
        <f t="shared" si="25"/>
        <v>0.57293458361417815</v>
      </c>
      <c r="CM71" s="336">
        <f t="shared" si="10"/>
        <v>1</v>
      </c>
    </row>
    <row r="72" spans="7:93" ht="18" x14ac:dyDescent="0.25">
      <c r="G72" s="12">
        <v>2020</v>
      </c>
      <c r="H72" s="13">
        <v>0</v>
      </c>
      <c r="I72" s="14">
        <v>0</v>
      </c>
      <c r="M72" s="337">
        <v>0.5</v>
      </c>
      <c r="N72" s="336">
        <v>0.5</v>
      </c>
      <c r="U72" s="336">
        <f t="shared" si="5"/>
        <v>1</v>
      </c>
      <c r="Y72" s="336">
        <v>0.9</v>
      </c>
      <c r="Z72" s="336">
        <v>0.1</v>
      </c>
      <c r="AC72" s="336">
        <v>0</v>
      </c>
      <c r="AG72" s="336">
        <f t="shared" si="6"/>
        <v>1</v>
      </c>
      <c r="AI72" s="339"/>
      <c r="AJ72" s="12">
        <v>2020</v>
      </c>
      <c r="AK72" s="14">
        <v>0</v>
      </c>
      <c r="AL72" s="14">
        <v>100</v>
      </c>
      <c r="AP72" s="337">
        <v>0.3</v>
      </c>
      <c r="AQ72" s="336">
        <v>0.7</v>
      </c>
      <c r="AX72" s="336">
        <f t="shared" si="7"/>
        <v>1</v>
      </c>
      <c r="BB72" s="337">
        <v>0.3</v>
      </c>
      <c r="BC72" s="336">
        <v>0.7</v>
      </c>
      <c r="BJ72" s="336">
        <f t="shared" si="8"/>
        <v>1</v>
      </c>
      <c r="BK72" s="536"/>
      <c r="BM72" s="12">
        <v>2020</v>
      </c>
      <c r="BN72" s="468">
        <v>0</v>
      </c>
      <c r="BO72" s="468">
        <v>60</v>
      </c>
      <c r="BS72" s="336"/>
      <c r="BT72" s="336"/>
      <c r="BU72" s="336"/>
      <c r="BV72" s="336"/>
      <c r="BW72" s="336"/>
      <c r="CA72" s="336">
        <f t="shared" si="9"/>
        <v>0</v>
      </c>
      <c r="CE72" s="573">
        <f t="shared" si="21"/>
        <v>0</v>
      </c>
      <c r="CF72" s="573">
        <f t="shared" si="22"/>
        <v>0</v>
      </c>
      <c r="CG72" s="473">
        <f t="shared" si="23"/>
        <v>2.7193585897996872E-5</v>
      </c>
      <c r="CH72" s="473">
        <f t="shared" si="24"/>
        <v>0.42703822279992382</v>
      </c>
      <c r="CI72" s="473">
        <f t="shared" si="25"/>
        <v>0.57293458361417815</v>
      </c>
      <c r="CM72" s="336">
        <f t="shared" si="10"/>
        <v>1</v>
      </c>
    </row>
    <row r="73" spans="7:93" ht="18" x14ac:dyDescent="0.25">
      <c r="G73" s="12">
        <v>2021</v>
      </c>
      <c r="H73" s="13">
        <v>0</v>
      </c>
      <c r="I73" s="14">
        <v>0</v>
      </c>
      <c r="M73" s="337">
        <v>0.5</v>
      </c>
      <c r="N73" s="336">
        <v>0.5</v>
      </c>
      <c r="U73" s="336">
        <f t="shared" si="5"/>
        <v>1</v>
      </c>
      <c r="Y73" s="336">
        <v>0.9</v>
      </c>
      <c r="Z73" s="336">
        <v>0.1</v>
      </c>
      <c r="AC73" s="336">
        <v>0</v>
      </c>
      <c r="AG73" s="336">
        <f t="shared" si="6"/>
        <v>1</v>
      </c>
      <c r="AI73" s="339"/>
      <c r="AJ73" s="12">
        <v>2021</v>
      </c>
      <c r="AK73" s="14">
        <v>0</v>
      </c>
      <c r="AL73" s="14">
        <v>100</v>
      </c>
      <c r="AP73" s="337">
        <v>0.3</v>
      </c>
      <c r="AQ73" s="336">
        <v>0.7</v>
      </c>
      <c r="AX73" s="336">
        <f t="shared" si="7"/>
        <v>1</v>
      </c>
      <c r="BB73" s="337">
        <v>0.3</v>
      </c>
      <c r="BC73" s="336">
        <v>0.7</v>
      </c>
      <c r="BJ73" s="336">
        <f t="shared" si="8"/>
        <v>1</v>
      </c>
      <c r="BK73" s="536"/>
      <c r="BM73" s="12">
        <v>2021</v>
      </c>
      <c r="BN73" s="468">
        <v>0</v>
      </c>
      <c r="BO73" s="468">
        <v>60</v>
      </c>
      <c r="BS73" s="336"/>
      <c r="BT73" s="336"/>
      <c r="BU73" s="336"/>
      <c r="BV73" s="336"/>
      <c r="BW73" s="336"/>
      <c r="CA73" s="336">
        <f t="shared" si="9"/>
        <v>0</v>
      </c>
      <c r="CE73" s="573">
        <f t="shared" si="21"/>
        <v>0</v>
      </c>
      <c r="CF73" s="573">
        <f t="shared" si="22"/>
        <v>0</v>
      </c>
      <c r="CG73" s="473">
        <f t="shared" si="23"/>
        <v>2.7193585897996872E-5</v>
      </c>
      <c r="CH73" s="473">
        <f t="shared" si="24"/>
        <v>0.42703822279992382</v>
      </c>
      <c r="CI73" s="473">
        <f t="shared" si="25"/>
        <v>0.57293458361417815</v>
      </c>
      <c r="CM73" s="336">
        <f t="shared" si="10"/>
        <v>1</v>
      </c>
    </row>
    <row r="74" spans="7:93" ht="18" x14ac:dyDescent="0.25">
      <c r="G74" s="12">
        <v>2022</v>
      </c>
      <c r="H74" s="13">
        <v>0</v>
      </c>
      <c r="I74" s="14">
        <v>0</v>
      </c>
      <c r="M74" s="337">
        <v>0.5</v>
      </c>
      <c r="N74" s="336">
        <v>0.5</v>
      </c>
      <c r="U74" s="336">
        <f t="shared" si="5"/>
        <v>1</v>
      </c>
      <c r="Y74" s="336">
        <v>0.9</v>
      </c>
      <c r="Z74" s="336">
        <v>0.1</v>
      </c>
      <c r="AC74" s="336">
        <v>0</v>
      </c>
      <c r="AG74" s="336">
        <f t="shared" si="6"/>
        <v>1</v>
      </c>
      <c r="AI74" s="339"/>
      <c r="AJ74" s="12">
        <v>2022</v>
      </c>
      <c r="AK74" s="14">
        <v>0</v>
      </c>
      <c r="AL74" s="14">
        <v>100</v>
      </c>
      <c r="AP74" s="337">
        <v>0.3</v>
      </c>
      <c r="AQ74" s="336">
        <v>0.7</v>
      </c>
      <c r="AX74" s="336">
        <f t="shared" si="7"/>
        <v>1</v>
      </c>
      <c r="BB74" s="337">
        <v>0.3</v>
      </c>
      <c r="BC74" s="336">
        <v>0.7</v>
      </c>
      <c r="BJ74" s="336">
        <f t="shared" si="8"/>
        <v>1</v>
      </c>
      <c r="BK74" s="536"/>
      <c r="BM74" s="12">
        <v>2022</v>
      </c>
      <c r="BN74" s="468">
        <v>0</v>
      </c>
      <c r="BO74" s="468">
        <v>60</v>
      </c>
      <c r="BS74" s="336"/>
      <c r="BT74" s="336"/>
      <c r="BU74" s="336"/>
      <c r="BV74" s="336"/>
      <c r="BW74" s="336"/>
      <c r="CA74" s="336">
        <f t="shared" si="9"/>
        <v>0</v>
      </c>
      <c r="CE74" s="573">
        <f t="shared" si="21"/>
        <v>0</v>
      </c>
      <c r="CF74" s="573">
        <f t="shared" si="22"/>
        <v>0</v>
      </c>
      <c r="CG74" s="473">
        <f t="shared" si="23"/>
        <v>2.7193585897996872E-5</v>
      </c>
      <c r="CH74" s="473">
        <f t="shared" si="24"/>
        <v>0.42703822279992382</v>
      </c>
      <c r="CI74" s="473">
        <f t="shared" si="25"/>
        <v>0.57293458361417815</v>
      </c>
      <c r="CM74" s="336">
        <f t="shared" si="10"/>
        <v>1</v>
      </c>
    </row>
    <row r="75" spans="7:93" ht="18" x14ac:dyDescent="0.25">
      <c r="G75" s="12">
        <v>2023</v>
      </c>
      <c r="H75" s="13">
        <v>0</v>
      </c>
      <c r="I75" s="14">
        <v>0</v>
      </c>
      <c r="M75" s="337">
        <v>0.5</v>
      </c>
      <c r="N75" s="336">
        <v>0.5</v>
      </c>
      <c r="U75" s="336">
        <f t="shared" ref="U75:U82" si="26">SUM(K75:T75)</f>
        <v>1</v>
      </c>
      <c r="Y75" s="336">
        <v>0.9</v>
      </c>
      <c r="Z75" s="336">
        <v>0.1</v>
      </c>
      <c r="AC75" s="336">
        <v>0</v>
      </c>
      <c r="AG75" s="336">
        <f t="shared" ref="AG75:AG82" si="27">SUM(W75:AF75)</f>
        <v>1</v>
      </c>
      <c r="AI75" s="339"/>
      <c r="AJ75" s="12">
        <v>2023</v>
      </c>
      <c r="AK75" s="14">
        <v>0</v>
      </c>
      <c r="AL75" s="14">
        <v>100</v>
      </c>
      <c r="AP75" s="337">
        <v>0.3</v>
      </c>
      <c r="AQ75" s="336">
        <v>0.7</v>
      </c>
      <c r="AX75" s="336">
        <f t="shared" ref="AX75:AX82" si="28">SUM(AN75:AW75)</f>
        <v>1</v>
      </c>
      <c r="BB75" s="337">
        <v>0.3</v>
      </c>
      <c r="BC75" s="336">
        <v>0.7</v>
      </c>
      <c r="BJ75" s="336">
        <f t="shared" ref="BJ75:BJ82" si="29">SUM(AZ75:BI75)</f>
        <v>1</v>
      </c>
      <c r="BK75" s="536"/>
      <c r="BM75" s="12">
        <v>2023</v>
      </c>
      <c r="BN75" s="468">
        <v>0</v>
      </c>
      <c r="BO75" s="468">
        <v>60</v>
      </c>
      <c r="BS75" s="336"/>
      <c r="BT75" s="336"/>
      <c r="BU75" s="336"/>
      <c r="BV75" s="336"/>
      <c r="BW75" s="336"/>
      <c r="CA75" s="336">
        <f t="shared" ref="CA75:CA82" si="30">SUM(BQ75:BZ75)</f>
        <v>0</v>
      </c>
      <c r="CE75" s="573">
        <f t="shared" si="21"/>
        <v>0</v>
      </c>
      <c r="CF75" s="573">
        <f t="shared" si="22"/>
        <v>0</v>
      </c>
      <c r="CG75" s="473">
        <f t="shared" si="23"/>
        <v>2.7193585897996872E-5</v>
      </c>
      <c r="CH75" s="473">
        <f t="shared" si="24"/>
        <v>0.42703822279992382</v>
      </c>
      <c r="CI75" s="473">
        <f t="shared" si="25"/>
        <v>0.57293458361417815</v>
      </c>
      <c r="CM75" s="336">
        <f t="shared" ref="CM75:CM82" si="31">SUM(CC75:CL75)</f>
        <v>1</v>
      </c>
    </row>
    <row r="76" spans="7:93" ht="18" x14ac:dyDescent="0.25">
      <c r="G76" s="12">
        <v>2024</v>
      </c>
      <c r="H76" s="13">
        <v>0</v>
      </c>
      <c r="I76" s="14">
        <v>0</v>
      </c>
      <c r="M76" s="337">
        <v>0.5</v>
      </c>
      <c r="N76" s="336">
        <v>0.5</v>
      </c>
      <c r="U76" s="336">
        <f t="shared" si="26"/>
        <v>1</v>
      </c>
      <c r="Y76" s="336">
        <v>0.9</v>
      </c>
      <c r="Z76" s="336">
        <v>0.1</v>
      </c>
      <c r="AC76" s="336">
        <v>0</v>
      </c>
      <c r="AG76" s="336">
        <f t="shared" si="27"/>
        <v>1</v>
      </c>
      <c r="AI76" s="339"/>
      <c r="AJ76" s="12">
        <v>2024</v>
      </c>
      <c r="AK76" s="14">
        <v>0</v>
      </c>
      <c r="AL76" s="14">
        <v>100</v>
      </c>
      <c r="AP76" s="337">
        <v>0.3</v>
      </c>
      <c r="AQ76" s="336">
        <v>0.7</v>
      </c>
      <c r="AX76" s="336">
        <f t="shared" si="28"/>
        <v>1</v>
      </c>
      <c r="BB76" s="337">
        <v>0.3</v>
      </c>
      <c r="BC76" s="336">
        <v>0.7</v>
      </c>
      <c r="BJ76" s="336">
        <f t="shared" si="29"/>
        <v>1</v>
      </c>
      <c r="BK76" s="536"/>
      <c r="BM76" s="12">
        <v>2024</v>
      </c>
      <c r="BN76" s="468">
        <v>0</v>
      </c>
      <c r="BO76" s="468">
        <v>60</v>
      </c>
      <c r="BS76" s="336"/>
      <c r="BT76" s="336"/>
      <c r="BU76" s="336"/>
      <c r="BV76" s="336"/>
      <c r="BW76" s="336"/>
      <c r="CA76" s="336">
        <f t="shared" si="30"/>
        <v>0</v>
      </c>
      <c r="CE76" s="573">
        <f t="shared" si="21"/>
        <v>0</v>
      </c>
      <c r="CF76" s="573">
        <f t="shared" si="22"/>
        <v>0</v>
      </c>
      <c r="CG76" s="473">
        <f t="shared" si="23"/>
        <v>2.7193585897996872E-5</v>
      </c>
      <c r="CH76" s="473">
        <f t="shared" si="24"/>
        <v>0.42703822279992382</v>
      </c>
      <c r="CI76" s="473">
        <f t="shared" si="25"/>
        <v>0.57293458361417815</v>
      </c>
      <c r="CM76" s="336">
        <f t="shared" si="31"/>
        <v>1</v>
      </c>
    </row>
    <row r="77" spans="7:93" ht="18" x14ac:dyDescent="0.25">
      <c r="G77" s="12">
        <v>2025</v>
      </c>
      <c r="H77" s="13">
        <v>0</v>
      </c>
      <c r="I77" s="14">
        <v>0</v>
      </c>
      <c r="M77" s="337">
        <v>0.5</v>
      </c>
      <c r="N77" s="336">
        <v>0.5</v>
      </c>
      <c r="U77" s="336">
        <f t="shared" si="26"/>
        <v>1</v>
      </c>
      <c r="Y77" s="336">
        <v>0.9</v>
      </c>
      <c r="Z77" s="336">
        <v>0.1</v>
      </c>
      <c r="AC77" s="336">
        <v>0</v>
      </c>
      <c r="AG77" s="336">
        <f t="shared" si="27"/>
        <v>1</v>
      </c>
      <c r="AI77" s="339"/>
      <c r="AJ77" s="12">
        <v>2025</v>
      </c>
      <c r="AK77" s="14">
        <v>0</v>
      </c>
      <c r="AL77" s="14">
        <v>100</v>
      </c>
      <c r="AP77" s="337">
        <v>0.3</v>
      </c>
      <c r="AQ77" s="336">
        <v>0.7</v>
      </c>
      <c r="AX77" s="336">
        <f t="shared" si="28"/>
        <v>1</v>
      </c>
      <c r="BB77" s="337">
        <v>0.3</v>
      </c>
      <c r="BC77" s="336">
        <v>0.7</v>
      </c>
      <c r="BJ77" s="336">
        <f t="shared" si="29"/>
        <v>1</v>
      </c>
      <c r="BK77" s="536"/>
      <c r="BM77" s="12">
        <v>2025</v>
      </c>
      <c r="BN77" s="468">
        <v>0</v>
      </c>
      <c r="BO77" s="468">
        <v>60</v>
      </c>
      <c r="BS77" s="336"/>
      <c r="BT77" s="336"/>
      <c r="BU77" s="336"/>
      <c r="BV77" s="336"/>
      <c r="BW77" s="336"/>
      <c r="CA77" s="336">
        <f t="shared" si="30"/>
        <v>0</v>
      </c>
      <c r="CE77" s="573">
        <f t="shared" si="21"/>
        <v>0</v>
      </c>
      <c r="CF77" s="573">
        <f t="shared" si="22"/>
        <v>0</v>
      </c>
      <c r="CG77" s="473">
        <f t="shared" si="23"/>
        <v>2.7193585897996872E-5</v>
      </c>
      <c r="CH77" s="473">
        <f t="shared" si="24"/>
        <v>0.42703822279992382</v>
      </c>
      <c r="CI77" s="473">
        <f t="shared" si="25"/>
        <v>0.57293458361417815</v>
      </c>
      <c r="CM77" s="336">
        <f t="shared" si="31"/>
        <v>1</v>
      </c>
    </row>
    <row r="78" spans="7:93" ht="18" x14ac:dyDescent="0.25">
      <c r="G78" s="12">
        <v>2026</v>
      </c>
      <c r="H78" s="13">
        <v>0</v>
      </c>
      <c r="I78" s="14">
        <v>0</v>
      </c>
      <c r="M78" s="337">
        <v>0.5</v>
      </c>
      <c r="N78" s="336">
        <v>0.5</v>
      </c>
      <c r="U78" s="336">
        <f t="shared" si="26"/>
        <v>1</v>
      </c>
      <c r="Y78" s="336">
        <v>0.9</v>
      </c>
      <c r="Z78" s="336">
        <v>0.1</v>
      </c>
      <c r="AC78" s="336">
        <v>0</v>
      </c>
      <c r="AG78" s="336">
        <f t="shared" si="27"/>
        <v>1</v>
      </c>
      <c r="AI78" s="339"/>
      <c r="AJ78" s="12">
        <v>2026</v>
      </c>
      <c r="AK78" s="14">
        <v>0</v>
      </c>
      <c r="AL78" s="14">
        <v>100</v>
      </c>
      <c r="AP78" s="337">
        <v>0.3</v>
      </c>
      <c r="AQ78" s="336">
        <v>0.7</v>
      </c>
      <c r="AX78" s="336">
        <f t="shared" si="28"/>
        <v>1</v>
      </c>
      <c r="BB78" s="337">
        <v>0.3</v>
      </c>
      <c r="BC78" s="336">
        <v>0.7</v>
      </c>
      <c r="BJ78" s="336">
        <f t="shared" si="29"/>
        <v>1</v>
      </c>
      <c r="BK78" s="536"/>
      <c r="BM78" s="12">
        <v>2026</v>
      </c>
      <c r="BN78" s="468">
        <v>0</v>
      </c>
      <c r="BO78" s="468">
        <v>60</v>
      </c>
      <c r="BS78" s="336"/>
      <c r="BT78" s="336"/>
      <c r="BU78" s="336"/>
      <c r="BV78" s="336"/>
      <c r="BW78" s="336"/>
      <c r="CA78" s="336">
        <f t="shared" si="30"/>
        <v>0</v>
      </c>
      <c r="CE78" s="573">
        <f t="shared" si="21"/>
        <v>0</v>
      </c>
      <c r="CF78" s="573">
        <f t="shared" si="22"/>
        <v>0</v>
      </c>
      <c r="CG78" s="473">
        <f t="shared" si="23"/>
        <v>2.7193585897996872E-5</v>
      </c>
      <c r="CH78" s="473">
        <f t="shared" si="24"/>
        <v>0.42703822279992382</v>
      </c>
      <c r="CI78" s="473">
        <f t="shared" si="25"/>
        <v>0.57293458361417815</v>
      </c>
      <c r="CM78" s="336">
        <f t="shared" si="31"/>
        <v>1</v>
      </c>
    </row>
    <row r="79" spans="7:93" ht="18" x14ac:dyDescent="0.25">
      <c r="G79" s="12">
        <v>2027</v>
      </c>
      <c r="H79" s="13">
        <v>0</v>
      </c>
      <c r="I79" s="14">
        <v>0</v>
      </c>
      <c r="M79" s="337">
        <v>0.5</v>
      </c>
      <c r="N79" s="336">
        <v>0.5</v>
      </c>
      <c r="U79" s="336">
        <f t="shared" si="26"/>
        <v>1</v>
      </c>
      <c r="Y79" s="336">
        <v>0.9</v>
      </c>
      <c r="Z79" s="336">
        <v>0.1</v>
      </c>
      <c r="AC79" s="336">
        <v>0</v>
      </c>
      <c r="AG79" s="336">
        <f t="shared" si="27"/>
        <v>1</v>
      </c>
      <c r="AI79" s="339"/>
      <c r="AJ79" s="12">
        <v>2027</v>
      </c>
      <c r="AK79" s="14">
        <v>0</v>
      </c>
      <c r="AL79" s="14">
        <v>100</v>
      </c>
      <c r="AP79" s="337">
        <v>0.3</v>
      </c>
      <c r="AQ79" s="336">
        <v>0.7</v>
      </c>
      <c r="AX79" s="336">
        <f t="shared" si="28"/>
        <v>1</v>
      </c>
      <c r="BB79" s="337">
        <v>0.3</v>
      </c>
      <c r="BC79" s="336">
        <v>0.7</v>
      </c>
      <c r="BJ79" s="336">
        <f t="shared" si="29"/>
        <v>1</v>
      </c>
      <c r="BK79" s="536"/>
      <c r="BM79" s="12">
        <v>2027</v>
      </c>
      <c r="BN79" s="468">
        <v>0</v>
      </c>
      <c r="BO79" s="468">
        <v>60</v>
      </c>
      <c r="BS79" s="336"/>
      <c r="BT79" s="336"/>
      <c r="BU79" s="336"/>
      <c r="BV79" s="336"/>
      <c r="BW79" s="336"/>
      <c r="CA79" s="336">
        <f t="shared" si="30"/>
        <v>0</v>
      </c>
      <c r="CE79" s="573">
        <f t="shared" si="21"/>
        <v>0</v>
      </c>
      <c r="CF79" s="573">
        <f t="shared" si="22"/>
        <v>0</v>
      </c>
      <c r="CG79" s="473">
        <f t="shared" si="23"/>
        <v>2.7193585897996872E-5</v>
      </c>
      <c r="CH79" s="473">
        <f t="shared" si="24"/>
        <v>0.42703822279992382</v>
      </c>
      <c r="CI79" s="473">
        <f t="shared" si="25"/>
        <v>0.57293458361417815</v>
      </c>
      <c r="CM79" s="336">
        <f t="shared" si="31"/>
        <v>1</v>
      </c>
    </row>
    <row r="80" spans="7:93" ht="18" x14ac:dyDescent="0.25">
      <c r="G80" s="12">
        <v>2028</v>
      </c>
      <c r="H80" s="13">
        <v>0</v>
      </c>
      <c r="I80" s="14">
        <v>0</v>
      </c>
      <c r="M80" s="337">
        <v>0.5</v>
      </c>
      <c r="N80" s="336">
        <v>0.5</v>
      </c>
      <c r="U80" s="336">
        <f t="shared" si="26"/>
        <v>1</v>
      </c>
      <c r="Y80" s="336">
        <v>0.9</v>
      </c>
      <c r="Z80" s="336">
        <v>0.1</v>
      </c>
      <c r="AC80" s="336">
        <v>0</v>
      </c>
      <c r="AG80" s="336">
        <f t="shared" si="27"/>
        <v>1</v>
      </c>
      <c r="AI80" s="339"/>
      <c r="AJ80" s="12">
        <v>2028</v>
      </c>
      <c r="AK80" s="14">
        <v>0</v>
      </c>
      <c r="AL80" s="14">
        <v>100</v>
      </c>
      <c r="AP80" s="337">
        <v>0.3</v>
      </c>
      <c r="AQ80" s="336">
        <v>0.7</v>
      </c>
      <c r="AX80" s="336">
        <f t="shared" si="28"/>
        <v>1</v>
      </c>
      <c r="BB80" s="337">
        <v>0.3</v>
      </c>
      <c r="BC80" s="336">
        <v>0.7</v>
      </c>
      <c r="BJ80" s="336">
        <f t="shared" si="29"/>
        <v>1</v>
      </c>
      <c r="BK80" s="536"/>
      <c r="BM80" s="12">
        <v>2028</v>
      </c>
      <c r="BN80" s="468">
        <v>0</v>
      </c>
      <c r="BO80" s="468">
        <v>60</v>
      </c>
      <c r="BS80" s="336"/>
      <c r="BT80" s="336"/>
      <c r="BU80" s="336"/>
      <c r="BV80" s="336"/>
      <c r="BW80" s="336"/>
      <c r="CA80" s="336">
        <f t="shared" si="30"/>
        <v>0</v>
      </c>
      <c r="CE80" s="573">
        <f t="shared" si="21"/>
        <v>0</v>
      </c>
      <c r="CF80" s="573">
        <f t="shared" si="22"/>
        <v>0</v>
      </c>
      <c r="CG80" s="473">
        <f t="shared" si="23"/>
        <v>2.7193585897996872E-5</v>
      </c>
      <c r="CH80" s="473">
        <f t="shared" si="24"/>
        <v>0.42703822279992382</v>
      </c>
      <c r="CI80" s="473">
        <f t="shared" si="25"/>
        <v>0.57293458361417815</v>
      </c>
      <c r="CM80" s="336">
        <f t="shared" si="31"/>
        <v>1</v>
      </c>
    </row>
    <row r="81" spans="7:91" ht="18" x14ac:dyDescent="0.25">
      <c r="G81" s="12">
        <v>2029</v>
      </c>
      <c r="H81" s="13">
        <v>0</v>
      </c>
      <c r="I81" s="14">
        <v>0</v>
      </c>
      <c r="M81" s="337">
        <v>0.5</v>
      </c>
      <c r="N81" s="336">
        <v>0.5</v>
      </c>
      <c r="U81" s="336">
        <f t="shared" si="26"/>
        <v>1</v>
      </c>
      <c r="Y81" s="336">
        <v>0.9</v>
      </c>
      <c r="Z81" s="336">
        <v>0.1</v>
      </c>
      <c r="AC81" s="336">
        <v>0</v>
      </c>
      <c r="AG81" s="336">
        <f t="shared" si="27"/>
        <v>1</v>
      </c>
      <c r="AI81" s="339"/>
      <c r="AJ81" s="12">
        <v>2029</v>
      </c>
      <c r="AK81" s="14">
        <v>0</v>
      </c>
      <c r="AL81" s="14">
        <v>100</v>
      </c>
      <c r="AP81" s="337">
        <v>0.3</v>
      </c>
      <c r="AQ81" s="336">
        <v>0.7</v>
      </c>
      <c r="AX81" s="336">
        <f t="shared" si="28"/>
        <v>1</v>
      </c>
      <c r="BB81" s="337">
        <v>0.3</v>
      </c>
      <c r="BC81" s="336">
        <v>0.7</v>
      </c>
      <c r="BJ81" s="336">
        <f t="shared" si="29"/>
        <v>1</v>
      </c>
      <c r="BK81" s="536"/>
      <c r="BM81" s="12">
        <v>2029</v>
      </c>
      <c r="BN81" s="468">
        <v>0</v>
      </c>
      <c r="BO81" s="468">
        <v>60</v>
      </c>
      <c r="BS81" s="336"/>
      <c r="BT81" s="336"/>
      <c r="BU81" s="336"/>
      <c r="BV81" s="336"/>
      <c r="BW81" s="336"/>
      <c r="CA81" s="336">
        <f t="shared" si="30"/>
        <v>0</v>
      </c>
      <c r="CE81" s="573">
        <f t="shared" si="21"/>
        <v>0</v>
      </c>
      <c r="CF81" s="573">
        <f t="shared" si="22"/>
        <v>0</v>
      </c>
      <c r="CG81" s="473">
        <f t="shared" si="23"/>
        <v>2.7193585897996872E-5</v>
      </c>
      <c r="CH81" s="473">
        <f t="shared" si="24"/>
        <v>0.42703822279992382</v>
      </c>
      <c r="CI81" s="473">
        <f t="shared" si="25"/>
        <v>0.57293458361417815</v>
      </c>
      <c r="CM81" s="336">
        <f t="shared" si="31"/>
        <v>1</v>
      </c>
    </row>
    <row r="82" spans="7:91" ht="18" x14ac:dyDescent="0.25">
      <c r="G82" s="12">
        <v>2030</v>
      </c>
      <c r="H82" s="13">
        <v>0</v>
      </c>
      <c r="I82" s="14">
        <v>0</v>
      </c>
      <c r="M82" s="337">
        <v>0.5</v>
      </c>
      <c r="N82" s="336">
        <v>0.5</v>
      </c>
      <c r="U82" s="336">
        <f t="shared" si="26"/>
        <v>1</v>
      </c>
      <c r="Y82" s="336">
        <v>0.9</v>
      </c>
      <c r="Z82" s="336">
        <v>0.1</v>
      </c>
      <c r="AC82" s="336">
        <v>0</v>
      </c>
      <c r="AG82" s="336">
        <f t="shared" si="27"/>
        <v>1</v>
      </c>
      <c r="AI82" s="339"/>
      <c r="AJ82" s="12">
        <v>2030</v>
      </c>
      <c r="AK82" s="14">
        <v>0</v>
      </c>
      <c r="AL82" s="14">
        <v>100</v>
      </c>
      <c r="AP82" s="337">
        <v>0.3</v>
      </c>
      <c r="AQ82" s="336">
        <v>0.7</v>
      </c>
      <c r="AX82" s="336">
        <f t="shared" si="28"/>
        <v>1</v>
      </c>
      <c r="BB82" s="337">
        <v>0.3</v>
      </c>
      <c r="BC82" s="336">
        <v>0.7</v>
      </c>
      <c r="BJ82" s="336">
        <f t="shared" si="29"/>
        <v>1</v>
      </c>
      <c r="BK82" s="536"/>
      <c r="BM82" s="12">
        <v>2030</v>
      </c>
      <c r="BN82" s="468">
        <v>0</v>
      </c>
      <c r="BO82" s="468">
        <v>60</v>
      </c>
      <c r="BS82" s="336"/>
      <c r="BT82" s="336"/>
      <c r="BU82" s="336"/>
      <c r="BV82" s="336"/>
      <c r="BW82" s="336"/>
      <c r="CA82" s="336">
        <f t="shared" si="30"/>
        <v>0</v>
      </c>
      <c r="CE82" s="573">
        <f t="shared" si="21"/>
        <v>0</v>
      </c>
      <c r="CF82" s="573">
        <f t="shared" si="22"/>
        <v>0</v>
      </c>
      <c r="CG82" s="473">
        <f t="shared" si="23"/>
        <v>2.7193585897996872E-5</v>
      </c>
      <c r="CH82" s="473">
        <f t="shared" si="24"/>
        <v>0.42703822279992382</v>
      </c>
      <c r="CI82" s="473">
        <f t="shared" si="25"/>
        <v>0.57293458361417815</v>
      </c>
      <c r="CM82" s="336">
        <f t="shared" si="31"/>
        <v>1</v>
      </c>
    </row>
    <row r="83" spans="7:91" ht="18" x14ac:dyDescent="0.25">
      <c r="G83" s="19" t="s">
        <v>4</v>
      </c>
      <c r="H83" s="1314">
        <f>ROUND(SUM(H10:H54),-1)</f>
        <v>65780</v>
      </c>
      <c r="I83" s="1314"/>
      <c r="AI83" s="339"/>
      <c r="AJ83" s="19" t="s">
        <v>4</v>
      </c>
      <c r="AK83" s="325">
        <v>0</v>
      </c>
      <c r="AL83" s="325">
        <v>0</v>
      </c>
      <c r="BK83" s="536"/>
      <c r="BM83" s="19" t="s">
        <v>4</v>
      </c>
      <c r="BN83" s="328">
        <v>0</v>
      </c>
      <c r="BO83" s="328">
        <v>0</v>
      </c>
    </row>
    <row r="84" spans="7:91" ht="18" x14ac:dyDescent="0.25">
      <c r="G84" s="20" t="s">
        <v>5</v>
      </c>
      <c r="H84" s="22">
        <f t="shared" ref="H84:I84" si="32">ROUND(SUM(H55:H67),-1)</f>
        <v>250</v>
      </c>
      <c r="I84" s="23">
        <f t="shared" si="32"/>
        <v>630</v>
      </c>
      <c r="AI84" s="339"/>
      <c r="AJ84" s="20" t="s">
        <v>5</v>
      </c>
      <c r="AK84" s="23">
        <f>ROUND(SUM(AK55:AK67),-1)</f>
        <v>1250</v>
      </c>
      <c r="AL84" s="23">
        <f>ROUND(SUM(AL55:AL67),-1)</f>
        <v>1550</v>
      </c>
      <c r="BK84" s="536"/>
      <c r="BM84" s="20" t="s">
        <v>5</v>
      </c>
      <c r="BN84" s="23">
        <f>ROUND(SUM(BN55:BN67),-1)</f>
        <v>390</v>
      </c>
      <c r="BO84" s="23">
        <f>ROUND(SUM(BO55:BO67),-1)</f>
        <v>0</v>
      </c>
    </row>
    <row r="85" spans="7:91" ht="18" x14ac:dyDescent="0.25">
      <c r="G85" s="20" t="s">
        <v>43</v>
      </c>
      <c r="H85" s="22">
        <f t="shared" ref="H85:I85" si="33">ROUND(SUM(H68:H82),-1)</f>
        <v>0</v>
      </c>
      <c r="I85" s="23">
        <f t="shared" si="33"/>
        <v>0</v>
      </c>
      <c r="AI85" s="339"/>
      <c r="AJ85" s="20" t="s">
        <v>43</v>
      </c>
      <c r="AK85" s="23">
        <f>ROUND(SUM(AK68:AK82),-1)</f>
        <v>0</v>
      </c>
      <c r="AL85" s="23">
        <f>ROUND(SUM(AL68:AL82),-1)</f>
        <v>1500</v>
      </c>
      <c r="BK85" s="536"/>
      <c r="BM85" s="20" t="s">
        <v>43</v>
      </c>
      <c r="BN85" s="23">
        <f>ROUND(SUM(BN68:BN82),-1)</f>
        <v>0</v>
      </c>
      <c r="BO85" s="23">
        <f>ROUND(SUM(BO68:BO82),-1)</f>
        <v>900</v>
      </c>
    </row>
    <row r="86" spans="7:91" ht="19" thickBot="1" x14ac:dyDescent="0.3">
      <c r="G86" s="21" t="s">
        <v>0</v>
      </c>
      <c r="H86" s="24">
        <f>SUM(H83:H85)</f>
        <v>66030</v>
      </c>
      <c r="I86" s="25">
        <f>H83+I84</f>
        <v>66410</v>
      </c>
      <c r="AI86" s="339"/>
      <c r="AJ86" s="21" t="s">
        <v>0</v>
      </c>
      <c r="AK86" s="25">
        <f>SUM(AK83:AK85)</f>
        <v>1250</v>
      </c>
      <c r="AL86" s="25">
        <f>SUM(AL83:AL85)</f>
        <v>3050</v>
      </c>
      <c r="BK86" s="536"/>
      <c r="BM86" s="21" t="s">
        <v>0</v>
      </c>
      <c r="BN86" s="25">
        <f>SUM(BN83:BN85)</f>
        <v>390</v>
      </c>
      <c r="BO86" s="25">
        <f>SUM(BO83:BO85)</f>
        <v>900</v>
      </c>
    </row>
    <row r="87" spans="7:91" x14ac:dyDescent="0.2">
      <c r="AI87" s="339"/>
      <c r="AJ87" s="340"/>
      <c r="BK87" s="536"/>
    </row>
    <row r="88" spans="7:91" x14ac:dyDescent="0.2">
      <c r="AI88" s="339"/>
      <c r="AJ88" s="340"/>
      <c r="BK88" s="536"/>
    </row>
    <row r="89" spans="7:91" x14ac:dyDescent="0.2">
      <c r="BK89" s="536"/>
    </row>
    <row r="90" spans="7:91" x14ac:dyDescent="0.2">
      <c r="BK90" s="536"/>
    </row>
    <row r="91" spans="7:91" x14ac:dyDescent="0.2">
      <c r="BK91" s="536"/>
    </row>
    <row r="92" spans="7:91" x14ac:dyDescent="0.2">
      <c r="BK92" s="536"/>
    </row>
    <row r="93" spans="7:91" x14ac:dyDescent="0.2">
      <c r="BK93" s="536"/>
    </row>
    <row r="94" spans="7:91" x14ac:dyDescent="0.2">
      <c r="AJ94" s="341" t="s">
        <v>952</v>
      </c>
      <c r="BK94" s="536"/>
    </row>
    <row r="95" spans="7:91" x14ac:dyDescent="0.2">
      <c r="BK95" s="536"/>
    </row>
    <row r="96" spans="7:91" ht="32" x14ac:dyDescent="0.2">
      <c r="AJ96" s="342" t="s">
        <v>942</v>
      </c>
      <c r="AK96" s="343" t="s">
        <v>398</v>
      </c>
      <c r="AL96" s="431" t="s">
        <v>1036</v>
      </c>
      <c r="AM96" s="431" t="s">
        <v>1035</v>
      </c>
      <c r="AN96" s="343" t="s">
        <v>939</v>
      </c>
      <c r="AO96" s="343" t="s">
        <v>940</v>
      </c>
      <c r="AP96" s="431" t="s">
        <v>941</v>
      </c>
      <c r="AQ96" s="344" t="s">
        <v>1040</v>
      </c>
      <c r="AR96" s="344" t="s">
        <v>1039</v>
      </c>
      <c r="BK96" s="536"/>
      <c r="BO96" t="s">
        <v>967</v>
      </c>
      <c r="CI96" t="s">
        <v>1000</v>
      </c>
    </row>
    <row r="97" spans="36:103" ht="17" thickBot="1" x14ac:dyDescent="0.25">
      <c r="AJ97" s="345" t="s">
        <v>943</v>
      </c>
      <c r="AK97" s="346">
        <v>3</v>
      </c>
      <c r="AL97" s="346"/>
      <c r="AM97" s="346"/>
      <c r="AN97" s="346">
        <v>4.077</v>
      </c>
      <c r="AO97" s="346">
        <v>1.141</v>
      </c>
      <c r="AP97" s="346">
        <v>2.1000000000000001E-2</v>
      </c>
      <c r="AQ97" s="346">
        <f>SUM(AL97,AN97:AP97)</f>
        <v>5.2389999999999999</v>
      </c>
      <c r="AR97" s="347">
        <f t="shared" ref="AR97:AR102" si="34">SUM(AM97:AP97)</f>
        <v>5.2389999999999999</v>
      </c>
      <c r="BK97" s="536"/>
    </row>
    <row r="98" spans="36:103" x14ac:dyDescent="0.2">
      <c r="AJ98" s="345" t="s">
        <v>944</v>
      </c>
      <c r="AK98" s="346">
        <v>3</v>
      </c>
      <c r="AL98" s="346"/>
      <c r="AM98" s="346"/>
      <c r="AN98" s="346">
        <v>7.5030000000000001</v>
      </c>
      <c r="AO98" s="346">
        <v>1.2070000000000001</v>
      </c>
      <c r="AP98" s="346">
        <v>2E-3</v>
      </c>
      <c r="AQ98" s="346">
        <f t="shared" ref="AQ98:AQ102" si="35">SUM(AL98,AN98:AP98)</f>
        <v>8.7120000000000015</v>
      </c>
      <c r="AR98" s="347">
        <f t="shared" si="34"/>
        <v>8.7120000000000015</v>
      </c>
      <c r="BK98" s="536"/>
      <c r="BO98" s="392"/>
      <c r="BP98" s="1319" t="s">
        <v>960</v>
      </c>
      <c r="BQ98" s="1319"/>
      <c r="BR98" s="1319" t="s">
        <v>962</v>
      </c>
      <c r="BS98" s="1319"/>
      <c r="BT98" s="1319" t="s">
        <v>964</v>
      </c>
      <c r="BU98" s="1319"/>
      <c r="BV98" s="394" t="s">
        <v>966</v>
      </c>
      <c r="BW98" s="392"/>
      <c r="CI98" s="1317" t="s">
        <v>976</v>
      </c>
      <c r="CJ98" s="1317" t="s">
        <v>977</v>
      </c>
      <c r="CK98" s="1317">
        <v>2004</v>
      </c>
      <c r="CL98" s="1317">
        <v>2005</v>
      </c>
      <c r="CM98" s="1317">
        <v>2006</v>
      </c>
      <c r="CN98" s="1317">
        <v>2007</v>
      </c>
      <c r="CO98" s="1317">
        <v>2008</v>
      </c>
      <c r="CP98" s="1317">
        <v>2009</v>
      </c>
      <c r="CQ98" s="1317">
        <v>2010</v>
      </c>
      <c r="CR98" s="1317">
        <v>2011</v>
      </c>
      <c r="CS98" s="1317">
        <v>2012</v>
      </c>
      <c r="CT98" s="1317">
        <v>2013</v>
      </c>
      <c r="CU98" s="1317">
        <v>2014</v>
      </c>
      <c r="CV98" s="404">
        <v>2015</v>
      </c>
      <c r="CW98" s="1320" t="s">
        <v>979</v>
      </c>
    </row>
    <row r="99" spans="36:103" ht="17" thickBot="1" x14ac:dyDescent="0.25">
      <c r="AJ99" s="345" t="s">
        <v>945</v>
      </c>
      <c r="AK99" s="346">
        <v>4</v>
      </c>
      <c r="AL99" s="346">
        <v>0.71499999999999997</v>
      </c>
      <c r="AM99" s="346">
        <v>2.177</v>
      </c>
      <c r="AN99" s="346">
        <v>2.8010000000000002</v>
      </c>
      <c r="AO99" s="346">
        <v>1.0609999999999999</v>
      </c>
      <c r="AP99" s="346">
        <v>0.17100000000000001</v>
      </c>
      <c r="AQ99" s="346">
        <f t="shared" si="35"/>
        <v>4.7480000000000002</v>
      </c>
      <c r="AR99" s="347">
        <f t="shared" si="34"/>
        <v>6.21</v>
      </c>
      <c r="AS99" t="s">
        <v>949</v>
      </c>
      <c r="BK99" s="536"/>
      <c r="BO99" s="392"/>
      <c r="BP99" s="1319" t="s">
        <v>961</v>
      </c>
      <c r="BQ99" s="1319"/>
      <c r="BR99" s="1319" t="s">
        <v>963</v>
      </c>
      <c r="BS99" s="1319"/>
      <c r="BT99" s="1319" t="s">
        <v>965</v>
      </c>
      <c r="BU99" s="1319"/>
      <c r="BV99" s="394"/>
      <c r="BW99" s="392"/>
      <c r="CI99" s="1318"/>
      <c r="CJ99" s="1318"/>
      <c r="CK99" s="1318"/>
      <c r="CL99" s="1318"/>
      <c r="CM99" s="1318"/>
      <c r="CN99" s="1318"/>
      <c r="CO99" s="1318"/>
      <c r="CP99" s="1318"/>
      <c r="CQ99" s="1318"/>
      <c r="CR99" s="1318"/>
      <c r="CS99" s="1318"/>
      <c r="CT99" s="1318"/>
      <c r="CU99" s="1318"/>
      <c r="CV99" s="405" t="s">
        <v>978</v>
      </c>
      <c r="CW99" s="1321"/>
      <c r="CX99" s="446" t="s">
        <v>398</v>
      </c>
      <c r="CY99" s="413"/>
    </row>
    <row r="100" spans="36:103" x14ac:dyDescent="0.2">
      <c r="AJ100" s="345" t="s">
        <v>946</v>
      </c>
      <c r="AK100" s="346">
        <v>4</v>
      </c>
      <c r="AL100" s="346"/>
      <c r="AM100" s="346"/>
      <c r="AN100" s="346">
        <v>0.56799999999999995</v>
      </c>
      <c r="AO100" s="346">
        <v>0.85399999999999998</v>
      </c>
      <c r="AP100" s="346">
        <v>0.1</v>
      </c>
      <c r="AQ100" s="346">
        <f t="shared" si="35"/>
        <v>1.522</v>
      </c>
      <c r="AR100" s="347">
        <f t="shared" si="34"/>
        <v>1.522</v>
      </c>
      <c r="BK100" s="536"/>
      <c r="BO100" s="401"/>
      <c r="BP100" s="390" t="s">
        <v>957</v>
      </c>
      <c r="BQ100" s="390" t="s">
        <v>957</v>
      </c>
      <c r="BR100" s="390" t="s">
        <v>957</v>
      </c>
      <c r="BS100" s="390" t="s">
        <v>957</v>
      </c>
      <c r="BT100" s="390" t="s">
        <v>957</v>
      </c>
      <c r="BU100" s="390" t="s">
        <v>957</v>
      </c>
      <c r="BV100" s="1315"/>
      <c r="CI100" s="406" t="s">
        <v>980</v>
      </c>
      <c r="CJ100" s="407">
        <v>0</v>
      </c>
      <c r="CK100" s="408">
        <v>0</v>
      </c>
      <c r="CL100" s="408">
        <v>0</v>
      </c>
      <c r="CM100" s="408">
        <v>0</v>
      </c>
      <c r="CN100" s="408">
        <v>0</v>
      </c>
      <c r="CO100" s="408">
        <v>0</v>
      </c>
      <c r="CP100" s="408">
        <v>0</v>
      </c>
      <c r="CQ100" s="408">
        <v>3.738</v>
      </c>
      <c r="CR100" s="408">
        <v>0</v>
      </c>
      <c r="CS100" s="408">
        <v>1.7999999999999999E-2</v>
      </c>
      <c r="CT100" s="408">
        <v>0</v>
      </c>
      <c r="CU100" s="408">
        <v>0</v>
      </c>
      <c r="CV100" s="408">
        <v>0</v>
      </c>
      <c r="CW100" s="408">
        <v>3.7559999999999998</v>
      </c>
      <c r="CX100" s="408">
        <v>6</v>
      </c>
      <c r="CY100" s="413"/>
    </row>
    <row r="101" spans="36:103" ht="17" thickBot="1" x14ac:dyDescent="0.25">
      <c r="AJ101" s="345" t="s">
        <v>947</v>
      </c>
      <c r="AK101" s="346">
        <v>4</v>
      </c>
      <c r="AL101" s="346">
        <v>0.126</v>
      </c>
      <c r="AM101" s="346">
        <v>0.38400000000000001</v>
      </c>
      <c r="AN101" s="346">
        <v>15.69</v>
      </c>
      <c r="AO101" s="346">
        <v>2.2829999999999999</v>
      </c>
      <c r="AP101" s="346">
        <v>1.5349999999999999</v>
      </c>
      <c r="AQ101" s="346">
        <f t="shared" si="35"/>
        <v>19.634</v>
      </c>
      <c r="AR101" s="347">
        <f t="shared" si="34"/>
        <v>19.891999999999999</v>
      </c>
      <c r="AS101" t="s">
        <v>950</v>
      </c>
      <c r="BK101" s="536"/>
      <c r="BO101" s="403"/>
      <c r="BP101" s="391" t="s">
        <v>958</v>
      </c>
      <c r="BQ101" s="391" t="s">
        <v>959</v>
      </c>
      <c r="BR101" s="391" t="s">
        <v>958</v>
      </c>
      <c r="BS101" s="391" t="s">
        <v>959</v>
      </c>
      <c r="BT101" s="391" t="s">
        <v>958</v>
      </c>
      <c r="BU101" s="391" t="s">
        <v>959</v>
      </c>
      <c r="BV101" s="1316"/>
      <c r="CI101" s="406" t="s">
        <v>981</v>
      </c>
      <c r="CJ101" s="407">
        <v>0</v>
      </c>
      <c r="CK101" s="408">
        <v>0</v>
      </c>
      <c r="CL101" s="408">
        <v>0</v>
      </c>
      <c r="CM101" s="408">
        <v>0.54300000000000004</v>
      </c>
      <c r="CN101" s="408">
        <v>0</v>
      </c>
      <c r="CO101" s="408">
        <v>0</v>
      </c>
      <c r="CP101" s="408">
        <v>0</v>
      </c>
      <c r="CQ101" s="408">
        <v>0</v>
      </c>
      <c r="CR101" s="408">
        <v>0</v>
      </c>
      <c r="CS101" s="408">
        <v>0</v>
      </c>
      <c r="CT101" s="408">
        <v>0.90600000000000003</v>
      </c>
      <c r="CU101" s="408">
        <v>0</v>
      </c>
      <c r="CV101" s="408">
        <v>0</v>
      </c>
      <c r="CW101" s="408">
        <v>1.4490000000000001</v>
      </c>
      <c r="CX101" s="447">
        <v>7</v>
      </c>
      <c r="CY101" s="413" t="s">
        <v>1050</v>
      </c>
    </row>
    <row r="102" spans="36:103" x14ac:dyDescent="0.2">
      <c r="AJ102" s="348" t="s">
        <v>948</v>
      </c>
      <c r="AK102" s="349">
        <v>4</v>
      </c>
      <c r="AL102" s="349"/>
      <c r="AM102" s="349"/>
      <c r="AN102" s="349">
        <v>3.734</v>
      </c>
      <c r="AO102" s="349">
        <v>0.82299999999999995</v>
      </c>
      <c r="AP102" s="349">
        <v>0.80700000000000005</v>
      </c>
      <c r="AQ102" s="349">
        <f t="shared" si="35"/>
        <v>5.3640000000000008</v>
      </c>
      <c r="AR102" s="350">
        <f t="shared" si="34"/>
        <v>5.3640000000000008</v>
      </c>
      <c r="BK102" s="536"/>
      <c r="BO102" s="386">
        <v>2004</v>
      </c>
      <c r="BP102" s="387" t="s">
        <v>954</v>
      </c>
      <c r="BQ102" s="387" t="s">
        <v>954</v>
      </c>
      <c r="BR102" s="387" t="s">
        <v>954</v>
      </c>
      <c r="BS102" s="387" t="s">
        <v>954</v>
      </c>
      <c r="BT102" s="434">
        <v>30</v>
      </c>
      <c r="BU102" s="387" t="s">
        <v>954</v>
      </c>
      <c r="BV102" s="387" t="s">
        <v>955</v>
      </c>
      <c r="CI102" s="406" t="s">
        <v>982</v>
      </c>
      <c r="CJ102" s="407"/>
      <c r="CK102" s="408">
        <v>229.2</v>
      </c>
      <c r="CL102" s="408">
        <v>658.95</v>
      </c>
      <c r="CM102" s="408">
        <v>687.6</v>
      </c>
      <c r="CN102" s="408">
        <v>458.4</v>
      </c>
      <c r="CO102" s="408">
        <v>573</v>
      </c>
      <c r="CP102" s="408">
        <v>343.8</v>
      </c>
      <c r="CQ102" s="408">
        <v>429.75</v>
      </c>
      <c r="CR102" s="408">
        <v>1031.4000000000001</v>
      </c>
      <c r="CS102" s="408">
        <v>1231.95</v>
      </c>
      <c r="CT102" s="408">
        <v>630.29999999999995</v>
      </c>
      <c r="CU102" s="408">
        <v>716.25</v>
      </c>
      <c r="CV102" s="408">
        <v>143.25</v>
      </c>
      <c r="CW102" s="408">
        <v>7133.85</v>
      </c>
      <c r="CX102" s="447">
        <v>7</v>
      </c>
      <c r="CY102" s="413" t="s">
        <v>1050</v>
      </c>
    </row>
    <row r="103" spans="36:103" x14ac:dyDescent="0.2">
      <c r="BK103" s="536"/>
      <c r="BO103" s="388">
        <v>2005</v>
      </c>
      <c r="BP103" s="389" t="s">
        <v>954</v>
      </c>
      <c r="BQ103" s="389" t="s">
        <v>954</v>
      </c>
      <c r="BR103" s="389" t="s">
        <v>954</v>
      </c>
      <c r="BS103" s="389" t="s">
        <v>954</v>
      </c>
      <c r="BT103" s="434">
        <v>30</v>
      </c>
      <c r="BU103" s="389" t="s">
        <v>954</v>
      </c>
      <c r="BV103" s="389" t="s">
        <v>955</v>
      </c>
      <c r="CI103" s="406" t="s">
        <v>983</v>
      </c>
      <c r="CJ103" s="407">
        <v>0</v>
      </c>
      <c r="CK103" s="408">
        <v>0</v>
      </c>
      <c r="CL103" s="408">
        <v>0</v>
      </c>
      <c r="CM103" s="408">
        <v>0</v>
      </c>
      <c r="CN103" s="408">
        <v>0</v>
      </c>
      <c r="CO103" s="408">
        <v>0</v>
      </c>
      <c r="CP103" s="408">
        <v>30</v>
      </c>
      <c r="CQ103" s="408">
        <v>30</v>
      </c>
      <c r="CR103" s="408">
        <v>83.4</v>
      </c>
      <c r="CS103" s="408">
        <v>60</v>
      </c>
      <c r="CT103" s="408">
        <v>30</v>
      </c>
      <c r="CU103" s="408">
        <v>45</v>
      </c>
      <c r="CV103" s="408">
        <v>45</v>
      </c>
      <c r="CW103" s="408">
        <v>323.39999999999998</v>
      </c>
      <c r="CX103" s="408">
        <v>6</v>
      </c>
      <c r="CY103" s="413"/>
    </row>
    <row r="104" spans="36:103" x14ac:dyDescent="0.2">
      <c r="AJ104" s="341" t="s">
        <v>1038</v>
      </c>
      <c r="BK104" s="536"/>
      <c r="BO104" s="386">
        <v>2006</v>
      </c>
      <c r="BP104" s="387" t="s">
        <v>954</v>
      </c>
      <c r="BQ104" s="387" t="s">
        <v>954</v>
      </c>
      <c r="BR104" s="387" t="s">
        <v>954</v>
      </c>
      <c r="BS104" s="387" t="s">
        <v>954</v>
      </c>
      <c r="BT104" s="387">
        <v>30</v>
      </c>
      <c r="BU104" s="387" t="s">
        <v>954</v>
      </c>
      <c r="BV104" s="387" t="s">
        <v>955</v>
      </c>
      <c r="CI104" s="406" t="s">
        <v>984</v>
      </c>
      <c r="CJ104" s="407">
        <v>0</v>
      </c>
      <c r="CK104" s="408">
        <v>0</v>
      </c>
      <c r="CL104" s="408">
        <v>0</v>
      </c>
      <c r="CM104" s="408">
        <v>0</v>
      </c>
      <c r="CN104" s="408">
        <v>0</v>
      </c>
      <c r="CO104" s="408">
        <v>0</v>
      </c>
      <c r="CP104" s="408">
        <v>0</v>
      </c>
      <c r="CQ104" s="408">
        <v>0</v>
      </c>
      <c r="CR104" s="408">
        <v>0</v>
      </c>
      <c r="CS104" s="408">
        <v>0</v>
      </c>
      <c r="CT104" s="408">
        <v>0.312</v>
      </c>
      <c r="CU104" s="408">
        <v>0</v>
      </c>
      <c r="CV104" s="408">
        <v>0</v>
      </c>
      <c r="CW104" s="408">
        <v>0.312</v>
      </c>
      <c r="CX104" s="447">
        <v>7</v>
      </c>
      <c r="CY104" s="413" t="s">
        <v>1049</v>
      </c>
    </row>
    <row r="105" spans="36:103" x14ac:dyDescent="0.2">
      <c r="AK105" s="342" t="s">
        <v>953</v>
      </c>
      <c r="AL105" s="344" t="s">
        <v>951</v>
      </c>
      <c r="BK105" s="536"/>
      <c r="BO105" s="388">
        <v>2007</v>
      </c>
      <c r="BP105" s="389" t="s">
        <v>954</v>
      </c>
      <c r="BQ105" s="389" t="s">
        <v>954</v>
      </c>
      <c r="BR105" s="389" t="s">
        <v>954</v>
      </c>
      <c r="BS105" s="389" t="s">
        <v>954</v>
      </c>
      <c r="BT105" s="389" t="s">
        <v>954</v>
      </c>
      <c r="BU105" s="389" t="s">
        <v>954</v>
      </c>
      <c r="BV105" s="389"/>
      <c r="CI105" s="406" t="s">
        <v>985</v>
      </c>
      <c r="CJ105" s="407">
        <v>0</v>
      </c>
      <c r="CK105" s="408">
        <v>0</v>
      </c>
      <c r="CL105" s="408">
        <v>0</v>
      </c>
      <c r="CM105" s="408">
        <v>0</v>
      </c>
      <c r="CN105" s="408">
        <v>162</v>
      </c>
      <c r="CO105" s="408">
        <v>108</v>
      </c>
      <c r="CP105" s="408">
        <v>162</v>
      </c>
      <c r="CQ105" s="408">
        <v>162</v>
      </c>
      <c r="CR105" s="408">
        <v>270.34800000000001</v>
      </c>
      <c r="CS105" s="408">
        <v>270</v>
      </c>
      <c r="CT105" s="408">
        <v>216</v>
      </c>
      <c r="CU105" s="408">
        <v>324.17399999999998</v>
      </c>
      <c r="CV105" s="408">
        <v>102.17400000000001</v>
      </c>
      <c r="CW105" s="408">
        <v>1776.6959999999999</v>
      </c>
      <c r="CX105" s="408">
        <v>5</v>
      </c>
      <c r="CY105" s="413"/>
    </row>
    <row r="106" spans="36:103" x14ac:dyDescent="0.2">
      <c r="AJ106" s="351" t="s">
        <v>399</v>
      </c>
      <c r="AK106" s="352">
        <f>SUM(AQ97:AQ98)</f>
        <v>13.951000000000001</v>
      </c>
      <c r="AL106" s="353">
        <f>AK106/SUM(AK106:AK107)</f>
        <v>0.30852075455007849</v>
      </c>
      <c r="BK106" s="536"/>
      <c r="BO106" s="386">
        <v>2008</v>
      </c>
      <c r="BP106" s="387" t="s">
        <v>954</v>
      </c>
      <c r="BQ106" s="387" t="s">
        <v>954</v>
      </c>
      <c r="BR106" s="387" t="s">
        <v>954</v>
      </c>
      <c r="BS106" s="387" t="s">
        <v>954</v>
      </c>
      <c r="BT106" s="387" t="s">
        <v>954</v>
      </c>
      <c r="BU106" s="387" t="s">
        <v>954</v>
      </c>
      <c r="BV106" s="387"/>
      <c r="CI106" s="406" t="s">
        <v>986</v>
      </c>
      <c r="CJ106" s="407">
        <v>0</v>
      </c>
      <c r="CK106" s="408">
        <v>0</v>
      </c>
      <c r="CL106" s="408">
        <v>0</v>
      </c>
      <c r="CM106" s="408">
        <v>30</v>
      </c>
      <c r="CN106" s="408">
        <v>55.5</v>
      </c>
      <c r="CO106" s="408">
        <v>156</v>
      </c>
      <c r="CP106" s="408">
        <v>100.5</v>
      </c>
      <c r="CQ106" s="408">
        <v>166.5</v>
      </c>
      <c r="CR106" s="408">
        <v>111</v>
      </c>
      <c r="CS106" s="408">
        <v>76.5</v>
      </c>
      <c r="CT106" s="408">
        <v>129.75</v>
      </c>
      <c r="CU106" s="408">
        <v>95.25</v>
      </c>
      <c r="CV106" s="408">
        <v>45</v>
      </c>
      <c r="CW106" s="408">
        <v>966</v>
      </c>
      <c r="CX106" s="408">
        <v>5</v>
      </c>
      <c r="CY106" s="413"/>
    </row>
    <row r="107" spans="36:103" ht="28" x14ac:dyDescent="0.2">
      <c r="AJ107" s="348" t="s">
        <v>400</v>
      </c>
      <c r="AK107" s="349">
        <f>SUM(AQ99:AQ102)</f>
        <v>31.268000000000001</v>
      </c>
      <c r="AL107" s="354">
        <f>AK107/SUM(AK106:AK107)</f>
        <v>0.69147924544992145</v>
      </c>
      <c r="BK107" s="536"/>
      <c r="BO107" s="388">
        <v>2009</v>
      </c>
      <c r="BP107" s="388">
        <v>7.18</v>
      </c>
      <c r="BQ107" s="388">
        <v>7.98</v>
      </c>
      <c r="BR107" s="388">
        <v>15.49</v>
      </c>
      <c r="BS107" s="388">
        <v>15.23</v>
      </c>
      <c r="BT107" s="915">
        <v>22.67</v>
      </c>
      <c r="BU107" s="388">
        <v>23.21</v>
      </c>
      <c r="BV107" s="389" t="s">
        <v>956</v>
      </c>
      <c r="CI107" s="406" t="s">
        <v>987</v>
      </c>
      <c r="CJ107" s="407">
        <v>0</v>
      </c>
      <c r="CK107" s="408">
        <v>0</v>
      </c>
      <c r="CL107" s="408">
        <v>30</v>
      </c>
      <c r="CM107" s="408">
        <v>45</v>
      </c>
      <c r="CN107" s="408">
        <v>0</v>
      </c>
      <c r="CO107" s="408">
        <v>30</v>
      </c>
      <c r="CP107" s="408">
        <v>0</v>
      </c>
      <c r="CQ107" s="408">
        <v>30</v>
      </c>
      <c r="CR107" s="408">
        <v>0</v>
      </c>
      <c r="CS107" s="408">
        <v>0</v>
      </c>
      <c r="CT107" s="408">
        <v>0</v>
      </c>
      <c r="CU107" s="408">
        <v>0</v>
      </c>
      <c r="CV107" s="408">
        <v>0</v>
      </c>
      <c r="CW107" s="408">
        <v>135</v>
      </c>
      <c r="CX107" s="408">
        <v>4</v>
      </c>
      <c r="CY107" s="413"/>
    </row>
    <row r="108" spans="36:103" ht="28" x14ac:dyDescent="0.2">
      <c r="BK108" s="536"/>
      <c r="BO108" s="386">
        <v>2010</v>
      </c>
      <c r="BP108" s="432">
        <v>30.67</v>
      </c>
      <c r="BQ108" s="386">
        <v>30.51</v>
      </c>
      <c r="BR108" s="386">
        <v>20.64</v>
      </c>
      <c r="BS108" s="386">
        <v>18.850000000000001</v>
      </c>
      <c r="BT108" s="916">
        <v>51.31</v>
      </c>
      <c r="BU108" s="386">
        <v>49.36</v>
      </c>
      <c r="BV108" s="387" t="s">
        <v>956</v>
      </c>
      <c r="CI108" s="406" t="s">
        <v>988</v>
      </c>
      <c r="CJ108" s="407">
        <v>0</v>
      </c>
      <c r="CK108" s="408">
        <v>0</v>
      </c>
      <c r="CL108" s="408">
        <v>0</v>
      </c>
      <c r="CM108" s="408">
        <v>0</v>
      </c>
      <c r="CN108" s="408">
        <v>45</v>
      </c>
      <c r="CO108" s="408">
        <v>45</v>
      </c>
      <c r="CP108" s="408">
        <v>0</v>
      </c>
      <c r="CQ108" s="408">
        <v>44.966999999999999</v>
      </c>
      <c r="CR108" s="408">
        <v>45</v>
      </c>
      <c r="CS108" s="408">
        <v>44.994</v>
      </c>
      <c r="CT108" s="408">
        <v>0</v>
      </c>
      <c r="CU108" s="408">
        <v>0</v>
      </c>
      <c r="CV108" s="408">
        <v>0</v>
      </c>
      <c r="CW108" s="408">
        <v>224.96100000000001</v>
      </c>
      <c r="CX108" s="408">
        <v>5</v>
      </c>
      <c r="CY108" s="413"/>
    </row>
    <row r="109" spans="36:103" ht="28" x14ac:dyDescent="0.2">
      <c r="AJ109" s="341" t="s">
        <v>1037</v>
      </c>
      <c r="BK109" s="536"/>
      <c r="BO109" s="388">
        <v>2011</v>
      </c>
      <c r="BP109" s="432">
        <v>35.119999999999997</v>
      </c>
      <c r="BQ109" s="388">
        <v>30.73</v>
      </c>
      <c r="BR109" s="388">
        <v>19.12</v>
      </c>
      <c r="BS109" s="388">
        <v>18.13</v>
      </c>
      <c r="BT109" s="915">
        <v>54.24</v>
      </c>
      <c r="BU109" s="388">
        <v>48.86</v>
      </c>
      <c r="BV109" s="389" t="s">
        <v>956</v>
      </c>
      <c r="CI109" s="406" t="s">
        <v>989</v>
      </c>
      <c r="CJ109" s="407">
        <v>0</v>
      </c>
      <c r="CK109" s="408">
        <v>30</v>
      </c>
      <c r="CL109" s="408">
        <v>15</v>
      </c>
      <c r="CM109" s="408">
        <v>30</v>
      </c>
      <c r="CN109" s="408">
        <v>84</v>
      </c>
      <c r="CO109" s="408">
        <v>303</v>
      </c>
      <c r="CP109" s="408">
        <v>138</v>
      </c>
      <c r="CQ109" s="408">
        <v>261</v>
      </c>
      <c r="CR109" s="408">
        <v>192</v>
      </c>
      <c r="CS109" s="408">
        <v>216</v>
      </c>
      <c r="CT109" s="408">
        <v>246</v>
      </c>
      <c r="CU109" s="408">
        <v>285</v>
      </c>
      <c r="CV109" s="408">
        <v>54</v>
      </c>
      <c r="CW109" s="408">
        <v>1854</v>
      </c>
      <c r="CX109" s="447">
        <v>6</v>
      </c>
      <c r="CY109" s="413" t="s">
        <v>1051</v>
      </c>
    </row>
    <row r="110" spans="36:103" ht="28" x14ac:dyDescent="0.2">
      <c r="AK110" s="342" t="s">
        <v>953</v>
      </c>
      <c r="AL110" s="344" t="s">
        <v>951</v>
      </c>
      <c r="BK110" s="536"/>
      <c r="BO110" s="386">
        <v>2012</v>
      </c>
      <c r="BP110" s="432">
        <v>30.47</v>
      </c>
      <c r="BQ110" s="386">
        <v>33.29</v>
      </c>
      <c r="BR110" s="386">
        <v>19.77</v>
      </c>
      <c r="BS110" s="386">
        <v>18.579999999999998</v>
      </c>
      <c r="BT110" s="916">
        <v>50.24</v>
      </c>
      <c r="BU110" s="386">
        <v>51.87</v>
      </c>
      <c r="BV110" s="387" t="s">
        <v>956</v>
      </c>
      <c r="CI110" s="406" t="s">
        <v>990</v>
      </c>
      <c r="CJ110" s="407">
        <v>0</v>
      </c>
      <c r="CK110" s="408">
        <v>0</v>
      </c>
      <c r="CL110" s="408">
        <v>0</v>
      </c>
      <c r="CM110" s="408">
        <v>0</v>
      </c>
      <c r="CN110" s="408">
        <v>72</v>
      </c>
      <c r="CO110" s="408">
        <v>72</v>
      </c>
      <c r="CP110" s="408">
        <v>72.581999999999994</v>
      </c>
      <c r="CQ110" s="408">
        <v>72</v>
      </c>
      <c r="CR110" s="408">
        <v>72.347999999999999</v>
      </c>
      <c r="CS110" s="408">
        <v>72</v>
      </c>
      <c r="CT110" s="408">
        <v>72.828000000000003</v>
      </c>
      <c r="CU110" s="408">
        <v>116.985</v>
      </c>
      <c r="CV110" s="408">
        <v>101.985</v>
      </c>
      <c r="CW110" s="408">
        <v>724.72799999999995</v>
      </c>
      <c r="CX110" s="447">
        <v>5</v>
      </c>
      <c r="CY110" s="413"/>
    </row>
    <row r="111" spans="36:103" ht="29" thickBot="1" x14ac:dyDescent="0.25">
      <c r="AJ111" s="351" t="s">
        <v>399</v>
      </c>
      <c r="AK111" s="352">
        <f>SUM(AR97:AR98)</f>
        <v>13.951000000000001</v>
      </c>
      <c r="AL111" s="353">
        <f>AK111/SUM(AK111:AK112)</f>
        <v>0.29721553505613668</v>
      </c>
      <c r="BK111" s="536"/>
      <c r="BO111" s="400">
        <v>2013</v>
      </c>
      <c r="BP111" s="433">
        <v>39.56</v>
      </c>
      <c r="BQ111" s="400">
        <v>38.36</v>
      </c>
      <c r="BR111" s="400">
        <v>20.100000000000001</v>
      </c>
      <c r="BS111" s="400">
        <v>19.62</v>
      </c>
      <c r="BT111" s="914">
        <v>59.66</v>
      </c>
      <c r="BU111" s="400">
        <v>57.98</v>
      </c>
      <c r="BV111" s="402" t="s">
        <v>956</v>
      </c>
      <c r="CI111" s="406" t="s">
        <v>991</v>
      </c>
      <c r="CJ111" s="407">
        <v>0</v>
      </c>
      <c r="CK111" s="408">
        <v>0</v>
      </c>
      <c r="CL111" s="408">
        <v>0</v>
      </c>
      <c r="CM111" s="408">
        <v>0</v>
      </c>
      <c r="CN111" s="408">
        <v>42.3</v>
      </c>
      <c r="CO111" s="408">
        <v>41.55</v>
      </c>
      <c r="CP111" s="408">
        <v>42</v>
      </c>
      <c r="CQ111" s="408">
        <v>63</v>
      </c>
      <c r="CR111" s="408">
        <v>84</v>
      </c>
      <c r="CS111" s="408">
        <v>42</v>
      </c>
      <c r="CT111" s="408">
        <v>63</v>
      </c>
      <c r="CU111" s="408">
        <v>105</v>
      </c>
      <c r="CV111" s="408">
        <v>63</v>
      </c>
      <c r="CW111" s="408">
        <v>545.85</v>
      </c>
      <c r="CX111" s="408">
        <v>5</v>
      </c>
      <c r="CY111" s="413"/>
    </row>
    <row r="112" spans="36:103" x14ac:dyDescent="0.2">
      <c r="AJ112" s="348" t="s">
        <v>400</v>
      </c>
      <c r="AK112" s="349">
        <f>SUM(AR99:AR102)</f>
        <v>32.988</v>
      </c>
      <c r="AL112" s="354">
        <f>AK112/SUM(AK111:AK112)</f>
        <v>0.70278446494386326</v>
      </c>
      <c r="BK112" s="536"/>
      <c r="BO112" s="392"/>
      <c r="BP112" s="392"/>
      <c r="BQ112" s="392"/>
      <c r="BR112" s="392"/>
      <c r="BS112" s="392"/>
      <c r="BT112" s="392"/>
      <c r="BU112" s="392"/>
      <c r="BV112" s="392"/>
      <c r="BW112" s="392"/>
      <c r="CI112" s="406" t="s">
        <v>992</v>
      </c>
      <c r="CJ112" s="407">
        <v>0</v>
      </c>
      <c r="CK112" s="408">
        <v>0</v>
      </c>
      <c r="CL112" s="408">
        <v>0</v>
      </c>
      <c r="CM112" s="408">
        <v>0</v>
      </c>
      <c r="CN112" s="408">
        <v>45</v>
      </c>
      <c r="CO112" s="408">
        <v>90</v>
      </c>
      <c r="CP112" s="408">
        <v>90</v>
      </c>
      <c r="CQ112" s="408">
        <v>45</v>
      </c>
      <c r="CR112" s="408">
        <v>90</v>
      </c>
      <c r="CS112" s="408">
        <v>147.6</v>
      </c>
      <c r="CT112" s="408">
        <v>51</v>
      </c>
      <c r="CU112" s="408">
        <v>90</v>
      </c>
      <c r="CV112" s="408">
        <v>45</v>
      </c>
      <c r="CW112" s="408">
        <v>693.6</v>
      </c>
      <c r="CX112" s="408">
        <v>5</v>
      </c>
      <c r="CY112" s="413"/>
    </row>
    <row r="113" spans="63:103" x14ac:dyDescent="0.2">
      <c r="BK113" s="536"/>
      <c r="BO113" s="392"/>
      <c r="BP113" s="392"/>
      <c r="BQ113" s="392"/>
      <c r="BR113" s="392"/>
      <c r="BS113" s="392"/>
      <c r="BT113" s="392"/>
      <c r="BU113" s="392"/>
      <c r="BV113" s="392"/>
      <c r="BW113" s="392"/>
      <c r="CI113" s="406" t="s">
        <v>993</v>
      </c>
      <c r="CJ113" s="407">
        <v>0</v>
      </c>
      <c r="CK113" s="408">
        <v>0</v>
      </c>
      <c r="CL113" s="408">
        <v>0</v>
      </c>
      <c r="CM113" s="408">
        <v>0</v>
      </c>
      <c r="CN113" s="408">
        <v>0</v>
      </c>
      <c r="CO113" s="408">
        <v>12.018000000000001</v>
      </c>
      <c r="CP113" s="408">
        <v>30</v>
      </c>
      <c r="CQ113" s="408">
        <v>15</v>
      </c>
      <c r="CR113" s="408">
        <v>15.009</v>
      </c>
      <c r="CS113" s="408">
        <v>0</v>
      </c>
      <c r="CT113" s="408">
        <v>15</v>
      </c>
      <c r="CU113" s="408">
        <v>0</v>
      </c>
      <c r="CV113" s="408">
        <v>9</v>
      </c>
      <c r="CW113" s="408">
        <v>96.027000000000001</v>
      </c>
      <c r="CX113" s="408">
        <v>7</v>
      </c>
      <c r="CY113" s="413"/>
    </row>
    <row r="114" spans="63:103" x14ac:dyDescent="0.2">
      <c r="BK114" s="536"/>
      <c r="CI114" s="406" t="s">
        <v>994</v>
      </c>
      <c r="CJ114" s="407">
        <v>0</v>
      </c>
      <c r="CK114" s="408">
        <v>0</v>
      </c>
      <c r="CL114" s="408">
        <v>0</v>
      </c>
      <c r="CM114" s="408">
        <v>0</v>
      </c>
      <c r="CN114" s="408">
        <v>0</v>
      </c>
      <c r="CO114" s="408">
        <v>0</v>
      </c>
      <c r="CP114" s="408">
        <v>0</v>
      </c>
      <c r="CQ114" s="408">
        <v>0</v>
      </c>
      <c r="CR114" s="408">
        <v>18</v>
      </c>
      <c r="CS114" s="408">
        <v>0</v>
      </c>
      <c r="CT114" s="408">
        <v>36</v>
      </c>
      <c r="CU114" s="408">
        <v>0</v>
      </c>
      <c r="CV114" s="408">
        <v>0</v>
      </c>
      <c r="CW114" s="408">
        <v>54</v>
      </c>
      <c r="CX114" s="408">
        <v>6</v>
      </c>
      <c r="CY114" s="413"/>
    </row>
    <row r="115" spans="63:103" x14ac:dyDescent="0.2">
      <c r="BK115" s="536"/>
      <c r="BO115" t="s">
        <v>968</v>
      </c>
      <c r="CI115" s="406" t="s">
        <v>995</v>
      </c>
      <c r="CJ115" s="407">
        <v>0</v>
      </c>
      <c r="CK115" s="408">
        <v>0</v>
      </c>
      <c r="CL115" s="408">
        <v>0</v>
      </c>
      <c r="CM115" s="408">
        <v>0</v>
      </c>
      <c r="CN115" s="408">
        <v>0</v>
      </c>
      <c r="CO115" s="408">
        <v>24</v>
      </c>
      <c r="CP115" s="408">
        <v>0</v>
      </c>
      <c r="CQ115" s="408">
        <v>0</v>
      </c>
      <c r="CR115" s="408">
        <v>24</v>
      </c>
      <c r="CS115" s="408">
        <v>0</v>
      </c>
      <c r="CT115" s="408">
        <v>0</v>
      </c>
      <c r="CU115" s="408">
        <v>27</v>
      </c>
      <c r="CV115" s="408">
        <v>0</v>
      </c>
      <c r="CW115" s="408">
        <v>75</v>
      </c>
      <c r="CX115" s="408">
        <v>5</v>
      </c>
      <c r="CY115" s="413"/>
    </row>
    <row r="116" spans="63:103" ht="17" thickBot="1" x14ac:dyDescent="0.25">
      <c r="BK116" s="536"/>
      <c r="CI116" s="406" t="s">
        <v>996</v>
      </c>
      <c r="CJ116" s="407">
        <v>0</v>
      </c>
      <c r="CK116" s="408">
        <v>0</v>
      </c>
      <c r="CL116" s="408">
        <v>0</v>
      </c>
      <c r="CM116" s="408">
        <v>0</v>
      </c>
      <c r="CN116" s="408">
        <v>22.512</v>
      </c>
      <c r="CO116" s="408">
        <v>0</v>
      </c>
      <c r="CP116" s="408">
        <v>0</v>
      </c>
      <c r="CQ116" s="408">
        <v>22.512</v>
      </c>
      <c r="CR116" s="408">
        <v>0</v>
      </c>
      <c r="CS116" s="408">
        <v>0</v>
      </c>
      <c r="CT116" s="408">
        <v>0</v>
      </c>
      <c r="CU116" s="408">
        <v>0</v>
      </c>
      <c r="CV116" s="408">
        <v>0</v>
      </c>
      <c r="CW116" s="408">
        <v>45.024000000000001</v>
      </c>
      <c r="CX116" s="408">
        <v>5</v>
      </c>
      <c r="CY116" s="413"/>
    </row>
    <row r="117" spans="63:103" ht="17" thickBot="1" x14ac:dyDescent="0.25">
      <c r="BK117" s="536"/>
      <c r="BO117" s="395" t="s">
        <v>969</v>
      </c>
      <c r="BP117" s="396" t="s">
        <v>970</v>
      </c>
      <c r="BQ117" s="396">
        <v>2005</v>
      </c>
      <c r="BR117" s="396">
        <v>2006</v>
      </c>
      <c r="BS117" s="397">
        <v>2007</v>
      </c>
      <c r="BT117" s="396">
        <v>2008</v>
      </c>
      <c r="BU117" s="396">
        <v>2009</v>
      </c>
      <c r="BV117" s="396">
        <v>2010</v>
      </c>
      <c r="BW117" s="396">
        <v>2011</v>
      </c>
      <c r="BX117" s="396">
        <v>2012</v>
      </c>
      <c r="BY117" s="396">
        <v>2013</v>
      </c>
      <c r="BZ117" s="396">
        <v>2014</v>
      </c>
      <c r="CA117" s="396">
        <v>2015</v>
      </c>
      <c r="CB117" s="396" t="s">
        <v>0</v>
      </c>
      <c r="CI117" s="406" t="s">
        <v>997</v>
      </c>
      <c r="CJ117" s="407">
        <v>0</v>
      </c>
      <c r="CK117" s="408">
        <v>24</v>
      </c>
      <c r="CL117" s="408">
        <v>0</v>
      </c>
      <c r="CM117" s="408">
        <v>0</v>
      </c>
      <c r="CN117" s="408">
        <v>138</v>
      </c>
      <c r="CO117" s="408">
        <v>0</v>
      </c>
      <c r="CP117" s="408">
        <v>0</v>
      </c>
      <c r="CQ117" s="408">
        <v>0</v>
      </c>
      <c r="CR117" s="408">
        <v>0</v>
      </c>
      <c r="CS117" s="408">
        <v>0</v>
      </c>
      <c r="CT117" s="408">
        <v>0.75</v>
      </c>
      <c r="CU117" s="408">
        <v>15</v>
      </c>
      <c r="CV117" s="408">
        <v>0</v>
      </c>
      <c r="CW117" s="408">
        <v>177.75</v>
      </c>
      <c r="CX117" s="408">
        <v>7</v>
      </c>
      <c r="CY117" s="413"/>
    </row>
    <row r="118" spans="63:103" x14ac:dyDescent="0.2">
      <c r="BK118" s="536"/>
      <c r="BO118" s="398" t="s">
        <v>971</v>
      </c>
      <c r="BP118" s="388">
        <v>0</v>
      </c>
      <c r="BQ118" s="388">
        <v>0</v>
      </c>
      <c r="BR118" s="388">
        <v>955</v>
      </c>
      <c r="BS118" s="388">
        <v>983.7</v>
      </c>
      <c r="BT118" s="388">
        <v>0</v>
      </c>
      <c r="BU118" s="388">
        <v>625.5</v>
      </c>
      <c r="BV118" s="388">
        <v>262.60000000000002</v>
      </c>
      <c r="BW118" s="388">
        <v>821.3</v>
      </c>
      <c r="BX118" s="388">
        <v>1298.8</v>
      </c>
      <c r="BY118" s="388">
        <v>1002.8</v>
      </c>
      <c r="BZ118" s="388">
        <v>573</v>
      </c>
      <c r="CA118" s="388">
        <v>143.30000000000001</v>
      </c>
      <c r="CB118" s="388">
        <v>6665.9</v>
      </c>
      <c r="CI118" s="406" t="s">
        <v>998</v>
      </c>
      <c r="CJ118" s="407">
        <v>0</v>
      </c>
      <c r="CK118" s="408">
        <v>0</v>
      </c>
      <c r="CL118" s="408">
        <v>0</v>
      </c>
      <c r="CM118" s="408">
        <v>0</v>
      </c>
      <c r="CN118" s="408">
        <v>0</v>
      </c>
      <c r="CO118" s="408">
        <v>0</v>
      </c>
      <c r="CP118" s="408">
        <v>0</v>
      </c>
      <c r="CQ118" s="408">
        <v>0</v>
      </c>
      <c r="CR118" s="408">
        <v>0</v>
      </c>
      <c r="CS118" s="408">
        <v>0</v>
      </c>
      <c r="CT118" s="408">
        <v>0</v>
      </c>
      <c r="CU118" s="408">
        <v>0.17399999999999999</v>
      </c>
      <c r="CV118" s="408">
        <v>0</v>
      </c>
      <c r="CW118" s="408">
        <v>0.17399999999999999</v>
      </c>
      <c r="CX118" s="447">
        <v>3</v>
      </c>
      <c r="CY118" s="413" t="s">
        <v>1052</v>
      </c>
    </row>
    <row r="119" spans="63:103" ht="17" thickBot="1" x14ac:dyDescent="0.25">
      <c r="BK119" s="536"/>
      <c r="BO119" s="398" t="s">
        <v>972</v>
      </c>
      <c r="BP119" s="388">
        <v>0</v>
      </c>
      <c r="BQ119" s="388">
        <v>28.7</v>
      </c>
      <c r="BR119" s="388">
        <v>0</v>
      </c>
      <c r="BS119" s="388">
        <v>0</v>
      </c>
      <c r="BT119" s="388">
        <v>0</v>
      </c>
      <c r="BU119" s="388">
        <v>0</v>
      </c>
      <c r="BV119" s="388">
        <v>0</v>
      </c>
      <c r="BW119" s="388">
        <v>0</v>
      </c>
      <c r="BX119" s="388">
        <v>0</v>
      </c>
      <c r="BY119" s="388">
        <v>0</v>
      </c>
      <c r="BZ119" s="388">
        <v>0</v>
      </c>
      <c r="CA119" s="388">
        <v>0</v>
      </c>
      <c r="CB119" s="388">
        <v>28.7</v>
      </c>
      <c r="CI119" s="409" t="s">
        <v>999</v>
      </c>
      <c r="CJ119" s="410">
        <v>0</v>
      </c>
      <c r="CK119" s="411">
        <v>0</v>
      </c>
      <c r="CL119" s="411">
        <v>117</v>
      </c>
      <c r="CM119" s="411">
        <v>252</v>
      </c>
      <c r="CN119" s="411">
        <v>570</v>
      </c>
      <c r="CO119" s="411">
        <v>402</v>
      </c>
      <c r="CP119" s="411">
        <v>138</v>
      </c>
      <c r="CQ119" s="411">
        <v>458.85</v>
      </c>
      <c r="CR119" s="411">
        <v>54</v>
      </c>
      <c r="CS119" s="411">
        <v>54</v>
      </c>
      <c r="CT119" s="411">
        <v>0</v>
      </c>
      <c r="CU119" s="411">
        <v>0</v>
      </c>
      <c r="CV119" s="411">
        <v>0</v>
      </c>
      <c r="CW119" s="411">
        <v>2045.85</v>
      </c>
      <c r="CX119" s="408">
        <v>5</v>
      </c>
      <c r="CY119" s="413"/>
    </row>
    <row r="120" spans="63:103" ht="17" thickBot="1" x14ac:dyDescent="0.25">
      <c r="BK120" s="536"/>
      <c r="BO120" s="398" t="s">
        <v>973</v>
      </c>
      <c r="BP120" s="388">
        <v>0</v>
      </c>
      <c r="BQ120" s="388">
        <v>0</v>
      </c>
      <c r="BR120" s="388">
        <v>0</v>
      </c>
      <c r="BS120" s="388">
        <v>0</v>
      </c>
      <c r="BT120" s="388">
        <v>0</v>
      </c>
      <c r="BU120" s="388">
        <v>0</v>
      </c>
      <c r="BV120" s="388">
        <v>0</v>
      </c>
      <c r="BW120" s="388">
        <v>23.9</v>
      </c>
      <c r="BX120" s="388">
        <v>0</v>
      </c>
      <c r="BY120" s="388">
        <v>0</v>
      </c>
      <c r="BZ120" s="388">
        <v>0</v>
      </c>
      <c r="CA120" s="388">
        <v>0</v>
      </c>
      <c r="CB120" s="388">
        <v>23.9</v>
      </c>
      <c r="CI120" s="412" t="s">
        <v>0</v>
      </c>
      <c r="CJ120" s="410">
        <v>0</v>
      </c>
      <c r="CK120" s="411">
        <v>283.2</v>
      </c>
      <c r="CL120" s="411">
        <v>820.95</v>
      </c>
      <c r="CM120" s="411">
        <v>1045.143</v>
      </c>
      <c r="CN120" s="411">
        <v>1694.712</v>
      </c>
      <c r="CO120" s="411">
        <v>1856.568</v>
      </c>
      <c r="CP120" s="411">
        <v>1146.8820000000001</v>
      </c>
      <c r="CQ120" s="411">
        <v>1804.317</v>
      </c>
      <c r="CR120" s="411">
        <v>2090.5050000000001</v>
      </c>
      <c r="CS120" s="411">
        <v>2215.0619999999999</v>
      </c>
      <c r="CT120" s="411">
        <v>1491.846</v>
      </c>
      <c r="CU120" s="411">
        <v>1819.8330000000001</v>
      </c>
      <c r="CV120" s="411">
        <v>608.40899999999999</v>
      </c>
      <c r="CW120" s="411">
        <v>16877.427</v>
      </c>
      <c r="CX120" s="448"/>
    </row>
    <row r="121" spans="63:103" ht="17" thickBot="1" x14ac:dyDescent="0.25">
      <c r="BK121" s="536"/>
      <c r="BO121" s="399" t="s">
        <v>974</v>
      </c>
      <c r="BP121" s="400">
        <v>0</v>
      </c>
      <c r="BQ121" s="400">
        <v>4.8</v>
      </c>
      <c r="BR121" s="400">
        <v>0</v>
      </c>
      <c r="BS121" s="400">
        <v>1.9</v>
      </c>
      <c r="BT121" s="400">
        <v>0</v>
      </c>
      <c r="BU121" s="400">
        <v>0</v>
      </c>
      <c r="BV121" s="400">
        <v>0</v>
      </c>
      <c r="BW121" s="400">
        <v>0</v>
      </c>
      <c r="BX121" s="400">
        <v>0</v>
      </c>
      <c r="BY121" s="400">
        <v>0</v>
      </c>
      <c r="BZ121" s="400">
        <v>0</v>
      </c>
      <c r="CA121" s="400">
        <v>0</v>
      </c>
      <c r="CB121" s="400">
        <v>6.7</v>
      </c>
    </row>
    <row r="122" spans="63:103" ht="17" thickBot="1" x14ac:dyDescent="0.25">
      <c r="BK122" s="536"/>
      <c r="BO122" s="399" t="s">
        <v>975</v>
      </c>
      <c r="BP122" s="433">
        <v>0</v>
      </c>
      <c r="BQ122" s="433">
        <v>33.4</v>
      </c>
      <c r="BR122" s="433">
        <v>955</v>
      </c>
      <c r="BS122" s="433">
        <v>985.6</v>
      </c>
      <c r="BT122" s="433">
        <v>0</v>
      </c>
      <c r="BU122" s="433">
        <v>625.5</v>
      </c>
      <c r="BV122" s="433">
        <v>262.60000000000002</v>
      </c>
      <c r="BW122" s="433">
        <v>845.2</v>
      </c>
      <c r="BX122" s="433">
        <v>1298.8</v>
      </c>
      <c r="BY122" s="433">
        <v>1002.8</v>
      </c>
      <c r="BZ122" s="433">
        <v>573</v>
      </c>
      <c r="CA122" s="433">
        <v>143.30000000000001</v>
      </c>
      <c r="CB122" s="400">
        <v>6725.1</v>
      </c>
    </row>
    <row r="123" spans="63:103" s="455" customFormat="1" x14ac:dyDescent="0.2">
      <c r="BK123" s="537"/>
      <c r="BO123" s="456"/>
      <c r="BP123" s="393"/>
      <c r="BQ123" s="393"/>
      <c r="BR123" s="393"/>
      <c r="BS123" s="393"/>
      <c r="BT123" s="393"/>
      <c r="BU123" s="393"/>
      <c r="BV123" s="393"/>
      <c r="BW123" s="393"/>
      <c r="BX123" s="393"/>
      <c r="BY123" s="393"/>
      <c r="BZ123" s="393"/>
      <c r="CA123" s="393"/>
      <c r="CB123" s="393"/>
    </row>
    <row r="124" spans="63:103" s="455" customFormat="1" x14ac:dyDescent="0.2">
      <c r="BK124" s="537"/>
      <c r="BP124"/>
      <c r="BQ124"/>
      <c r="BR124"/>
      <c r="BS124"/>
      <c r="BT124" s="393"/>
      <c r="BU124" s="393"/>
      <c r="BV124" s="393"/>
      <c r="BW124" s="393"/>
      <c r="BX124" s="393"/>
      <c r="BY124" s="393"/>
      <c r="BZ124" s="393"/>
      <c r="CA124" s="393"/>
      <c r="CB124" s="393"/>
    </row>
    <row r="125" spans="63:103" s="455" customFormat="1" x14ac:dyDescent="0.2">
      <c r="BK125" s="537"/>
      <c r="BO125" s="341"/>
      <c r="BP125"/>
      <c r="BQ125"/>
      <c r="BR125"/>
      <c r="BS125"/>
      <c r="BT125" s="393"/>
      <c r="BU125" s="393"/>
      <c r="BV125" s="393"/>
      <c r="BW125" s="393"/>
      <c r="BX125" s="393"/>
      <c r="BY125" s="393"/>
      <c r="BZ125" s="393"/>
      <c r="CA125" s="393"/>
      <c r="CB125" s="393"/>
      <c r="CI125" s="341" t="s">
        <v>1063</v>
      </c>
    </row>
    <row r="126" spans="63:103" s="455" customFormat="1" x14ac:dyDescent="0.2">
      <c r="BK126" s="537"/>
      <c r="BO126" s="341"/>
      <c r="BP126"/>
      <c r="BQ126"/>
      <c r="BR126"/>
      <c r="BS126"/>
      <c r="BT126" s="393"/>
      <c r="BU126" s="393"/>
      <c r="BV126" s="393"/>
      <c r="BW126" s="393"/>
      <c r="BX126" s="393"/>
      <c r="BY126" s="393"/>
      <c r="BZ126" s="393"/>
      <c r="CA126" s="393"/>
      <c r="CB126" s="393"/>
    </row>
    <row r="127" spans="63:103" s="455" customFormat="1" x14ac:dyDescent="0.2">
      <c r="BK127" s="537"/>
      <c r="BO127" s="341" t="s">
        <v>1042</v>
      </c>
      <c r="BP127"/>
      <c r="BQ127"/>
      <c r="BR127"/>
      <c r="BS127"/>
      <c r="BT127" s="393"/>
      <c r="BU127" s="393"/>
      <c r="BV127" s="393"/>
      <c r="BW127" s="393"/>
      <c r="BX127" s="393"/>
      <c r="BY127" s="393"/>
      <c r="BZ127" s="393"/>
      <c r="CA127" s="393"/>
      <c r="CB127" s="393"/>
      <c r="CI127" s="458" t="s">
        <v>1061</v>
      </c>
      <c r="CJ127" s="457">
        <v>3</v>
      </c>
      <c r="CK127" s="457">
        <v>4</v>
      </c>
      <c r="CL127" s="457">
        <v>5</v>
      </c>
      <c r="CM127" s="457">
        <v>6</v>
      </c>
      <c r="CN127" s="457">
        <v>7</v>
      </c>
      <c r="CO127"/>
      <c r="CP127"/>
      <c r="CQ127"/>
      <c r="CR127"/>
      <c r="CS127"/>
      <c r="CT127"/>
      <c r="CU127"/>
      <c r="CV127"/>
    </row>
    <row r="128" spans="63:103" ht="64" x14ac:dyDescent="0.2">
      <c r="BK128" s="536"/>
      <c r="BO128" s="438"/>
      <c r="BP128" s="439" t="s">
        <v>1041</v>
      </c>
      <c r="BQ128" s="440" t="s">
        <v>1064</v>
      </c>
      <c r="BR128" s="435"/>
      <c r="BS128" s="341" t="s">
        <v>754</v>
      </c>
      <c r="CJ128" s="431" t="s">
        <v>1053</v>
      </c>
      <c r="CK128" s="439" t="s">
        <v>1054</v>
      </c>
      <c r="CL128" s="439" t="s">
        <v>1055</v>
      </c>
      <c r="CM128" s="439" t="s">
        <v>1056</v>
      </c>
      <c r="CN128" s="439" t="s">
        <v>1057</v>
      </c>
      <c r="CO128" s="431" t="s">
        <v>1058</v>
      </c>
      <c r="CP128" s="431" t="s">
        <v>1059</v>
      </c>
      <c r="CQ128" s="431" t="s">
        <v>1060</v>
      </c>
      <c r="CR128" s="431" t="s">
        <v>1047</v>
      </c>
      <c r="CS128" s="431" t="s">
        <v>1048</v>
      </c>
      <c r="CT128" s="455"/>
      <c r="CU128" s="455"/>
      <c r="CV128" s="455"/>
    </row>
    <row r="129" spans="63:100" x14ac:dyDescent="0.2">
      <c r="BK129" s="536"/>
      <c r="BO129" s="342">
        <v>2004</v>
      </c>
      <c r="BP129" s="352">
        <f>BT102</f>
        <v>30</v>
      </c>
      <c r="BQ129" s="442">
        <f>BT102+BP122</f>
        <v>30</v>
      </c>
      <c r="CI129" s="451">
        <v>2004</v>
      </c>
      <c r="CJ129" s="346">
        <f>SUMIF($CX$100:$CX$119,CJ$127,$CK$100:$CK$119)</f>
        <v>0</v>
      </c>
      <c r="CK129" s="346">
        <f>SUMIF($CX$100:$CX$119,CK$127,$CK$100:$CK$119)</f>
        <v>0</v>
      </c>
      <c r="CL129" s="346">
        <f>SUMIF($CX$100:$CX$119,CL$127,$CK$100:$CK$119)</f>
        <v>0</v>
      </c>
      <c r="CM129" s="346">
        <f>SUMIF($CX$100:$CX$119,CM$127,$CK$100:$CK$119)</f>
        <v>30</v>
      </c>
      <c r="CN129" s="346">
        <f>SUMIF($CX$100:$CX$119,CN$127,$CK$100:$CK$119)</f>
        <v>253.2</v>
      </c>
      <c r="CO129" s="453">
        <f t="shared" ref="CO129:CO140" si="36">CJ129/SUM($CJ129:$CN129)</f>
        <v>0</v>
      </c>
      <c r="CP129" s="453">
        <f t="shared" ref="CP129:CP140" si="37">CK129/SUM($CJ129:$CN129)</f>
        <v>0</v>
      </c>
      <c r="CQ129" s="453">
        <f t="shared" ref="CQ129:CQ140" si="38">CL129/SUM($CJ129:$CN129)</f>
        <v>0</v>
      </c>
      <c r="CR129" s="453">
        <f t="shared" ref="CR129:CR140" si="39">CM129/SUM($CJ129:$CN129)</f>
        <v>0.10593220338983052</v>
      </c>
      <c r="CS129" s="453">
        <f t="shared" ref="CS129:CS140" si="40">CN129/SUM($CJ129:$CN129)</f>
        <v>0.89406779661016944</v>
      </c>
      <c r="CT129" s="455"/>
      <c r="CU129" s="455"/>
      <c r="CV129" s="455"/>
    </row>
    <row r="130" spans="63:100" x14ac:dyDescent="0.2">
      <c r="BK130" s="536"/>
      <c r="BO130" s="436">
        <v>2005</v>
      </c>
      <c r="BP130" s="346">
        <f>BT103</f>
        <v>30</v>
      </c>
      <c r="BQ130" s="443">
        <f>BT103+BQ122/1000</f>
        <v>30.0334</v>
      </c>
      <c r="CI130" s="452">
        <v>2005</v>
      </c>
      <c r="CJ130" s="346">
        <f>SUMIF($CX$100:$CX$119,CJ$127,$CL$100:$CL$119)</f>
        <v>0</v>
      </c>
      <c r="CK130" s="346">
        <f>SUMIF($CX$100:$CX$119,CK$127,$CL$100:$CL$119)</f>
        <v>30</v>
      </c>
      <c r="CL130" s="346">
        <f>SUMIF($CX$100:$CX$119,CL$127,$CL$100:$CL$119)</f>
        <v>117</v>
      </c>
      <c r="CM130" s="346">
        <f>SUMIF($CX$100:$CX$119,CM$127,$CL$100:$CL$119)</f>
        <v>15</v>
      </c>
      <c r="CN130" s="346">
        <f>SUMIF($CX$100:$CX$119,CN$127,$CL$100:$CL$119)</f>
        <v>658.95</v>
      </c>
      <c r="CO130" s="453">
        <f t="shared" si="36"/>
        <v>0</v>
      </c>
      <c r="CP130" s="453">
        <f t="shared" si="37"/>
        <v>3.6543029417138675E-2</v>
      </c>
      <c r="CQ130" s="453">
        <f t="shared" si="38"/>
        <v>0.14251781472684086</v>
      </c>
      <c r="CR130" s="453">
        <f t="shared" si="39"/>
        <v>1.8271514708569338E-2</v>
      </c>
      <c r="CS130" s="453">
        <f t="shared" si="40"/>
        <v>0.80266764114745115</v>
      </c>
      <c r="CT130" s="455"/>
      <c r="CU130" s="455"/>
      <c r="CV130" s="455"/>
    </row>
    <row r="131" spans="63:100" x14ac:dyDescent="0.2">
      <c r="BK131" s="536"/>
      <c r="BO131" s="436">
        <v>2006</v>
      </c>
      <c r="BP131" s="346">
        <f>BT104</f>
        <v>30</v>
      </c>
      <c r="BQ131" s="443">
        <f>BT104+BR122/1000</f>
        <v>30.954999999999998</v>
      </c>
      <c r="CI131" s="451">
        <v>2006</v>
      </c>
      <c r="CJ131" s="346">
        <f>SUMIF($CX$100:$CX$119,CJ$127,$CM$100:$CM$119)</f>
        <v>0</v>
      </c>
      <c r="CK131" s="346">
        <f>SUMIF($CX$100:$CX$119,CK$127,$CM$100:$CM$119)</f>
        <v>45</v>
      </c>
      <c r="CL131" s="346">
        <f>SUMIF($CX$100:$CX$119,CL$127,$CM$100:$CM$119)</f>
        <v>282</v>
      </c>
      <c r="CM131" s="346">
        <f>SUMIF($CX$100:$CX$119,CM$127,$CM$100:$CM$119)</f>
        <v>30</v>
      </c>
      <c r="CN131" s="346">
        <f>SUMIF($CX$100:$CX$119,CN$127,$CM$100:$CM$119)</f>
        <v>688.14300000000003</v>
      </c>
      <c r="CO131" s="453">
        <f t="shared" si="36"/>
        <v>0</v>
      </c>
      <c r="CP131" s="453">
        <f t="shared" si="37"/>
        <v>4.3056309040963768E-2</v>
      </c>
      <c r="CQ131" s="453">
        <f t="shared" si="38"/>
        <v>0.26981953665670633</v>
      </c>
      <c r="CR131" s="453">
        <f t="shared" si="39"/>
        <v>2.8704206027309182E-2</v>
      </c>
      <c r="CS131" s="453">
        <f t="shared" si="40"/>
        <v>0.65841994827502071</v>
      </c>
      <c r="CT131" s="455"/>
      <c r="CU131" s="455"/>
      <c r="CV131" s="455"/>
    </row>
    <row r="132" spans="63:100" x14ac:dyDescent="0.2">
      <c r="BK132" s="536"/>
      <c r="BO132" s="436">
        <v>2007</v>
      </c>
      <c r="BP132" s="346">
        <v>30</v>
      </c>
      <c r="BQ132" s="443">
        <f>BP132+BS122/1000</f>
        <v>30.985600000000002</v>
      </c>
      <c r="BS132" t="s">
        <v>1043</v>
      </c>
      <c r="CI132" s="452">
        <v>2007</v>
      </c>
      <c r="CJ132" s="346">
        <f>SUMIF($CX$100:$CX$119,CJ$127,$CN$100:$CN$119)</f>
        <v>0</v>
      </c>
      <c r="CK132" s="346">
        <f>SUMIF($CX$100:$CX$119,CK$127,$CN$100:$CN$119)</f>
        <v>0</v>
      </c>
      <c r="CL132" s="346">
        <f>SUMIF($CX$100:$CX$119,CL$127,$CN$100:$CN$119)</f>
        <v>1014.312</v>
      </c>
      <c r="CM132" s="346">
        <f>SUMIF($CX$100:$CX$119,CM$127,$CN$100:$CN$119)</f>
        <v>84</v>
      </c>
      <c r="CN132" s="346">
        <f>SUMIF($CX$100:$CX$119,CN$127,$CN$100:$CN$119)</f>
        <v>596.4</v>
      </c>
      <c r="CO132" s="453">
        <f>CJ132/SUM($CJ132:$CN132)</f>
        <v>0</v>
      </c>
      <c r="CP132" s="453">
        <f t="shared" si="37"/>
        <v>0</v>
      </c>
      <c r="CQ132" s="453">
        <f t="shared" si="38"/>
        <v>0.59851585402121421</v>
      </c>
      <c r="CR132" s="453">
        <f t="shared" si="39"/>
        <v>4.9565943947998244E-2</v>
      </c>
      <c r="CS132" s="453">
        <f t="shared" si="40"/>
        <v>0.3519182020307875</v>
      </c>
      <c r="CT132" s="455"/>
      <c r="CU132" s="455"/>
      <c r="CV132" s="455"/>
    </row>
    <row r="133" spans="63:100" x14ac:dyDescent="0.2">
      <c r="BK133" s="536"/>
      <c r="BO133" s="436">
        <v>2008</v>
      </c>
      <c r="BP133" s="346">
        <v>30</v>
      </c>
      <c r="BQ133" s="443">
        <f>BP133+BT122/1000</f>
        <v>30</v>
      </c>
      <c r="BS133" t="s">
        <v>1043</v>
      </c>
      <c r="CI133" s="451">
        <v>2008</v>
      </c>
      <c r="CJ133" s="346">
        <f>SUMIF($CX$100:$CX$119,CJ$127,$CO$100:$CO$119)</f>
        <v>0</v>
      </c>
      <c r="CK133" s="346">
        <f>SUMIF($CX$100:$CX$119,CK$127,$CO$100:$CO$119)</f>
        <v>30</v>
      </c>
      <c r="CL133" s="346">
        <f>SUMIF($CX$100:$CX$119,CL$127,$CO$100:$CO$119)</f>
        <v>938.55</v>
      </c>
      <c r="CM133" s="346">
        <f>SUMIF($CX$100:$CX$119,CM$127,$CO$100:$CO$119)</f>
        <v>303</v>
      </c>
      <c r="CN133" s="346">
        <f>SUMIF($CX$100:$CX$119,CN$127,$CO$100:$CO$119)</f>
        <v>585.01800000000003</v>
      </c>
      <c r="CO133" s="453">
        <f t="shared" si="36"/>
        <v>0</v>
      </c>
      <c r="CP133" s="453">
        <f t="shared" si="37"/>
        <v>1.6158847938777358E-2</v>
      </c>
      <c r="CQ133" s="453">
        <f t="shared" si="38"/>
        <v>0.50552955776464958</v>
      </c>
      <c r="CR133" s="453">
        <f t="shared" si="39"/>
        <v>0.1632043641816513</v>
      </c>
      <c r="CS133" s="453">
        <f t="shared" si="40"/>
        <v>0.31510723011492175</v>
      </c>
    </row>
    <row r="134" spans="63:100" x14ac:dyDescent="0.2">
      <c r="BK134" s="536"/>
      <c r="BO134" s="436">
        <v>2009</v>
      </c>
      <c r="BP134" s="346">
        <v>30</v>
      </c>
      <c r="BQ134" s="443">
        <f>BT107+BU122/1000</f>
        <v>23.295500000000001</v>
      </c>
      <c r="CI134" s="452">
        <v>2009</v>
      </c>
      <c r="CJ134" s="346">
        <f>SUMIF($CX$100:$CX$119,CJ$127,$CP$100:$CP$119)</f>
        <v>0</v>
      </c>
      <c r="CK134" s="346">
        <f>SUMIF($CX$100:$CX$119,CK$127,$CP$100:$CP$119)</f>
        <v>0</v>
      </c>
      <c r="CL134" s="346">
        <f>SUMIF($CX$100:$CX$119,CL$127,$CP$100:$CP$119)</f>
        <v>605.08199999999999</v>
      </c>
      <c r="CM134" s="346">
        <f>SUMIF($CX$100:$CX$119,CM$127,$CP$100:$CP$119)</f>
        <v>168</v>
      </c>
      <c r="CN134" s="346">
        <f>SUMIF($CX$100:$CX$119,CN$127,$CP$100:$CP$119)</f>
        <v>373.8</v>
      </c>
      <c r="CO134" s="453">
        <f t="shared" si="36"/>
        <v>0</v>
      </c>
      <c r="CP134" s="453">
        <f t="shared" si="37"/>
        <v>0</v>
      </c>
      <c r="CQ134" s="453">
        <f t="shared" si="38"/>
        <v>0.52758871444490363</v>
      </c>
      <c r="CR134" s="453">
        <f t="shared" si="39"/>
        <v>0.14648411955196786</v>
      </c>
      <c r="CS134" s="453">
        <f t="shared" si="40"/>
        <v>0.32592716600312849</v>
      </c>
    </row>
    <row r="135" spans="63:100" x14ac:dyDescent="0.2">
      <c r="BK135" s="536"/>
      <c r="BO135" s="436">
        <v>2010</v>
      </c>
      <c r="BP135" s="346">
        <f>BP108</f>
        <v>30.67</v>
      </c>
      <c r="BQ135" s="443">
        <f>BP108+BV122/1000</f>
        <v>30.932600000000001</v>
      </c>
      <c r="CI135" s="451">
        <v>2010</v>
      </c>
      <c r="CJ135" s="346">
        <f>SUMIF($CX$100:$CX$119,CJ$127,$CQ$100:$CQ$119)</f>
        <v>0</v>
      </c>
      <c r="CK135" s="346">
        <f>SUMIF($CX$100:$CX$119,CK$127,$CQ$100:$CQ$119)</f>
        <v>30</v>
      </c>
      <c r="CL135" s="346">
        <f>SUMIF($CX$100:$CX$119,CL$127,$CQ$100:$CQ$119)</f>
        <v>1034.8290000000002</v>
      </c>
      <c r="CM135" s="346">
        <f>SUMIF($CX$100:$CX$119,CM$127,$CQ$100:$CQ$119)</f>
        <v>294.738</v>
      </c>
      <c r="CN135" s="346">
        <f>SUMIF($CX$100:$CX$119,CN$127,$CQ$100:$CQ$119)</f>
        <v>444.75</v>
      </c>
      <c r="CO135" s="453">
        <f t="shared" si="36"/>
        <v>0</v>
      </c>
      <c r="CP135" s="453">
        <f t="shared" si="37"/>
        <v>1.6626790081787177E-2</v>
      </c>
      <c r="CQ135" s="453">
        <f t="shared" si="38"/>
        <v>0.57352948511819157</v>
      </c>
      <c r="CR135" s="453">
        <f t="shared" si="39"/>
        <v>0.1633515618375263</v>
      </c>
      <c r="CS135" s="453">
        <f t="shared" si="40"/>
        <v>0.2464921629624949</v>
      </c>
    </row>
    <row r="136" spans="63:100" x14ac:dyDescent="0.2">
      <c r="BK136" s="536"/>
      <c r="BO136" s="436">
        <v>2011</v>
      </c>
      <c r="BP136" s="346">
        <f t="shared" ref="BP136:BP138" si="41">BP109</f>
        <v>35.119999999999997</v>
      </c>
      <c r="BQ136" s="443">
        <f>BP109+BW122/1000</f>
        <v>35.965199999999996</v>
      </c>
      <c r="CI136" s="452">
        <v>2011</v>
      </c>
      <c r="CJ136" s="346">
        <f>SUMIF($CX$100:$CX$119,CJ$127,$CR$100:$CR$119)</f>
        <v>0</v>
      </c>
      <c r="CK136" s="346">
        <f>SUMIF($CX$100:$CX$119,CK$127,$CR$100:$CR$119)</f>
        <v>0</v>
      </c>
      <c r="CL136" s="346">
        <f>SUMIF($CX$100:$CX$119,CL$127,$CR$100:$CR$119)</f>
        <v>750.69600000000003</v>
      </c>
      <c r="CM136" s="346">
        <f>SUMIF($CX$100:$CX$119,CM$127,$CR$100:$CR$119)</f>
        <v>293.39999999999998</v>
      </c>
      <c r="CN136" s="346">
        <f>SUMIF($CX$100:$CX$119,CN$127,$CR$100:$CR$119)</f>
        <v>1046.4090000000001</v>
      </c>
      <c r="CO136" s="453">
        <f t="shared" si="36"/>
        <v>0</v>
      </c>
      <c r="CP136" s="453">
        <f t="shared" si="37"/>
        <v>0</v>
      </c>
      <c r="CQ136" s="453">
        <f t="shared" si="38"/>
        <v>0.35909792131566298</v>
      </c>
      <c r="CR136" s="453">
        <f t="shared" si="39"/>
        <v>0.14034886307375488</v>
      </c>
      <c r="CS136" s="453">
        <f t="shared" si="40"/>
        <v>0.50055321561058219</v>
      </c>
    </row>
    <row r="137" spans="63:100" x14ac:dyDescent="0.2">
      <c r="BK137" s="536"/>
      <c r="BO137" s="436">
        <v>2012</v>
      </c>
      <c r="BP137" s="346">
        <f t="shared" si="41"/>
        <v>30.47</v>
      </c>
      <c r="BQ137" s="443">
        <f>BP110+BX122/1000</f>
        <v>31.768799999999999</v>
      </c>
      <c r="CI137" s="451">
        <v>2012</v>
      </c>
      <c r="CJ137" s="346">
        <f>SUMIF($CX$100:$CX$119,CJ$127,$CS$100:$CS$119)</f>
        <v>0</v>
      </c>
      <c r="CK137" s="346">
        <f>SUMIF($CX$100:$CX$119,CK$127,$CS$100:$CS$119)</f>
        <v>0</v>
      </c>
      <c r="CL137" s="346">
        <f>SUMIF($CX$100:$CX$119,CL$127,$CS$100:$CS$119)</f>
        <v>707.09400000000005</v>
      </c>
      <c r="CM137" s="346">
        <f>SUMIF($CX$100:$CX$119,CM$127,$CS$100:$CS$119)</f>
        <v>276.01800000000003</v>
      </c>
      <c r="CN137" s="346">
        <f>SUMIF($CX$100:$CX$119,CN$127,$CS$100:$CS$119)</f>
        <v>1231.95</v>
      </c>
      <c r="CO137" s="453">
        <f t="shared" si="36"/>
        <v>0</v>
      </c>
      <c r="CP137" s="453">
        <f t="shared" si="37"/>
        <v>0</v>
      </c>
      <c r="CQ137" s="453">
        <f t="shared" si="38"/>
        <v>0.31922086153796148</v>
      </c>
      <c r="CR137" s="453">
        <f t="shared" si="39"/>
        <v>0.12460960460700425</v>
      </c>
      <c r="CS137" s="453">
        <f t="shared" si="40"/>
        <v>0.55616953385503431</v>
      </c>
    </row>
    <row r="138" spans="63:100" x14ac:dyDescent="0.2">
      <c r="BK138" s="536"/>
      <c r="BO138" s="436">
        <v>2013</v>
      </c>
      <c r="BP138" s="346">
        <f t="shared" si="41"/>
        <v>39.56</v>
      </c>
      <c r="BQ138" s="443">
        <f>BP111+BY122/1000</f>
        <v>40.562800000000003</v>
      </c>
      <c r="CI138" s="452">
        <v>2013</v>
      </c>
      <c r="CJ138" s="346">
        <f>SUMIF($CX$100:$CX$119,CJ$127,$CT$100:$CT$119)</f>
        <v>0</v>
      </c>
      <c r="CK138" s="346">
        <f>SUMIF($CX$100:$CX$119,CK$127,$CT$100:$CT$119)</f>
        <v>0</v>
      </c>
      <c r="CL138" s="346">
        <f>SUMIF($CX$100:$CX$119,CL$127,$CT$100:$CT$119)</f>
        <v>532.57799999999997</v>
      </c>
      <c r="CM138" s="346">
        <f>SUMIF($CX$100:$CX$119,CM$127,$CT$100:$CT$119)</f>
        <v>312</v>
      </c>
      <c r="CN138" s="346">
        <f>SUMIF($CX$100:$CX$119,CN$127,$CT$100:$CT$119)</f>
        <v>647.26799999999992</v>
      </c>
      <c r="CO138" s="453">
        <f t="shared" si="36"/>
        <v>0</v>
      </c>
      <c r="CP138" s="453">
        <f t="shared" si="37"/>
        <v>0</v>
      </c>
      <c r="CQ138" s="453">
        <f t="shared" si="38"/>
        <v>0.35699261183795106</v>
      </c>
      <c r="CR138" s="453">
        <f t="shared" si="39"/>
        <v>0.20913686801452697</v>
      </c>
      <c r="CS138" s="453">
        <f t="shared" si="40"/>
        <v>0.43387052014752187</v>
      </c>
    </row>
    <row r="139" spans="63:100" x14ac:dyDescent="0.2">
      <c r="BK139" s="536"/>
      <c r="BO139" s="436">
        <v>2014</v>
      </c>
      <c r="BP139" s="346">
        <v>39.56</v>
      </c>
      <c r="BQ139" s="443">
        <f>BP139+BZ122/1000</f>
        <v>40.133000000000003</v>
      </c>
      <c r="CI139" s="451">
        <v>2014</v>
      </c>
      <c r="CJ139" s="346">
        <f>SUMIF($CX$100:$CX$119,CJ$127,$CU$100:$CU$119)</f>
        <v>0.17399999999999999</v>
      </c>
      <c r="CK139" s="346">
        <f>SUMIF($CX$100:$CX$119,CK$127,$CU$100:$CU$119)</f>
        <v>0</v>
      </c>
      <c r="CL139" s="346">
        <f>SUMIF($CX$100:$CX$119,CL$127,$CU$100:$CU$119)</f>
        <v>758.40899999999999</v>
      </c>
      <c r="CM139" s="346">
        <f>SUMIF($CX$100:$CX$119,CM$127,$CU$100:$CU$119)</f>
        <v>330</v>
      </c>
      <c r="CN139" s="346">
        <f>SUMIF($CX$100:$CX$119,CN$127,$CU$100:$CU$119)</f>
        <v>731.25</v>
      </c>
      <c r="CO139" s="453">
        <f t="shared" si="36"/>
        <v>9.5613168900662846E-5</v>
      </c>
      <c r="CP139" s="453">
        <f t="shared" si="37"/>
        <v>0</v>
      </c>
      <c r="CQ139" s="453">
        <f t="shared" si="38"/>
        <v>0.41674648168265988</v>
      </c>
      <c r="CR139" s="453">
        <f t="shared" si="39"/>
        <v>0.18133532032884336</v>
      </c>
      <c r="CS139" s="453">
        <f t="shared" si="40"/>
        <v>0.40182258481959604</v>
      </c>
    </row>
    <row r="140" spans="63:100" x14ac:dyDescent="0.2">
      <c r="BK140" s="536"/>
      <c r="BO140" s="437">
        <v>2015</v>
      </c>
      <c r="BP140" s="349">
        <v>39.56</v>
      </c>
      <c r="BQ140" s="444">
        <f>BP140+CA122/1000</f>
        <v>39.703300000000006</v>
      </c>
      <c r="CI140" s="465" t="s">
        <v>1062</v>
      </c>
      <c r="CJ140" s="346">
        <f>SUM(CJ129:CJ139)</f>
        <v>0.17399999999999999</v>
      </c>
      <c r="CK140" s="346">
        <f t="shared" ref="CK140:CN140" si="42">SUM(CK129:CK139)</f>
        <v>135</v>
      </c>
      <c r="CL140" s="346">
        <f t="shared" si="42"/>
        <v>6740.5499999999993</v>
      </c>
      <c r="CM140" s="346">
        <f t="shared" si="42"/>
        <v>2136.1559999999999</v>
      </c>
      <c r="CN140" s="346">
        <f t="shared" si="42"/>
        <v>7257.1379999999999</v>
      </c>
      <c r="CO140" s="453">
        <f t="shared" si="36"/>
        <v>1.0695175332647611E-5</v>
      </c>
      <c r="CP140" s="453">
        <f t="shared" si="37"/>
        <v>8.2979808615369407E-3</v>
      </c>
      <c r="CQ140" s="453">
        <f t="shared" si="38"/>
        <v>0.41431818441653939</v>
      </c>
      <c r="CR140" s="453">
        <f t="shared" si="39"/>
        <v>0.13130208596486892</v>
      </c>
      <c r="CS140" s="453">
        <f t="shared" si="40"/>
        <v>0.446071053581722</v>
      </c>
    </row>
    <row r="141" spans="63:100" x14ac:dyDescent="0.2">
      <c r="BK141" s="536"/>
      <c r="CI141" s="459"/>
      <c r="CJ141" s="340"/>
      <c r="CK141" s="340"/>
      <c r="CL141" s="340"/>
      <c r="CM141" s="340"/>
      <c r="CN141" s="340"/>
      <c r="CO141" s="340"/>
      <c r="CP141" s="340"/>
      <c r="CQ141" s="340"/>
      <c r="CR141" s="340"/>
      <c r="CS141" s="340"/>
    </row>
    <row r="142" spans="63:100" x14ac:dyDescent="0.2">
      <c r="CI142" t="s">
        <v>1034</v>
      </c>
    </row>
    <row r="143" spans="63:100" ht="17" thickBot="1" x14ac:dyDescent="0.25"/>
    <row r="144" spans="63:100" ht="17" thickBot="1" x14ac:dyDescent="0.25">
      <c r="CI144" s="414"/>
      <c r="CJ144" s="415">
        <v>2009</v>
      </c>
      <c r="CK144" s="415">
        <v>2010</v>
      </c>
      <c r="CL144" s="460">
        <v>2011</v>
      </c>
      <c r="CM144" s="415"/>
      <c r="CN144" s="460">
        <v>2012</v>
      </c>
      <c r="CO144" s="415"/>
      <c r="CP144" s="415">
        <v>2013</v>
      </c>
      <c r="CQ144" s="461" t="s">
        <v>0</v>
      </c>
    </row>
    <row r="145" spans="87:96" ht="17" thickBot="1" x14ac:dyDescent="0.25">
      <c r="CI145" s="416" t="s">
        <v>1001</v>
      </c>
      <c r="CJ145" s="417" t="s">
        <v>1002</v>
      </c>
      <c r="CK145" s="417" t="s">
        <v>1002</v>
      </c>
      <c r="CL145" s="418" t="s">
        <v>1002</v>
      </c>
      <c r="CM145" s="417" t="s">
        <v>1003</v>
      </c>
      <c r="CN145" s="418" t="s">
        <v>1002</v>
      </c>
      <c r="CO145" s="417" t="s">
        <v>1003</v>
      </c>
      <c r="CP145" s="417" t="s">
        <v>1002</v>
      </c>
      <c r="CQ145" s="462"/>
      <c r="CR145" s="441" t="s">
        <v>398</v>
      </c>
    </row>
    <row r="146" spans="87:96" x14ac:dyDescent="0.2">
      <c r="CI146" s="419" t="s">
        <v>1004</v>
      </c>
      <c r="CJ146" s="420">
        <v>46.1</v>
      </c>
      <c r="CK146" s="420">
        <v>29.1</v>
      </c>
      <c r="CL146" s="408">
        <v>34.5</v>
      </c>
      <c r="CM146" s="420">
        <v>0</v>
      </c>
      <c r="CN146" s="408">
        <v>2.6</v>
      </c>
      <c r="CO146" s="420">
        <v>0</v>
      </c>
      <c r="CP146" s="420">
        <v>1.2</v>
      </c>
      <c r="CQ146" s="421">
        <v>113.4</v>
      </c>
      <c r="CR146" s="445">
        <v>6</v>
      </c>
    </row>
    <row r="147" spans="87:96" x14ac:dyDescent="0.2">
      <c r="CI147" s="419" t="s">
        <v>1005</v>
      </c>
      <c r="CJ147" s="420">
        <v>0.8</v>
      </c>
      <c r="CK147" s="420">
        <v>0.1</v>
      </c>
      <c r="CL147" s="408">
        <v>3.4</v>
      </c>
      <c r="CM147" s="420">
        <v>0</v>
      </c>
      <c r="CN147" s="408">
        <v>0</v>
      </c>
      <c r="CO147" s="420">
        <v>0</v>
      </c>
      <c r="CP147" s="420">
        <v>0</v>
      </c>
      <c r="CQ147" s="421">
        <v>4.3</v>
      </c>
      <c r="CR147" s="445">
        <v>6</v>
      </c>
    </row>
    <row r="148" spans="87:96" x14ac:dyDescent="0.2">
      <c r="CI148" s="419" t="s">
        <v>1006</v>
      </c>
      <c r="CJ148" s="420">
        <v>40.9</v>
      </c>
      <c r="CK148" s="420">
        <v>17.600000000000001</v>
      </c>
      <c r="CL148" s="408">
        <v>51.5</v>
      </c>
      <c r="CM148" s="420">
        <v>0</v>
      </c>
      <c r="CN148" s="408">
        <v>23.6</v>
      </c>
      <c r="CO148" s="420">
        <v>0</v>
      </c>
      <c r="CP148" s="420">
        <v>55.7</v>
      </c>
      <c r="CQ148" s="421">
        <v>189.4</v>
      </c>
      <c r="CR148" s="445">
        <v>6</v>
      </c>
    </row>
    <row r="149" spans="87:96" x14ac:dyDescent="0.2">
      <c r="CI149" s="419" t="s">
        <v>1007</v>
      </c>
      <c r="CJ149" s="420">
        <v>0</v>
      </c>
      <c r="CK149" s="420">
        <v>0.1</v>
      </c>
      <c r="CL149" s="408">
        <v>0.7</v>
      </c>
      <c r="CM149" s="420">
        <v>0</v>
      </c>
      <c r="CN149" s="408">
        <v>0</v>
      </c>
      <c r="CO149" s="420">
        <v>0</v>
      </c>
      <c r="CP149" s="420">
        <v>0.2</v>
      </c>
      <c r="CQ149" s="421">
        <v>1</v>
      </c>
      <c r="CR149" s="445">
        <v>6</v>
      </c>
    </row>
    <row r="150" spans="87:96" x14ac:dyDescent="0.2">
      <c r="CI150" s="419" t="s">
        <v>1008</v>
      </c>
      <c r="CJ150" s="420">
        <v>266.10000000000002</v>
      </c>
      <c r="CK150" s="420">
        <v>217.1</v>
      </c>
      <c r="CL150" s="408">
        <v>198.2</v>
      </c>
      <c r="CM150" s="420">
        <v>91</v>
      </c>
      <c r="CN150" s="408">
        <v>290</v>
      </c>
      <c r="CO150" s="420">
        <v>132</v>
      </c>
      <c r="CP150" s="420">
        <v>297</v>
      </c>
      <c r="CQ150" s="421">
        <v>1491.5</v>
      </c>
      <c r="CR150" s="445">
        <v>6</v>
      </c>
    </row>
    <row r="151" spans="87:96" x14ac:dyDescent="0.2">
      <c r="CI151" s="419" t="s">
        <v>1009</v>
      </c>
      <c r="CJ151" s="420">
        <v>27</v>
      </c>
      <c r="CK151" s="420">
        <v>33.299999999999997</v>
      </c>
      <c r="CL151" s="408">
        <v>15.3</v>
      </c>
      <c r="CM151" s="420">
        <v>0</v>
      </c>
      <c r="CN151" s="408">
        <v>33.299999999999997</v>
      </c>
      <c r="CO151" s="420">
        <v>0</v>
      </c>
      <c r="CP151" s="420">
        <v>3</v>
      </c>
      <c r="CQ151" s="421">
        <v>111.9</v>
      </c>
      <c r="CR151" s="445">
        <v>6</v>
      </c>
    </row>
    <row r="152" spans="87:96" x14ac:dyDescent="0.2">
      <c r="CI152" s="419" t="s">
        <v>1010</v>
      </c>
      <c r="CJ152" s="420">
        <v>51.5</v>
      </c>
      <c r="CK152" s="420">
        <v>96.3</v>
      </c>
      <c r="CL152" s="408">
        <v>290.3</v>
      </c>
      <c r="CM152" s="420">
        <v>186</v>
      </c>
      <c r="CN152" s="408">
        <v>154</v>
      </c>
      <c r="CO152" s="420">
        <v>160</v>
      </c>
      <c r="CP152" s="420">
        <v>204.5</v>
      </c>
      <c r="CQ152" s="421">
        <v>1142.5</v>
      </c>
      <c r="CR152" s="445">
        <v>6</v>
      </c>
    </row>
    <row r="153" spans="87:96" x14ac:dyDescent="0.2">
      <c r="CI153" s="419" t="s">
        <v>1011</v>
      </c>
      <c r="CJ153" s="420">
        <v>199.7</v>
      </c>
      <c r="CK153" s="420">
        <v>81</v>
      </c>
      <c r="CL153" s="408">
        <v>258.2</v>
      </c>
      <c r="CM153" s="420">
        <v>123</v>
      </c>
      <c r="CN153" s="408">
        <v>43</v>
      </c>
      <c r="CO153" s="420">
        <v>173</v>
      </c>
      <c r="CP153" s="420">
        <v>209.2</v>
      </c>
      <c r="CQ153" s="421">
        <v>1087.0999999999999</v>
      </c>
      <c r="CR153" s="445">
        <v>6</v>
      </c>
    </row>
    <row r="154" spans="87:96" x14ac:dyDescent="0.2">
      <c r="CI154" s="419" t="s">
        <v>1012</v>
      </c>
      <c r="CJ154" s="420">
        <v>25.3</v>
      </c>
      <c r="CK154" s="420">
        <v>5.3</v>
      </c>
      <c r="CL154" s="408">
        <v>24</v>
      </c>
      <c r="CM154" s="420">
        <v>78</v>
      </c>
      <c r="CN154" s="408">
        <v>0</v>
      </c>
      <c r="CO154" s="420">
        <v>15</v>
      </c>
      <c r="CP154" s="420">
        <v>0.2</v>
      </c>
      <c r="CQ154" s="421">
        <v>147.80000000000001</v>
      </c>
      <c r="CR154" s="445">
        <v>6</v>
      </c>
    </row>
    <row r="155" spans="87:96" x14ac:dyDescent="0.2">
      <c r="CI155" s="419" t="s">
        <v>1013</v>
      </c>
      <c r="CJ155" s="420">
        <v>137.6</v>
      </c>
      <c r="CK155" s="420">
        <v>178.1</v>
      </c>
      <c r="CL155" s="408">
        <v>114.1</v>
      </c>
      <c r="CM155" s="420">
        <v>0</v>
      </c>
      <c r="CN155" s="408">
        <v>81</v>
      </c>
      <c r="CO155" s="420">
        <v>0</v>
      </c>
      <c r="CP155" s="420">
        <v>0</v>
      </c>
      <c r="CQ155" s="421">
        <v>510.7</v>
      </c>
      <c r="CR155" s="445">
        <v>6</v>
      </c>
    </row>
    <row r="156" spans="87:96" x14ac:dyDescent="0.2">
      <c r="CI156" s="419" t="s">
        <v>1014</v>
      </c>
      <c r="CJ156" s="420">
        <v>47.6</v>
      </c>
      <c r="CK156" s="420">
        <v>69</v>
      </c>
      <c r="CL156" s="408">
        <v>25.2</v>
      </c>
      <c r="CM156" s="420">
        <v>0</v>
      </c>
      <c r="CN156" s="408">
        <v>0</v>
      </c>
      <c r="CO156" s="420">
        <v>0</v>
      </c>
      <c r="CP156" s="420">
        <v>6</v>
      </c>
      <c r="CQ156" s="421">
        <v>147.80000000000001</v>
      </c>
      <c r="CR156" s="445">
        <v>6</v>
      </c>
    </row>
    <row r="157" spans="87:96" x14ac:dyDescent="0.2">
      <c r="CI157" s="419" t="s">
        <v>1015</v>
      </c>
      <c r="CJ157" s="420">
        <v>473.6</v>
      </c>
      <c r="CK157" s="420">
        <v>304</v>
      </c>
      <c r="CL157" s="408">
        <v>394.6</v>
      </c>
      <c r="CM157" s="420">
        <v>7</v>
      </c>
      <c r="CN157" s="408">
        <v>314.7</v>
      </c>
      <c r="CO157" s="420">
        <v>4</v>
      </c>
      <c r="CP157" s="420">
        <v>298</v>
      </c>
      <c r="CQ157" s="421">
        <v>1795.8</v>
      </c>
      <c r="CR157" s="445">
        <v>6</v>
      </c>
    </row>
    <row r="158" spans="87:96" x14ac:dyDescent="0.2">
      <c r="CI158" s="419" t="s">
        <v>1016</v>
      </c>
      <c r="CJ158" s="420">
        <v>102.1</v>
      </c>
      <c r="CK158" s="420">
        <v>131.30000000000001</v>
      </c>
      <c r="CL158" s="408">
        <v>155.9</v>
      </c>
      <c r="CM158" s="420">
        <v>0</v>
      </c>
      <c r="CN158" s="408">
        <v>124.5</v>
      </c>
      <c r="CO158" s="420">
        <v>0</v>
      </c>
      <c r="CP158" s="420">
        <v>3</v>
      </c>
      <c r="CQ158" s="421">
        <v>516.70000000000005</v>
      </c>
      <c r="CR158" s="445">
        <v>6</v>
      </c>
    </row>
    <row r="159" spans="87:96" x14ac:dyDescent="0.2">
      <c r="CI159" s="419" t="s">
        <v>1017</v>
      </c>
      <c r="CJ159" s="420">
        <v>149.30000000000001</v>
      </c>
      <c r="CK159" s="420">
        <v>37.5</v>
      </c>
      <c r="CL159" s="408">
        <v>115.5</v>
      </c>
      <c r="CM159" s="420">
        <v>0</v>
      </c>
      <c r="CN159" s="408">
        <v>206.3</v>
      </c>
      <c r="CO159" s="420">
        <v>0</v>
      </c>
      <c r="CP159" s="420">
        <v>44.3</v>
      </c>
      <c r="CQ159" s="421">
        <v>552.79999999999995</v>
      </c>
      <c r="CR159" s="445">
        <v>6</v>
      </c>
    </row>
    <row r="160" spans="87:96" x14ac:dyDescent="0.2">
      <c r="CI160" s="419" t="s">
        <v>1018</v>
      </c>
      <c r="CJ160" s="420">
        <v>148.19999999999999</v>
      </c>
      <c r="CK160" s="420">
        <v>42.8</v>
      </c>
      <c r="CL160" s="408">
        <v>48.8</v>
      </c>
      <c r="CM160" s="420">
        <v>0</v>
      </c>
      <c r="CN160" s="408">
        <v>39</v>
      </c>
      <c r="CO160" s="420">
        <v>0</v>
      </c>
      <c r="CP160" s="420">
        <v>70</v>
      </c>
      <c r="CQ160" s="421">
        <v>348.6</v>
      </c>
      <c r="CR160" s="445">
        <v>6</v>
      </c>
    </row>
    <row r="161" spans="87:96" x14ac:dyDescent="0.2">
      <c r="CI161" s="419" t="s">
        <v>1019</v>
      </c>
      <c r="CJ161" s="420">
        <v>1432.6</v>
      </c>
      <c r="CK161" s="420">
        <v>1272.0999999999999</v>
      </c>
      <c r="CL161" s="408">
        <v>1271.5999999999999</v>
      </c>
      <c r="CM161" s="420">
        <v>2107</v>
      </c>
      <c r="CN161" s="408">
        <v>1836.8</v>
      </c>
      <c r="CO161" s="420">
        <v>1760</v>
      </c>
      <c r="CP161" s="420">
        <v>2011.2</v>
      </c>
      <c r="CQ161" s="421">
        <v>11691.3</v>
      </c>
      <c r="CR161" s="445">
        <v>6</v>
      </c>
    </row>
    <row r="162" spans="87:96" x14ac:dyDescent="0.2">
      <c r="CI162" s="419" t="s">
        <v>1020</v>
      </c>
      <c r="CJ162" s="420">
        <v>4484.6000000000004</v>
      </c>
      <c r="CK162" s="420">
        <v>5372.6</v>
      </c>
      <c r="CL162" s="408">
        <v>4672.3999999999996</v>
      </c>
      <c r="CM162" s="420">
        <v>4806</v>
      </c>
      <c r="CN162" s="408">
        <v>5459.5</v>
      </c>
      <c r="CO162" s="420">
        <v>3935</v>
      </c>
      <c r="CP162" s="420">
        <v>4903.3</v>
      </c>
      <c r="CQ162" s="421">
        <v>33633.4</v>
      </c>
      <c r="CR162" s="445">
        <v>6</v>
      </c>
    </row>
    <row r="163" spans="87:96" x14ac:dyDescent="0.2">
      <c r="CI163" s="419" t="s">
        <v>1021</v>
      </c>
      <c r="CJ163" s="420">
        <v>1724.4</v>
      </c>
      <c r="CK163" s="420">
        <v>1553</v>
      </c>
      <c r="CL163" s="408">
        <v>1487.3</v>
      </c>
      <c r="CM163" s="420">
        <v>43</v>
      </c>
      <c r="CN163" s="408">
        <v>1354.1</v>
      </c>
      <c r="CO163" s="420">
        <v>15</v>
      </c>
      <c r="CP163" s="420">
        <v>1798.6</v>
      </c>
      <c r="CQ163" s="421">
        <v>7975.4</v>
      </c>
      <c r="CR163" s="445">
        <v>7</v>
      </c>
    </row>
    <row r="164" spans="87:96" x14ac:dyDescent="0.2">
      <c r="CI164" s="419" t="s">
        <v>1022</v>
      </c>
      <c r="CJ164" s="420">
        <v>72.8</v>
      </c>
      <c r="CK164" s="420">
        <v>63.8</v>
      </c>
      <c r="CL164" s="408">
        <v>64.400000000000006</v>
      </c>
      <c r="CM164" s="420">
        <v>14</v>
      </c>
      <c r="CN164" s="408">
        <v>77.8</v>
      </c>
      <c r="CO164" s="420">
        <v>11</v>
      </c>
      <c r="CP164" s="420">
        <v>46.2</v>
      </c>
      <c r="CQ164" s="421">
        <v>350</v>
      </c>
      <c r="CR164" s="445">
        <v>7</v>
      </c>
    </row>
    <row r="165" spans="87:96" x14ac:dyDescent="0.2">
      <c r="CI165" s="419" t="s">
        <v>1023</v>
      </c>
      <c r="CJ165" s="420">
        <v>3239.5</v>
      </c>
      <c r="CK165" s="420">
        <v>3614.6</v>
      </c>
      <c r="CL165" s="408">
        <v>3455.1</v>
      </c>
      <c r="CM165" s="420">
        <v>2124</v>
      </c>
      <c r="CN165" s="408">
        <v>3506.6</v>
      </c>
      <c r="CO165" s="420">
        <v>2501</v>
      </c>
      <c r="CP165" s="420">
        <v>3543.5</v>
      </c>
      <c r="CQ165" s="421">
        <v>21984.3</v>
      </c>
      <c r="CR165" s="445">
        <v>7</v>
      </c>
    </row>
    <row r="166" spans="87:96" x14ac:dyDescent="0.2">
      <c r="CI166" s="419" t="s">
        <v>1024</v>
      </c>
      <c r="CJ166" s="420">
        <v>148.30000000000001</v>
      </c>
      <c r="CK166" s="420">
        <v>145.80000000000001</v>
      </c>
      <c r="CL166" s="408">
        <v>222.3</v>
      </c>
      <c r="CM166" s="420">
        <v>360</v>
      </c>
      <c r="CN166" s="408">
        <v>105.5</v>
      </c>
      <c r="CO166" s="420">
        <v>290</v>
      </c>
      <c r="CP166" s="420">
        <v>206.8</v>
      </c>
      <c r="CQ166" s="421">
        <v>1478.8</v>
      </c>
      <c r="CR166" s="445">
        <v>7</v>
      </c>
    </row>
    <row r="167" spans="87:96" x14ac:dyDescent="0.2">
      <c r="CI167" s="419" t="s">
        <v>1025</v>
      </c>
      <c r="CJ167" s="420">
        <v>114.3</v>
      </c>
      <c r="CK167" s="420">
        <v>92.6</v>
      </c>
      <c r="CL167" s="408">
        <v>107.9</v>
      </c>
      <c r="CM167" s="420">
        <v>36</v>
      </c>
      <c r="CN167" s="408">
        <v>80.599999999999994</v>
      </c>
      <c r="CO167" s="420">
        <v>13</v>
      </c>
      <c r="CP167" s="420">
        <v>56.3</v>
      </c>
      <c r="CQ167" s="421">
        <v>500.7</v>
      </c>
      <c r="CR167" s="445">
        <v>7</v>
      </c>
    </row>
    <row r="168" spans="87:96" x14ac:dyDescent="0.2">
      <c r="CI168" s="419" t="s">
        <v>1026</v>
      </c>
      <c r="CJ168" s="420">
        <v>504.3</v>
      </c>
      <c r="CK168" s="420">
        <v>503.9</v>
      </c>
      <c r="CL168" s="408">
        <v>563.20000000000005</v>
      </c>
      <c r="CM168" s="420">
        <v>156</v>
      </c>
      <c r="CN168" s="408">
        <v>308.60000000000002</v>
      </c>
      <c r="CO168" s="420">
        <v>172</v>
      </c>
      <c r="CP168" s="420">
        <v>166.2</v>
      </c>
      <c r="CQ168" s="421">
        <v>2374.1999999999998</v>
      </c>
      <c r="CR168" s="445">
        <v>7</v>
      </c>
    </row>
    <row r="169" spans="87:96" x14ac:dyDescent="0.2">
      <c r="CI169" s="419" t="s">
        <v>1027</v>
      </c>
      <c r="CJ169" s="420">
        <v>1180.3</v>
      </c>
      <c r="CK169" s="420">
        <v>4591.2</v>
      </c>
      <c r="CL169" s="408">
        <v>4085.9</v>
      </c>
      <c r="CM169" s="420">
        <v>2944</v>
      </c>
      <c r="CN169" s="408">
        <v>4247.7</v>
      </c>
      <c r="CO169" s="420">
        <v>3293</v>
      </c>
      <c r="CP169" s="420">
        <v>5305.5</v>
      </c>
      <c r="CQ169" s="421">
        <v>25647.599999999999</v>
      </c>
      <c r="CR169" s="445">
        <v>7</v>
      </c>
    </row>
    <row r="170" spans="87:96" x14ac:dyDescent="0.2">
      <c r="CI170" s="419" t="s">
        <v>1028</v>
      </c>
      <c r="CJ170" s="420">
        <v>289.39999999999998</v>
      </c>
      <c r="CK170" s="420">
        <v>106.2</v>
      </c>
      <c r="CL170" s="408">
        <v>141.9</v>
      </c>
      <c r="CM170" s="420">
        <v>116</v>
      </c>
      <c r="CN170" s="408">
        <v>85.4</v>
      </c>
      <c r="CO170" s="420">
        <v>17</v>
      </c>
      <c r="CP170" s="420">
        <v>97</v>
      </c>
      <c r="CQ170" s="421">
        <v>853</v>
      </c>
      <c r="CR170" s="445">
        <v>7</v>
      </c>
    </row>
    <row r="171" spans="87:96" x14ac:dyDescent="0.2">
      <c r="CI171" s="419" t="s">
        <v>1029</v>
      </c>
      <c r="CJ171" s="420">
        <v>295.2</v>
      </c>
      <c r="CK171" s="420">
        <v>286.10000000000002</v>
      </c>
      <c r="CL171" s="408">
        <v>316.3</v>
      </c>
      <c r="CM171" s="420">
        <v>267</v>
      </c>
      <c r="CN171" s="408">
        <v>197</v>
      </c>
      <c r="CO171" s="420">
        <v>167</v>
      </c>
      <c r="CP171" s="420">
        <v>232.4</v>
      </c>
      <c r="CQ171" s="421">
        <v>1761.1</v>
      </c>
      <c r="CR171" s="445">
        <v>6</v>
      </c>
    </row>
    <row r="172" spans="87:96" x14ac:dyDescent="0.2">
      <c r="CI172" s="419" t="s">
        <v>1030</v>
      </c>
      <c r="CJ172" s="420">
        <v>28.8</v>
      </c>
      <c r="CK172" s="420">
        <v>5.3</v>
      </c>
      <c r="CL172" s="408">
        <v>12</v>
      </c>
      <c r="CM172" s="420">
        <v>1</v>
      </c>
      <c r="CN172" s="408">
        <v>5.3</v>
      </c>
      <c r="CO172" s="420">
        <v>19</v>
      </c>
      <c r="CP172" s="420">
        <v>23.9</v>
      </c>
      <c r="CQ172" s="421">
        <v>95.4</v>
      </c>
      <c r="CR172" s="445">
        <v>6</v>
      </c>
    </row>
    <row r="173" spans="87:96" ht="17" thickBot="1" x14ac:dyDescent="0.25">
      <c r="CI173" s="419" t="s">
        <v>1031</v>
      </c>
      <c r="CJ173" s="422">
        <v>0</v>
      </c>
      <c r="CK173" s="422">
        <v>0</v>
      </c>
      <c r="CL173" s="408">
        <v>0</v>
      </c>
      <c r="CM173" s="420">
        <v>17.3</v>
      </c>
      <c r="CN173" s="408">
        <v>0</v>
      </c>
      <c r="CO173" s="420">
        <v>20.6</v>
      </c>
      <c r="CP173" s="420">
        <v>0</v>
      </c>
      <c r="CQ173" s="421">
        <v>37.9</v>
      </c>
    </row>
    <row r="174" spans="87:96" ht="17" thickBot="1" x14ac:dyDescent="0.25">
      <c r="CI174" s="423" t="s">
        <v>1032</v>
      </c>
      <c r="CJ174" s="424">
        <v>15230.2</v>
      </c>
      <c r="CK174" s="424">
        <v>18849.900000000001</v>
      </c>
      <c r="CL174" s="425">
        <v>18130.400000000001</v>
      </c>
      <c r="CM174" s="426">
        <v>13476.3</v>
      </c>
      <c r="CN174" s="425">
        <v>18577</v>
      </c>
      <c r="CO174" s="426">
        <v>116544.5</v>
      </c>
      <c r="CP174" s="426">
        <v>116544.5</v>
      </c>
      <c r="CQ174" s="427">
        <v>116544.5</v>
      </c>
    </row>
    <row r="175" spans="87:96" ht="17" thickBot="1" x14ac:dyDescent="0.25">
      <c r="CI175" s="428" t="s">
        <v>1033</v>
      </c>
      <c r="CJ175" s="424">
        <v>15230.2</v>
      </c>
      <c r="CK175" s="424">
        <v>18849.900000000001</v>
      </c>
      <c r="CL175" s="463">
        <v>31606.7</v>
      </c>
      <c r="CM175" s="464"/>
      <c r="CN175" s="463">
        <v>31274.6</v>
      </c>
      <c r="CO175" s="464"/>
      <c r="CP175" s="429">
        <v>19583.099999999999</v>
      </c>
      <c r="CQ175" s="430">
        <v>116544.5</v>
      </c>
    </row>
    <row r="179" spans="87:91" x14ac:dyDescent="0.2">
      <c r="CI179" s="341" t="s">
        <v>1044</v>
      </c>
    </row>
    <row r="181" spans="87:91" ht="64" x14ac:dyDescent="0.2">
      <c r="CJ181" s="439" t="s">
        <v>1045</v>
      </c>
      <c r="CK181" s="431" t="s">
        <v>1046</v>
      </c>
      <c r="CL181" s="431" t="s">
        <v>1047</v>
      </c>
      <c r="CM181" s="440" t="s">
        <v>1048</v>
      </c>
    </row>
    <row r="182" spans="87:91" x14ac:dyDescent="0.2">
      <c r="CI182" s="451">
        <v>2009</v>
      </c>
      <c r="CJ182" s="345">
        <f>SUM(CJ146:CJ162,CJ171:CJ172)</f>
        <v>7957</v>
      </c>
      <c r="CK182" s="346">
        <f>SUM(CJ163:CJ170)</f>
        <v>7273.3</v>
      </c>
      <c r="CL182" s="453">
        <f>CJ182/SUM(CJ182:CK182)</f>
        <v>0.52244538846903876</v>
      </c>
      <c r="CM182" s="454">
        <f>CK182/SUM(CJ182:CK182)</f>
        <v>0.47755461153096135</v>
      </c>
    </row>
    <row r="183" spans="87:91" x14ac:dyDescent="0.2">
      <c r="CI183" s="452">
        <v>2010</v>
      </c>
      <c r="CJ183" s="345">
        <f>SUM(CK146:CK162,CK171:CK172)</f>
        <v>8178.7000000000007</v>
      </c>
      <c r="CK183" s="346">
        <f>SUM(CK163:CK170)</f>
        <v>10671.1</v>
      </c>
      <c r="CL183" s="453">
        <f t="shared" ref="CL183:CL186" si="43">CJ183/SUM(CJ183:CK183)</f>
        <v>0.43388789270973693</v>
      </c>
      <c r="CM183" s="454">
        <f t="shared" ref="CM183:CM186" si="44">CK183/SUM(CJ183:CK183)</f>
        <v>0.56611210729026296</v>
      </c>
    </row>
    <row r="184" spans="87:91" x14ac:dyDescent="0.2">
      <c r="CI184" s="452">
        <v>2011</v>
      </c>
      <c r="CJ184" s="345">
        <f>SUM(CL146:CM162,CL171:CM172)</f>
        <v>15668.5</v>
      </c>
      <c r="CK184" s="346">
        <f>SUM(CL163:CM170)</f>
        <v>15921</v>
      </c>
      <c r="CL184" s="453">
        <f t="shared" si="43"/>
        <v>0.4960034188575318</v>
      </c>
      <c r="CM184" s="454">
        <f t="shared" si="44"/>
        <v>0.50399658114246826</v>
      </c>
    </row>
    <row r="185" spans="87:91" x14ac:dyDescent="0.2">
      <c r="CI185" s="452">
        <v>2012</v>
      </c>
      <c r="CJ185" s="345">
        <f>SUM(CN146:CO162,CN171:CO172)</f>
        <v>15175.599999999999</v>
      </c>
      <c r="CK185" s="346">
        <f>SUM(CN163:CO170)</f>
        <v>16078.300000000001</v>
      </c>
      <c r="CL185" s="453">
        <f t="shared" si="43"/>
        <v>0.4855586022864346</v>
      </c>
      <c r="CM185" s="454">
        <f t="shared" si="44"/>
        <v>0.51444139771356534</v>
      </c>
    </row>
    <row r="186" spans="87:91" x14ac:dyDescent="0.2">
      <c r="CI186" s="452">
        <v>2013</v>
      </c>
      <c r="CJ186" s="345">
        <f>SUM(CP146:CP162,CP171:CP172)</f>
        <v>8363.1</v>
      </c>
      <c r="CK186" s="346">
        <f>SUM(CP163:CP170)</f>
        <v>11220.1</v>
      </c>
      <c r="CL186" s="453">
        <f t="shared" si="43"/>
        <v>0.42705482250091914</v>
      </c>
      <c r="CM186" s="454">
        <f t="shared" si="44"/>
        <v>0.5729451774990808</v>
      </c>
    </row>
    <row r="187" spans="87:91" x14ac:dyDescent="0.2">
      <c r="CI187" s="466" t="s">
        <v>1062</v>
      </c>
      <c r="CJ187" s="348">
        <f>SUM(CQ146:CQ162,CQ171:CQ172)</f>
        <v>55342.5</v>
      </c>
      <c r="CK187" s="349">
        <f>SUM(CQ163:CQ170)</f>
        <v>61163.999999999993</v>
      </c>
      <c r="CL187" s="449">
        <f t="shared" ref="CL187" si="45">CJ187/SUM(CJ187:CK187)</f>
        <v>0.47501641539313255</v>
      </c>
      <c r="CM187" s="450">
        <f t="shared" ref="CM187" si="46">CK187/SUM(CJ187:CK187)</f>
        <v>0.52498358460686734</v>
      </c>
    </row>
    <row r="191" spans="87:91" x14ac:dyDescent="0.2">
      <c r="CI191" s="341" t="s">
        <v>1068</v>
      </c>
    </row>
    <row r="193" spans="87:97" ht="48" x14ac:dyDescent="0.2">
      <c r="CJ193" s="431" t="s">
        <v>1069</v>
      </c>
      <c r="CK193" s="439" t="s">
        <v>1070</v>
      </c>
      <c r="CL193" s="439" t="s">
        <v>1071</v>
      </c>
      <c r="CM193" s="439" t="s">
        <v>1072</v>
      </c>
      <c r="CN193" s="439" t="s">
        <v>1073</v>
      </c>
      <c r="CO193" s="431" t="s">
        <v>1058</v>
      </c>
      <c r="CP193" s="431" t="s">
        <v>1059</v>
      </c>
      <c r="CQ193" s="431" t="s">
        <v>1060</v>
      </c>
      <c r="CR193" s="431" t="s">
        <v>1047</v>
      </c>
      <c r="CS193" s="431" t="s">
        <v>1048</v>
      </c>
    </row>
    <row r="194" spans="87:97" x14ac:dyDescent="0.2">
      <c r="CI194" s="451">
        <v>2009</v>
      </c>
      <c r="CJ194" s="346">
        <f>CJ134/1000</f>
        <v>0</v>
      </c>
      <c r="CK194" s="346">
        <f t="shared" ref="CK194:CL194" si="47">CK134/1000</f>
        <v>0</v>
      </c>
      <c r="CL194" s="346">
        <f t="shared" si="47"/>
        <v>0.60508200000000001</v>
      </c>
      <c r="CM194" s="346">
        <f>CM134/1000+CJ182</f>
        <v>7957.1679999999997</v>
      </c>
      <c r="CN194" s="346">
        <f>CN134/1000+CK182</f>
        <v>7273.6738000000005</v>
      </c>
      <c r="CO194" s="469">
        <f>CJ194/SUM($CJ194:$CN194)</f>
        <v>0</v>
      </c>
      <c r="CP194" s="469">
        <f t="shared" ref="CP194:CS194" si="48">CK194/SUM($CJ194:$CN194)</f>
        <v>0</v>
      </c>
      <c r="CQ194" s="469">
        <f t="shared" si="48"/>
        <v>3.9725838568564688E-5</v>
      </c>
      <c r="CR194" s="469">
        <f t="shared" si="48"/>
        <v>0.52241707971968876</v>
      </c>
      <c r="CS194" s="470">
        <f t="shared" si="48"/>
        <v>0.47754319444174265</v>
      </c>
    </row>
    <row r="195" spans="87:97" x14ac:dyDescent="0.2">
      <c r="CI195" s="452">
        <v>2010</v>
      </c>
      <c r="CJ195" s="346">
        <f t="shared" ref="CJ195:CL195" si="49">CJ135/1000</f>
        <v>0</v>
      </c>
      <c r="CK195" s="346">
        <f t="shared" si="49"/>
        <v>0.03</v>
      </c>
      <c r="CL195" s="346">
        <f t="shared" si="49"/>
        <v>1.0348290000000002</v>
      </c>
      <c r="CM195" s="346">
        <f t="shared" ref="CM195:CN195" si="50">CM135/1000+CJ183</f>
        <v>8178.9947380000003</v>
      </c>
      <c r="CN195" s="346">
        <f t="shared" si="50"/>
        <v>10671.544750000001</v>
      </c>
      <c r="CO195" s="469">
        <f t="shared" ref="CO195:CO198" si="51">CJ195/SUM($CJ195:$CN195)</f>
        <v>0</v>
      </c>
      <c r="CP195" s="469">
        <f t="shared" ref="CP195:CP198" si="52">CK195/SUM($CJ195:$CN195)</f>
        <v>1.5913764948347975E-6</v>
      </c>
      <c r="CQ195" s="469">
        <f t="shared" ref="CQ195:CQ198" si="53">CL195/SUM($CJ195:$CN195)</f>
        <v>5.4893418225779967E-5</v>
      </c>
      <c r="CR195" s="469">
        <f t="shared" ref="CR195:CR198" si="54">CM195/SUM($CJ195:$CN195)</f>
        <v>0.43386199924768981</v>
      </c>
      <c r="CS195" s="470">
        <f t="shared" ref="CS195:CS198" si="55">CN195/SUM($CJ195:$CN195)</f>
        <v>0.5660815159575896</v>
      </c>
    </row>
    <row r="196" spans="87:97" x14ac:dyDescent="0.2">
      <c r="CI196" s="452">
        <v>2011</v>
      </c>
      <c r="CJ196" s="346">
        <f t="shared" ref="CJ196:CL196" si="56">CJ136/1000</f>
        <v>0</v>
      </c>
      <c r="CK196" s="346">
        <f t="shared" si="56"/>
        <v>0</v>
      </c>
      <c r="CL196" s="346">
        <f t="shared" si="56"/>
        <v>0.75069600000000003</v>
      </c>
      <c r="CM196" s="346">
        <f t="shared" ref="CM196:CN196" si="57">CM136/1000+CJ184</f>
        <v>15668.7934</v>
      </c>
      <c r="CN196" s="346">
        <f t="shared" si="57"/>
        <v>15922.046409</v>
      </c>
      <c r="CO196" s="469">
        <f t="shared" si="51"/>
        <v>0</v>
      </c>
      <c r="CP196" s="469">
        <f t="shared" si="52"/>
        <v>0</v>
      </c>
      <c r="CQ196" s="469">
        <f t="shared" si="53"/>
        <v>2.376252629259636E-5</v>
      </c>
      <c r="CR196" s="469">
        <f t="shared" si="54"/>
        <v>0.49597988418848682</v>
      </c>
      <c r="CS196" s="470">
        <f t="shared" si="55"/>
        <v>0.50399635328522063</v>
      </c>
    </row>
    <row r="197" spans="87:97" x14ac:dyDescent="0.2">
      <c r="CI197" s="452">
        <v>2012</v>
      </c>
      <c r="CJ197" s="346">
        <f t="shared" ref="CJ197:CL197" si="58">CJ137/1000</f>
        <v>0</v>
      </c>
      <c r="CK197" s="346">
        <f t="shared" si="58"/>
        <v>0</v>
      </c>
      <c r="CL197" s="346">
        <f t="shared" si="58"/>
        <v>0.707094</v>
      </c>
      <c r="CM197" s="346">
        <f t="shared" ref="CM197:CN197" si="59">CM137/1000+CJ185</f>
        <v>15175.876017999999</v>
      </c>
      <c r="CN197" s="346">
        <f t="shared" si="59"/>
        <v>16079.531950000001</v>
      </c>
      <c r="CO197" s="469">
        <f t="shared" si="51"/>
        <v>0</v>
      </c>
      <c r="CP197" s="469">
        <f t="shared" si="52"/>
        <v>0</v>
      </c>
      <c r="CQ197" s="469">
        <f t="shared" si="53"/>
        <v>2.2622581168433763E-5</v>
      </c>
      <c r="CR197" s="469">
        <f t="shared" si="54"/>
        <v>0.48553302251085756</v>
      </c>
      <c r="CS197" s="470">
        <f t="shared" si="55"/>
        <v>0.51444435490797402</v>
      </c>
    </row>
    <row r="198" spans="87:97" x14ac:dyDescent="0.2">
      <c r="CI198" s="452">
        <v>2013</v>
      </c>
      <c r="CJ198" s="346">
        <f t="shared" ref="CJ198:CL198" si="60">CJ138/1000</f>
        <v>0</v>
      </c>
      <c r="CK198" s="346">
        <f t="shared" si="60"/>
        <v>0</v>
      </c>
      <c r="CL198" s="346">
        <f t="shared" si="60"/>
        <v>0.532578</v>
      </c>
      <c r="CM198" s="346">
        <f t="shared" ref="CM198:CN198" si="61">CM138/1000+CJ186</f>
        <v>8363.4120000000003</v>
      </c>
      <c r="CN198" s="346">
        <f t="shared" si="61"/>
        <v>11220.747268000001</v>
      </c>
      <c r="CO198" s="469">
        <f t="shared" si="51"/>
        <v>0</v>
      </c>
      <c r="CP198" s="469">
        <f t="shared" si="52"/>
        <v>0</v>
      </c>
      <c r="CQ198" s="469">
        <f t="shared" si="53"/>
        <v>2.7193585897996872E-5</v>
      </c>
      <c r="CR198" s="469">
        <f t="shared" si="54"/>
        <v>0.42703822279992382</v>
      </c>
      <c r="CS198" s="470">
        <f t="shared" si="55"/>
        <v>0.57293458361417815</v>
      </c>
    </row>
    <row r="199" spans="87:97" x14ac:dyDescent="0.2">
      <c r="CI199" s="466" t="s">
        <v>1074</v>
      </c>
      <c r="CJ199" s="349">
        <f>SUM(CJ194:CJ198)</f>
        <v>0</v>
      </c>
      <c r="CK199" s="349">
        <f t="shared" ref="CK199:CN199" si="62">SUM(CK194:CK198)</f>
        <v>0.03</v>
      </c>
      <c r="CL199" s="349">
        <f t="shared" si="62"/>
        <v>3.6302790000000003</v>
      </c>
      <c r="CM199" s="349">
        <f t="shared" si="62"/>
        <v>55344.244156000001</v>
      </c>
      <c r="CN199" s="349">
        <f t="shared" si="62"/>
        <v>61167.544176999996</v>
      </c>
      <c r="CO199" s="471">
        <f t="shared" ref="CO199" si="63">CJ199/SUM($CJ199:$CN199)</f>
        <v>0</v>
      </c>
      <c r="CP199" s="471">
        <f t="shared" ref="CP199" si="64">CK199/SUM($CJ199:$CN199)</f>
        <v>2.5747658664475397E-7</v>
      </c>
      <c r="CQ199" s="471">
        <f t="shared" ref="CQ199" si="65">CL199/SUM($CJ199:$CN199)</f>
        <v>3.1157061516271034E-5</v>
      </c>
      <c r="CR199" s="471">
        <f t="shared" ref="CR199" si="66">CM199/SUM($CJ199:$CN199)</f>
        <v>0.4749949025240251</v>
      </c>
      <c r="CS199" s="472">
        <f t="shared" ref="CS199" si="67">CN199/SUM($CJ199:$CN199)</f>
        <v>0.52497368293787183</v>
      </c>
    </row>
  </sheetData>
  <mergeCells count="138">
    <mergeCell ref="BN65:BO65"/>
    <mergeCell ref="BN66:BO66"/>
    <mergeCell ref="BN67:BO67"/>
    <mergeCell ref="BN60:BO60"/>
    <mergeCell ref="BN61:BO61"/>
    <mergeCell ref="BN62:BO62"/>
    <mergeCell ref="BN63:BO63"/>
    <mergeCell ref="BN64:BO64"/>
    <mergeCell ref="BN55:BO55"/>
    <mergeCell ref="BN56:BO56"/>
    <mergeCell ref="BN57:BO57"/>
    <mergeCell ref="BN58:BO58"/>
    <mergeCell ref="BN59:BO59"/>
    <mergeCell ref="BN50:BO50"/>
    <mergeCell ref="BN51:BO51"/>
    <mergeCell ref="BN52:BO52"/>
    <mergeCell ref="BN53:BO53"/>
    <mergeCell ref="BN54:BO54"/>
    <mergeCell ref="BN45:BO45"/>
    <mergeCell ref="BN46:BO46"/>
    <mergeCell ref="BN47:BO47"/>
    <mergeCell ref="BN48:BO48"/>
    <mergeCell ref="BN49:BO49"/>
    <mergeCell ref="BN40:BO40"/>
    <mergeCell ref="BN41:BO41"/>
    <mergeCell ref="BN42:BO42"/>
    <mergeCell ref="BN43:BO43"/>
    <mergeCell ref="BN44:BO44"/>
    <mergeCell ref="BN35:BO35"/>
    <mergeCell ref="BN36:BO36"/>
    <mergeCell ref="BN37:BO37"/>
    <mergeCell ref="BN38:BO38"/>
    <mergeCell ref="BN39:BO39"/>
    <mergeCell ref="BN31:BO31"/>
    <mergeCell ref="BN32:BO32"/>
    <mergeCell ref="BN33:BO33"/>
    <mergeCell ref="BN34:BO34"/>
    <mergeCell ref="BN25:BO25"/>
    <mergeCell ref="BN26:BO26"/>
    <mergeCell ref="BN27:BO27"/>
    <mergeCell ref="BN28:BO28"/>
    <mergeCell ref="BN29:BO29"/>
    <mergeCell ref="BN13:BO13"/>
    <mergeCell ref="BN14:BO14"/>
    <mergeCell ref="CW98:CW99"/>
    <mergeCell ref="CQ98:CQ99"/>
    <mergeCell ref="CR98:CR99"/>
    <mergeCell ref="CS98:CS99"/>
    <mergeCell ref="CT98:CT99"/>
    <mergeCell ref="CU98:CU99"/>
    <mergeCell ref="CL98:CL99"/>
    <mergeCell ref="CM98:CM99"/>
    <mergeCell ref="CN98:CN99"/>
    <mergeCell ref="CO98:CO99"/>
    <mergeCell ref="CP98:CP99"/>
    <mergeCell ref="BN20:BO20"/>
    <mergeCell ref="BN21:BO21"/>
    <mergeCell ref="BN22:BO22"/>
    <mergeCell ref="BN23:BO23"/>
    <mergeCell ref="BN24:BO24"/>
    <mergeCell ref="BN15:BO15"/>
    <mergeCell ref="BN16:BO16"/>
    <mergeCell ref="BN17:BO17"/>
    <mergeCell ref="BN18:BO18"/>
    <mergeCell ref="BN19:BO19"/>
    <mergeCell ref="BN30:BO30"/>
    <mergeCell ref="BV100:BV101"/>
    <mergeCell ref="CI98:CI99"/>
    <mergeCell ref="CJ98:CJ99"/>
    <mergeCell ref="CK98:CK99"/>
    <mergeCell ref="BP99:BQ99"/>
    <mergeCell ref="BP98:BQ98"/>
    <mergeCell ref="BR98:BS98"/>
    <mergeCell ref="BR99:BS99"/>
    <mergeCell ref="BT98:BU98"/>
    <mergeCell ref="BT99:BU99"/>
    <mergeCell ref="A5:E5"/>
    <mergeCell ref="K5:U5"/>
    <mergeCell ref="W5:AG5"/>
    <mergeCell ref="H54:I54"/>
    <mergeCell ref="H46:I46"/>
    <mergeCell ref="H47:I47"/>
    <mergeCell ref="H42:I42"/>
    <mergeCell ref="H43:I43"/>
    <mergeCell ref="H44:I44"/>
    <mergeCell ref="H38:I38"/>
    <mergeCell ref="H39:I39"/>
    <mergeCell ref="H40:I40"/>
    <mergeCell ref="H41:I41"/>
    <mergeCell ref="H28:I28"/>
    <mergeCell ref="H29:I29"/>
    <mergeCell ref="H30:I30"/>
    <mergeCell ref="H31:I31"/>
    <mergeCell ref="H32:I32"/>
    <mergeCell ref="H23:I23"/>
    <mergeCell ref="H24:I24"/>
    <mergeCell ref="H25:I25"/>
    <mergeCell ref="H26:I26"/>
    <mergeCell ref="H27:I27"/>
    <mergeCell ref="H18:I18"/>
    <mergeCell ref="H83:I83"/>
    <mergeCell ref="H51:I51"/>
    <mergeCell ref="H52:I52"/>
    <mergeCell ref="H53:I53"/>
    <mergeCell ref="H48:I48"/>
    <mergeCell ref="H49:I49"/>
    <mergeCell ref="H50:I50"/>
    <mergeCell ref="H45:I45"/>
    <mergeCell ref="H33:I33"/>
    <mergeCell ref="H34:I34"/>
    <mergeCell ref="H35:I35"/>
    <mergeCell ref="H36:I36"/>
    <mergeCell ref="H37:I37"/>
    <mergeCell ref="H19:I19"/>
    <mergeCell ref="H20:I20"/>
    <mergeCell ref="H21:I21"/>
    <mergeCell ref="H22:I22"/>
    <mergeCell ref="H13:I13"/>
    <mergeCell ref="H14:I14"/>
    <mergeCell ref="H15:I15"/>
    <mergeCell ref="H16:I16"/>
    <mergeCell ref="H17:I17"/>
    <mergeCell ref="H10:I10"/>
    <mergeCell ref="H11:I11"/>
    <mergeCell ref="H7:I8"/>
    <mergeCell ref="AK7:AL8"/>
    <mergeCell ref="H12:I12"/>
    <mergeCell ref="BM5:BO5"/>
    <mergeCell ref="BQ5:CA5"/>
    <mergeCell ref="CC5:CM5"/>
    <mergeCell ref="BN7:BO8"/>
    <mergeCell ref="G5:I5"/>
    <mergeCell ref="AJ5:AL5"/>
    <mergeCell ref="AN5:AX5"/>
    <mergeCell ref="AZ5:BJ5"/>
    <mergeCell ref="BN10:BO10"/>
    <mergeCell ref="BN11:BO11"/>
    <mergeCell ref="BN12:BO12"/>
  </mergeCells>
  <phoneticPr fontId="14" type="noConversion"/>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A100"/>
  <sheetViews>
    <sheetView showGridLines="0" workbookViewId="0">
      <pane xSplit="1" ySplit="20" topLeftCell="EV21" activePane="bottomRight" state="frozen"/>
      <selection pane="topRight" activeCell="B1" sqref="B1"/>
      <selection pane="bottomLeft" activeCell="A14" sqref="A14"/>
      <selection pane="bottomRight" activeCell="FK9" sqref="FK9"/>
    </sheetView>
  </sheetViews>
  <sheetFormatPr baseColWidth="10" defaultColWidth="11" defaultRowHeight="16" x14ac:dyDescent="0.2"/>
  <cols>
    <col min="1" max="1" width="15.83203125" customWidth="1"/>
    <col min="3" max="3" width="15.6640625" customWidth="1"/>
    <col min="8" max="8" width="11.33203125" customWidth="1"/>
    <col min="165" max="166" width="11" style="455"/>
    <col min="168" max="168" width="25" customWidth="1"/>
    <col min="169" max="169" width="18.33203125" customWidth="1"/>
    <col min="170" max="170" width="16.6640625" customWidth="1"/>
    <col min="171" max="171" width="14.1640625" customWidth="1"/>
  </cols>
  <sheetData>
    <row r="2" spans="1:261" ht="32" x14ac:dyDescent="0.4">
      <c r="C2" s="860" t="s">
        <v>1672</v>
      </c>
      <c r="FM2" s="574" t="s">
        <v>2166</v>
      </c>
    </row>
    <row r="3" spans="1:261" x14ac:dyDescent="0.2">
      <c r="FM3" s="346" t="s">
        <v>2167</v>
      </c>
      <c r="FN3" s="896">
        <f>'Subst Prop and FOFS'!Y10/'Subst Prop and FOFS'!Y8</f>
        <v>1.0358565737051793</v>
      </c>
    </row>
    <row r="4" spans="1:261" ht="20" x14ac:dyDescent="0.25">
      <c r="C4" s="574" t="s">
        <v>1121</v>
      </c>
      <c r="FM4" s="346" t="s">
        <v>2168</v>
      </c>
      <c r="FN4" s="896">
        <f>'Subst Prop and FOFS'!Y11/'Subst Prop and FOFS'!Y8</f>
        <v>1.1235059760956174</v>
      </c>
      <c r="FP4" s="230" t="s">
        <v>2181</v>
      </c>
      <c r="FQ4" s="230"/>
      <c r="FR4" s="230"/>
      <c r="FS4" s="230"/>
      <c r="FT4" s="230"/>
      <c r="FU4" s="230"/>
      <c r="FV4" s="230"/>
      <c r="FW4" s="230"/>
      <c r="FX4" s="230"/>
      <c r="FY4" s="230"/>
      <c r="FZ4" s="230"/>
      <c r="GA4" s="230"/>
      <c r="GB4" s="230"/>
      <c r="GC4" s="230"/>
      <c r="GD4" s="230"/>
      <c r="GE4" s="230"/>
      <c r="GF4" s="230"/>
      <c r="GG4" s="230"/>
      <c r="GH4" s="230"/>
      <c r="GI4" s="230"/>
      <c r="GJ4" s="230"/>
      <c r="GK4" s="230"/>
      <c r="GL4" s="230"/>
      <c r="GM4" s="230"/>
      <c r="GN4" s="230"/>
      <c r="GO4" s="230"/>
      <c r="GP4" s="230"/>
      <c r="GQ4" s="230"/>
      <c r="GR4" s="230"/>
      <c r="GS4" s="230"/>
      <c r="GT4" s="230"/>
      <c r="GU4" s="230"/>
      <c r="GV4" s="230"/>
      <c r="GW4" s="230"/>
      <c r="GX4" s="230"/>
      <c r="GY4" s="230"/>
      <c r="GZ4" s="230"/>
      <c r="HA4" s="230"/>
      <c r="HB4" s="230"/>
      <c r="HC4" s="230"/>
      <c r="HD4" s="230"/>
      <c r="HE4" s="230"/>
      <c r="HF4" s="230"/>
      <c r="HG4" s="230"/>
      <c r="HH4" s="230"/>
      <c r="HI4" s="230"/>
      <c r="HJ4" s="230"/>
      <c r="HK4" s="230"/>
      <c r="HL4" s="230"/>
      <c r="HM4" s="230"/>
      <c r="HN4" s="230"/>
      <c r="HO4" s="230"/>
      <c r="HP4" s="230"/>
      <c r="HQ4" s="230"/>
      <c r="HR4" s="230"/>
      <c r="HS4" s="230"/>
      <c r="HT4" s="230"/>
      <c r="HU4" s="230"/>
      <c r="HV4" s="230"/>
      <c r="HW4" s="230"/>
    </row>
    <row r="5" spans="1:261" ht="20" x14ac:dyDescent="0.25">
      <c r="C5" s="565" t="s">
        <v>1105</v>
      </c>
      <c r="D5" s="566">
        <f>'POSF Inventory'!ID13</f>
        <v>0.84499999999999997</v>
      </c>
      <c r="FM5" s="346" t="s">
        <v>2169</v>
      </c>
      <c r="FN5" s="896">
        <f>'Subst Prop and FOFS'!Y9/'Subst Prop and FOFS'!Y8</f>
        <v>0.99601593625498008</v>
      </c>
      <c r="FO5" s="455"/>
      <c r="FP5" s="330"/>
      <c r="FQ5" s="330"/>
      <c r="FR5" s="330"/>
      <c r="FS5" s="330"/>
      <c r="FT5" s="330"/>
      <c r="FU5" s="330"/>
      <c r="FV5" s="330"/>
      <c r="FW5" s="330"/>
      <c r="FX5" s="455"/>
      <c r="FY5" s="455"/>
      <c r="FZ5" s="455"/>
      <c r="GA5" s="455"/>
      <c r="GB5" s="455"/>
      <c r="GC5" s="455"/>
      <c r="GD5" s="455"/>
      <c r="GE5" s="455"/>
      <c r="GF5" s="455"/>
      <c r="GG5" s="455"/>
      <c r="GH5" s="455"/>
      <c r="GI5" s="455"/>
      <c r="GJ5" s="455"/>
      <c r="GK5" s="455"/>
      <c r="GL5" s="455"/>
      <c r="GM5" s="455"/>
      <c r="GN5" s="455"/>
      <c r="GO5" s="455"/>
      <c r="GP5" s="455"/>
      <c r="GQ5" s="455"/>
      <c r="GR5" s="455"/>
      <c r="GS5" s="455"/>
      <c r="GT5" s="455"/>
      <c r="GU5" s="455"/>
      <c r="GV5" s="455"/>
      <c r="GW5" s="455"/>
      <c r="GX5" s="455"/>
      <c r="GY5" s="455"/>
      <c r="GZ5" s="455"/>
      <c r="HA5" s="455"/>
      <c r="HB5" s="455"/>
      <c r="HC5" s="455"/>
      <c r="HD5" s="455"/>
      <c r="HE5" s="455"/>
      <c r="HF5" s="455"/>
      <c r="HG5" s="455"/>
      <c r="HH5" s="455"/>
      <c r="HI5" s="455"/>
      <c r="HJ5" s="455"/>
      <c r="HK5" s="455"/>
      <c r="HL5" s="455"/>
      <c r="HM5" s="455"/>
      <c r="HN5" s="455"/>
      <c r="HO5" s="455"/>
      <c r="HP5" s="455"/>
      <c r="HQ5" s="455"/>
      <c r="HR5" s="455"/>
      <c r="HS5" s="455"/>
      <c r="HT5" s="455"/>
      <c r="HU5" s="455"/>
      <c r="HV5" s="455"/>
      <c r="HW5" s="455"/>
    </row>
    <row r="6" spans="1:261" ht="17" thickBot="1" x14ac:dyDescent="0.25">
      <c r="C6" s="567" t="s">
        <v>1104</v>
      </c>
      <c r="D6" s="568">
        <f>'POSF Inventory'!ID14</f>
        <v>0.84699999999999998</v>
      </c>
      <c r="HH6" s="605"/>
      <c r="HY6" s="605"/>
    </row>
    <row r="7" spans="1:261" ht="24" thickTop="1" x14ac:dyDescent="0.3">
      <c r="C7" s="567" t="s">
        <v>1107</v>
      </c>
      <c r="D7" s="568">
        <f>'POSF Inventory'!ID16</f>
        <v>0.8</v>
      </c>
      <c r="FP7" s="1155" t="s">
        <v>1123</v>
      </c>
      <c r="FQ7" s="1156"/>
      <c r="FR7" s="1156"/>
      <c r="FS7" s="1156"/>
      <c r="FT7" s="1156"/>
      <c r="FU7" s="1156"/>
      <c r="FV7" s="1156"/>
      <c r="FW7" s="1156"/>
      <c r="FX7" s="1156"/>
      <c r="FY7" s="1156"/>
      <c r="FZ7" s="1156"/>
      <c r="GA7" s="1157"/>
      <c r="GB7" s="1326" t="s">
        <v>1124</v>
      </c>
      <c r="GC7" s="1327"/>
      <c r="GD7" s="1327"/>
      <c r="GE7" s="1327"/>
      <c r="GF7" s="1327"/>
      <c r="GG7" s="1327"/>
      <c r="GH7" s="1327"/>
      <c r="GI7" s="1327"/>
      <c r="GJ7" s="1327"/>
      <c r="GK7" s="1327"/>
      <c r="GL7" s="1327"/>
      <c r="GM7" s="1327"/>
      <c r="GN7" s="1327"/>
      <c r="GO7" s="1327"/>
      <c r="GP7" s="1327"/>
      <c r="GQ7" s="1327"/>
      <c r="GR7" s="1327"/>
      <c r="GS7" s="1328"/>
      <c r="GT7" s="1326" t="s">
        <v>1194</v>
      </c>
      <c r="GU7" s="1327"/>
      <c r="GV7" s="1327"/>
      <c r="GW7" s="1327"/>
      <c r="GX7" s="1327"/>
      <c r="GY7" s="1327"/>
      <c r="GZ7" s="1327"/>
      <c r="HA7" s="1327"/>
      <c r="HB7" s="1327"/>
      <c r="HC7" s="1327"/>
      <c r="HD7" s="1327"/>
      <c r="HE7" s="1327"/>
      <c r="HF7" s="1327"/>
      <c r="HG7" s="1327"/>
      <c r="HH7" s="1327"/>
      <c r="HI7" s="1327"/>
      <c r="HJ7" s="1327"/>
      <c r="HK7" s="1327"/>
      <c r="HL7" s="1327"/>
      <c r="HM7" s="1327"/>
      <c r="HN7" s="1327"/>
      <c r="HO7" s="1327"/>
      <c r="HP7" s="1327"/>
      <c r="HQ7" s="1327"/>
      <c r="HR7" s="1327"/>
      <c r="HS7" s="1327"/>
      <c r="HT7" s="1327"/>
      <c r="HU7" s="1327"/>
      <c r="HV7" s="1327"/>
      <c r="HW7" s="1328"/>
      <c r="HX7" s="1326" t="s">
        <v>1195</v>
      </c>
      <c r="HY7" s="1327"/>
      <c r="HZ7" s="1327"/>
      <c r="IA7" s="1327"/>
      <c r="IB7" s="1327"/>
      <c r="IC7" s="1327"/>
      <c r="ID7" s="1327"/>
      <c r="IE7" s="1327"/>
      <c r="IF7" s="1327"/>
      <c r="IG7" s="1327"/>
      <c r="IH7" s="1327"/>
      <c r="II7" s="1327"/>
      <c r="IJ7" s="1327"/>
      <c r="IK7" s="1327"/>
      <c r="IL7" s="1327"/>
      <c r="IM7" s="1327"/>
      <c r="IN7" s="1327"/>
      <c r="IO7" s="1327"/>
      <c r="IP7" s="489"/>
      <c r="IQ7" s="489"/>
      <c r="IR7" s="489"/>
      <c r="IS7" s="489"/>
      <c r="IT7" s="489"/>
      <c r="IU7" s="489"/>
      <c r="IV7" s="489"/>
      <c r="IW7" s="489"/>
      <c r="IX7" s="489"/>
      <c r="IY7" s="489"/>
      <c r="IZ7" s="489"/>
      <c r="JA7" s="489"/>
    </row>
    <row r="8" spans="1:261" ht="23" x14ac:dyDescent="0.3">
      <c r="C8" s="569"/>
      <c r="D8" s="570"/>
      <c r="FM8" s="848" t="s">
        <v>1207</v>
      </c>
      <c r="FN8" s="1120"/>
      <c r="FP8" s="1180"/>
      <c r="FQ8" s="1168"/>
      <c r="FR8" s="1168"/>
      <c r="FS8" s="1168"/>
      <c r="FT8" s="1168"/>
      <c r="FU8" s="1168"/>
      <c r="FV8" s="1168"/>
      <c r="FW8" s="1168"/>
      <c r="FX8" s="1168"/>
      <c r="FY8" s="1168"/>
      <c r="FZ8" s="1168"/>
      <c r="GA8" s="1181"/>
      <c r="GB8" s="1180"/>
      <c r="GC8" s="1168"/>
      <c r="GD8" s="1168"/>
      <c r="GE8" s="1168"/>
      <c r="GF8" s="1168"/>
      <c r="GG8" s="1168"/>
      <c r="GH8" s="1168"/>
      <c r="GI8" s="1168"/>
      <c r="GJ8" s="1168"/>
      <c r="GK8" s="1168"/>
      <c r="GL8" s="1168"/>
      <c r="GM8" s="1168"/>
      <c r="GN8" s="707"/>
      <c r="GO8" s="707"/>
      <c r="GP8" s="707"/>
      <c r="GQ8" s="707"/>
      <c r="GR8" s="707"/>
      <c r="GS8" s="707"/>
      <c r="GT8" s="1180"/>
      <c r="GU8" s="1168"/>
      <c r="GV8" s="1168"/>
      <c r="GW8" s="1168"/>
      <c r="GX8" s="1168"/>
      <c r="GY8" s="1168"/>
      <c r="GZ8" s="1168"/>
      <c r="HA8" s="1168"/>
      <c r="HB8" s="1168"/>
      <c r="HC8" s="1168"/>
      <c r="HD8" s="1168"/>
      <c r="HE8" s="1168"/>
      <c r="HF8" s="1168"/>
      <c r="HG8" s="1168"/>
      <c r="HH8" s="1168"/>
      <c r="HI8" s="1168"/>
      <c r="HJ8" s="1168"/>
      <c r="HK8" s="1168"/>
      <c r="HL8" s="1168"/>
      <c r="HM8" s="1168"/>
      <c r="HN8" s="1168"/>
      <c r="HO8" s="1168"/>
      <c r="HP8" s="1168"/>
      <c r="HQ8" s="1168"/>
      <c r="HR8" s="1168"/>
      <c r="HS8" s="1168"/>
      <c r="HT8" s="1168"/>
      <c r="HU8" s="1168"/>
      <c r="HV8" s="1168"/>
      <c r="HW8" s="1181"/>
      <c r="HX8" s="1323"/>
      <c r="HY8" s="1183"/>
      <c r="HZ8" s="1183"/>
      <c r="IA8" s="1183"/>
      <c r="IB8" s="1183"/>
      <c r="IC8" s="1183"/>
      <c r="ID8" s="1183"/>
      <c r="IE8" s="1183"/>
      <c r="IF8" s="1183"/>
      <c r="IG8" s="1183"/>
      <c r="IH8" s="1183"/>
      <c r="II8" s="1183"/>
      <c r="IJ8" s="1168"/>
      <c r="IK8" s="1168"/>
      <c r="IL8" s="1168"/>
      <c r="IM8" s="1168"/>
      <c r="IN8" s="1168"/>
      <c r="IO8" s="1168"/>
    </row>
    <row r="9" spans="1:261" ht="19" x14ac:dyDescent="0.25">
      <c r="C9" s="569" t="s">
        <v>1106</v>
      </c>
      <c r="D9" s="570">
        <f>'POSF Inventory'!ID17</f>
        <v>0.9890000000000001</v>
      </c>
      <c r="FM9" s="606" t="s">
        <v>404</v>
      </c>
      <c r="FN9" s="607">
        <v>0.02</v>
      </c>
      <c r="FP9" s="1180" t="s">
        <v>399</v>
      </c>
      <c r="FQ9" s="1168"/>
      <c r="FR9" s="1168"/>
      <c r="FS9" s="1168"/>
      <c r="FT9" s="1168"/>
      <c r="FU9" s="1168"/>
      <c r="FV9" s="1168" t="s">
        <v>400</v>
      </c>
      <c r="FW9" s="1168"/>
      <c r="FX9" s="1168"/>
      <c r="FY9" s="1168"/>
      <c r="FZ9" s="1168"/>
      <c r="GA9" s="1181"/>
      <c r="GB9" s="1180" t="s">
        <v>399</v>
      </c>
      <c r="GC9" s="1168"/>
      <c r="GD9" s="1168"/>
      <c r="GE9" s="1168"/>
      <c r="GF9" s="1168"/>
      <c r="GG9" s="1168"/>
      <c r="GH9" s="1168" t="s">
        <v>400</v>
      </c>
      <c r="GI9" s="1168"/>
      <c r="GJ9" s="1168"/>
      <c r="GK9" s="1168"/>
      <c r="GL9" s="1168"/>
      <c r="GM9" s="1168"/>
      <c r="GN9" s="1168" t="s">
        <v>906</v>
      </c>
      <c r="GO9" s="1168"/>
      <c r="GP9" s="1168"/>
      <c r="GQ9" s="1168"/>
      <c r="GR9" s="1168"/>
      <c r="GS9" s="1168"/>
      <c r="GT9" s="1180" t="s">
        <v>399</v>
      </c>
      <c r="GU9" s="1168"/>
      <c r="GV9" s="1168"/>
      <c r="GW9" s="1168"/>
      <c r="GX9" s="1168"/>
      <c r="GY9" s="1168"/>
      <c r="GZ9" s="1168" t="s">
        <v>400</v>
      </c>
      <c r="HA9" s="1168"/>
      <c r="HB9" s="1168"/>
      <c r="HC9" s="1168"/>
      <c r="HD9" s="1168"/>
      <c r="HE9" s="1168"/>
      <c r="HF9" s="1168" t="s">
        <v>905</v>
      </c>
      <c r="HG9" s="1168"/>
      <c r="HH9" s="1168"/>
      <c r="HI9" s="1168"/>
      <c r="HJ9" s="1168"/>
      <c r="HK9" s="1168"/>
      <c r="HL9" s="1168" t="s">
        <v>692</v>
      </c>
      <c r="HM9" s="1168"/>
      <c r="HN9" s="1168"/>
      <c r="HO9" s="1168"/>
      <c r="HP9" s="1168"/>
      <c r="HQ9" s="1168"/>
      <c r="HR9" s="1168" t="s">
        <v>906</v>
      </c>
      <c r="HS9" s="1168"/>
      <c r="HT9" s="1168"/>
      <c r="HU9" s="1168"/>
      <c r="HV9" s="1168"/>
      <c r="HW9" s="1181"/>
      <c r="HX9" s="1180" t="s">
        <v>399</v>
      </c>
      <c r="HY9" s="1168"/>
      <c r="HZ9" s="1168"/>
      <c r="IA9" s="1168"/>
      <c r="IB9" s="1168"/>
      <c r="IC9" s="1168"/>
      <c r="ID9" s="1168" t="s">
        <v>400</v>
      </c>
      <c r="IE9" s="1168"/>
      <c r="IF9" s="1168"/>
      <c r="IG9" s="1168"/>
      <c r="IH9" s="1168"/>
      <c r="II9" s="1168"/>
      <c r="IJ9" s="1168" t="s">
        <v>906</v>
      </c>
      <c r="IK9" s="1168"/>
      <c r="IL9" s="1168"/>
      <c r="IM9" s="1168"/>
      <c r="IN9" s="1168"/>
      <c r="IO9" s="1168"/>
    </row>
    <row r="10" spans="1:261" ht="19" x14ac:dyDescent="0.25">
      <c r="FM10" s="606" t="s">
        <v>406</v>
      </c>
      <c r="FN10" s="607">
        <v>0.98</v>
      </c>
      <c r="FP10" s="1180" t="s">
        <v>47</v>
      </c>
      <c r="FQ10" s="1168"/>
      <c r="FR10" s="1168" t="s">
        <v>48</v>
      </c>
      <c r="FS10" s="1168"/>
      <c r="FT10" s="1168" t="s">
        <v>49</v>
      </c>
      <c r="FU10" s="1168"/>
      <c r="FV10" s="1168" t="s">
        <v>47</v>
      </c>
      <c r="FW10" s="1168"/>
      <c r="FX10" s="1168" t="s">
        <v>48</v>
      </c>
      <c r="FY10" s="1168"/>
      <c r="FZ10" s="1168" t="s">
        <v>49</v>
      </c>
      <c r="GA10" s="1181"/>
      <c r="GB10" s="1180" t="s">
        <v>47</v>
      </c>
      <c r="GC10" s="1168"/>
      <c r="GD10" s="1168" t="s">
        <v>48</v>
      </c>
      <c r="GE10" s="1168"/>
      <c r="GF10" s="1168" t="s">
        <v>49</v>
      </c>
      <c r="GG10" s="1168"/>
      <c r="GH10" s="1168" t="s">
        <v>47</v>
      </c>
      <c r="GI10" s="1168"/>
      <c r="GJ10" s="1168" t="s">
        <v>48</v>
      </c>
      <c r="GK10" s="1168"/>
      <c r="GL10" s="1168" t="s">
        <v>49</v>
      </c>
      <c r="GM10" s="1168"/>
      <c r="GN10" s="1168" t="s">
        <v>47</v>
      </c>
      <c r="GO10" s="1168"/>
      <c r="GP10" s="1168" t="s">
        <v>48</v>
      </c>
      <c r="GQ10" s="1168"/>
      <c r="GR10" s="1168" t="s">
        <v>49</v>
      </c>
      <c r="GS10" s="1168"/>
      <c r="GT10" s="1180" t="s">
        <v>47</v>
      </c>
      <c r="GU10" s="1168"/>
      <c r="GV10" s="1168" t="s">
        <v>48</v>
      </c>
      <c r="GW10" s="1168"/>
      <c r="GX10" s="1168" t="s">
        <v>49</v>
      </c>
      <c r="GY10" s="1168"/>
      <c r="GZ10" s="1168" t="s">
        <v>47</v>
      </c>
      <c r="HA10" s="1168"/>
      <c r="HB10" s="1168" t="s">
        <v>48</v>
      </c>
      <c r="HC10" s="1168"/>
      <c r="HD10" s="1168" t="s">
        <v>49</v>
      </c>
      <c r="HE10" s="1168"/>
      <c r="HF10" s="1168" t="s">
        <v>47</v>
      </c>
      <c r="HG10" s="1168"/>
      <c r="HH10" s="1168" t="s">
        <v>48</v>
      </c>
      <c r="HI10" s="1168"/>
      <c r="HJ10" s="1168" t="s">
        <v>49</v>
      </c>
      <c r="HK10" s="1168"/>
      <c r="HL10" s="1168" t="s">
        <v>47</v>
      </c>
      <c r="HM10" s="1168"/>
      <c r="HN10" s="1168" t="s">
        <v>48</v>
      </c>
      <c r="HO10" s="1168"/>
      <c r="HP10" s="1168" t="s">
        <v>49</v>
      </c>
      <c r="HQ10" s="1168"/>
      <c r="HR10" s="1168" t="s">
        <v>47</v>
      </c>
      <c r="HS10" s="1168"/>
      <c r="HT10" s="1168" t="s">
        <v>48</v>
      </c>
      <c r="HU10" s="1168"/>
      <c r="HV10" s="1168" t="s">
        <v>49</v>
      </c>
      <c r="HW10" s="1181"/>
      <c r="HX10" s="1180" t="s">
        <v>47</v>
      </c>
      <c r="HY10" s="1168"/>
      <c r="HZ10" s="1168" t="s">
        <v>48</v>
      </c>
      <c r="IA10" s="1168"/>
      <c r="IB10" s="1168" t="s">
        <v>49</v>
      </c>
      <c r="IC10" s="1168"/>
      <c r="ID10" s="1168" t="s">
        <v>47</v>
      </c>
      <c r="IE10" s="1168"/>
      <c r="IF10" s="1168" t="s">
        <v>48</v>
      </c>
      <c r="IG10" s="1168"/>
      <c r="IH10" s="1168" t="s">
        <v>49</v>
      </c>
      <c r="II10" s="1168"/>
      <c r="IJ10" s="1168" t="s">
        <v>47</v>
      </c>
      <c r="IK10" s="1168"/>
      <c r="IL10" s="1168" t="s">
        <v>48</v>
      </c>
      <c r="IM10" s="1168"/>
      <c r="IN10" s="1168" t="s">
        <v>49</v>
      </c>
      <c r="IO10" s="1168"/>
    </row>
    <row r="11" spans="1:261" ht="20" x14ac:dyDescent="0.25">
      <c r="C11" s="230" t="s">
        <v>1132</v>
      </c>
      <c r="D11" s="230"/>
      <c r="E11" s="230"/>
      <c r="F11" s="230"/>
      <c r="G11" s="230"/>
      <c r="H11" s="230"/>
      <c r="I11" s="230"/>
      <c r="J11" s="230"/>
      <c r="K11" s="230"/>
      <c r="L11" s="230"/>
      <c r="M11" s="230"/>
      <c r="N11" s="230"/>
      <c r="O11" s="230"/>
      <c r="P11" s="230"/>
      <c r="Q11" s="230"/>
      <c r="R11" s="230"/>
      <c r="S11" s="230"/>
      <c r="T11" s="230"/>
      <c r="U11" s="230"/>
      <c r="V11" s="230"/>
      <c r="W11" s="230"/>
      <c r="X11" s="230"/>
      <c r="Y11" s="230"/>
      <c r="Z11" s="230"/>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0"/>
      <c r="CC11" s="230"/>
      <c r="CD11" s="230"/>
      <c r="CE11" s="230"/>
      <c r="CF11" s="230"/>
      <c r="CG11" s="230"/>
      <c r="CH11" s="230"/>
      <c r="CI11" s="230"/>
      <c r="CJ11" s="230"/>
      <c r="CK11" s="230"/>
      <c r="CL11" s="230"/>
      <c r="CM11" s="230"/>
      <c r="CN11" s="230"/>
      <c r="CO11" s="230"/>
      <c r="CP11" s="230"/>
      <c r="CQ11" s="230"/>
      <c r="CR11" s="230"/>
      <c r="CS11" s="230"/>
      <c r="CT11" s="230"/>
      <c r="CU11" s="230"/>
      <c r="CV11" s="230"/>
      <c r="CW11" s="230"/>
      <c r="CX11" s="230"/>
      <c r="CY11" s="230"/>
      <c r="CZ11" s="230"/>
      <c r="DA11" s="230"/>
      <c r="DB11" s="230"/>
      <c r="DC11" s="230"/>
      <c r="DD11" s="230"/>
      <c r="DE11" s="230"/>
      <c r="DF11" s="230"/>
      <c r="DG11" s="230"/>
      <c r="DH11" s="230"/>
      <c r="DI11" s="230"/>
      <c r="DJ11" s="230"/>
      <c r="DK11" s="230"/>
      <c r="DL11" s="230"/>
      <c r="DM11" s="230"/>
      <c r="DN11" s="230"/>
      <c r="DO11" s="230"/>
      <c r="DP11" s="230"/>
      <c r="DQ11" s="230"/>
      <c r="DR11" s="230"/>
      <c r="DS11" s="230"/>
      <c r="DT11" s="230"/>
      <c r="DU11" s="230"/>
      <c r="DV11" s="230"/>
      <c r="DW11" s="230"/>
      <c r="DX11" s="230"/>
      <c r="DY11" s="230"/>
      <c r="DZ11" s="230"/>
      <c r="EA11" s="230"/>
      <c r="EB11" s="230"/>
      <c r="EC11" s="230"/>
      <c r="ED11" s="230"/>
      <c r="EE11" s="230"/>
      <c r="EF11" s="230"/>
      <c r="EG11" s="230"/>
      <c r="EH11" s="230"/>
      <c r="EI11" s="230"/>
      <c r="EJ11" s="230"/>
      <c r="EK11" s="230"/>
      <c r="EL11" s="230"/>
      <c r="EM11" s="230"/>
      <c r="EN11" s="230"/>
      <c r="EO11" s="230"/>
      <c r="EP11" s="230"/>
      <c r="EQ11" s="230"/>
      <c r="ER11" s="230"/>
      <c r="ES11" s="230"/>
      <c r="ET11" s="230"/>
      <c r="EU11" s="230"/>
      <c r="EV11" s="230"/>
      <c r="EW11" s="230"/>
      <c r="EX11" s="230"/>
      <c r="EY11" s="230"/>
      <c r="EZ11" s="230"/>
      <c r="FA11" s="230"/>
      <c r="FB11" s="230"/>
      <c r="FC11" s="230"/>
      <c r="FD11" s="230"/>
      <c r="FE11" s="230"/>
      <c r="FF11" s="230"/>
      <c r="FG11" s="230"/>
      <c r="FH11" s="230"/>
      <c r="FI11" s="330"/>
      <c r="FJ11" s="330"/>
      <c r="FO11" s="550" t="s">
        <v>1136</v>
      </c>
      <c r="FP11" s="50" t="s">
        <v>44</v>
      </c>
      <c r="FQ11" s="51" t="s">
        <v>45</v>
      </c>
      <c r="FR11" s="51" t="s">
        <v>44</v>
      </c>
      <c r="FS11" s="51" t="s">
        <v>45</v>
      </c>
      <c r="FT11" s="51" t="s">
        <v>44</v>
      </c>
      <c r="FU11" s="51" t="s">
        <v>45</v>
      </c>
      <c r="FV11" s="51" t="s">
        <v>44</v>
      </c>
      <c r="FW11" s="51" t="s">
        <v>45</v>
      </c>
      <c r="FX11" s="51" t="s">
        <v>44</v>
      </c>
      <c r="FY11" s="51" t="s">
        <v>45</v>
      </c>
      <c r="FZ11" s="51" t="s">
        <v>44</v>
      </c>
      <c r="GA11" s="55" t="s">
        <v>45</v>
      </c>
      <c r="GB11" s="50" t="s">
        <v>44</v>
      </c>
      <c r="GC11" s="51" t="s">
        <v>45</v>
      </c>
      <c r="GD11" s="51" t="s">
        <v>44</v>
      </c>
      <c r="GE11" s="51" t="s">
        <v>45</v>
      </c>
      <c r="GF11" s="51" t="s">
        <v>44</v>
      </c>
      <c r="GG11" s="51" t="s">
        <v>45</v>
      </c>
      <c r="GH11" s="51" t="s">
        <v>44</v>
      </c>
      <c r="GI11" s="51" t="s">
        <v>45</v>
      </c>
      <c r="GJ11" s="51" t="s">
        <v>44</v>
      </c>
      <c r="GK11" s="51" t="s">
        <v>45</v>
      </c>
      <c r="GL11" s="51" t="s">
        <v>44</v>
      </c>
      <c r="GM11" s="51" t="s">
        <v>45</v>
      </c>
      <c r="GN11" s="51" t="s">
        <v>44</v>
      </c>
      <c r="GO11" s="51" t="s">
        <v>45</v>
      </c>
      <c r="GP11" s="51" t="s">
        <v>44</v>
      </c>
      <c r="GQ11" s="51" t="s">
        <v>45</v>
      </c>
      <c r="GR11" s="51" t="s">
        <v>44</v>
      </c>
      <c r="GS11" s="51" t="s">
        <v>45</v>
      </c>
      <c r="GT11" s="50" t="s">
        <v>44</v>
      </c>
      <c r="GU11" s="51" t="s">
        <v>45</v>
      </c>
      <c r="GV11" s="51" t="s">
        <v>44</v>
      </c>
      <c r="GW11" s="51" t="s">
        <v>45</v>
      </c>
      <c r="GX11" s="51" t="s">
        <v>44</v>
      </c>
      <c r="GY11" s="51" t="s">
        <v>45</v>
      </c>
      <c r="GZ11" s="51" t="s">
        <v>44</v>
      </c>
      <c r="HA11" s="51" t="s">
        <v>45</v>
      </c>
      <c r="HB11" s="51" t="s">
        <v>44</v>
      </c>
      <c r="HC11" s="51" t="s">
        <v>45</v>
      </c>
      <c r="HD11" s="51" t="s">
        <v>44</v>
      </c>
      <c r="HE11" s="51" t="s">
        <v>45</v>
      </c>
      <c r="HF11" s="51" t="s">
        <v>44</v>
      </c>
      <c r="HG11" s="51" t="s">
        <v>45</v>
      </c>
      <c r="HH11" s="51" t="s">
        <v>44</v>
      </c>
      <c r="HI11" s="51" t="s">
        <v>45</v>
      </c>
      <c r="HJ11" s="51" t="s">
        <v>44</v>
      </c>
      <c r="HK11" s="51" t="s">
        <v>45</v>
      </c>
      <c r="HL11" s="51" t="s">
        <v>44</v>
      </c>
      <c r="HM11" s="51" t="s">
        <v>45</v>
      </c>
      <c r="HN11" s="51" t="s">
        <v>44</v>
      </c>
      <c r="HO11" s="51" t="s">
        <v>45</v>
      </c>
      <c r="HP11" s="51" t="s">
        <v>44</v>
      </c>
      <c r="HQ11" s="51" t="s">
        <v>45</v>
      </c>
      <c r="HR11" s="51" t="s">
        <v>44</v>
      </c>
      <c r="HS11" s="51" t="s">
        <v>45</v>
      </c>
      <c r="HT11" s="51" t="s">
        <v>44</v>
      </c>
      <c r="HU11" s="51" t="s">
        <v>45</v>
      </c>
      <c r="HV11" s="51" t="s">
        <v>44</v>
      </c>
      <c r="HW11" s="55" t="s">
        <v>45</v>
      </c>
      <c r="HX11" s="50" t="s">
        <v>44</v>
      </c>
      <c r="HY11" s="51" t="s">
        <v>45</v>
      </c>
      <c r="HZ11" s="51" t="s">
        <v>44</v>
      </c>
      <c r="IA11" s="51" t="s">
        <v>45</v>
      </c>
      <c r="IB11" s="51" t="s">
        <v>44</v>
      </c>
      <c r="IC11" s="51" t="s">
        <v>45</v>
      </c>
      <c r="ID11" s="51" t="s">
        <v>44</v>
      </c>
      <c r="IE11" s="51" t="s">
        <v>45</v>
      </c>
      <c r="IF11" s="51" t="s">
        <v>44</v>
      </c>
      <c r="IG11" s="51" t="s">
        <v>45</v>
      </c>
      <c r="IH11" s="51" t="s">
        <v>44</v>
      </c>
      <c r="II11" s="51" t="s">
        <v>45</v>
      </c>
      <c r="IJ11" s="51" t="s">
        <v>44</v>
      </c>
      <c r="IK11" s="51" t="s">
        <v>45</v>
      </c>
      <c r="IL11" s="51" t="s">
        <v>44</v>
      </c>
      <c r="IM11" s="51" t="s">
        <v>45</v>
      </c>
      <c r="IN11" s="51" t="s">
        <v>44</v>
      </c>
      <c r="IO11" s="51" t="s">
        <v>45</v>
      </c>
    </row>
    <row r="12" spans="1:261" s="455" customFormat="1" ht="20" x14ac:dyDescent="0.25">
      <c r="C12" s="330"/>
      <c r="D12" s="330"/>
      <c r="E12" s="330"/>
      <c r="F12" s="330"/>
      <c r="G12" s="330"/>
      <c r="H12" s="330"/>
      <c r="I12" s="330"/>
      <c r="J12" s="330"/>
      <c r="K12" s="330"/>
      <c r="L12" s="330"/>
      <c r="M12" s="330"/>
      <c r="N12" s="330"/>
      <c r="O12" s="330"/>
      <c r="P12" s="330"/>
      <c r="Q12" s="330"/>
      <c r="R12" s="330"/>
      <c r="S12" s="330"/>
      <c r="T12" s="330"/>
      <c r="U12" s="330"/>
      <c r="V12" s="330"/>
      <c r="W12" s="330"/>
      <c r="X12" s="330"/>
      <c r="Y12" s="330"/>
      <c r="Z12" s="330"/>
      <c r="AA12" s="330"/>
      <c r="AB12" s="330"/>
      <c r="AC12" s="330"/>
      <c r="AD12" s="330"/>
      <c r="AE12" s="330"/>
      <c r="AF12" s="330"/>
      <c r="AG12" s="330"/>
      <c r="AH12" s="330"/>
      <c r="AI12" s="330"/>
      <c r="AJ12" s="330"/>
      <c r="AK12" s="330"/>
      <c r="AL12" s="330"/>
      <c r="AM12" s="330"/>
      <c r="AN12" s="330"/>
      <c r="AO12" s="330"/>
      <c r="AP12" s="330"/>
      <c r="AQ12" s="330"/>
      <c r="AR12" s="330"/>
      <c r="AS12" s="330"/>
      <c r="AT12" s="330"/>
      <c r="AU12" s="330"/>
      <c r="AV12" s="330"/>
      <c r="AW12" s="330"/>
      <c r="AX12" s="330"/>
      <c r="AY12" s="330"/>
      <c r="AZ12" s="330"/>
      <c r="BA12" s="330"/>
      <c r="BB12" s="330"/>
      <c r="BC12" s="330"/>
      <c r="BD12" s="330"/>
      <c r="BE12" s="330"/>
      <c r="BF12" s="330"/>
      <c r="BG12" s="330"/>
      <c r="BH12" s="330"/>
      <c r="BI12" s="330"/>
      <c r="BJ12" s="330"/>
      <c r="BK12" s="330"/>
      <c r="BL12" s="330"/>
      <c r="BM12" s="330"/>
      <c r="BN12" s="330"/>
      <c r="BO12" s="330"/>
      <c r="BP12" s="330"/>
      <c r="BQ12" s="330"/>
      <c r="BR12" s="330"/>
      <c r="BS12" s="330"/>
      <c r="BT12" s="330"/>
      <c r="BU12" s="330"/>
      <c r="BV12" s="330"/>
      <c r="BW12" s="330"/>
      <c r="BX12" s="330"/>
      <c r="BY12" s="330"/>
      <c r="BZ12" s="330"/>
      <c r="CA12" s="330"/>
      <c r="CB12" s="330"/>
      <c r="CC12" s="330"/>
      <c r="CD12" s="330"/>
      <c r="CE12" s="330"/>
      <c r="CF12" s="330"/>
      <c r="CG12" s="330"/>
      <c r="CH12" s="330"/>
      <c r="CI12" s="330"/>
      <c r="CJ12" s="330"/>
      <c r="CK12" s="330"/>
      <c r="CL12" s="330"/>
      <c r="CM12" s="330"/>
      <c r="CN12" s="330"/>
      <c r="CO12" s="330"/>
      <c r="CP12" s="330"/>
      <c r="CQ12" s="330"/>
      <c r="CR12" s="330"/>
      <c r="CS12" s="330"/>
      <c r="CT12" s="330"/>
      <c r="CU12" s="330"/>
      <c r="CV12" s="330"/>
      <c r="CW12" s="330"/>
      <c r="CX12" s="330"/>
      <c r="CY12" s="330"/>
      <c r="CZ12" s="330"/>
      <c r="DA12" s="330"/>
      <c r="DB12" s="330"/>
      <c r="DC12" s="330"/>
      <c r="DD12" s="330"/>
      <c r="DE12" s="330"/>
      <c r="DF12" s="330"/>
      <c r="DG12" s="330"/>
      <c r="DH12" s="330"/>
      <c r="DI12" s="330"/>
      <c r="DJ12" s="330"/>
      <c r="DK12" s="330"/>
      <c r="DL12" s="330"/>
      <c r="DM12" s="330"/>
      <c r="DN12" s="330"/>
      <c r="DO12" s="330"/>
      <c r="DP12" s="330"/>
      <c r="DQ12" s="330"/>
      <c r="DR12" s="330"/>
      <c r="DS12" s="330"/>
      <c r="DT12" s="330"/>
      <c r="DU12" s="330"/>
      <c r="DV12" s="330"/>
      <c r="DW12" s="330"/>
      <c r="DX12" s="330"/>
      <c r="DY12" s="330"/>
      <c r="DZ12" s="330"/>
      <c r="EA12" s="330"/>
      <c r="EB12" s="330"/>
      <c r="EC12" s="330"/>
      <c r="ED12" s="330"/>
      <c r="EE12" s="330"/>
      <c r="EF12" s="330"/>
      <c r="EG12" s="330"/>
      <c r="EH12" s="330"/>
      <c r="EI12" s="330"/>
      <c r="EJ12" s="330"/>
      <c r="EK12" s="330"/>
      <c r="EL12" s="330"/>
      <c r="EM12" s="330"/>
      <c r="EN12" s="330"/>
      <c r="EO12" s="330"/>
      <c r="EP12" s="330"/>
      <c r="EQ12" s="330"/>
      <c r="ER12" s="330"/>
      <c r="ES12" s="330"/>
      <c r="ET12" s="330"/>
      <c r="EU12" s="330"/>
      <c r="EV12" s="330"/>
      <c r="EW12" s="330"/>
      <c r="EX12" s="330"/>
      <c r="EY12" s="330"/>
      <c r="EZ12" s="330"/>
      <c r="FA12" s="330"/>
      <c r="FB12" s="330"/>
      <c r="FC12" s="330"/>
      <c r="FD12" s="330"/>
      <c r="FE12" s="330"/>
      <c r="FF12" s="330"/>
      <c r="FG12" s="330"/>
      <c r="FH12" s="330"/>
      <c r="FI12" s="330"/>
      <c r="FJ12" s="330"/>
      <c r="FO12"/>
      <c r="FP12" s="1239" t="s">
        <v>1131</v>
      </c>
      <c r="FQ12" s="1217"/>
      <c r="FR12" s="1217"/>
      <c r="FS12" s="1217"/>
      <c r="FT12" s="1217"/>
      <c r="FU12" s="1217"/>
      <c r="FV12" s="1217"/>
      <c r="FW12" s="1217"/>
      <c r="FX12" s="1217"/>
      <c r="FY12" s="1217"/>
      <c r="FZ12" s="1217"/>
      <c r="GA12" s="1236"/>
      <c r="GB12" s="1239" t="s">
        <v>1131</v>
      </c>
      <c r="GC12" s="1217"/>
      <c r="GD12" s="1217"/>
      <c r="GE12" s="1217"/>
      <c r="GF12" s="1217"/>
      <c r="GG12" s="1217"/>
      <c r="GH12" s="1217"/>
      <c r="GI12" s="1217"/>
      <c r="GJ12" s="1217"/>
      <c r="GK12" s="1217"/>
      <c r="GL12" s="1217"/>
      <c r="GM12" s="1217"/>
      <c r="GN12" s="1217"/>
      <c r="GO12" s="1217"/>
      <c r="GP12" s="1217"/>
      <c r="GQ12" s="1217"/>
      <c r="GR12" s="1217"/>
      <c r="GS12" s="1236"/>
      <c r="GT12" s="1239"/>
      <c r="GU12" s="1217"/>
      <c r="GV12" s="1217"/>
      <c r="GW12" s="1217"/>
      <c r="GX12" s="1217"/>
      <c r="GY12" s="1217"/>
      <c r="GZ12" s="1217"/>
      <c r="HA12" s="1217"/>
      <c r="HB12" s="1217"/>
      <c r="HC12" s="1217"/>
      <c r="HD12" s="1217"/>
      <c r="HE12" s="1217"/>
      <c r="HF12" s="75"/>
      <c r="HG12" s="75"/>
      <c r="HH12" s="75"/>
      <c r="HI12" s="75"/>
      <c r="HJ12" s="75"/>
      <c r="HK12" s="75"/>
      <c r="HL12" s="75"/>
      <c r="HM12" s="75"/>
      <c r="HN12" s="75"/>
      <c r="HO12" s="75"/>
      <c r="HP12" s="75"/>
      <c r="HQ12" s="75"/>
      <c r="HR12" s="75"/>
      <c r="HS12" s="75"/>
      <c r="HT12" s="75"/>
      <c r="HU12" s="75"/>
      <c r="HV12" s="75"/>
      <c r="HW12" s="612"/>
      <c r="HX12" s="538"/>
      <c r="HY12" s="75"/>
      <c r="HZ12" s="75"/>
      <c r="IA12" s="75"/>
      <c r="IB12" s="75"/>
      <c r="IC12" s="75"/>
      <c r="ID12" s="75"/>
      <c r="IE12" s="75"/>
      <c r="IF12" s="75"/>
      <c r="IG12" s="75"/>
      <c r="IH12" s="75"/>
      <c r="II12" s="75"/>
      <c r="IJ12" s="75"/>
      <c r="IK12" s="75"/>
      <c r="IL12" s="75"/>
      <c r="IM12" s="75"/>
      <c r="IN12" s="75"/>
      <c r="IO12" s="75"/>
    </row>
    <row r="13" spans="1:261" ht="19" thickBot="1" x14ac:dyDescent="0.3">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FP13" s="1249"/>
      <c r="FQ13" s="1219"/>
      <c r="FR13" s="1219"/>
      <c r="FS13" s="1219"/>
      <c r="FT13" s="1219"/>
      <c r="FU13" s="1219"/>
      <c r="FV13" s="1219"/>
      <c r="FW13" s="1219"/>
      <c r="FX13" s="1219"/>
      <c r="FY13" s="1219"/>
      <c r="FZ13" s="1219"/>
      <c r="GA13" s="1279"/>
      <c r="GB13" s="1249"/>
      <c r="GC13" s="1219"/>
      <c r="GD13" s="1219"/>
      <c r="GE13" s="1219"/>
      <c r="GF13" s="1219"/>
      <c r="GG13" s="1219"/>
      <c r="GH13" s="1219"/>
      <c r="GI13" s="1219"/>
      <c r="GJ13" s="1219"/>
      <c r="GK13" s="1219"/>
      <c r="GL13" s="1219"/>
      <c r="GM13" s="1219"/>
      <c r="GN13" s="1219"/>
      <c r="GO13" s="1219"/>
      <c r="GP13" s="1219"/>
      <c r="GQ13" s="1219"/>
      <c r="GR13" s="1219"/>
      <c r="GS13" s="1279"/>
      <c r="GT13" s="1249"/>
      <c r="GU13" s="1219"/>
      <c r="GV13" s="1219"/>
      <c r="GW13" s="1219"/>
      <c r="GX13" s="1219"/>
      <c r="GY13" s="1219"/>
      <c r="GZ13" s="1219"/>
      <c r="HA13" s="1219"/>
      <c r="HB13" s="1219"/>
      <c r="HC13" s="1219"/>
      <c r="HD13" s="1219"/>
      <c r="HE13" s="1219"/>
      <c r="HF13" s="76"/>
      <c r="HG13" s="76"/>
      <c r="HH13" s="76"/>
      <c r="HI13" s="76"/>
      <c r="HJ13" s="76"/>
      <c r="HK13" s="76"/>
      <c r="HL13" s="76"/>
      <c r="HM13" s="76"/>
      <c r="HN13" s="76"/>
      <c r="HO13" s="76"/>
      <c r="HP13" s="76"/>
      <c r="HQ13" s="76"/>
      <c r="HR13" s="76"/>
      <c r="HS13" s="76"/>
      <c r="HT13" s="76"/>
      <c r="HU13" s="76"/>
      <c r="HV13" s="76"/>
      <c r="HW13" s="613"/>
      <c r="HX13" s="539"/>
      <c r="HY13" s="76"/>
      <c r="HZ13" s="76"/>
      <c r="IA13" s="76"/>
      <c r="IB13" s="76"/>
      <c r="IC13" s="76"/>
      <c r="ID13" s="76"/>
      <c r="IE13" s="76"/>
      <c r="IF13" s="76"/>
      <c r="IG13" s="76"/>
      <c r="IH13" s="76"/>
      <c r="II13" s="76"/>
      <c r="IJ13" s="76"/>
      <c r="IK13" s="76"/>
      <c r="IL13" s="76"/>
      <c r="IM13" s="76"/>
      <c r="IN13" s="76"/>
      <c r="IO13" s="76"/>
    </row>
    <row r="14" spans="1:261" ht="23" x14ac:dyDescent="0.3">
      <c r="A14" s="1274" t="s">
        <v>1</v>
      </c>
      <c r="C14" s="1155" t="s">
        <v>1111</v>
      </c>
      <c r="D14" s="1156"/>
      <c r="E14" s="1156"/>
      <c r="F14" s="1156"/>
      <c r="G14" s="1156"/>
      <c r="H14" s="1156"/>
      <c r="I14" s="1156"/>
      <c r="J14" s="1156"/>
      <c r="K14" s="1156"/>
      <c r="L14" s="1156"/>
      <c r="M14" s="1156"/>
      <c r="N14" s="1156"/>
      <c r="O14" s="1156"/>
      <c r="P14" s="1156"/>
      <c r="Q14" s="1156"/>
      <c r="R14" s="1156"/>
      <c r="S14" s="1156"/>
      <c r="T14" s="1156"/>
      <c r="U14" s="1156"/>
      <c r="V14" s="1156"/>
      <c r="W14" s="1156"/>
      <c r="X14" s="1156"/>
      <c r="Y14" s="1156"/>
      <c r="Z14" s="1177"/>
      <c r="AA14" s="1155" t="s">
        <v>1112</v>
      </c>
      <c r="AB14" s="1156"/>
      <c r="AC14" s="1156"/>
      <c r="AD14" s="1156"/>
      <c r="AE14" s="1156"/>
      <c r="AF14" s="1156"/>
      <c r="AG14" s="1156"/>
      <c r="AH14" s="1156"/>
      <c r="AI14" s="1156"/>
      <c r="AJ14" s="1156"/>
      <c r="AK14" s="1156"/>
      <c r="AL14" s="1156"/>
      <c r="AM14" s="1156"/>
      <c r="AN14" s="1156"/>
      <c r="AO14" s="1156"/>
      <c r="AP14" s="1156"/>
      <c r="AQ14" s="1156"/>
      <c r="AR14" s="1156"/>
      <c r="AS14" s="1156"/>
      <c r="AT14" s="1156"/>
      <c r="AU14" s="1156"/>
      <c r="AV14" s="1156"/>
      <c r="AW14" s="1156"/>
      <c r="AX14" s="1177"/>
      <c r="AY14" s="1155" t="s">
        <v>1113</v>
      </c>
      <c r="AZ14" s="1156"/>
      <c r="BA14" s="1156"/>
      <c r="BB14" s="1156"/>
      <c r="BC14" s="1156"/>
      <c r="BD14" s="1156"/>
      <c r="BE14" s="1156"/>
      <c r="BF14" s="1156"/>
      <c r="BG14" s="1156"/>
      <c r="BH14" s="1156"/>
      <c r="BI14" s="1156"/>
      <c r="BJ14" s="1156"/>
      <c r="BK14" s="1156"/>
      <c r="BL14" s="1156"/>
      <c r="BM14" s="1156"/>
      <c r="BN14" s="1156"/>
      <c r="BO14" s="1156"/>
      <c r="BP14" s="1156"/>
      <c r="BQ14" s="1156"/>
      <c r="BR14" s="1156"/>
      <c r="BS14" s="1156"/>
      <c r="BT14" s="1156"/>
      <c r="BU14" s="1156"/>
      <c r="BV14" s="1156"/>
      <c r="BW14" s="1156"/>
      <c r="BX14" s="1156"/>
      <c r="BY14" s="1156"/>
      <c r="BZ14" s="1156"/>
      <c r="CA14" s="1156"/>
      <c r="CB14" s="1177"/>
      <c r="CC14" s="1155" t="s">
        <v>1118</v>
      </c>
      <c r="CD14" s="1156"/>
      <c r="CE14" s="1156"/>
      <c r="CF14" s="1156"/>
      <c r="CG14" s="1156"/>
      <c r="CH14" s="1156"/>
      <c r="CI14" s="1156"/>
      <c r="CJ14" s="1156"/>
      <c r="CK14" s="1156"/>
      <c r="CL14" s="1156"/>
      <c r="CM14" s="1156"/>
      <c r="CN14" s="1156"/>
      <c r="CO14" s="1156"/>
      <c r="CP14" s="1156"/>
      <c r="CQ14" s="1156"/>
      <c r="CR14" s="1156"/>
      <c r="CS14" s="1156"/>
      <c r="CT14" s="1156"/>
      <c r="CU14" s="1156"/>
      <c r="CV14" s="1156"/>
      <c r="CW14" s="1156"/>
      <c r="CX14" s="1156"/>
      <c r="CY14" s="1156"/>
      <c r="CZ14" s="1177"/>
      <c r="DA14" s="1155" t="s">
        <v>1119</v>
      </c>
      <c r="DB14" s="1156"/>
      <c r="DC14" s="1156"/>
      <c r="DD14" s="1156"/>
      <c r="DE14" s="1156"/>
      <c r="DF14" s="1156"/>
      <c r="DG14" s="1156"/>
      <c r="DH14" s="1156"/>
      <c r="DI14" s="1156"/>
      <c r="DJ14" s="1156"/>
      <c r="DK14" s="1156"/>
      <c r="DL14" s="1156"/>
      <c r="DM14" s="1156"/>
      <c r="DN14" s="1156"/>
      <c r="DO14" s="1156"/>
      <c r="DP14" s="1156"/>
      <c r="DQ14" s="1156"/>
      <c r="DR14" s="1156"/>
      <c r="DS14" s="1156"/>
      <c r="DT14" s="1156"/>
      <c r="DU14" s="1156"/>
      <c r="DV14" s="1156"/>
      <c r="DW14" s="1156"/>
      <c r="DX14" s="1156"/>
      <c r="DY14" s="1156"/>
      <c r="DZ14" s="1156"/>
      <c r="EA14" s="1156"/>
      <c r="EB14" s="1156"/>
      <c r="EC14" s="1156"/>
      <c r="ED14" s="1157"/>
      <c r="EE14" s="1156" t="s">
        <v>1193</v>
      </c>
      <c r="EF14" s="1156"/>
      <c r="EG14" s="1156"/>
      <c r="EH14" s="1156"/>
      <c r="EI14" s="1156"/>
      <c r="EJ14" s="1156"/>
      <c r="EK14" s="1156"/>
      <c r="EL14" s="1156"/>
      <c r="EM14" s="1156"/>
      <c r="EN14" s="1156"/>
      <c r="EO14" s="1156"/>
      <c r="EP14" s="1156"/>
      <c r="EQ14" s="1156"/>
      <c r="ER14" s="1156"/>
      <c r="ES14" s="1156"/>
      <c r="ET14" s="1156"/>
      <c r="EU14" s="1156"/>
      <c r="EV14" s="1156"/>
      <c r="EW14" s="1156"/>
      <c r="EX14" s="1156"/>
      <c r="EY14" s="1156"/>
      <c r="EZ14" s="1156"/>
      <c r="FA14" s="1156"/>
      <c r="FB14" s="1156"/>
      <c r="FC14" s="1156"/>
      <c r="FD14" s="1156"/>
      <c r="FE14" s="1156"/>
      <c r="FF14" s="1156"/>
      <c r="FG14" s="1156"/>
      <c r="FH14" s="1157"/>
      <c r="FI14" s="593"/>
      <c r="FJ14" s="593"/>
      <c r="FS14" s="586" t="s">
        <v>1134</v>
      </c>
      <c r="FT14" s="586" t="s">
        <v>1133</v>
      </c>
      <c r="FU14" s="586"/>
      <c r="FV14" s="586"/>
      <c r="HW14" s="608"/>
    </row>
    <row r="15" spans="1:261" ht="18" x14ac:dyDescent="0.25">
      <c r="A15" s="1150"/>
      <c r="C15" s="1180" t="s">
        <v>50</v>
      </c>
      <c r="D15" s="1168"/>
      <c r="E15" s="1168"/>
      <c r="F15" s="1168"/>
      <c r="G15" s="1168"/>
      <c r="H15" s="1168"/>
      <c r="I15" s="1168" t="s">
        <v>50</v>
      </c>
      <c r="J15" s="1168"/>
      <c r="K15" s="1168"/>
      <c r="L15" s="1168"/>
      <c r="M15" s="1168"/>
      <c r="N15" s="1168"/>
      <c r="O15" s="1168" t="s">
        <v>11</v>
      </c>
      <c r="P15" s="1168"/>
      <c r="Q15" s="1168"/>
      <c r="R15" s="1168"/>
      <c r="S15" s="1168"/>
      <c r="T15" s="1168"/>
      <c r="U15" s="1168" t="s">
        <v>11</v>
      </c>
      <c r="V15" s="1168"/>
      <c r="W15" s="1168"/>
      <c r="X15" s="1168"/>
      <c r="Y15" s="1168"/>
      <c r="Z15" s="1168"/>
      <c r="AA15" s="1180" t="s">
        <v>50</v>
      </c>
      <c r="AB15" s="1168"/>
      <c r="AC15" s="1168"/>
      <c r="AD15" s="1168"/>
      <c r="AE15" s="1168"/>
      <c r="AF15" s="1168"/>
      <c r="AG15" s="1168" t="s">
        <v>50</v>
      </c>
      <c r="AH15" s="1168"/>
      <c r="AI15" s="1168"/>
      <c r="AJ15" s="1168"/>
      <c r="AK15" s="1168"/>
      <c r="AL15" s="1168"/>
      <c r="AM15" s="1168" t="s">
        <v>11</v>
      </c>
      <c r="AN15" s="1168"/>
      <c r="AO15" s="1168"/>
      <c r="AP15" s="1168"/>
      <c r="AQ15" s="1168"/>
      <c r="AR15" s="1168"/>
      <c r="AS15" s="1168" t="s">
        <v>11</v>
      </c>
      <c r="AT15" s="1168"/>
      <c r="AU15" s="1168"/>
      <c r="AV15" s="1168"/>
      <c r="AW15" s="1168"/>
      <c r="AX15" s="1168"/>
      <c r="AY15" s="1180" t="s">
        <v>50</v>
      </c>
      <c r="AZ15" s="1168"/>
      <c r="BA15" s="1168"/>
      <c r="BB15" s="1168"/>
      <c r="BC15" s="1168"/>
      <c r="BD15" s="1168"/>
      <c r="BE15" s="1168" t="s">
        <v>50</v>
      </c>
      <c r="BF15" s="1168"/>
      <c r="BG15" s="1168"/>
      <c r="BH15" s="1168"/>
      <c r="BI15" s="1168"/>
      <c r="BJ15" s="1168"/>
      <c r="BK15" s="1168" t="s">
        <v>50</v>
      </c>
      <c r="BL15" s="1168"/>
      <c r="BM15" s="1168"/>
      <c r="BN15" s="1168"/>
      <c r="BO15" s="1168"/>
      <c r="BP15" s="1168"/>
      <c r="BQ15" s="1168" t="s">
        <v>11</v>
      </c>
      <c r="BR15" s="1168"/>
      <c r="BS15" s="1168"/>
      <c r="BT15" s="1168"/>
      <c r="BU15" s="1168"/>
      <c r="BV15" s="1168"/>
      <c r="BW15" s="1168" t="s">
        <v>11</v>
      </c>
      <c r="BX15" s="1168"/>
      <c r="BY15" s="1168"/>
      <c r="BZ15" s="1168"/>
      <c r="CA15" s="1168"/>
      <c r="CB15" s="1168"/>
      <c r="CC15" s="1180" t="s">
        <v>50</v>
      </c>
      <c r="CD15" s="1168"/>
      <c r="CE15" s="1168"/>
      <c r="CF15" s="1168"/>
      <c r="CG15" s="1168"/>
      <c r="CH15" s="1168"/>
      <c r="CI15" s="1168" t="s">
        <v>50</v>
      </c>
      <c r="CJ15" s="1168"/>
      <c r="CK15" s="1168"/>
      <c r="CL15" s="1168"/>
      <c r="CM15" s="1168"/>
      <c r="CN15" s="1168"/>
      <c r="CO15" s="1168" t="s">
        <v>11</v>
      </c>
      <c r="CP15" s="1168"/>
      <c r="CQ15" s="1168"/>
      <c r="CR15" s="1168"/>
      <c r="CS15" s="1168"/>
      <c r="CT15" s="1168"/>
      <c r="CU15" s="1168" t="s">
        <v>11</v>
      </c>
      <c r="CV15" s="1168"/>
      <c r="CW15" s="1168"/>
      <c r="CX15" s="1168"/>
      <c r="CY15" s="1168"/>
      <c r="CZ15" s="1168"/>
      <c r="DA15" s="1180" t="s">
        <v>50</v>
      </c>
      <c r="DB15" s="1168"/>
      <c r="DC15" s="1168"/>
      <c r="DD15" s="1168"/>
      <c r="DE15" s="1168"/>
      <c r="DF15" s="1168"/>
      <c r="DG15" s="1168" t="s">
        <v>50</v>
      </c>
      <c r="DH15" s="1168"/>
      <c r="DI15" s="1168"/>
      <c r="DJ15" s="1168"/>
      <c r="DK15" s="1168"/>
      <c r="DL15" s="1168"/>
      <c r="DM15" s="1168" t="s">
        <v>50</v>
      </c>
      <c r="DN15" s="1168"/>
      <c r="DO15" s="1168"/>
      <c r="DP15" s="1168"/>
      <c r="DQ15" s="1168"/>
      <c r="DR15" s="1168"/>
      <c r="DS15" s="1168" t="s">
        <v>11</v>
      </c>
      <c r="DT15" s="1168"/>
      <c r="DU15" s="1168"/>
      <c r="DV15" s="1168"/>
      <c r="DW15" s="1168"/>
      <c r="DX15" s="1168"/>
      <c r="DY15" s="1168" t="s">
        <v>11</v>
      </c>
      <c r="DZ15" s="1168"/>
      <c r="EA15" s="1168"/>
      <c r="EB15" s="1168"/>
      <c r="EC15" s="1168"/>
      <c r="ED15" s="1181"/>
      <c r="EE15" s="1168" t="s">
        <v>1120</v>
      </c>
      <c r="EF15" s="1168"/>
      <c r="EG15" s="1168"/>
      <c r="EH15" s="1168"/>
      <c r="EI15" s="1168"/>
      <c r="EJ15" s="1168"/>
      <c r="EK15" s="1168" t="s">
        <v>1120</v>
      </c>
      <c r="EL15" s="1168"/>
      <c r="EM15" s="1168"/>
      <c r="EN15" s="1168"/>
      <c r="EO15" s="1168"/>
      <c r="EP15" s="1168"/>
      <c r="EQ15" s="1168" t="s">
        <v>1120</v>
      </c>
      <c r="ER15" s="1168"/>
      <c r="ES15" s="1168"/>
      <c r="ET15" s="1168"/>
      <c r="EU15" s="1168"/>
      <c r="EV15" s="1168"/>
      <c r="EW15" s="1168" t="s">
        <v>1120</v>
      </c>
      <c r="EX15" s="1168"/>
      <c r="EY15" s="1168"/>
      <c r="EZ15" s="1168"/>
      <c r="FA15" s="1168"/>
      <c r="FB15" s="1168"/>
      <c r="FC15" s="1168" t="s">
        <v>1120</v>
      </c>
      <c r="FD15" s="1168"/>
      <c r="FE15" s="1168"/>
      <c r="FF15" s="1168"/>
      <c r="FG15" s="1168"/>
      <c r="FH15" s="1181"/>
      <c r="FI15" s="490"/>
      <c r="FJ15" s="490"/>
      <c r="FM15" s="341" t="s">
        <v>1145</v>
      </c>
      <c r="FN15" s="589" t="s">
        <v>1142</v>
      </c>
      <c r="FO15" s="589" t="s">
        <v>1141</v>
      </c>
      <c r="FS15" s="586" t="s">
        <v>1135</v>
      </c>
      <c r="FT15" s="586" t="s">
        <v>1196</v>
      </c>
      <c r="FU15" s="586"/>
      <c r="FV15" s="586"/>
      <c r="HW15" s="608"/>
    </row>
    <row r="16" spans="1:261" ht="40" x14ac:dyDescent="0.25">
      <c r="A16" s="1150"/>
      <c r="C16" s="1180" t="s">
        <v>399</v>
      </c>
      <c r="D16" s="1168"/>
      <c r="E16" s="1168"/>
      <c r="F16" s="1168"/>
      <c r="G16" s="1168"/>
      <c r="H16" s="1168"/>
      <c r="I16" s="1168" t="s">
        <v>400</v>
      </c>
      <c r="J16" s="1168"/>
      <c r="K16" s="1168"/>
      <c r="L16" s="1168"/>
      <c r="M16" s="1168"/>
      <c r="N16" s="1168"/>
      <c r="O16" s="1168" t="s">
        <v>399</v>
      </c>
      <c r="P16" s="1168"/>
      <c r="Q16" s="1168"/>
      <c r="R16" s="1168"/>
      <c r="S16" s="1168"/>
      <c r="T16" s="1168"/>
      <c r="U16" s="1168" t="s">
        <v>400</v>
      </c>
      <c r="V16" s="1168"/>
      <c r="W16" s="1168"/>
      <c r="X16" s="1168"/>
      <c r="Y16" s="1168"/>
      <c r="Z16" s="1192"/>
      <c r="AA16" s="1180" t="s">
        <v>399</v>
      </c>
      <c r="AB16" s="1168"/>
      <c r="AC16" s="1168"/>
      <c r="AD16" s="1168"/>
      <c r="AE16" s="1168"/>
      <c r="AF16" s="1168"/>
      <c r="AG16" s="1168" t="s">
        <v>400</v>
      </c>
      <c r="AH16" s="1168"/>
      <c r="AI16" s="1168"/>
      <c r="AJ16" s="1168"/>
      <c r="AK16" s="1168"/>
      <c r="AL16" s="1168"/>
      <c r="AM16" s="1168" t="s">
        <v>399</v>
      </c>
      <c r="AN16" s="1168"/>
      <c r="AO16" s="1168"/>
      <c r="AP16" s="1168"/>
      <c r="AQ16" s="1168"/>
      <c r="AR16" s="1168"/>
      <c r="AS16" s="1168" t="s">
        <v>400</v>
      </c>
      <c r="AT16" s="1168"/>
      <c r="AU16" s="1168"/>
      <c r="AV16" s="1168"/>
      <c r="AW16" s="1168"/>
      <c r="AX16" s="1192"/>
      <c r="AY16" s="1180" t="s">
        <v>399</v>
      </c>
      <c r="AZ16" s="1168"/>
      <c r="BA16" s="1168"/>
      <c r="BB16" s="1168"/>
      <c r="BC16" s="1168"/>
      <c r="BD16" s="1168"/>
      <c r="BE16" s="1168" t="s">
        <v>400</v>
      </c>
      <c r="BF16" s="1168"/>
      <c r="BG16" s="1168"/>
      <c r="BH16" s="1168"/>
      <c r="BI16" s="1168"/>
      <c r="BJ16" s="1168"/>
      <c r="BK16" s="1168" t="s">
        <v>906</v>
      </c>
      <c r="BL16" s="1168"/>
      <c r="BM16" s="1168"/>
      <c r="BN16" s="1168"/>
      <c r="BO16" s="1168"/>
      <c r="BP16" s="1168"/>
      <c r="BQ16" s="1168" t="s">
        <v>399</v>
      </c>
      <c r="BR16" s="1168"/>
      <c r="BS16" s="1168"/>
      <c r="BT16" s="1168"/>
      <c r="BU16" s="1168"/>
      <c r="BV16" s="1168"/>
      <c r="BW16" s="1168" t="s">
        <v>400</v>
      </c>
      <c r="BX16" s="1168"/>
      <c r="BY16" s="1168"/>
      <c r="BZ16" s="1168"/>
      <c r="CA16" s="1168"/>
      <c r="CB16" s="1192"/>
      <c r="CC16" s="1180" t="s">
        <v>399</v>
      </c>
      <c r="CD16" s="1168"/>
      <c r="CE16" s="1168"/>
      <c r="CF16" s="1168"/>
      <c r="CG16" s="1168"/>
      <c r="CH16" s="1168"/>
      <c r="CI16" s="1168" t="s">
        <v>400</v>
      </c>
      <c r="CJ16" s="1168"/>
      <c r="CK16" s="1168"/>
      <c r="CL16" s="1168"/>
      <c r="CM16" s="1168"/>
      <c r="CN16" s="1168"/>
      <c r="CO16" s="1168" t="s">
        <v>399</v>
      </c>
      <c r="CP16" s="1168"/>
      <c r="CQ16" s="1168"/>
      <c r="CR16" s="1168"/>
      <c r="CS16" s="1168"/>
      <c r="CT16" s="1168"/>
      <c r="CU16" s="1168" t="s">
        <v>400</v>
      </c>
      <c r="CV16" s="1168"/>
      <c r="CW16" s="1168"/>
      <c r="CX16" s="1168"/>
      <c r="CY16" s="1168"/>
      <c r="CZ16" s="1192"/>
      <c r="DA16" s="1180" t="s">
        <v>399</v>
      </c>
      <c r="DB16" s="1168"/>
      <c r="DC16" s="1168"/>
      <c r="DD16" s="1168"/>
      <c r="DE16" s="1168"/>
      <c r="DF16" s="1168"/>
      <c r="DG16" s="1168" t="s">
        <v>400</v>
      </c>
      <c r="DH16" s="1168"/>
      <c r="DI16" s="1168"/>
      <c r="DJ16" s="1168"/>
      <c r="DK16" s="1168"/>
      <c r="DL16" s="1168"/>
      <c r="DM16" s="1168" t="s">
        <v>906</v>
      </c>
      <c r="DN16" s="1168"/>
      <c r="DO16" s="1168"/>
      <c r="DP16" s="1168"/>
      <c r="DQ16" s="1168"/>
      <c r="DR16" s="1168"/>
      <c r="DS16" s="1168" t="s">
        <v>399</v>
      </c>
      <c r="DT16" s="1168"/>
      <c r="DU16" s="1168"/>
      <c r="DV16" s="1168"/>
      <c r="DW16" s="1168"/>
      <c r="DX16" s="1168"/>
      <c r="DY16" s="1168" t="s">
        <v>400</v>
      </c>
      <c r="DZ16" s="1168"/>
      <c r="EA16" s="1168"/>
      <c r="EB16" s="1168"/>
      <c r="EC16" s="1168"/>
      <c r="ED16" s="1181"/>
      <c r="EE16" s="1168" t="s">
        <v>399</v>
      </c>
      <c r="EF16" s="1168"/>
      <c r="EG16" s="1168"/>
      <c r="EH16" s="1168"/>
      <c r="EI16" s="1168"/>
      <c r="EJ16" s="1168"/>
      <c r="EK16" s="1168" t="s">
        <v>400</v>
      </c>
      <c r="EL16" s="1168"/>
      <c r="EM16" s="1168"/>
      <c r="EN16" s="1168"/>
      <c r="EO16" s="1168"/>
      <c r="EP16" s="1168"/>
      <c r="EQ16" s="1168" t="s">
        <v>905</v>
      </c>
      <c r="ER16" s="1168"/>
      <c r="ES16" s="1168"/>
      <c r="ET16" s="1168"/>
      <c r="EU16" s="1168"/>
      <c r="EV16" s="1192"/>
      <c r="EW16" s="1168" t="s">
        <v>692</v>
      </c>
      <c r="EX16" s="1168"/>
      <c r="EY16" s="1168"/>
      <c r="EZ16" s="1168"/>
      <c r="FA16" s="1168"/>
      <c r="FB16" s="1192"/>
      <c r="FC16" s="1168" t="s">
        <v>906</v>
      </c>
      <c r="FD16" s="1168"/>
      <c r="FE16" s="1168"/>
      <c r="FF16" s="1168"/>
      <c r="FG16" s="1168"/>
      <c r="FH16" s="1181"/>
      <c r="FI16" s="490"/>
      <c r="FJ16" s="490"/>
      <c r="FL16" s="590" t="s">
        <v>1143</v>
      </c>
      <c r="FM16" s="435"/>
      <c r="FN16" s="588">
        <v>1</v>
      </c>
      <c r="FO16" s="588">
        <v>2</v>
      </c>
      <c r="FP16" s="588">
        <v>3</v>
      </c>
      <c r="FQ16" s="588">
        <v>4</v>
      </c>
      <c r="FR16" s="588">
        <v>5</v>
      </c>
      <c r="FS16" s="588">
        <v>6</v>
      </c>
      <c r="FT16" s="588">
        <v>7</v>
      </c>
      <c r="FU16" s="588">
        <v>8</v>
      </c>
      <c r="FV16" s="588">
        <v>9</v>
      </c>
      <c r="FW16" s="588">
        <v>10</v>
      </c>
      <c r="FX16" s="588">
        <v>11</v>
      </c>
      <c r="FY16" s="588">
        <v>12</v>
      </c>
      <c r="FZ16" s="588">
        <v>13</v>
      </c>
      <c r="GA16" s="588">
        <v>14</v>
      </c>
      <c r="GB16" s="588">
        <v>15</v>
      </c>
      <c r="GC16" s="588">
        <v>16</v>
      </c>
      <c r="GD16" s="588">
        <v>17</v>
      </c>
      <c r="GE16" s="588">
        <v>18</v>
      </c>
      <c r="GF16" s="588">
        <v>19</v>
      </c>
      <c r="GG16" s="588">
        <v>20</v>
      </c>
      <c r="GH16" s="588">
        <v>21</v>
      </c>
      <c r="GI16" s="588">
        <v>22</v>
      </c>
      <c r="GJ16" s="588">
        <v>23</v>
      </c>
      <c r="GK16" s="588">
        <v>24</v>
      </c>
      <c r="GL16" s="588">
        <v>25</v>
      </c>
      <c r="GM16" s="588">
        <v>26</v>
      </c>
      <c r="GN16" s="588">
        <v>27</v>
      </c>
      <c r="GO16" s="588">
        <v>28</v>
      </c>
      <c r="GP16" s="588">
        <v>29</v>
      </c>
      <c r="GQ16" s="588">
        <v>30</v>
      </c>
      <c r="GR16" s="588">
        <v>31</v>
      </c>
      <c r="GS16" s="588">
        <v>32</v>
      </c>
      <c r="GT16" s="588">
        <v>33</v>
      </c>
      <c r="GU16" s="588">
        <v>34</v>
      </c>
      <c r="GV16" s="588">
        <v>35</v>
      </c>
      <c r="GW16" s="588">
        <v>36</v>
      </c>
      <c r="GX16" s="588">
        <v>37</v>
      </c>
      <c r="GY16" s="588">
        <v>38</v>
      </c>
      <c r="GZ16" s="588">
        <v>39</v>
      </c>
      <c r="HA16" s="588">
        <v>40</v>
      </c>
      <c r="HB16" s="588">
        <v>41</v>
      </c>
      <c r="HC16" s="588">
        <v>42</v>
      </c>
      <c r="HD16" s="588">
        <v>43</v>
      </c>
      <c r="HE16" s="588">
        <v>44</v>
      </c>
      <c r="HF16" s="588">
        <v>45</v>
      </c>
      <c r="HG16" s="588">
        <v>46</v>
      </c>
      <c r="HH16" s="588">
        <v>47</v>
      </c>
      <c r="HI16" s="588">
        <v>48</v>
      </c>
      <c r="HJ16" s="588">
        <v>49</v>
      </c>
      <c r="HK16" s="588">
        <v>50</v>
      </c>
      <c r="HL16" s="588">
        <v>51</v>
      </c>
      <c r="HM16" s="588">
        <v>52</v>
      </c>
      <c r="HN16" s="588">
        <v>53</v>
      </c>
      <c r="HO16" s="588">
        <v>54</v>
      </c>
      <c r="HP16" s="588">
        <v>55</v>
      </c>
      <c r="HQ16" s="588">
        <v>56</v>
      </c>
      <c r="HR16" s="588">
        <v>57</v>
      </c>
      <c r="HS16" s="588">
        <v>58</v>
      </c>
      <c r="HT16" s="588">
        <v>59</v>
      </c>
      <c r="HU16" s="588">
        <v>60</v>
      </c>
      <c r="HV16" s="588">
        <v>61</v>
      </c>
      <c r="HW16" s="588">
        <v>62</v>
      </c>
      <c r="HX16" s="588">
        <v>63</v>
      </c>
      <c r="HY16" s="588">
        <v>64</v>
      </c>
      <c r="HZ16" s="588">
        <v>65</v>
      </c>
      <c r="IA16" s="588">
        <v>66</v>
      </c>
      <c r="IB16" s="588">
        <v>67</v>
      </c>
      <c r="IC16" s="588">
        <v>68</v>
      </c>
      <c r="ID16" s="588">
        <v>69</v>
      </c>
      <c r="IE16" s="588">
        <v>70</v>
      </c>
      <c r="IF16" s="588">
        <v>71</v>
      </c>
      <c r="IG16" s="588">
        <v>72</v>
      </c>
      <c r="IH16" s="588">
        <v>73</v>
      </c>
      <c r="II16" s="588">
        <v>74</v>
      </c>
      <c r="IJ16" s="588">
        <v>75</v>
      </c>
      <c r="IK16" s="588">
        <v>76</v>
      </c>
      <c r="IL16" s="588">
        <v>77</v>
      </c>
      <c r="IM16" s="588">
        <v>78</v>
      </c>
      <c r="IN16" s="588">
        <v>79</v>
      </c>
      <c r="IO16" s="588">
        <v>80</v>
      </c>
    </row>
    <row r="17" spans="1:249" ht="20" x14ac:dyDescent="0.25">
      <c r="A17" s="1150"/>
      <c r="C17" s="1180" t="s">
        <v>47</v>
      </c>
      <c r="D17" s="1168"/>
      <c r="E17" s="1168" t="s">
        <v>48</v>
      </c>
      <c r="F17" s="1168"/>
      <c r="G17" s="1168" t="s">
        <v>49</v>
      </c>
      <c r="H17" s="1168"/>
      <c r="I17" s="1168" t="s">
        <v>47</v>
      </c>
      <c r="J17" s="1168"/>
      <c r="K17" s="1168" t="s">
        <v>48</v>
      </c>
      <c r="L17" s="1168"/>
      <c r="M17" s="1168" t="s">
        <v>49</v>
      </c>
      <c r="N17" s="1168"/>
      <c r="O17" s="1168" t="s">
        <v>47</v>
      </c>
      <c r="P17" s="1168"/>
      <c r="Q17" s="1168" t="s">
        <v>48</v>
      </c>
      <c r="R17" s="1168"/>
      <c r="S17" s="1168" t="s">
        <v>49</v>
      </c>
      <c r="T17" s="1168"/>
      <c r="U17" s="1168" t="s">
        <v>47</v>
      </c>
      <c r="V17" s="1168"/>
      <c r="W17" s="1168" t="s">
        <v>48</v>
      </c>
      <c r="X17" s="1168"/>
      <c r="Y17" s="1168" t="s">
        <v>49</v>
      </c>
      <c r="Z17" s="1168"/>
      <c r="AA17" s="1180" t="s">
        <v>47</v>
      </c>
      <c r="AB17" s="1168"/>
      <c r="AC17" s="1168" t="s">
        <v>48</v>
      </c>
      <c r="AD17" s="1168"/>
      <c r="AE17" s="1168" t="s">
        <v>49</v>
      </c>
      <c r="AF17" s="1168"/>
      <c r="AG17" s="1168" t="s">
        <v>47</v>
      </c>
      <c r="AH17" s="1168"/>
      <c r="AI17" s="1168" t="s">
        <v>48</v>
      </c>
      <c r="AJ17" s="1168"/>
      <c r="AK17" s="1168" t="s">
        <v>49</v>
      </c>
      <c r="AL17" s="1168"/>
      <c r="AM17" s="1168" t="s">
        <v>47</v>
      </c>
      <c r="AN17" s="1168"/>
      <c r="AO17" s="1168" t="s">
        <v>48</v>
      </c>
      <c r="AP17" s="1168"/>
      <c r="AQ17" s="1168" t="s">
        <v>49</v>
      </c>
      <c r="AR17" s="1168"/>
      <c r="AS17" s="1168" t="s">
        <v>47</v>
      </c>
      <c r="AT17" s="1168"/>
      <c r="AU17" s="1168" t="s">
        <v>48</v>
      </c>
      <c r="AV17" s="1168"/>
      <c r="AW17" s="1168" t="s">
        <v>49</v>
      </c>
      <c r="AX17" s="1168"/>
      <c r="AY17" s="1180" t="s">
        <v>47</v>
      </c>
      <c r="AZ17" s="1168"/>
      <c r="BA17" s="1168" t="s">
        <v>48</v>
      </c>
      <c r="BB17" s="1168"/>
      <c r="BC17" s="1168" t="s">
        <v>49</v>
      </c>
      <c r="BD17" s="1168"/>
      <c r="BE17" s="1168" t="s">
        <v>47</v>
      </c>
      <c r="BF17" s="1168"/>
      <c r="BG17" s="1168" t="s">
        <v>48</v>
      </c>
      <c r="BH17" s="1168"/>
      <c r="BI17" s="1168" t="s">
        <v>49</v>
      </c>
      <c r="BJ17" s="1168"/>
      <c r="BK17" s="1168" t="s">
        <v>47</v>
      </c>
      <c r="BL17" s="1168"/>
      <c r="BM17" s="1168" t="s">
        <v>48</v>
      </c>
      <c r="BN17" s="1168"/>
      <c r="BO17" s="1168" t="s">
        <v>49</v>
      </c>
      <c r="BP17" s="1168"/>
      <c r="BQ17" s="1168" t="s">
        <v>47</v>
      </c>
      <c r="BR17" s="1168"/>
      <c r="BS17" s="1168" t="s">
        <v>48</v>
      </c>
      <c r="BT17" s="1168"/>
      <c r="BU17" s="1168" t="s">
        <v>49</v>
      </c>
      <c r="BV17" s="1168"/>
      <c r="BW17" s="1168" t="s">
        <v>47</v>
      </c>
      <c r="BX17" s="1168"/>
      <c r="BY17" s="1168" t="s">
        <v>48</v>
      </c>
      <c r="BZ17" s="1168"/>
      <c r="CA17" s="1168" t="s">
        <v>49</v>
      </c>
      <c r="CB17" s="1168"/>
      <c r="CC17" s="1180" t="s">
        <v>47</v>
      </c>
      <c r="CD17" s="1168"/>
      <c r="CE17" s="1168" t="s">
        <v>48</v>
      </c>
      <c r="CF17" s="1168"/>
      <c r="CG17" s="1168" t="s">
        <v>49</v>
      </c>
      <c r="CH17" s="1168"/>
      <c r="CI17" s="1168" t="s">
        <v>47</v>
      </c>
      <c r="CJ17" s="1168"/>
      <c r="CK17" s="1168" t="s">
        <v>48</v>
      </c>
      <c r="CL17" s="1168"/>
      <c r="CM17" s="1168" t="s">
        <v>49</v>
      </c>
      <c r="CN17" s="1168"/>
      <c r="CO17" s="1168" t="s">
        <v>47</v>
      </c>
      <c r="CP17" s="1168"/>
      <c r="CQ17" s="1168" t="s">
        <v>48</v>
      </c>
      <c r="CR17" s="1168"/>
      <c r="CS17" s="1168" t="s">
        <v>49</v>
      </c>
      <c r="CT17" s="1168"/>
      <c r="CU17" s="1168" t="s">
        <v>47</v>
      </c>
      <c r="CV17" s="1168"/>
      <c r="CW17" s="1168" t="s">
        <v>48</v>
      </c>
      <c r="CX17" s="1168"/>
      <c r="CY17" s="1168" t="s">
        <v>49</v>
      </c>
      <c r="CZ17" s="1168"/>
      <c r="DA17" s="1180" t="s">
        <v>47</v>
      </c>
      <c r="DB17" s="1168"/>
      <c r="DC17" s="1168" t="s">
        <v>48</v>
      </c>
      <c r="DD17" s="1168"/>
      <c r="DE17" s="1168" t="s">
        <v>49</v>
      </c>
      <c r="DF17" s="1168"/>
      <c r="DG17" s="1168" t="s">
        <v>47</v>
      </c>
      <c r="DH17" s="1168"/>
      <c r="DI17" s="1168" t="s">
        <v>48</v>
      </c>
      <c r="DJ17" s="1168"/>
      <c r="DK17" s="1168" t="s">
        <v>49</v>
      </c>
      <c r="DL17" s="1168"/>
      <c r="DM17" s="1168" t="s">
        <v>47</v>
      </c>
      <c r="DN17" s="1168"/>
      <c r="DO17" s="1168" t="s">
        <v>48</v>
      </c>
      <c r="DP17" s="1168"/>
      <c r="DQ17" s="1168" t="s">
        <v>49</v>
      </c>
      <c r="DR17" s="1168"/>
      <c r="DS17" s="1168" t="s">
        <v>47</v>
      </c>
      <c r="DT17" s="1168"/>
      <c r="DU17" s="1168" t="s">
        <v>48</v>
      </c>
      <c r="DV17" s="1168"/>
      <c r="DW17" s="1168" t="s">
        <v>49</v>
      </c>
      <c r="DX17" s="1168"/>
      <c r="DY17" s="1168" t="s">
        <v>47</v>
      </c>
      <c r="DZ17" s="1168"/>
      <c r="EA17" s="1168" t="s">
        <v>48</v>
      </c>
      <c r="EB17" s="1168"/>
      <c r="EC17" s="1168" t="s">
        <v>49</v>
      </c>
      <c r="ED17" s="1181"/>
      <c r="EE17" s="1168" t="s">
        <v>47</v>
      </c>
      <c r="EF17" s="1168"/>
      <c r="EG17" s="1168" t="s">
        <v>48</v>
      </c>
      <c r="EH17" s="1168"/>
      <c r="EI17" s="1168" t="s">
        <v>49</v>
      </c>
      <c r="EJ17" s="1168"/>
      <c r="EK17" s="1168" t="s">
        <v>47</v>
      </c>
      <c r="EL17" s="1168"/>
      <c r="EM17" s="1168" t="s">
        <v>48</v>
      </c>
      <c r="EN17" s="1168"/>
      <c r="EO17" s="1168" t="s">
        <v>49</v>
      </c>
      <c r="EP17" s="1168"/>
      <c r="EQ17" s="1168" t="s">
        <v>47</v>
      </c>
      <c r="ER17" s="1168"/>
      <c r="ES17" s="1168" t="s">
        <v>48</v>
      </c>
      <c r="ET17" s="1168"/>
      <c r="EU17" s="1168" t="s">
        <v>49</v>
      </c>
      <c r="EV17" s="1168"/>
      <c r="EW17" s="1168" t="s">
        <v>47</v>
      </c>
      <c r="EX17" s="1168"/>
      <c r="EY17" s="1168" t="s">
        <v>48</v>
      </c>
      <c r="EZ17" s="1168"/>
      <c r="FA17" s="1168" t="s">
        <v>49</v>
      </c>
      <c r="FB17" s="1168"/>
      <c r="FC17" s="1168" t="s">
        <v>47</v>
      </c>
      <c r="FD17" s="1168"/>
      <c r="FE17" s="1168" t="s">
        <v>48</v>
      </c>
      <c r="FF17" s="1168"/>
      <c r="FG17" s="1168" t="s">
        <v>49</v>
      </c>
      <c r="FH17" s="1181"/>
      <c r="FI17" s="490"/>
      <c r="FJ17" s="490"/>
      <c r="FM17" s="584" t="s">
        <v>1137</v>
      </c>
      <c r="FN17" s="587">
        <v>0</v>
      </c>
      <c r="FO17" s="587">
        <v>0</v>
      </c>
      <c r="FP17" s="591">
        <v>3</v>
      </c>
      <c r="FQ17" s="591">
        <v>3</v>
      </c>
      <c r="FR17" s="591">
        <v>3</v>
      </c>
      <c r="FS17" s="591">
        <v>3</v>
      </c>
      <c r="FT17" s="591">
        <v>3</v>
      </c>
      <c r="FU17" s="591">
        <v>3</v>
      </c>
      <c r="FV17" s="591">
        <v>4</v>
      </c>
      <c r="FW17" s="591">
        <v>4</v>
      </c>
      <c r="FX17" s="591">
        <v>4</v>
      </c>
      <c r="FY17" s="591">
        <v>4</v>
      </c>
      <c r="FZ17" s="591">
        <v>4</v>
      </c>
      <c r="GA17" s="591">
        <v>4</v>
      </c>
      <c r="GB17" s="591">
        <v>3</v>
      </c>
      <c r="GC17" s="591">
        <v>3</v>
      </c>
      <c r="GD17" s="591">
        <v>3</v>
      </c>
      <c r="GE17" s="591">
        <v>3</v>
      </c>
      <c r="GF17" s="591">
        <v>3</v>
      </c>
      <c r="GG17" s="591">
        <v>3</v>
      </c>
      <c r="GH17" s="591">
        <v>4</v>
      </c>
      <c r="GI17" s="591">
        <v>4</v>
      </c>
      <c r="GJ17" s="591">
        <v>4</v>
      </c>
      <c r="GK17" s="591">
        <v>4</v>
      </c>
      <c r="GL17" s="591">
        <v>4</v>
      </c>
      <c r="GM17" s="591">
        <v>4</v>
      </c>
      <c r="GN17" s="591">
        <v>7</v>
      </c>
      <c r="GO17" s="591">
        <v>7</v>
      </c>
      <c r="GP17" s="591">
        <v>7</v>
      </c>
      <c r="GQ17" s="591">
        <v>7</v>
      </c>
      <c r="GR17" s="591">
        <v>7</v>
      </c>
      <c r="GS17" s="591">
        <v>7</v>
      </c>
      <c r="GT17" s="591">
        <v>3</v>
      </c>
      <c r="GU17" s="591">
        <v>3</v>
      </c>
      <c r="GV17" s="591">
        <v>3</v>
      </c>
      <c r="GW17" s="591">
        <v>3</v>
      </c>
      <c r="GX17" s="591">
        <v>3</v>
      </c>
      <c r="GY17" s="591">
        <v>3</v>
      </c>
      <c r="GZ17" s="591">
        <v>4</v>
      </c>
      <c r="HA17" s="591">
        <v>4</v>
      </c>
      <c r="HB17" s="591">
        <v>4</v>
      </c>
      <c r="HC17" s="591">
        <v>4</v>
      </c>
      <c r="HD17" s="591">
        <v>4</v>
      </c>
      <c r="HE17" s="591">
        <v>4</v>
      </c>
      <c r="HF17" s="591">
        <v>5</v>
      </c>
      <c r="HG17" s="591">
        <v>5</v>
      </c>
      <c r="HH17" s="591">
        <v>5</v>
      </c>
      <c r="HI17" s="591">
        <v>5</v>
      </c>
      <c r="HJ17" s="591">
        <v>5</v>
      </c>
      <c r="HK17" s="591">
        <v>5</v>
      </c>
      <c r="HL17" s="591">
        <v>6</v>
      </c>
      <c r="HM17" s="591">
        <v>6</v>
      </c>
      <c r="HN17" s="591">
        <v>6</v>
      </c>
      <c r="HO17" s="591">
        <v>6</v>
      </c>
      <c r="HP17" s="591">
        <v>6</v>
      </c>
      <c r="HQ17" s="591">
        <v>6</v>
      </c>
      <c r="HR17" s="591">
        <v>7</v>
      </c>
      <c r="HS17" s="591">
        <v>7</v>
      </c>
      <c r="HT17" s="591">
        <v>7</v>
      </c>
      <c r="HU17" s="591">
        <v>7</v>
      </c>
      <c r="HV17" s="591">
        <v>7</v>
      </c>
      <c r="HW17" s="610">
        <v>7</v>
      </c>
      <c r="HX17" s="591">
        <v>3</v>
      </c>
      <c r="HY17" s="591">
        <v>3</v>
      </c>
      <c r="HZ17" s="591">
        <v>3</v>
      </c>
      <c r="IA17" s="591">
        <v>3</v>
      </c>
      <c r="IB17" s="591">
        <v>3</v>
      </c>
      <c r="IC17" s="591">
        <v>3</v>
      </c>
      <c r="ID17" s="591">
        <v>4</v>
      </c>
      <c r="IE17" s="591">
        <v>4</v>
      </c>
      <c r="IF17" s="591">
        <v>4</v>
      </c>
      <c r="IG17" s="591">
        <v>4</v>
      </c>
      <c r="IH17" s="591">
        <v>4</v>
      </c>
      <c r="II17" s="591">
        <v>4</v>
      </c>
      <c r="IJ17" s="591">
        <v>7</v>
      </c>
      <c r="IK17" s="591">
        <v>7</v>
      </c>
      <c r="IL17" s="591">
        <v>7</v>
      </c>
      <c r="IM17" s="591">
        <v>7</v>
      </c>
      <c r="IN17" s="591">
        <v>7</v>
      </c>
      <c r="IO17" s="591">
        <v>7</v>
      </c>
    </row>
    <row r="18" spans="1:249" ht="20" x14ac:dyDescent="0.25">
      <c r="A18" s="1275"/>
      <c r="C18" s="50" t="s">
        <v>44</v>
      </c>
      <c r="D18" s="51" t="s">
        <v>45</v>
      </c>
      <c r="E18" s="51" t="s">
        <v>44</v>
      </c>
      <c r="F18" s="51" t="s">
        <v>45</v>
      </c>
      <c r="G18" s="51" t="s">
        <v>44</v>
      </c>
      <c r="H18" s="51" t="s">
        <v>45</v>
      </c>
      <c r="I18" s="51" t="s">
        <v>44</v>
      </c>
      <c r="J18" s="51" t="s">
        <v>45</v>
      </c>
      <c r="K18" s="51" t="s">
        <v>44</v>
      </c>
      <c r="L18" s="51" t="s">
        <v>45</v>
      </c>
      <c r="M18" s="51" t="s">
        <v>44</v>
      </c>
      <c r="N18" s="51" t="s">
        <v>45</v>
      </c>
      <c r="O18" s="51" t="s">
        <v>44</v>
      </c>
      <c r="P18" s="51" t="s">
        <v>45</v>
      </c>
      <c r="Q18" s="51" t="s">
        <v>44</v>
      </c>
      <c r="R18" s="51" t="s">
        <v>45</v>
      </c>
      <c r="S18" s="51" t="s">
        <v>44</v>
      </c>
      <c r="T18" s="51" t="s">
        <v>45</v>
      </c>
      <c r="U18" s="51" t="s">
        <v>44</v>
      </c>
      <c r="V18" s="51" t="s">
        <v>45</v>
      </c>
      <c r="W18" s="51" t="s">
        <v>44</v>
      </c>
      <c r="X18" s="51" t="s">
        <v>45</v>
      </c>
      <c r="Y18" s="51" t="s">
        <v>44</v>
      </c>
      <c r="Z18" s="51" t="s">
        <v>45</v>
      </c>
      <c r="AA18" s="50" t="s">
        <v>44</v>
      </c>
      <c r="AB18" s="51" t="s">
        <v>45</v>
      </c>
      <c r="AC18" s="51" t="s">
        <v>44</v>
      </c>
      <c r="AD18" s="51" t="s">
        <v>45</v>
      </c>
      <c r="AE18" s="51" t="s">
        <v>44</v>
      </c>
      <c r="AF18" s="51" t="s">
        <v>45</v>
      </c>
      <c r="AG18" s="51" t="s">
        <v>44</v>
      </c>
      <c r="AH18" s="51" t="s">
        <v>45</v>
      </c>
      <c r="AI18" s="51" t="s">
        <v>44</v>
      </c>
      <c r="AJ18" s="51" t="s">
        <v>45</v>
      </c>
      <c r="AK18" s="51" t="s">
        <v>44</v>
      </c>
      <c r="AL18" s="51" t="s">
        <v>45</v>
      </c>
      <c r="AM18" s="51" t="s">
        <v>44</v>
      </c>
      <c r="AN18" s="51" t="s">
        <v>45</v>
      </c>
      <c r="AO18" s="51" t="s">
        <v>44</v>
      </c>
      <c r="AP18" s="51" t="s">
        <v>45</v>
      </c>
      <c r="AQ18" s="51" t="s">
        <v>44</v>
      </c>
      <c r="AR18" s="51" t="s">
        <v>45</v>
      </c>
      <c r="AS18" s="51" t="s">
        <v>44</v>
      </c>
      <c r="AT18" s="51" t="s">
        <v>45</v>
      </c>
      <c r="AU18" s="51" t="s">
        <v>44</v>
      </c>
      <c r="AV18" s="51" t="s">
        <v>45</v>
      </c>
      <c r="AW18" s="51" t="s">
        <v>44</v>
      </c>
      <c r="AX18" s="51" t="s">
        <v>45</v>
      </c>
      <c r="AY18" s="50" t="s">
        <v>44</v>
      </c>
      <c r="AZ18" s="51" t="s">
        <v>45</v>
      </c>
      <c r="BA18" s="51" t="s">
        <v>44</v>
      </c>
      <c r="BB18" s="51" t="s">
        <v>45</v>
      </c>
      <c r="BC18" s="51" t="s">
        <v>44</v>
      </c>
      <c r="BD18" s="51" t="s">
        <v>45</v>
      </c>
      <c r="BE18" s="51" t="s">
        <v>44</v>
      </c>
      <c r="BF18" s="51" t="s">
        <v>45</v>
      </c>
      <c r="BG18" s="51" t="s">
        <v>44</v>
      </c>
      <c r="BH18" s="51" t="s">
        <v>45</v>
      </c>
      <c r="BI18" s="51" t="s">
        <v>44</v>
      </c>
      <c r="BJ18" s="51" t="s">
        <v>45</v>
      </c>
      <c r="BK18" s="51" t="s">
        <v>44</v>
      </c>
      <c r="BL18" s="51" t="s">
        <v>45</v>
      </c>
      <c r="BM18" s="51" t="s">
        <v>44</v>
      </c>
      <c r="BN18" s="51" t="s">
        <v>45</v>
      </c>
      <c r="BO18" s="51" t="s">
        <v>44</v>
      </c>
      <c r="BP18" s="51" t="s">
        <v>45</v>
      </c>
      <c r="BQ18" s="51" t="s">
        <v>44</v>
      </c>
      <c r="BR18" s="51" t="s">
        <v>45</v>
      </c>
      <c r="BS18" s="51" t="s">
        <v>44</v>
      </c>
      <c r="BT18" s="51" t="s">
        <v>45</v>
      </c>
      <c r="BU18" s="51" t="s">
        <v>44</v>
      </c>
      <c r="BV18" s="51" t="s">
        <v>45</v>
      </c>
      <c r="BW18" s="51" t="s">
        <v>44</v>
      </c>
      <c r="BX18" s="51" t="s">
        <v>45</v>
      </c>
      <c r="BY18" s="51" t="s">
        <v>44</v>
      </c>
      <c r="BZ18" s="51" t="s">
        <v>45</v>
      </c>
      <c r="CA18" s="51" t="s">
        <v>44</v>
      </c>
      <c r="CB18" s="51" t="s">
        <v>45</v>
      </c>
      <c r="CC18" s="50" t="s">
        <v>44</v>
      </c>
      <c r="CD18" s="51" t="s">
        <v>45</v>
      </c>
      <c r="CE18" s="51" t="s">
        <v>44</v>
      </c>
      <c r="CF18" s="51" t="s">
        <v>45</v>
      </c>
      <c r="CG18" s="51" t="s">
        <v>44</v>
      </c>
      <c r="CH18" s="51" t="s">
        <v>45</v>
      </c>
      <c r="CI18" s="51" t="s">
        <v>44</v>
      </c>
      <c r="CJ18" s="51" t="s">
        <v>45</v>
      </c>
      <c r="CK18" s="51" t="s">
        <v>44</v>
      </c>
      <c r="CL18" s="51" t="s">
        <v>45</v>
      </c>
      <c r="CM18" s="51" t="s">
        <v>44</v>
      </c>
      <c r="CN18" s="51" t="s">
        <v>45</v>
      </c>
      <c r="CO18" s="51" t="s">
        <v>44</v>
      </c>
      <c r="CP18" s="51" t="s">
        <v>45</v>
      </c>
      <c r="CQ18" s="51" t="s">
        <v>44</v>
      </c>
      <c r="CR18" s="51" t="s">
        <v>45</v>
      </c>
      <c r="CS18" s="51" t="s">
        <v>44</v>
      </c>
      <c r="CT18" s="51" t="s">
        <v>45</v>
      </c>
      <c r="CU18" s="51" t="s">
        <v>44</v>
      </c>
      <c r="CV18" s="51" t="s">
        <v>45</v>
      </c>
      <c r="CW18" s="51" t="s">
        <v>44</v>
      </c>
      <c r="CX18" s="51" t="s">
        <v>45</v>
      </c>
      <c r="CY18" s="51" t="s">
        <v>44</v>
      </c>
      <c r="CZ18" s="51" t="s">
        <v>45</v>
      </c>
      <c r="DA18" s="50" t="s">
        <v>44</v>
      </c>
      <c r="DB18" s="51" t="s">
        <v>45</v>
      </c>
      <c r="DC18" s="51" t="s">
        <v>44</v>
      </c>
      <c r="DD18" s="51" t="s">
        <v>45</v>
      </c>
      <c r="DE18" s="51" t="s">
        <v>44</v>
      </c>
      <c r="DF18" s="51" t="s">
        <v>45</v>
      </c>
      <c r="DG18" s="51" t="s">
        <v>44</v>
      </c>
      <c r="DH18" s="51" t="s">
        <v>45</v>
      </c>
      <c r="DI18" s="51" t="s">
        <v>44</v>
      </c>
      <c r="DJ18" s="51" t="s">
        <v>45</v>
      </c>
      <c r="DK18" s="51" t="s">
        <v>44</v>
      </c>
      <c r="DL18" s="51" t="s">
        <v>45</v>
      </c>
      <c r="DM18" s="51" t="s">
        <v>44</v>
      </c>
      <c r="DN18" s="51" t="s">
        <v>45</v>
      </c>
      <c r="DO18" s="51" t="s">
        <v>44</v>
      </c>
      <c r="DP18" s="51" t="s">
        <v>45</v>
      </c>
      <c r="DQ18" s="51" t="s">
        <v>44</v>
      </c>
      <c r="DR18" s="51" t="s">
        <v>45</v>
      </c>
      <c r="DS18" s="51" t="s">
        <v>44</v>
      </c>
      <c r="DT18" s="51" t="s">
        <v>45</v>
      </c>
      <c r="DU18" s="51" t="s">
        <v>44</v>
      </c>
      <c r="DV18" s="51" t="s">
        <v>45</v>
      </c>
      <c r="DW18" s="51" t="s">
        <v>44</v>
      </c>
      <c r="DX18" s="51" t="s">
        <v>45</v>
      </c>
      <c r="DY18" s="51" t="s">
        <v>44</v>
      </c>
      <c r="DZ18" s="51" t="s">
        <v>45</v>
      </c>
      <c r="EA18" s="51" t="s">
        <v>44</v>
      </c>
      <c r="EB18" s="51" t="s">
        <v>45</v>
      </c>
      <c r="EC18" s="51" t="s">
        <v>44</v>
      </c>
      <c r="ED18" s="55" t="s">
        <v>45</v>
      </c>
      <c r="EE18" s="51" t="s">
        <v>44</v>
      </c>
      <c r="EF18" s="51" t="s">
        <v>45</v>
      </c>
      <c r="EG18" s="51" t="s">
        <v>44</v>
      </c>
      <c r="EH18" s="51" t="s">
        <v>45</v>
      </c>
      <c r="EI18" s="51" t="s">
        <v>44</v>
      </c>
      <c r="EJ18" s="51" t="s">
        <v>45</v>
      </c>
      <c r="EK18" s="51" t="s">
        <v>44</v>
      </c>
      <c r="EL18" s="51" t="s">
        <v>45</v>
      </c>
      <c r="EM18" s="51" t="s">
        <v>44</v>
      </c>
      <c r="EN18" s="51" t="s">
        <v>45</v>
      </c>
      <c r="EO18" s="51" t="s">
        <v>44</v>
      </c>
      <c r="EP18" s="51" t="s">
        <v>45</v>
      </c>
      <c r="EQ18" s="51" t="s">
        <v>44</v>
      </c>
      <c r="ER18" s="51" t="s">
        <v>45</v>
      </c>
      <c r="ES18" s="51" t="s">
        <v>44</v>
      </c>
      <c r="ET18" s="51" t="s">
        <v>45</v>
      </c>
      <c r="EU18" s="51" t="s">
        <v>44</v>
      </c>
      <c r="EV18" s="51" t="s">
        <v>45</v>
      </c>
      <c r="EW18" s="51" t="s">
        <v>44</v>
      </c>
      <c r="EX18" s="51" t="s">
        <v>45</v>
      </c>
      <c r="EY18" s="51" t="s">
        <v>44</v>
      </c>
      <c r="EZ18" s="51" t="s">
        <v>45</v>
      </c>
      <c r="FA18" s="51" t="s">
        <v>44</v>
      </c>
      <c r="FB18" s="51" t="s">
        <v>45</v>
      </c>
      <c r="FC18" s="51" t="s">
        <v>44</v>
      </c>
      <c r="FD18" s="51" t="s">
        <v>45</v>
      </c>
      <c r="FE18" s="51" t="s">
        <v>44</v>
      </c>
      <c r="FF18" s="51" t="s">
        <v>45</v>
      </c>
      <c r="FG18" s="51" t="s">
        <v>44</v>
      </c>
      <c r="FH18" s="55" t="s">
        <v>45</v>
      </c>
      <c r="FI18" s="490"/>
      <c r="FJ18" s="490"/>
      <c r="FM18" s="584" t="s">
        <v>1138</v>
      </c>
      <c r="FN18" s="587">
        <v>0</v>
      </c>
      <c r="FO18" s="587">
        <v>0</v>
      </c>
      <c r="FP18" s="591">
        <v>3</v>
      </c>
      <c r="FQ18" s="591">
        <v>3</v>
      </c>
      <c r="FR18" s="588">
        <v>2</v>
      </c>
      <c r="FS18" s="588">
        <v>2</v>
      </c>
      <c r="FT18" s="588">
        <v>1</v>
      </c>
      <c r="FU18" s="588">
        <v>1</v>
      </c>
      <c r="FV18" s="591">
        <v>3</v>
      </c>
      <c r="FW18" s="591">
        <v>3</v>
      </c>
      <c r="FX18" s="588">
        <v>2</v>
      </c>
      <c r="FY18" s="588">
        <v>2</v>
      </c>
      <c r="FZ18" s="588">
        <v>1</v>
      </c>
      <c r="GA18" s="588">
        <v>1</v>
      </c>
      <c r="GB18" s="591">
        <v>3</v>
      </c>
      <c r="GC18" s="591">
        <v>3</v>
      </c>
      <c r="GD18" s="588">
        <v>2</v>
      </c>
      <c r="GE18" s="588">
        <v>2</v>
      </c>
      <c r="GF18" s="588">
        <v>1</v>
      </c>
      <c r="GG18" s="588">
        <v>1</v>
      </c>
      <c r="GH18" s="591">
        <v>3</v>
      </c>
      <c r="GI18" s="591">
        <v>3</v>
      </c>
      <c r="GJ18" s="588">
        <v>2</v>
      </c>
      <c r="GK18" s="588">
        <v>2</v>
      </c>
      <c r="GL18" s="588">
        <v>1</v>
      </c>
      <c r="GM18" s="588">
        <v>1</v>
      </c>
      <c r="GN18" s="591">
        <v>3</v>
      </c>
      <c r="GO18" s="591">
        <v>3</v>
      </c>
      <c r="GP18" s="588">
        <v>2</v>
      </c>
      <c r="GQ18" s="588">
        <v>2</v>
      </c>
      <c r="GR18" s="588">
        <v>1</v>
      </c>
      <c r="GS18" s="588">
        <v>1</v>
      </c>
      <c r="GT18" s="591">
        <v>3</v>
      </c>
      <c r="GU18" s="591">
        <v>3</v>
      </c>
      <c r="GV18" s="588">
        <v>2</v>
      </c>
      <c r="GW18" s="588">
        <v>2</v>
      </c>
      <c r="GX18" s="588">
        <v>1</v>
      </c>
      <c r="GY18" s="588">
        <v>1</v>
      </c>
      <c r="GZ18" s="591">
        <v>3</v>
      </c>
      <c r="HA18" s="591">
        <v>3</v>
      </c>
      <c r="HB18" s="588">
        <v>2</v>
      </c>
      <c r="HC18" s="588">
        <v>2</v>
      </c>
      <c r="HD18" s="588">
        <v>1</v>
      </c>
      <c r="HE18" s="588">
        <v>1</v>
      </c>
      <c r="HF18" s="591">
        <v>3</v>
      </c>
      <c r="HG18" s="591">
        <v>3</v>
      </c>
      <c r="HH18" s="588">
        <v>2</v>
      </c>
      <c r="HI18" s="588">
        <v>2</v>
      </c>
      <c r="HJ18" s="588">
        <v>1</v>
      </c>
      <c r="HK18" s="588">
        <v>1</v>
      </c>
      <c r="HL18" s="591">
        <v>3</v>
      </c>
      <c r="HM18" s="591">
        <v>3</v>
      </c>
      <c r="HN18" s="588">
        <v>2</v>
      </c>
      <c r="HO18" s="588">
        <v>2</v>
      </c>
      <c r="HP18" s="588">
        <v>1</v>
      </c>
      <c r="HQ18" s="588">
        <v>1</v>
      </c>
      <c r="HR18" s="591">
        <v>3</v>
      </c>
      <c r="HS18" s="591">
        <v>3</v>
      </c>
      <c r="HT18" s="588">
        <v>2</v>
      </c>
      <c r="HU18" s="588">
        <v>2</v>
      </c>
      <c r="HV18" s="588">
        <v>1</v>
      </c>
      <c r="HW18" s="609">
        <v>1</v>
      </c>
      <c r="HX18" s="591">
        <v>3</v>
      </c>
      <c r="HY18" s="591">
        <v>3</v>
      </c>
      <c r="HZ18" s="588">
        <v>2</v>
      </c>
      <c r="IA18" s="588">
        <v>2</v>
      </c>
      <c r="IB18" s="588">
        <v>1</v>
      </c>
      <c r="IC18" s="588">
        <v>1</v>
      </c>
      <c r="ID18" s="591">
        <v>3</v>
      </c>
      <c r="IE18" s="591">
        <v>3</v>
      </c>
      <c r="IF18" s="588">
        <v>2</v>
      </c>
      <c r="IG18" s="588">
        <v>2</v>
      </c>
      <c r="IH18" s="588">
        <v>1</v>
      </c>
      <c r="II18" s="588">
        <v>1</v>
      </c>
      <c r="IJ18" s="591">
        <v>3</v>
      </c>
      <c r="IK18" s="591">
        <v>3</v>
      </c>
      <c r="IL18" s="588">
        <v>2</v>
      </c>
      <c r="IM18" s="588">
        <v>2</v>
      </c>
      <c r="IN18" s="588">
        <v>1</v>
      </c>
      <c r="IO18" s="588">
        <v>1</v>
      </c>
    </row>
    <row r="19" spans="1:249" ht="20" x14ac:dyDescent="0.25">
      <c r="A19" s="1236" t="s">
        <v>36</v>
      </c>
      <c r="C19" s="1239" t="s">
        <v>1129</v>
      </c>
      <c r="D19" s="1217"/>
      <c r="E19" s="1217"/>
      <c r="F19" s="1217"/>
      <c r="G19" s="1217"/>
      <c r="H19" s="1217"/>
      <c r="I19" s="1217"/>
      <c r="J19" s="1217"/>
      <c r="K19" s="1217"/>
      <c r="L19" s="1217"/>
      <c r="M19" s="1217"/>
      <c r="N19" s="1217"/>
      <c r="O19" s="1217"/>
      <c r="P19" s="1217"/>
      <c r="Q19" s="1217"/>
      <c r="R19" s="1217"/>
      <c r="S19" s="1217"/>
      <c r="T19" s="1217"/>
      <c r="U19" s="1217"/>
      <c r="V19" s="1217"/>
      <c r="W19" s="1217"/>
      <c r="X19" s="1217"/>
      <c r="Y19" s="1217"/>
      <c r="Z19" s="1236"/>
      <c r="AA19" s="1239" t="s">
        <v>1129</v>
      </c>
      <c r="AB19" s="1217"/>
      <c r="AC19" s="1217"/>
      <c r="AD19" s="1217"/>
      <c r="AE19" s="1217"/>
      <c r="AF19" s="1217"/>
      <c r="AG19" s="1217"/>
      <c r="AH19" s="1217"/>
      <c r="AI19" s="1217"/>
      <c r="AJ19" s="1217"/>
      <c r="AK19" s="1217"/>
      <c r="AL19" s="1217"/>
      <c r="AM19" s="1217"/>
      <c r="AN19" s="1217"/>
      <c r="AO19" s="1217"/>
      <c r="AP19" s="1217"/>
      <c r="AQ19" s="1217"/>
      <c r="AR19" s="1217"/>
      <c r="AS19" s="1217"/>
      <c r="AT19" s="1217"/>
      <c r="AU19" s="1217"/>
      <c r="AV19" s="1217"/>
      <c r="AW19" s="1217"/>
      <c r="AX19" s="1236"/>
      <c r="AY19" s="1239" t="s">
        <v>1130</v>
      </c>
      <c r="AZ19" s="1217"/>
      <c r="BA19" s="1217"/>
      <c r="BB19" s="1217"/>
      <c r="BC19" s="1217"/>
      <c r="BD19" s="1217"/>
      <c r="BE19" s="1217"/>
      <c r="BF19" s="1217"/>
      <c r="BG19" s="1217"/>
      <c r="BH19" s="1217"/>
      <c r="BI19" s="1217"/>
      <c r="BJ19" s="1217"/>
      <c r="BK19" s="1217"/>
      <c r="BL19" s="1217"/>
      <c r="BM19" s="1217"/>
      <c r="BN19" s="1217"/>
      <c r="BO19" s="1217"/>
      <c r="BP19" s="1217"/>
      <c r="BQ19" s="1217"/>
      <c r="BR19" s="1217"/>
      <c r="BS19" s="1217"/>
      <c r="BT19" s="1217"/>
      <c r="BU19" s="1217"/>
      <c r="BV19" s="1217"/>
      <c r="BW19" s="1217"/>
      <c r="BX19" s="1217"/>
      <c r="BY19" s="1217"/>
      <c r="BZ19" s="1217"/>
      <c r="CA19" s="1217"/>
      <c r="CB19" s="1324"/>
      <c r="CC19" s="1217" t="s">
        <v>1129</v>
      </c>
      <c r="CD19" s="1217"/>
      <c r="CE19" s="1217"/>
      <c r="CF19" s="1217"/>
      <c r="CG19" s="1217"/>
      <c r="CH19" s="1217"/>
      <c r="CI19" s="1217"/>
      <c r="CJ19" s="1217"/>
      <c r="CK19" s="1217"/>
      <c r="CL19" s="1217"/>
      <c r="CM19" s="1217"/>
      <c r="CN19" s="1217"/>
      <c r="CO19" s="1217"/>
      <c r="CP19" s="1217"/>
      <c r="CQ19" s="1217"/>
      <c r="CR19" s="1217"/>
      <c r="CS19" s="1217"/>
      <c r="CT19" s="1217"/>
      <c r="CU19" s="1217"/>
      <c r="CV19" s="1217"/>
      <c r="CW19" s="1217"/>
      <c r="CX19" s="1217"/>
      <c r="CY19" s="1217"/>
      <c r="CZ19" s="1236"/>
      <c r="DA19" s="1239" t="s">
        <v>1130</v>
      </c>
      <c r="DB19" s="1217"/>
      <c r="DC19" s="1217"/>
      <c r="DD19" s="1217"/>
      <c r="DE19" s="1217"/>
      <c r="DF19" s="1217"/>
      <c r="DG19" s="1217"/>
      <c r="DH19" s="1217"/>
      <c r="DI19" s="1217"/>
      <c r="DJ19" s="1217"/>
      <c r="DK19" s="1217"/>
      <c r="DL19" s="1217"/>
      <c r="DM19" s="1217"/>
      <c r="DN19" s="1217"/>
      <c r="DO19" s="1217"/>
      <c r="DP19" s="1217"/>
      <c r="DQ19" s="1217"/>
      <c r="DR19" s="1217"/>
      <c r="DS19" s="1217"/>
      <c r="DT19" s="1217"/>
      <c r="DU19" s="1217"/>
      <c r="DV19" s="1217"/>
      <c r="DW19" s="1217"/>
      <c r="DX19" s="1217"/>
      <c r="DY19" s="1217"/>
      <c r="DZ19" s="1217"/>
      <c r="EA19" s="1217"/>
      <c r="EB19" s="1217"/>
      <c r="EC19" s="1217"/>
      <c r="ED19" s="1217"/>
      <c r="EE19" s="1217"/>
      <c r="EF19" s="1217"/>
      <c r="EG19" s="1217"/>
      <c r="EH19" s="1217"/>
      <c r="EI19" s="1217"/>
      <c r="EJ19" s="1217"/>
      <c r="EK19" s="1217"/>
      <c r="EL19" s="1217"/>
      <c r="EM19" s="1217"/>
      <c r="EN19" s="1217"/>
      <c r="EO19" s="1217"/>
      <c r="EP19" s="1217"/>
      <c r="EQ19" s="1217"/>
      <c r="ER19" s="1217"/>
      <c r="ES19" s="1217"/>
      <c r="ET19" s="1217"/>
      <c r="EU19" s="1217"/>
      <c r="EV19" s="1217"/>
      <c r="EW19" s="1217"/>
      <c r="EX19" s="1217"/>
      <c r="EY19" s="1217"/>
      <c r="EZ19" s="1217"/>
      <c r="FA19" s="1217"/>
      <c r="FB19" s="1217"/>
      <c r="FC19" s="1217"/>
      <c r="FD19" s="1217"/>
      <c r="FE19" s="1217"/>
      <c r="FF19" s="1217"/>
      <c r="FG19" s="1217"/>
      <c r="FH19" s="1236"/>
      <c r="FI19" s="594"/>
      <c r="FJ19" s="594"/>
      <c r="FM19" s="584" t="s">
        <v>1139</v>
      </c>
      <c r="FN19" s="587">
        <v>0</v>
      </c>
      <c r="FO19" s="587">
        <v>0</v>
      </c>
      <c r="FP19" s="591">
        <v>1</v>
      </c>
      <c r="FQ19" s="591">
        <v>1</v>
      </c>
      <c r="FR19" s="591">
        <v>1</v>
      </c>
      <c r="FS19" s="591">
        <v>1</v>
      </c>
      <c r="FT19" s="591">
        <v>1</v>
      </c>
      <c r="FU19" s="591">
        <v>1</v>
      </c>
      <c r="FV19" s="591">
        <v>1</v>
      </c>
      <c r="FW19" s="591">
        <v>1</v>
      </c>
      <c r="FX19" s="591">
        <v>1</v>
      </c>
      <c r="FY19" s="591">
        <v>1</v>
      </c>
      <c r="FZ19" s="591">
        <v>1</v>
      </c>
      <c r="GA19" s="591">
        <v>1</v>
      </c>
      <c r="GB19" s="591">
        <v>2</v>
      </c>
      <c r="GC19" s="591">
        <v>2</v>
      </c>
      <c r="GD19" s="591">
        <v>2</v>
      </c>
      <c r="GE19" s="591">
        <v>2</v>
      </c>
      <c r="GF19" s="591">
        <v>2</v>
      </c>
      <c r="GG19" s="591">
        <v>2</v>
      </c>
      <c r="GH19" s="591">
        <v>2</v>
      </c>
      <c r="GI19" s="591">
        <v>2</v>
      </c>
      <c r="GJ19" s="591">
        <v>2</v>
      </c>
      <c r="GK19" s="591">
        <v>2</v>
      </c>
      <c r="GL19" s="591">
        <v>2</v>
      </c>
      <c r="GM19" s="591">
        <v>2</v>
      </c>
      <c r="GN19" s="591">
        <v>2</v>
      </c>
      <c r="GO19" s="591">
        <v>2</v>
      </c>
      <c r="GP19" s="591">
        <v>2</v>
      </c>
      <c r="GQ19" s="591">
        <v>2</v>
      </c>
      <c r="GR19" s="591">
        <v>2</v>
      </c>
      <c r="GS19" s="591">
        <v>2</v>
      </c>
      <c r="GT19" s="591">
        <v>3</v>
      </c>
      <c r="GU19" s="591">
        <v>3</v>
      </c>
      <c r="GV19" s="591">
        <v>3</v>
      </c>
      <c r="GW19" s="591">
        <v>3</v>
      </c>
      <c r="GX19" s="591">
        <v>3</v>
      </c>
      <c r="GY19" s="591">
        <v>3</v>
      </c>
      <c r="GZ19" s="591">
        <v>3</v>
      </c>
      <c r="HA19" s="591">
        <v>3</v>
      </c>
      <c r="HB19" s="591">
        <v>3</v>
      </c>
      <c r="HC19" s="591">
        <v>3</v>
      </c>
      <c r="HD19" s="591">
        <v>3</v>
      </c>
      <c r="HE19" s="591">
        <v>3</v>
      </c>
      <c r="HF19" s="591">
        <v>3</v>
      </c>
      <c r="HG19" s="591">
        <v>3</v>
      </c>
      <c r="HH19" s="591">
        <v>3</v>
      </c>
      <c r="HI19" s="591">
        <v>3</v>
      </c>
      <c r="HJ19" s="591">
        <v>3</v>
      </c>
      <c r="HK19" s="591">
        <v>3</v>
      </c>
      <c r="HL19" s="591">
        <v>3</v>
      </c>
      <c r="HM19" s="591">
        <v>3</v>
      </c>
      <c r="HN19" s="591">
        <v>3</v>
      </c>
      <c r="HO19" s="591">
        <v>3</v>
      </c>
      <c r="HP19" s="591">
        <v>3</v>
      </c>
      <c r="HQ19" s="591">
        <v>3</v>
      </c>
      <c r="HR19" s="591">
        <v>3</v>
      </c>
      <c r="HS19" s="591">
        <v>3</v>
      </c>
      <c r="HT19" s="591">
        <v>3</v>
      </c>
      <c r="HU19" s="591">
        <v>3</v>
      </c>
      <c r="HV19" s="591">
        <v>3</v>
      </c>
      <c r="HW19" s="610">
        <v>3</v>
      </c>
      <c r="HX19" s="591">
        <v>4</v>
      </c>
      <c r="HY19" s="591">
        <v>4</v>
      </c>
      <c r="HZ19" s="591">
        <v>4</v>
      </c>
      <c r="IA19" s="591">
        <v>4</v>
      </c>
      <c r="IB19" s="591">
        <v>4</v>
      </c>
      <c r="IC19" s="591">
        <v>4</v>
      </c>
      <c r="ID19" s="591">
        <v>4</v>
      </c>
      <c r="IE19" s="591">
        <v>4</v>
      </c>
      <c r="IF19" s="591">
        <v>4</v>
      </c>
      <c r="IG19" s="591">
        <v>4</v>
      </c>
      <c r="IH19" s="591">
        <v>4</v>
      </c>
      <c r="II19" s="591">
        <v>4</v>
      </c>
      <c r="IJ19" s="591">
        <v>4</v>
      </c>
      <c r="IK19" s="591">
        <v>4</v>
      </c>
      <c r="IL19" s="591">
        <v>4</v>
      </c>
      <c r="IM19" s="591">
        <v>4</v>
      </c>
      <c r="IN19" s="591">
        <v>4</v>
      </c>
      <c r="IO19" s="591">
        <v>4</v>
      </c>
    </row>
    <row r="20" spans="1:249" ht="20" x14ac:dyDescent="0.25">
      <c r="A20" s="1279"/>
      <c r="C20" s="1241"/>
      <c r="D20" s="1237"/>
      <c r="E20" s="1237"/>
      <c r="F20" s="1237"/>
      <c r="G20" s="1237"/>
      <c r="H20" s="1237"/>
      <c r="I20" s="1237"/>
      <c r="J20" s="1237"/>
      <c r="K20" s="1237"/>
      <c r="L20" s="1237"/>
      <c r="M20" s="1237"/>
      <c r="N20" s="1237"/>
      <c r="O20" s="1237"/>
      <c r="P20" s="1237"/>
      <c r="Q20" s="1237"/>
      <c r="R20" s="1237"/>
      <c r="S20" s="1237"/>
      <c r="T20" s="1237"/>
      <c r="U20" s="1237"/>
      <c r="V20" s="1237"/>
      <c r="W20" s="1237"/>
      <c r="X20" s="1237"/>
      <c r="Y20" s="1237"/>
      <c r="Z20" s="1238"/>
      <c r="AA20" s="1241"/>
      <c r="AB20" s="1237"/>
      <c r="AC20" s="1237"/>
      <c r="AD20" s="1237"/>
      <c r="AE20" s="1237"/>
      <c r="AF20" s="1237"/>
      <c r="AG20" s="1237"/>
      <c r="AH20" s="1237"/>
      <c r="AI20" s="1237"/>
      <c r="AJ20" s="1237"/>
      <c r="AK20" s="1237"/>
      <c r="AL20" s="1237"/>
      <c r="AM20" s="1237"/>
      <c r="AN20" s="1237"/>
      <c r="AO20" s="1237"/>
      <c r="AP20" s="1237"/>
      <c r="AQ20" s="1237"/>
      <c r="AR20" s="1237"/>
      <c r="AS20" s="1237"/>
      <c r="AT20" s="1237"/>
      <c r="AU20" s="1237"/>
      <c r="AV20" s="1237"/>
      <c r="AW20" s="1237"/>
      <c r="AX20" s="1238"/>
      <c r="AY20" s="1241"/>
      <c r="AZ20" s="1237"/>
      <c r="BA20" s="1237"/>
      <c r="BB20" s="1237"/>
      <c r="BC20" s="1237"/>
      <c r="BD20" s="1237"/>
      <c r="BE20" s="1237"/>
      <c r="BF20" s="1237"/>
      <c r="BG20" s="1237"/>
      <c r="BH20" s="1237"/>
      <c r="BI20" s="1237"/>
      <c r="BJ20" s="1237"/>
      <c r="BK20" s="1237"/>
      <c r="BL20" s="1237"/>
      <c r="BM20" s="1237"/>
      <c r="BN20" s="1237"/>
      <c r="BO20" s="1237"/>
      <c r="BP20" s="1237"/>
      <c r="BQ20" s="1237"/>
      <c r="BR20" s="1237"/>
      <c r="BS20" s="1237"/>
      <c r="BT20" s="1237"/>
      <c r="BU20" s="1237"/>
      <c r="BV20" s="1237"/>
      <c r="BW20" s="1237"/>
      <c r="BX20" s="1237"/>
      <c r="BY20" s="1237"/>
      <c r="BZ20" s="1237"/>
      <c r="CA20" s="1237"/>
      <c r="CB20" s="1325"/>
      <c r="CC20" s="1237"/>
      <c r="CD20" s="1237"/>
      <c r="CE20" s="1237"/>
      <c r="CF20" s="1237"/>
      <c r="CG20" s="1237"/>
      <c r="CH20" s="1237"/>
      <c r="CI20" s="1237"/>
      <c r="CJ20" s="1237"/>
      <c r="CK20" s="1237"/>
      <c r="CL20" s="1237"/>
      <c r="CM20" s="1237"/>
      <c r="CN20" s="1237"/>
      <c r="CO20" s="1237"/>
      <c r="CP20" s="1237"/>
      <c r="CQ20" s="1237"/>
      <c r="CR20" s="1237"/>
      <c r="CS20" s="1237"/>
      <c r="CT20" s="1237"/>
      <c r="CU20" s="1237"/>
      <c r="CV20" s="1237"/>
      <c r="CW20" s="1237"/>
      <c r="CX20" s="1237"/>
      <c r="CY20" s="1237"/>
      <c r="CZ20" s="1238"/>
      <c r="DA20" s="1241"/>
      <c r="DB20" s="1237"/>
      <c r="DC20" s="1237"/>
      <c r="DD20" s="1237"/>
      <c r="DE20" s="1237"/>
      <c r="DF20" s="1237"/>
      <c r="DG20" s="1237"/>
      <c r="DH20" s="1237"/>
      <c r="DI20" s="1237"/>
      <c r="DJ20" s="1237"/>
      <c r="DK20" s="1237"/>
      <c r="DL20" s="1237"/>
      <c r="DM20" s="1237"/>
      <c r="DN20" s="1237"/>
      <c r="DO20" s="1237"/>
      <c r="DP20" s="1237"/>
      <c r="DQ20" s="1237"/>
      <c r="DR20" s="1237"/>
      <c r="DS20" s="1237"/>
      <c r="DT20" s="1237"/>
      <c r="DU20" s="1237"/>
      <c r="DV20" s="1237"/>
      <c r="DW20" s="1237"/>
      <c r="DX20" s="1237"/>
      <c r="DY20" s="1237"/>
      <c r="DZ20" s="1237"/>
      <c r="EA20" s="1237"/>
      <c r="EB20" s="1237"/>
      <c r="EC20" s="1237"/>
      <c r="ED20" s="1237"/>
      <c r="EE20" s="1237"/>
      <c r="EF20" s="1237"/>
      <c r="EG20" s="1237"/>
      <c r="EH20" s="1237"/>
      <c r="EI20" s="1237"/>
      <c r="EJ20" s="1237"/>
      <c r="EK20" s="1237"/>
      <c r="EL20" s="1237"/>
      <c r="EM20" s="1237"/>
      <c r="EN20" s="1237"/>
      <c r="EO20" s="1237"/>
      <c r="EP20" s="1237"/>
      <c r="EQ20" s="1237"/>
      <c r="ER20" s="1237"/>
      <c r="ES20" s="1237"/>
      <c r="ET20" s="1237"/>
      <c r="EU20" s="1237"/>
      <c r="EV20" s="1237"/>
      <c r="EW20" s="1237"/>
      <c r="EX20" s="1237"/>
      <c r="EY20" s="1237"/>
      <c r="EZ20" s="1237"/>
      <c r="FA20" s="1237"/>
      <c r="FB20" s="1237"/>
      <c r="FC20" s="1237"/>
      <c r="FD20" s="1237"/>
      <c r="FE20" s="1237"/>
      <c r="FF20" s="1237"/>
      <c r="FG20" s="1237"/>
      <c r="FH20" s="1238"/>
      <c r="FI20" s="594"/>
      <c r="FJ20" s="594"/>
      <c r="FM20" s="584" t="s">
        <v>1140</v>
      </c>
      <c r="FN20" s="448" t="s">
        <v>1144</v>
      </c>
      <c r="FO20" s="448" t="s">
        <v>1144</v>
      </c>
      <c r="FP20" s="583" t="s">
        <v>44</v>
      </c>
      <c r="FQ20" s="585" t="s">
        <v>45</v>
      </c>
      <c r="FR20" s="583" t="s">
        <v>44</v>
      </c>
      <c r="FS20" s="585" t="s">
        <v>45</v>
      </c>
      <c r="FT20" s="583" t="s">
        <v>44</v>
      </c>
      <c r="FU20" s="585" t="s">
        <v>45</v>
      </c>
      <c r="FV20" s="583" t="s">
        <v>44</v>
      </c>
      <c r="FW20" s="585" t="s">
        <v>45</v>
      </c>
      <c r="FX20" s="583" t="s">
        <v>44</v>
      </c>
      <c r="FY20" s="585" t="s">
        <v>45</v>
      </c>
      <c r="FZ20" s="583" t="s">
        <v>44</v>
      </c>
      <c r="GA20" s="585" t="s">
        <v>45</v>
      </c>
      <c r="GB20" s="583" t="s">
        <v>44</v>
      </c>
      <c r="GC20" s="585" t="s">
        <v>45</v>
      </c>
      <c r="GD20" s="583" t="s">
        <v>44</v>
      </c>
      <c r="GE20" s="585" t="s">
        <v>45</v>
      </c>
      <c r="GF20" s="583" t="s">
        <v>44</v>
      </c>
      <c r="GG20" s="585" t="s">
        <v>45</v>
      </c>
      <c r="GH20" s="583" t="s">
        <v>44</v>
      </c>
      <c r="GI20" s="585" t="s">
        <v>45</v>
      </c>
      <c r="GJ20" s="583" t="s">
        <v>44</v>
      </c>
      <c r="GK20" s="585" t="s">
        <v>45</v>
      </c>
      <c r="GL20" s="583" t="s">
        <v>44</v>
      </c>
      <c r="GM20" s="585" t="s">
        <v>45</v>
      </c>
      <c r="GN20" s="583" t="s">
        <v>44</v>
      </c>
      <c r="GO20" s="585" t="s">
        <v>45</v>
      </c>
      <c r="GP20" s="583" t="s">
        <v>44</v>
      </c>
      <c r="GQ20" s="585" t="s">
        <v>45</v>
      </c>
      <c r="GR20" s="583" t="s">
        <v>44</v>
      </c>
      <c r="GS20" s="585" t="s">
        <v>45</v>
      </c>
      <c r="GT20" s="583" t="s">
        <v>44</v>
      </c>
      <c r="GU20" s="585" t="s">
        <v>45</v>
      </c>
      <c r="GV20" s="583" t="s">
        <v>44</v>
      </c>
      <c r="GW20" s="585" t="s">
        <v>45</v>
      </c>
      <c r="GX20" s="583" t="s">
        <v>44</v>
      </c>
      <c r="GY20" s="585" t="s">
        <v>45</v>
      </c>
      <c r="GZ20" s="583" t="s">
        <v>44</v>
      </c>
      <c r="HA20" s="585" t="s">
        <v>45</v>
      </c>
      <c r="HB20" s="583" t="s">
        <v>44</v>
      </c>
      <c r="HC20" s="585" t="s">
        <v>45</v>
      </c>
      <c r="HD20" s="583" t="s">
        <v>44</v>
      </c>
      <c r="HE20" s="585" t="s">
        <v>45</v>
      </c>
      <c r="HF20" s="583" t="s">
        <v>44</v>
      </c>
      <c r="HG20" s="585" t="s">
        <v>45</v>
      </c>
      <c r="HH20" s="583" t="s">
        <v>44</v>
      </c>
      <c r="HI20" s="585" t="s">
        <v>45</v>
      </c>
      <c r="HJ20" s="583" t="s">
        <v>44</v>
      </c>
      <c r="HK20" s="585" t="s">
        <v>45</v>
      </c>
      <c r="HL20" s="583" t="s">
        <v>44</v>
      </c>
      <c r="HM20" s="585" t="s">
        <v>45</v>
      </c>
      <c r="HN20" s="583" t="s">
        <v>44</v>
      </c>
      <c r="HO20" s="585" t="s">
        <v>45</v>
      </c>
      <c r="HP20" s="583" t="s">
        <v>44</v>
      </c>
      <c r="HQ20" s="585" t="s">
        <v>45</v>
      </c>
      <c r="HR20" s="583" t="s">
        <v>44</v>
      </c>
      <c r="HS20" s="585" t="s">
        <v>45</v>
      </c>
      <c r="HT20" s="583" t="s">
        <v>44</v>
      </c>
      <c r="HU20" s="585" t="s">
        <v>45</v>
      </c>
      <c r="HV20" s="583" t="s">
        <v>44</v>
      </c>
      <c r="HW20" s="611" t="s">
        <v>45</v>
      </c>
      <c r="HX20" s="583" t="s">
        <v>44</v>
      </c>
      <c r="HY20" s="585" t="s">
        <v>45</v>
      </c>
      <c r="HZ20" s="583" t="s">
        <v>44</v>
      </c>
      <c r="IA20" s="585" t="s">
        <v>45</v>
      </c>
      <c r="IB20" s="583" t="s">
        <v>44</v>
      </c>
      <c r="IC20" s="585" t="s">
        <v>45</v>
      </c>
      <c r="ID20" s="583" t="s">
        <v>44</v>
      </c>
      <c r="IE20" s="585" t="s">
        <v>45</v>
      </c>
      <c r="IF20" s="583" t="s">
        <v>44</v>
      </c>
      <c r="IG20" s="585" t="s">
        <v>45</v>
      </c>
      <c r="IH20" s="583" t="s">
        <v>44</v>
      </c>
      <c r="II20" s="585" t="s">
        <v>45</v>
      </c>
      <c r="IJ20" s="583" t="s">
        <v>44</v>
      </c>
      <c r="IK20" s="585" t="s">
        <v>45</v>
      </c>
      <c r="IL20" s="583" t="s">
        <v>44</v>
      </c>
      <c r="IM20" s="585" t="s">
        <v>45</v>
      </c>
      <c r="IN20" s="583" t="s">
        <v>44</v>
      </c>
      <c r="IO20" s="585" t="s">
        <v>45</v>
      </c>
    </row>
    <row r="21" spans="1:249" ht="18" x14ac:dyDescent="0.25">
      <c r="A21" s="18">
        <v>1958</v>
      </c>
      <c r="B21" s="564"/>
      <c r="C21" s="523">
        <f>'POSF Inventory'!AD13*$D$5*'POSF Zone Def'!$M10</f>
        <v>8.7643822499999996E-2</v>
      </c>
      <c r="D21" s="478">
        <f>'POSF Inventory'!AE13*$D$6*'POSF Zone Def'!$M10</f>
        <v>8.7851263499999999E-2</v>
      </c>
      <c r="E21" s="478">
        <f>'POSF Inventory'!AF13*$D$5*'POSF Zone Def'!$M10</f>
        <v>0</v>
      </c>
      <c r="F21" s="478">
        <f>'POSF Inventory'!AG13*$D$6*'POSF Zone Def'!$M10</f>
        <v>0</v>
      </c>
      <c r="G21" s="478">
        <f>'POSF Inventory'!AH13*$D$5*'POSF Zone Def'!$M10</f>
        <v>6.4921349999999989E-2</v>
      </c>
      <c r="H21" s="137">
        <f>'POSF Inventory'!AI13*$D$6*'POSF Zone Def'!$M10</f>
        <v>6.5075009999999989E-2</v>
      </c>
      <c r="I21" s="474">
        <f>'POSF Inventory'!AD13*$D$5*'POSF Zone Def'!$N10</f>
        <v>8.7643822499999996E-2</v>
      </c>
      <c r="J21" s="474">
        <f>'POSF Inventory'!AE13*$D$6*'POSF Zone Def'!$N10</f>
        <v>8.7851263499999999E-2</v>
      </c>
      <c r="K21" s="474">
        <f>'POSF Inventory'!AF13*$D$5*'POSF Zone Def'!$N10</f>
        <v>0</v>
      </c>
      <c r="L21" s="474">
        <f>'POSF Inventory'!AG13*$D$6*'POSF Zone Def'!$N10</f>
        <v>0</v>
      </c>
      <c r="M21" s="474">
        <f>'POSF Inventory'!AH13*$D$5*'POSF Zone Def'!$N10</f>
        <v>6.4921349999999989E-2</v>
      </c>
      <c r="N21" s="485">
        <f>'POSF Inventory'!AI13*$D$6*'POSF Zone Def'!$N10</f>
        <v>6.5075009999999989E-2</v>
      </c>
      <c r="O21" s="474">
        <f>'POSF Inventory'!AJ13*$D$5*'POSF Zone Def'!$AP10</f>
        <v>0</v>
      </c>
      <c r="P21" s="474">
        <f>'POSF Inventory'!AK13*$D$6*'POSF Zone Def'!$AP10</f>
        <v>0</v>
      </c>
      <c r="Q21" s="474">
        <f>'POSF Inventory'!AL13*$D$5*'POSF Zone Def'!$AP10</f>
        <v>0</v>
      </c>
      <c r="R21" s="474">
        <f>'POSF Inventory'!AM13*$D$6*'POSF Zone Def'!$AP10</f>
        <v>0</v>
      </c>
      <c r="S21" s="474">
        <f>'POSF Inventory'!AN13*$D$5*'POSF Zone Def'!$AP10</f>
        <v>0</v>
      </c>
      <c r="T21" s="524">
        <f>'POSF Inventory'!AO13*$D$6*'POSF Zone Def'!$AP10</f>
        <v>0</v>
      </c>
      <c r="U21" s="474">
        <f>'POSF Inventory'!AJ13*$D$5*'POSF Zone Def'!$AQ10</f>
        <v>0</v>
      </c>
      <c r="V21" s="474">
        <f>'POSF Inventory'!AK13*$D$6*'POSF Zone Def'!$AQ10</f>
        <v>0</v>
      </c>
      <c r="W21" s="474">
        <f>'POSF Inventory'!AL13*$D$5*'POSF Zone Def'!$AQ10</f>
        <v>0</v>
      </c>
      <c r="X21" s="474">
        <f>'POSF Inventory'!AM13*$D$6*'POSF Zone Def'!$AQ10</f>
        <v>0</v>
      </c>
      <c r="Y21" s="474">
        <f>'POSF Inventory'!AN13*$D$5*'POSF Zone Def'!$AQ10</f>
        <v>0</v>
      </c>
      <c r="Z21" s="474">
        <f>'POSF Inventory'!AO13*$D$6*'POSF Zone Def'!$AQ10</f>
        <v>0</v>
      </c>
      <c r="AA21" s="523">
        <f>'POSF Inventory'!AV13*'POSF Emiss by Zone'!$D$5*'POSF Zone Def'!$M10</f>
        <v>0</v>
      </c>
      <c r="AB21" s="478">
        <f>'POSF Inventory'!AW13*'POSF Emiss by Zone'!$D$6*'POSF Zone Def'!$M10</f>
        <v>0</v>
      </c>
      <c r="AC21" s="478">
        <f>'POSF Inventory'!AX13*'POSF Emiss by Zone'!$D$5*'POSF Zone Def'!$M10</f>
        <v>5.8429215E-2</v>
      </c>
      <c r="AD21" s="478">
        <f>'POSF Inventory'!AY13*'POSF Emiss by Zone'!$D$6*'POSF Zone Def'!$M10</f>
        <v>5.8567508999999997E-2</v>
      </c>
      <c r="AE21" s="478">
        <f>'POSF Inventory'!AZ13*'POSF Emiss by Zone'!$D$5*'POSF Zone Def'!$M10</f>
        <v>0.10820225</v>
      </c>
      <c r="AF21" s="137">
        <f>'POSF Inventory'!BA13*'POSF Emiss by Zone'!$D$6*'POSF Zone Def'!$M10</f>
        <v>0.10845835</v>
      </c>
      <c r="AG21" s="474">
        <f>'POSF Inventory'!AV13*'POSF Emiss by Zone'!$D$5*'POSF Zone Def'!$N10</f>
        <v>0</v>
      </c>
      <c r="AH21" s="474">
        <f>'POSF Inventory'!AW13*'POSF Emiss by Zone'!$D$6*'POSF Zone Def'!$N10</f>
        <v>0</v>
      </c>
      <c r="AI21" s="474">
        <f>'POSF Inventory'!AX13*'POSF Emiss by Zone'!$D$5*'POSF Zone Def'!$N10</f>
        <v>5.8429215E-2</v>
      </c>
      <c r="AJ21" s="474">
        <f>'POSF Inventory'!AY13*'POSF Emiss by Zone'!$D$6*'POSF Zone Def'!$N10</f>
        <v>5.8567508999999997E-2</v>
      </c>
      <c r="AK21" s="474">
        <f>'POSF Inventory'!AZ13*'POSF Emiss by Zone'!$D$5*'POSF Zone Def'!$N10</f>
        <v>0.10820225</v>
      </c>
      <c r="AL21" s="549">
        <f>'POSF Inventory'!BA13*'POSF Emiss by Zone'!$D$6*'POSF Zone Def'!$N10</f>
        <v>0.10845835</v>
      </c>
      <c r="AM21" s="474">
        <f>'POSF Inventory'!BB13*'POSF Emiss by Zone'!$D$5*'POSF Zone Def'!$AP10</f>
        <v>0</v>
      </c>
      <c r="AN21" s="474">
        <f>'POSF Inventory'!BC13*'POSF Emiss by Zone'!$D$6*'POSF Zone Def'!$AP10</f>
        <v>0</v>
      </c>
      <c r="AO21" s="474">
        <f>'POSF Inventory'!BD13*'POSF Emiss by Zone'!$D$5*'POSF Zone Def'!$AP10</f>
        <v>0</v>
      </c>
      <c r="AP21" s="474">
        <f>'POSF Inventory'!BE13*'POSF Emiss by Zone'!$D$6*'POSF Zone Def'!$AP10</f>
        <v>0</v>
      </c>
      <c r="AQ21" s="474">
        <f>'POSF Inventory'!BF13*'POSF Emiss by Zone'!$D$5*'POSF Zone Def'!$AP10</f>
        <v>0</v>
      </c>
      <c r="AR21" s="524">
        <f>'POSF Inventory'!BG13*'POSF Emiss by Zone'!$D$6*'POSF Zone Def'!$AP10</f>
        <v>0</v>
      </c>
      <c r="AS21" s="474">
        <f>'POSF Inventory'!BB13*'POSF Emiss by Zone'!$D$5*'POSF Zone Def'!$AQ10</f>
        <v>0</v>
      </c>
      <c r="AT21" s="474">
        <f>'POSF Inventory'!BC13*'POSF Emiss by Zone'!$D$6*'POSF Zone Def'!$AQ10</f>
        <v>0</v>
      </c>
      <c r="AU21" s="474">
        <f>'POSF Inventory'!BD13*'POSF Emiss by Zone'!$D$5*'POSF Zone Def'!$AQ10</f>
        <v>0</v>
      </c>
      <c r="AV21" s="474">
        <f>'POSF Inventory'!BE13*'POSF Emiss by Zone'!$D$6*'POSF Zone Def'!$AQ10</f>
        <v>0</v>
      </c>
      <c r="AW21" s="474">
        <f>'POSF Inventory'!BF13*'POSF Emiss by Zone'!$D$5*'POSF Zone Def'!$AQ10</f>
        <v>0</v>
      </c>
      <c r="AX21" s="134">
        <f>'POSF Inventory'!BG13*'POSF Emiss by Zone'!$D$6*'POSF Zone Def'!$AQ10</f>
        <v>0</v>
      </c>
      <c r="AY21" s="478">
        <f>'POSF Inventory'!EA13*'POSF Emiss by Zone'!$D$5*'POSF Zone Def'!$Y10</f>
        <v>0</v>
      </c>
      <c r="AZ21" s="478">
        <f>'POSF Inventory'!EB13*'POSF Emiss by Zone'!$D$6*'POSF Zone Def'!$Y10</f>
        <v>0</v>
      </c>
      <c r="BA21" s="478">
        <f>'POSF Inventory'!EC13*'POSF Emiss by Zone'!$D$5*'POSF Zone Def'!$Y10</f>
        <v>4.5623478712499999E-2</v>
      </c>
      <c r="BB21" s="478">
        <f>'POSF Inventory'!ED13*'POSF Emiss by Zone'!$D$6*'POSF Zone Def'!$Y10</f>
        <v>0.45731463277499995</v>
      </c>
      <c r="BC21" s="478">
        <f>'POSF Inventory'!EE13*'POSF Emiss by Zone'!$D$5*'POSF Zone Def'!$Y10</f>
        <v>0</v>
      </c>
      <c r="BD21" s="137">
        <f>'POSF Inventory'!EF13*'POSF Emiss by Zone'!$D$6*'POSF Zone Def'!$Y10</f>
        <v>0</v>
      </c>
      <c r="BE21" s="478">
        <f>'POSF Inventory'!EA13*'POSF Emiss by Zone'!$D$5*'POSF Zone Def'!$Z10</f>
        <v>0</v>
      </c>
      <c r="BF21" s="478">
        <f>'POSF Inventory'!EB13*'POSF Emiss by Zone'!$D$6*'POSF Zone Def'!$Z10</f>
        <v>0</v>
      </c>
      <c r="BG21" s="474">
        <f>'POSF Inventory'!EC13*'POSF Emiss by Zone'!$D$5*'POSF Zone Def'!$Z10</f>
        <v>5.0692754125000001E-3</v>
      </c>
      <c r="BH21" s="474">
        <f>'POSF Inventory'!ED13*'POSF Emiss by Zone'!$D$6*'POSF Zone Def'!$Z10</f>
        <v>5.0812736974999995E-2</v>
      </c>
      <c r="BI21" s="474">
        <f>'POSF Inventory'!EE13*'POSF Emiss by Zone'!$D$5*'POSF Zone Def'!$Z10</f>
        <v>0</v>
      </c>
      <c r="BJ21" s="549">
        <f>'POSF Inventory'!EF13*'POSF Emiss by Zone'!$D$6*'POSF Zone Def'!$Z10</f>
        <v>0</v>
      </c>
      <c r="BK21" s="705">
        <f>'POSF Inventory'!$EA13*'POSF Emiss by Zone'!$D$5*'POSF Zone Def'!$AC10</f>
        <v>0</v>
      </c>
      <c r="BL21" s="705">
        <f>'POSF Inventory'!$EB13*'POSF Emiss by Zone'!$D$6*'POSF Zone Def'!$AC10</f>
        <v>0</v>
      </c>
      <c r="BM21" s="705">
        <f>'POSF Inventory'!$EC13*'POSF Emiss by Zone'!$D$5*'POSF Zone Def'!$AC10</f>
        <v>0</v>
      </c>
      <c r="BN21" s="705">
        <f>'POSF Inventory'!$ED13*'POSF Emiss by Zone'!$D$6*'POSF Zone Def'!$AC10</f>
        <v>0</v>
      </c>
      <c r="BO21" s="705">
        <f>'POSF Inventory'!$EE13*'POSF Emiss by Zone'!$D$5*'POSF Zone Def'!$AC10</f>
        <v>0</v>
      </c>
      <c r="BP21" s="708">
        <f>'POSF Inventory'!$EF13*'POSF Emiss by Zone'!$D$6*'POSF Zone Def'!$AC10</f>
        <v>0</v>
      </c>
      <c r="BQ21" s="474">
        <f>'POSF Inventory'!EG13*'POSF Emiss by Zone'!$D$5*'POSF Zone Def'!$BB10</f>
        <v>0</v>
      </c>
      <c r="BR21" s="474">
        <f>'POSF Inventory'!EH13*'POSF Emiss by Zone'!$D$6*'POSF Zone Def'!$BB10</f>
        <v>0</v>
      </c>
      <c r="BS21" s="474">
        <f>'POSF Inventory'!EI13*'POSF Emiss by Zone'!$D$5*'POSF Zone Def'!$BB10</f>
        <v>0</v>
      </c>
      <c r="BT21" s="474">
        <f>'POSF Inventory'!EJ13*'POSF Emiss by Zone'!$D$6*'POSF Zone Def'!$BB10</f>
        <v>0</v>
      </c>
      <c r="BU21" s="474">
        <f>'POSF Inventory'!EK13*'POSF Emiss by Zone'!$D$5*'POSF Zone Def'!$BB10</f>
        <v>0</v>
      </c>
      <c r="BV21" s="524">
        <f>'POSF Inventory'!EL13*'POSF Emiss by Zone'!$D$6*'POSF Zone Def'!$BB10</f>
        <v>0</v>
      </c>
      <c r="BW21" s="474">
        <f>'POSF Inventory'!$EG13*'POSF Emiss by Zone'!$D$5*'POSF Zone Def'!$BC10</f>
        <v>0</v>
      </c>
      <c r="BX21" s="474">
        <f>'POSF Inventory'!$EH13*'POSF Emiss by Zone'!$D$6*'POSF Zone Def'!$BC10</f>
        <v>0</v>
      </c>
      <c r="BY21" s="474">
        <f>'POSF Inventory'!$EI13*'POSF Emiss by Zone'!$D$5*'POSF Zone Def'!$BC10</f>
        <v>0</v>
      </c>
      <c r="BZ21" s="474">
        <f>'POSF Inventory'!$EJ13*'POSF Emiss by Zone'!$D$6*'POSF Zone Def'!$BC10</f>
        <v>0</v>
      </c>
      <c r="CA21" s="474">
        <f>'POSF Inventory'!$EK13*'POSF Emiss by Zone'!$D$5*'POSF Zone Def'!$BC10</f>
        <v>0</v>
      </c>
      <c r="CB21" s="134">
        <f>'POSF Inventory'!$EL13*'POSF Emiss by Zone'!$D$6*'POSF Zone Def'!$BC10</f>
        <v>0</v>
      </c>
      <c r="CC21" s="478">
        <f>'POSF Inventory'!GC13*'POSF Emiss by Zone'!$D$7*'POSF Zone Def'!$M10</f>
        <v>4.0976000000000001E-4</v>
      </c>
      <c r="CD21" s="478">
        <f>'POSF Inventory'!GD13*'POSF Emiss by Zone'!$D$9*'POSF Zone Def'!$M10</f>
        <v>5.065658E-4</v>
      </c>
      <c r="CE21" s="478">
        <f>'POSF Inventory'!GE13*'POSF Emiss by Zone'!$D$7*'POSF Zone Def'!$M10</f>
        <v>6.1463999999999998E-3</v>
      </c>
      <c r="CF21" s="478">
        <f>'POSF Inventory'!GF13*'POSF Emiss by Zone'!$D$9*'POSF Zone Def'!$M10</f>
        <v>7.5984869999999993E-3</v>
      </c>
      <c r="CG21" s="478">
        <f>'POSF Inventory'!GG13*'POSF Emiss by Zone'!$D$7*'POSF Zone Def'!$M10</f>
        <v>2.2536799999999999E-2</v>
      </c>
      <c r="CH21" s="137">
        <f>'POSF Inventory'!GH13*'POSF Emiss by Zone'!$D$9*'POSF Zone Def'!$M10</f>
        <v>0.111444476</v>
      </c>
      <c r="CI21" s="478">
        <f>'POSF Inventory'!GC13*'POSF Emiss by Zone'!$D$7*'POSF Zone Def'!$N10</f>
        <v>4.0976000000000001E-4</v>
      </c>
      <c r="CJ21" s="478">
        <f>'POSF Inventory'!GD13*'POSF Emiss by Zone'!$D$9*'POSF Zone Def'!$N10</f>
        <v>5.065658E-4</v>
      </c>
      <c r="CK21" s="474">
        <f>'POSF Inventory'!GE13*'POSF Emiss by Zone'!$D$7*'POSF Zone Def'!$N10</f>
        <v>6.1463999999999998E-3</v>
      </c>
      <c r="CL21" s="474">
        <f>'POSF Inventory'!GF13*'POSF Emiss by Zone'!$D$9*'POSF Zone Def'!$N10</f>
        <v>7.5984869999999993E-3</v>
      </c>
      <c r="CM21" s="474">
        <f>'POSF Inventory'!GG13*'POSF Emiss by Zone'!$D$7*'POSF Zone Def'!$N10</f>
        <v>2.2536799999999999E-2</v>
      </c>
      <c r="CN21" s="485">
        <f>'POSF Inventory'!GH13*'POSF Emiss by Zone'!$D$9*'POSF Zone Def'!$N10</f>
        <v>0.111444476</v>
      </c>
      <c r="CO21" s="474">
        <f>'POSF Inventory'!GI13*'POSF Emiss by Zone'!$D$7*'POSF Zone Def'!$AP10</f>
        <v>0</v>
      </c>
      <c r="CP21" s="474">
        <f>'POSF Inventory'!GJ13*'POSF Emiss by Zone'!$D$9*'POSF Zone Def'!$AP10</f>
        <v>0</v>
      </c>
      <c r="CQ21" s="474">
        <f>'POSF Inventory'!GK13*'POSF Emiss by Zone'!$D$7*'POSF Zone Def'!$AP10</f>
        <v>0</v>
      </c>
      <c r="CR21" s="474">
        <f>'POSF Inventory'!GL13*'POSF Emiss by Zone'!$D$9*'POSF Zone Def'!$AP10</f>
        <v>0</v>
      </c>
      <c r="CS21" s="474">
        <f>'POSF Inventory'!GM13*'POSF Emiss by Zone'!$D$7*'POSF Zone Def'!$AP10</f>
        <v>0</v>
      </c>
      <c r="CT21" s="524">
        <f>'POSF Inventory'!GN13*'POSF Emiss by Zone'!$D$9*'POSF Zone Def'!$AP10</f>
        <v>0</v>
      </c>
      <c r="CU21" s="474">
        <f>'POSF Inventory'!GI13*'POSF Emiss by Zone'!$D$7*'POSF Zone Def'!$AQ10</f>
        <v>0</v>
      </c>
      <c r="CV21" s="474">
        <f>'POSF Inventory'!GJ13*'POSF Emiss by Zone'!$D$9*'POSF Zone Def'!$AQ10</f>
        <v>0</v>
      </c>
      <c r="CW21" s="474">
        <f>'POSF Inventory'!GK13*'POSF Emiss by Zone'!$D$7*'POSF Zone Def'!$AQ10</f>
        <v>0</v>
      </c>
      <c r="CX21" s="474">
        <f>'POSF Inventory'!GL13*'POSF Emiss by Zone'!$D$9*'POSF Zone Def'!$AQ10</f>
        <v>0</v>
      </c>
      <c r="CY21" s="474">
        <f>'POSF Inventory'!GM13*'POSF Emiss by Zone'!$D$7*'POSF Zone Def'!$AQ10</f>
        <v>0</v>
      </c>
      <c r="CZ21" s="134">
        <f>'POSF Inventory'!GN13*'POSF Emiss by Zone'!$D$9*'POSF Zone Def'!$AQ10</f>
        <v>0</v>
      </c>
      <c r="DA21" s="478">
        <f>SUM('POSF Inventory'!GQ13,'POSF Inventory'!GS13)*'POSF Emiss by Zone'!$D$7*'POSF Zone Def'!$Y10</f>
        <v>2.7502102929307493E-2</v>
      </c>
      <c r="DB21" s="478">
        <f>SUM('POSF Inventory'!GR13,'POSF Inventory'!GT13)*'POSF Emiss by Zone'!$D$9*'POSF Zone Def'!$Y10</f>
        <v>0.92325777221632499</v>
      </c>
      <c r="DC21" s="478"/>
      <c r="DD21" s="478"/>
      <c r="DE21" s="478">
        <f>'POSF Inventory'!GU13*'POSF Emiss by Zone'!$D$7*'POSF Zone Def'!$Y10</f>
        <v>0</v>
      </c>
      <c r="DF21" s="137">
        <f>'POSF Inventory'!GV13*'POSF Emiss by Zone'!$D$9*'POSF Zone Def'!$Y10</f>
        <v>0</v>
      </c>
      <c r="DG21" s="478">
        <f>SUM('POSF Inventory'!$GQ13,'POSF Inventory'!$GS13)*'POSF Emiss by Zone'!$D$7*'POSF Zone Def'!$Z10</f>
        <v>3.0557892143674992E-3</v>
      </c>
      <c r="DH21" s="478">
        <f>SUM('POSF Inventory'!$GR13,'POSF Inventory'!$GT13)*'POSF Emiss by Zone'!$D$9*'POSF Zone Def'!$Z10</f>
        <v>0.102584196912925</v>
      </c>
      <c r="DI21" s="474"/>
      <c r="DJ21" s="474"/>
      <c r="DK21" s="478">
        <f>'POSF Inventory'!$GU13*'POSF Emiss by Zone'!$D$7*'POSF Zone Def'!$Z10</f>
        <v>0</v>
      </c>
      <c r="DL21" s="137">
        <f>'POSF Inventory'!$GV13*'POSF Emiss by Zone'!$D$9*'POSF Zone Def'!$Z10</f>
        <v>0</v>
      </c>
      <c r="DM21" s="705">
        <f>SUM('POSF Inventory'!$GQ13,'POSF Inventory'!$GS13)*'POSF Emiss by Zone'!$D$7*'POSF Zone Def'!$AC10</f>
        <v>0</v>
      </c>
      <c r="DN21" s="705">
        <f>SUM('POSF Inventory'!$GR13,'POSF Inventory'!$GT13)*'POSF Emiss by Zone'!$D$9*'POSF Zone Def'!$AC10</f>
        <v>0</v>
      </c>
      <c r="DO21" s="705"/>
      <c r="DP21" s="705"/>
      <c r="DQ21" s="705">
        <f>'POSF Inventory'!$GU13*'POSF Emiss by Zone'!$D$7*'POSF Zone Def'!$AC10</f>
        <v>0</v>
      </c>
      <c r="DR21" s="708">
        <f>'POSF Inventory'!$GV13*'POSF Emiss by Zone'!$D$9*'POSF Zone Def'!$AC10</f>
        <v>0</v>
      </c>
      <c r="DS21" s="474">
        <f>SUM('POSF Inventory'!GW13,'POSF Inventory'!GY13)*$D$7*'POSF Zone Def'!$BB10</f>
        <v>0</v>
      </c>
      <c r="DT21" s="474">
        <f>SUM('POSF Inventory'!GX13,'POSF Inventory'!GZ13)*$D$9*'POSF Zone Def'!$BB10</f>
        <v>0</v>
      </c>
      <c r="DU21" s="474"/>
      <c r="DV21" s="474"/>
      <c r="DW21" s="474">
        <f>'POSF Inventory'!HA13*'POSF Emiss by Zone'!$D$7*'POSF Zone Def'!$BB10</f>
        <v>0</v>
      </c>
      <c r="DX21" s="549">
        <f>'POSF Inventory'!HB13*'POSF Emiss by Zone'!$D$9*'POSF Zone Def'!$BB10</f>
        <v>0</v>
      </c>
      <c r="DY21" s="474">
        <f>SUM('POSF Inventory'!GW13,'POSF Inventory'!GY13)*$D$7*'POSF Zone Def'!$BC10</f>
        <v>0</v>
      </c>
      <c r="DZ21" s="474">
        <f>SUM('POSF Inventory'!GX13,'POSF Inventory'!GZ13)*$D$9*'POSF Zone Def'!$BC10</f>
        <v>0</v>
      </c>
      <c r="EA21" s="474"/>
      <c r="EB21" s="474"/>
      <c r="EC21" s="474">
        <f>'POSF Inventory'!HA13*'POSF Emiss by Zone'!$D$7*'POSF Zone Def'!$BC10</f>
        <v>0</v>
      </c>
      <c r="ED21" s="134">
        <f>'POSF Inventory'!HB13*'POSF Emiss by Zone'!$D$9*'POSF Zone Def'!$BC10</f>
        <v>0</v>
      </c>
      <c r="EE21" s="235">
        <f>'POSF Inventory'!$CF13*'POSF Emiss by Zone'!$D$7*'POSF Zone Def'!$CE10</f>
        <v>0</v>
      </c>
      <c r="EF21" s="235">
        <f>'POSF Inventory'!$CG13*'POSF Emiss by Zone'!$D$9*'POSF Zone Def'!$CE10</f>
        <v>0</v>
      </c>
      <c r="EG21" s="235">
        <f>'POSF Inventory'!$CH13*'POSF Emiss by Zone'!$D$7*'POSF Zone Def'!$CE10</f>
        <v>0</v>
      </c>
      <c r="EH21" s="235">
        <f>'POSF Inventory'!$CI13*'POSF Emiss by Zone'!$D$9*'POSF Zone Def'!$CE10</f>
        <v>0</v>
      </c>
      <c r="EI21" s="235">
        <f>'POSF Inventory'!$CJ13*'POSF Emiss by Zone'!$D$7*'POSF Zone Def'!$CE10</f>
        <v>0</v>
      </c>
      <c r="EJ21" s="580">
        <f>'POSF Inventory'!$CK13*'POSF Emiss by Zone'!$D$9*'POSF Zone Def'!$CE10</f>
        <v>0</v>
      </c>
      <c r="EK21" s="235">
        <f>'POSF Inventory'!$CF13*'POSF Emiss by Zone'!$D$7*'POSF Zone Def'!$CF10</f>
        <v>0</v>
      </c>
      <c r="EL21" s="235">
        <f>'POSF Inventory'!$CG13*'POSF Emiss by Zone'!$D$9*'POSF Zone Def'!$CF10</f>
        <v>0</v>
      </c>
      <c r="EM21" s="235">
        <f>'POSF Inventory'!$CH13*'POSF Emiss by Zone'!$D$7*'POSF Zone Def'!$CF10</f>
        <v>0</v>
      </c>
      <c r="EN21" s="235">
        <f>'POSF Inventory'!$CI13*'POSF Emiss by Zone'!$D$9*'POSF Zone Def'!$CF10</f>
        <v>0</v>
      </c>
      <c r="EO21" s="235">
        <f>'POSF Inventory'!$CJ13*'POSF Emiss by Zone'!$D$7*'POSF Zone Def'!$CF10</f>
        <v>0</v>
      </c>
      <c r="EP21" s="580">
        <f>'POSF Inventory'!$CK13*'POSF Emiss by Zone'!$D$9*'POSF Zone Def'!$CF10</f>
        <v>0</v>
      </c>
      <c r="EQ21" s="235">
        <f>'POSF Inventory'!$CF13*'POSF Emiss by Zone'!$D$7*'POSF Zone Def'!$CG10</f>
        <v>0</v>
      </c>
      <c r="ER21" s="235">
        <f>'POSF Inventory'!$CG13*'POSF Emiss by Zone'!$D$9*'POSF Zone Def'!$CG10</f>
        <v>0</v>
      </c>
      <c r="ES21" s="235">
        <f>'POSF Inventory'!$CH13*'POSF Emiss by Zone'!$D$7*'POSF Zone Def'!$CG10</f>
        <v>0</v>
      </c>
      <c r="ET21" s="235">
        <f>'POSF Inventory'!$CI13*'POSF Emiss by Zone'!$D$9*'POSF Zone Def'!$CG10</f>
        <v>0</v>
      </c>
      <c r="EU21" s="235">
        <f>'POSF Inventory'!$CJ13*'POSF Emiss by Zone'!$D$7*'POSF Zone Def'!$CG10</f>
        <v>0</v>
      </c>
      <c r="EV21" s="580">
        <f>'POSF Inventory'!$CK13*'POSF Emiss by Zone'!$D$9*'POSF Zone Def'!$CG10</f>
        <v>0</v>
      </c>
      <c r="EW21" s="235">
        <f>'POSF Inventory'!$CF13*'POSF Emiss by Zone'!$D$7*'POSF Zone Def'!$CH10</f>
        <v>0</v>
      </c>
      <c r="EX21" s="235">
        <f>'POSF Inventory'!$CG13*'POSF Emiss by Zone'!$D$9*'POSF Zone Def'!$CH10</f>
        <v>0</v>
      </c>
      <c r="EY21" s="235">
        <f>'POSF Inventory'!$CH13*'POSF Emiss by Zone'!$D$7*'POSF Zone Def'!$CH10</f>
        <v>0</v>
      </c>
      <c r="EZ21" s="235">
        <f>'POSF Inventory'!$CI13*'POSF Emiss by Zone'!$D$9*'POSF Zone Def'!$CH10</f>
        <v>0</v>
      </c>
      <c r="FA21" s="235">
        <f>'POSF Inventory'!$CJ13*'POSF Emiss by Zone'!$D$7*'POSF Zone Def'!$CH10</f>
        <v>0</v>
      </c>
      <c r="FB21" s="580">
        <f>'POSF Inventory'!$CK13*'POSF Emiss by Zone'!$D$9*'POSF Zone Def'!$CH10</f>
        <v>0</v>
      </c>
      <c r="FC21" s="235">
        <f>'POSF Inventory'!$CF13*'POSF Emiss by Zone'!$D$7*'POSF Zone Def'!$CI10</f>
        <v>0</v>
      </c>
      <c r="FD21" s="235">
        <f>'POSF Inventory'!$CG13*'POSF Emiss by Zone'!$D$9*'POSF Zone Def'!$CI10</f>
        <v>0</v>
      </c>
      <c r="FE21" s="235">
        <f>'POSF Inventory'!$CH13*'POSF Emiss by Zone'!$D$7*'POSF Zone Def'!$CI10</f>
        <v>0</v>
      </c>
      <c r="FF21" s="235">
        <f>'POSF Inventory'!$CI13*'POSF Emiss by Zone'!$D$9*'POSF Zone Def'!$CI10</f>
        <v>0</v>
      </c>
      <c r="FG21" s="235">
        <f>'POSF Inventory'!$CJ13*'POSF Emiss by Zone'!$D$7*'POSF Zone Def'!$CI10</f>
        <v>0</v>
      </c>
      <c r="FH21" s="577">
        <f>'POSF Inventory'!$CK13*'POSF Emiss by Zone'!$D$9*'POSF Zone Def'!$CI10</f>
        <v>0</v>
      </c>
      <c r="FI21" s="595"/>
      <c r="FJ21" s="595"/>
      <c r="FM21" s="592">
        <v>4</v>
      </c>
      <c r="FN21" s="592">
        <f t="shared" ref="FN21:FN52" si="0">A21</f>
        <v>1958</v>
      </c>
      <c r="FO21" s="587">
        <v>1</v>
      </c>
      <c r="FP21" s="523">
        <f t="shared" ref="FP21" si="1">SUM(C21,O21)</f>
        <v>8.7643822499999996E-2</v>
      </c>
      <c r="FQ21" s="478">
        <f t="shared" ref="FQ21" si="2">SUM(D21,P21)</f>
        <v>8.7851263499999999E-2</v>
      </c>
      <c r="FR21" s="478">
        <f t="shared" ref="FR21" si="3">SUM(E21,Q21)</f>
        <v>0</v>
      </c>
      <c r="FS21" s="478">
        <f t="shared" ref="FS21" si="4">SUM(F21,R21)</f>
        <v>0</v>
      </c>
      <c r="FT21" s="478">
        <f t="shared" ref="FT21" si="5">SUM(G21,S21)</f>
        <v>6.4921349999999989E-2</v>
      </c>
      <c r="FU21" s="137">
        <f t="shared" ref="FU21" si="6">SUM(H21,T21)</f>
        <v>6.5075009999999989E-2</v>
      </c>
      <c r="FV21" s="474">
        <f t="shared" ref="FV21" si="7">SUM(I21,U21)</f>
        <v>8.7643822499999996E-2</v>
      </c>
      <c r="FW21" s="474">
        <f t="shared" ref="FW21" si="8">SUM(J21,V21)</f>
        <v>8.7851263499999999E-2</v>
      </c>
      <c r="FX21" s="474">
        <f t="shared" ref="FX21" si="9">SUM(K21,W21)</f>
        <v>0</v>
      </c>
      <c r="FY21" s="474">
        <f t="shared" ref="FY21" si="10">SUM(L21,X21)</f>
        <v>0</v>
      </c>
      <c r="FZ21" s="474">
        <f t="shared" ref="FZ21" si="11">SUM(M21,Y21)</f>
        <v>6.4921349999999989E-2</v>
      </c>
      <c r="GA21" s="552">
        <f t="shared" ref="GA21" si="12">SUM(N21,Z21)</f>
        <v>6.5075009999999989E-2</v>
      </c>
      <c r="GB21" s="474">
        <f t="shared" ref="GB21:GM21" si="13">SUM(AA21,AM21,AY21,BQ21)*$FN$5</f>
        <v>0</v>
      </c>
      <c r="GC21" s="474">
        <f t="shared" si="13"/>
        <v>0</v>
      </c>
      <c r="GD21" s="474">
        <f t="shared" si="13"/>
        <v>0.10363814114790837</v>
      </c>
      <c r="GE21" s="474">
        <f t="shared" si="13"/>
        <v>0.51382683443725086</v>
      </c>
      <c r="GF21" s="474">
        <f t="shared" si="13"/>
        <v>0.10777116533864542</v>
      </c>
      <c r="GG21" s="524">
        <f t="shared" si="13"/>
        <v>0.10802624501992031</v>
      </c>
      <c r="GH21" s="474">
        <f t="shared" si="13"/>
        <v>0</v>
      </c>
      <c r="GI21" s="474">
        <f t="shared" si="13"/>
        <v>0</v>
      </c>
      <c r="GJ21" s="474">
        <f t="shared" si="13"/>
        <v>6.3245508378984058E-2</v>
      </c>
      <c r="GK21" s="474">
        <f t="shared" si="13"/>
        <v>0.10894446810258962</v>
      </c>
      <c r="GL21" s="474">
        <f t="shared" si="13"/>
        <v>0.10777116533864542</v>
      </c>
      <c r="GM21" s="706">
        <f t="shared" si="13"/>
        <v>0.10802624501992031</v>
      </c>
      <c r="GN21" s="705">
        <f t="shared" ref="GN21:GS21" si="14">BK21*$FN$5</f>
        <v>0</v>
      </c>
      <c r="GO21" s="705">
        <f t="shared" si="14"/>
        <v>0</v>
      </c>
      <c r="GP21" s="705">
        <f t="shared" si="14"/>
        <v>0</v>
      </c>
      <c r="GQ21" s="705">
        <f t="shared" si="14"/>
        <v>0</v>
      </c>
      <c r="GR21" s="705">
        <f t="shared" si="14"/>
        <v>0</v>
      </c>
      <c r="GS21" s="705">
        <f t="shared" si="14"/>
        <v>0</v>
      </c>
      <c r="GT21" s="551">
        <f t="shared" ref="GT21:HE21" si="15">((CC21*$FN$9)+(CO21*$FN$9)+(DA21*$FN$9)+(DS21*$FN$9)+EE21)*$FN$3</f>
        <v>5.7825373399362134E-4</v>
      </c>
      <c r="GU21" s="548">
        <f t="shared" si="15"/>
        <v>1.913774724177247E-2</v>
      </c>
      <c r="GV21" s="548">
        <f t="shared" si="15"/>
        <v>1.2733577689243026E-4</v>
      </c>
      <c r="GW21" s="548">
        <f t="shared" si="15"/>
        <v>1.5741885418326691E-4</v>
      </c>
      <c r="GX21" s="548">
        <f t="shared" si="15"/>
        <v>4.6689784860557765E-4</v>
      </c>
      <c r="GY21" s="524">
        <f t="shared" si="15"/>
        <v>2.3088098613545816E-3</v>
      </c>
      <c r="GZ21" s="548">
        <f t="shared" si="15"/>
        <v>7.1796238704027873E-5</v>
      </c>
      <c r="HA21" s="548">
        <f t="shared" si="15"/>
        <v>2.1357448848892827E-3</v>
      </c>
      <c r="HB21" s="548">
        <f t="shared" si="15"/>
        <v>1.2733577689243026E-4</v>
      </c>
      <c r="HC21" s="548">
        <f t="shared" si="15"/>
        <v>1.5741885418326691E-4</v>
      </c>
      <c r="HD21" s="548">
        <f t="shared" si="15"/>
        <v>4.6689784860557765E-4</v>
      </c>
      <c r="HE21" s="549">
        <f t="shared" si="15"/>
        <v>2.3088098613545816E-3</v>
      </c>
      <c r="HF21" s="235">
        <f t="shared" ref="HF21:HQ21" si="16">EQ21*$FN$3</f>
        <v>0</v>
      </c>
      <c r="HG21" s="235">
        <f t="shared" si="16"/>
        <v>0</v>
      </c>
      <c r="HH21" s="235">
        <f t="shared" si="16"/>
        <v>0</v>
      </c>
      <c r="HI21" s="235">
        <f t="shared" si="16"/>
        <v>0</v>
      </c>
      <c r="HJ21" s="235">
        <f t="shared" si="16"/>
        <v>0</v>
      </c>
      <c r="HK21" s="580">
        <f t="shared" si="16"/>
        <v>0</v>
      </c>
      <c r="HL21" s="235">
        <f t="shared" si="16"/>
        <v>0</v>
      </c>
      <c r="HM21" s="235">
        <f t="shared" si="16"/>
        <v>0</v>
      </c>
      <c r="HN21" s="235">
        <f t="shared" si="16"/>
        <v>0</v>
      </c>
      <c r="HO21" s="235">
        <f t="shared" si="16"/>
        <v>0</v>
      </c>
      <c r="HP21" s="235">
        <f t="shared" si="16"/>
        <v>0</v>
      </c>
      <c r="HQ21" s="580">
        <f t="shared" si="16"/>
        <v>0</v>
      </c>
      <c r="HR21" s="235">
        <f t="shared" ref="HR21:HW21" si="17">(FC21+DM21*$FN$9)*$FN$3</f>
        <v>0</v>
      </c>
      <c r="HS21" s="235">
        <f t="shared" si="17"/>
        <v>0</v>
      </c>
      <c r="HT21" s="235">
        <f t="shared" si="17"/>
        <v>0</v>
      </c>
      <c r="HU21" s="235">
        <f t="shared" si="17"/>
        <v>0</v>
      </c>
      <c r="HV21" s="235">
        <f t="shared" si="17"/>
        <v>0</v>
      </c>
      <c r="HW21" s="577">
        <f t="shared" si="17"/>
        <v>0</v>
      </c>
      <c r="HX21" s="235">
        <f t="shared" ref="HX21:II21" si="18">((CC21*$FN$10)+(CO21*$FN$10)+(DA21*$FN$10)+(DS21*$FN$10))*$FN$4</f>
        <v>3.073196190893792E-2</v>
      </c>
      <c r="HY21" s="235">
        <f t="shared" si="18"/>
        <v>1.017097659180046</v>
      </c>
      <c r="HZ21" s="235">
        <f t="shared" si="18"/>
        <v>6.7674067888446199E-3</v>
      </c>
      <c r="IA21" s="235">
        <f t="shared" si="18"/>
        <v>8.3662066427091612E-3</v>
      </c>
      <c r="IB21" s="235">
        <f t="shared" si="18"/>
        <v>2.4813824892430274E-2</v>
      </c>
      <c r="IC21" s="235">
        <f t="shared" si="18"/>
        <v>0.12270436409306772</v>
      </c>
      <c r="ID21" s="235">
        <f t="shared" si="18"/>
        <v>3.8156939477394501E-3</v>
      </c>
      <c r="IE21" s="235">
        <f t="shared" si="18"/>
        <v>0.11350662622846196</v>
      </c>
      <c r="IF21" s="235">
        <f t="shared" si="18"/>
        <v>6.7674067888446199E-3</v>
      </c>
      <c r="IG21" s="235">
        <f t="shared" si="18"/>
        <v>8.3662066427091612E-3</v>
      </c>
      <c r="IH21" s="235">
        <f t="shared" si="18"/>
        <v>2.4813824892430274E-2</v>
      </c>
      <c r="II21" s="235">
        <f t="shared" si="18"/>
        <v>0.12270436409306772</v>
      </c>
      <c r="IJ21" s="235">
        <f t="shared" ref="IJ21:IO21" si="19">DM21*$FN$10*$FN$4</f>
        <v>0</v>
      </c>
      <c r="IK21" s="235">
        <f t="shared" si="19"/>
        <v>0</v>
      </c>
      <c r="IL21" s="235">
        <f t="shared" si="19"/>
        <v>0</v>
      </c>
      <c r="IM21" s="235">
        <f t="shared" si="19"/>
        <v>0</v>
      </c>
      <c r="IN21" s="235">
        <f t="shared" si="19"/>
        <v>0</v>
      </c>
      <c r="IO21" s="235">
        <f t="shared" si="19"/>
        <v>0</v>
      </c>
    </row>
    <row r="22" spans="1:249" ht="18" x14ac:dyDescent="0.25">
      <c r="A22" s="18">
        <v>1959</v>
      </c>
      <c r="B22" s="564"/>
      <c r="C22" s="477">
        <f>'POSF Inventory'!AD14*$D$5*'POSF Zone Def'!$M11</f>
        <v>0.17865856124999999</v>
      </c>
      <c r="D22" s="474">
        <f>'POSF Inventory'!AE14*$D$6*'POSF Zone Def'!$M11</f>
        <v>0.17908142174999997</v>
      </c>
      <c r="E22" s="474">
        <f>'POSF Inventory'!AF14*$D$5*'POSF Zone Def'!$M11</f>
        <v>0</v>
      </c>
      <c r="F22" s="474">
        <f>'POSF Inventory'!AG14*$D$6*'POSF Zone Def'!$M11</f>
        <v>0</v>
      </c>
      <c r="G22" s="474">
        <f>'POSF Inventory'!AH14*$D$5*'POSF Zone Def'!$M11</f>
        <v>0.13233967499999999</v>
      </c>
      <c r="H22" s="485">
        <f>'POSF Inventory'!AI14*$D$6*'POSF Zone Def'!$M11</f>
        <v>0.13265290499999999</v>
      </c>
      <c r="I22" s="474">
        <f>'POSF Inventory'!AD14*$D$5*'POSF Zone Def'!$N11</f>
        <v>0.17865856124999999</v>
      </c>
      <c r="J22" s="474">
        <f>'POSF Inventory'!AE14*$D$6*'POSF Zone Def'!$N11</f>
        <v>0.17908142174999997</v>
      </c>
      <c r="K22" s="474">
        <f>'POSF Inventory'!AF14*$D$5*'POSF Zone Def'!$N11</f>
        <v>0</v>
      </c>
      <c r="L22" s="474">
        <f>'POSF Inventory'!AG14*$D$6*'POSF Zone Def'!$N11</f>
        <v>0</v>
      </c>
      <c r="M22" s="474">
        <f>'POSF Inventory'!AH14*$D$5*'POSF Zone Def'!$N11</f>
        <v>0.13233967499999999</v>
      </c>
      <c r="N22" s="485">
        <f>'POSF Inventory'!AI14*$D$6*'POSF Zone Def'!$N11</f>
        <v>0.13265290499999999</v>
      </c>
      <c r="O22" s="474">
        <f>'POSF Inventory'!AJ14*$D$5*'POSF Zone Def'!$AP11</f>
        <v>0</v>
      </c>
      <c r="P22" s="474">
        <f>'POSF Inventory'!AK14*$D$6*'POSF Zone Def'!$AP11</f>
        <v>0</v>
      </c>
      <c r="Q22" s="474">
        <f>'POSF Inventory'!AL14*$D$5*'POSF Zone Def'!$AP11</f>
        <v>0</v>
      </c>
      <c r="R22" s="474">
        <f>'POSF Inventory'!AM14*$D$6*'POSF Zone Def'!$AP11</f>
        <v>0</v>
      </c>
      <c r="S22" s="474">
        <f>'POSF Inventory'!AN14*$D$5*'POSF Zone Def'!$AP11</f>
        <v>0</v>
      </c>
      <c r="T22" s="524">
        <f>'POSF Inventory'!AO14*$D$6*'POSF Zone Def'!$AP11</f>
        <v>0</v>
      </c>
      <c r="U22" s="474">
        <f>'POSF Inventory'!AJ14*$D$5*'POSF Zone Def'!$AQ11</f>
        <v>0</v>
      </c>
      <c r="V22" s="474">
        <f>'POSF Inventory'!AK14*$D$6*'POSF Zone Def'!$AQ11</f>
        <v>0</v>
      </c>
      <c r="W22" s="474">
        <f>'POSF Inventory'!AL14*$D$5*'POSF Zone Def'!$AQ11</f>
        <v>0</v>
      </c>
      <c r="X22" s="474">
        <f>'POSF Inventory'!AM14*$D$6*'POSF Zone Def'!$AQ11</f>
        <v>0</v>
      </c>
      <c r="Y22" s="474">
        <f>'POSF Inventory'!AN14*$D$5*'POSF Zone Def'!$AQ11</f>
        <v>0</v>
      </c>
      <c r="Z22" s="474">
        <f>'POSF Inventory'!AO14*$D$6*'POSF Zone Def'!$AQ11</f>
        <v>0</v>
      </c>
      <c r="AA22" s="477">
        <f>'POSF Inventory'!AV14*'POSF Emiss by Zone'!$D$5*'POSF Zone Def'!$M11</f>
        <v>0</v>
      </c>
      <c r="AB22" s="474">
        <f>'POSF Inventory'!AW14*'POSF Emiss by Zone'!$D$6*'POSF Zone Def'!$M11</f>
        <v>0</v>
      </c>
      <c r="AC22" s="474">
        <f>'POSF Inventory'!AX14*'POSF Emiss by Zone'!$D$5*'POSF Zone Def'!$M11</f>
        <v>0.1191057075</v>
      </c>
      <c r="AD22" s="474">
        <f>'POSF Inventory'!AY14*'POSF Emiss by Zone'!$D$6*'POSF Zone Def'!$M11</f>
        <v>0.1193876145</v>
      </c>
      <c r="AE22" s="474">
        <f>'POSF Inventory'!AZ14*'POSF Emiss by Zone'!$D$5*'POSF Zone Def'!$M11</f>
        <v>0.220566125</v>
      </c>
      <c r="AF22" s="485">
        <f>'POSF Inventory'!BA14*'POSF Emiss by Zone'!$D$6*'POSF Zone Def'!$M11</f>
        <v>0.221088175</v>
      </c>
      <c r="AG22" s="474">
        <f>'POSF Inventory'!AV14*'POSF Emiss by Zone'!$D$5*'POSF Zone Def'!$N11</f>
        <v>0</v>
      </c>
      <c r="AH22" s="474">
        <f>'POSF Inventory'!AW14*'POSF Emiss by Zone'!$D$6*'POSF Zone Def'!$N11</f>
        <v>0</v>
      </c>
      <c r="AI22" s="474">
        <f>'POSF Inventory'!AX14*'POSF Emiss by Zone'!$D$5*'POSF Zone Def'!$N11</f>
        <v>0.1191057075</v>
      </c>
      <c r="AJ22" s="474">
        <f>'POSF Inventory'!AY14*'POSF Emiss by Zone'!$D$6*'POSF Zone Def'!$N11</f>
        <v>0.1193876145</v>
      </c>
      <c r="AK22" s="474">
        <f>'POSF Inventory'!AZ14*'POSF Emiss by Zone'!$D$5*'POSF Zone Def'!$N11</f>
        <v>0.220566125</v>
      </c>
      <c r="AL22" s="549">
        <f>'POSF Inventory'!BA14*'POSF Emiss by Zone'!$D$6*'POSF Zone Def'!$N11</f>
        <v>0.221088175</v>
      </c>
      <c r="AM22" s="474">
        <f>'POSF Inventory'!BB14*'POSF Emiss by Zone'!$D$5*'POSF Zone Def'!$AP11</f>
        <v>0</v>
      </c>
      <c r="AN22" s="474">
        <f>'POSF Inventory'!BC14*'POSF Emiss by Zone'!$D$6*'POSF Zone Def'!$AP11</f>
        <v>0</v>
      </c>
      <c r="AO22" s="474">
        <f>'POSF Inventory'!BD14*'POSF Emiss by Zone'!$D$5*'POSF Zone Def'!$AP11</f>
        <v>0</v>
      </c>
      <c r="AP22" s="474">
        <f>'POSF Inventory'!BE14*'POSF Emiss by Zone'!$D$6*'POSF Zone Def'!$AP11</f>
        <v>0</v>
      </c>
      <c r="AQ22" s="474">
        <f>'POSF Inventory'!BF14*'POSF Emiss by Zone'!$D$5*'POSF Zone Def'!$AP11</f>
        <v>0</v>
      </c>
      <c r="AR22" s="524">
        <f>'POSF Inventory'!BG14*'POSF Emiss by Zone'!$D$6*'POSF Zone Def'!$AP11</f>
        <v>0</v>
      </c>
      <c r="AS22" s="474">
        <f>'POSF Inventory'!BB14*'POSF Emiss by Zone'!$D$5*'POSF Zone Def'!$AQ11</f>
        <v>0</v>
      </c>
      <c r="AT22" s="474">
        <f>'POSF Inventory'!BC14*'POSF Emiss by Zone'!$D$6*'POSF Zone Def'!$AQ11</f>
        <v>0</v>
      </c>
      <c r="AU22" s="474">
        <f>'POSF Inventory'!BD14*'POSF Emiss by Zone'!$D$5*'POSF Zone Def'!$AQ11</f>
        <v>0</v>
      </c>
      <c r="AV22" s="474">
        <f>'POSF Inventory'!BE14*'POSF Emiss by Zone'!$D$6*'POSF Zone Def'!$AQ11</f>
        <v>0</v>
      </c>
      <c r="AW22" s="474">
        <f>'POSF Inventory'!BF14*'POSF Emiss by Zone'!$D$5*'POSF Zone Def'!$AQ11</f>
        <v>0</v>
      </c>
      <c r="AX22" s="134">
        <f>'POSF Inventory'!BG14*'POSF Emiss by Zone'!$D$6*'POSF Zone Def'!$AQ11</f>
        <v>0</v>
      </c>
      <c r="AY22" s="474">
        <f>'POSF Inventory'!EA14*'POSF Emiss by Zone'!$D$5*'POSF Zone Def'!$Y11</f>
        <v>0</v>
      </c>
      <c r="AZ22" s="474">
        <f>'POSF Inventory'!EB14*'POSF Emiss by Zone'!$D$6*'POSF Zone Def'!$Y11</f>
        <v>0</v>
      </c>
      <c r="BA22" s="474">
        <f>'POSF Inventory'!EC14*'POSF Emiss by Zone'!$D$5*'POSF Zone Def'!$Y11</f>
        <v>0.13862518531875001</v>
      </c>
      <c r="BB22" s="474">
        <f>'POSF Inventory'!ED14*'POSF Emiss by Zone'!$D$6*'POSF Zone Def'!$Y11</f>
        <v>1.3895329226624999</v>
      </c>
      <c r="BC22" s="474">
        <f>'POSF Inventory'!EE14*'POSF Emiss by Zone'!$D$5*'POSF Zone Def'!$Y11</f>
        <v>0</v>
      </c>
      <c r="BD22" s="485">
        <f>'POSF Inventory'!EF14*'POSF Emiss by Zone'!$D$6*'POSF Zone Def'!$Y11</f>
        <v>0</v>
      </c>
      <c r="BE22" s="474">
        <f>'POSF Inventory'!EA14*'POSF Emiss by Zone'!$D$5*'POSF Zone Def'!$Z11</f>
        <v>0</v>
      </c>
      <c r="BF22" s="474">
        <f>'POSF Inventory'!EB14*'POSF Emiss by Zone'!$D$6*'POSF Zone Def'!$Z11</f>
        <v>0</v>
      </c>
      <c r="BG22" s="474">
        <f>'POSF Inventory'!EC14*'POSF Emiss by Zone'!$D$5*'POSF Zone Def'!$Z11</f>
        <v>1.5402798368750002E-2</v>
      </c>
      <c r="BH22" s="474">
        <f>'POSF Inventory'!ED14*'POSF Emiss by Zone'!$D$6*'POSF Zone Def'!$Z11</f>
        <v>0.15439254696250002</v>
      </c>
      <c r="BI22" s="474">
        <f>'POSF Inventory'!EE14*'POSF Emiss by Zone'!$D$5*'POSF Zone Def'!$Z11</f>
        <v>0</v>
      </c>
      <c r="BJ22" s="549">
        <f>'POSF Inventory'!EF14*'POSF Emiss by Zone'!$D$6*'POSF Zone Def'!$Z11</f>
        <v>0</v>
      </c>
      <c r="BK22" s="705">
        <f>'POSF Inventory'!$EA14*'POSF Emiss by Zone'!$D$5*'POSF Zone Def'!$AC11</f>
        <v>0</v>
      </c>
      <c r="BL22" s="705">
        <f>'POSF Inventory'!$EB14*'POSF Emiss by Zone'!$D$6*'POSF Zone Def'!$AC11</f>
        <v>0</v>
      </c>
      <c r="BM22" s="705">
        <f>'POSF Inventory'!$EC14*'POSF Emiss by Zone'!$D$5*'POSF Zone Def'!$AC11</f>
        <v>0</v>
      </c>
      <c r="BN22" s="705">
        <f>'POSF Inventory'!$ED14*'POSF Emiss by Zone'!$D$6*'POSF Zone Def'!$AC11</f>
        <v>0</v>
      </c>
      <c r="BO22" s="705">
        <f>'POSF Inventory'!$EE14*'POSF Emiss by Zone'!$D$5*'POSF Zone Def'!$AC11</f>
        <v>0</v>
      </c>
      <c r="BP22" s="708">
        <f>'POSF Inventory'!$EF14*'POSF Emiss by Zone'!$D$6*'POSF Zone Def'!$AC11</f>
        <v>0</v>
      </c>
      <c r="BQ22" s="474">
        <f>'POSF Inventory'!EG14*'POSF Emiss by Zone'!$D$5*'POSF Zone Def'!$BB11</f>
        <v>0</v>
      </c>
      <c r="BR22" s="474">
        <f>'POSF Inventory'!EH14*'POSF Emiss by Zone'!$D$6*'POSF Zone Def'!$BB11</f>
        <v>0</v>
      </c>
      <c r="BS22" s="474">
        <f>'POSF Inventory'!EI14*'POSF Emiss by Zone'!$D$5*'POSF Zone Def'!$BB11</f>
        <v>0</v>
      </c>
      <c r="BT22" s="474">
        <f>'POSF Inventory'!EJ14*'POSF Emiss by Zone'!$D$6*'POSF Zone Def'!$BB11</f>
        <v>0</v>
      </c>
      <c r="BU22" s="474">
        <f>'POSF Inventory'!EK14*'POSF Emiss by Zone'!$D$5*'POSF Zone Def'!$BB11</f>
        <v>0</v>
      </c>
      <c r="BV22" s="524">
        <f>'POSF Inventory'!EL14*'POSF Emiss by Zone'!$D$6*'POSF Zone Def'!$BB11</f>
        <v>0</v>
      </c>
      <c r="BW22" s="474">
        <f>'POSF Inventory'!EG14*'POSF Emiss by Zone'!$D$5*'POSF Zone Def'!$BC11</f>
        <v>0</v>
      </c>
      <c r="BX22" s="474">
        <f>'POSF Inventory'!EH14*'POSF Emiss by Zone'!$D$6*'POSF Zone Def'!$BC11</f>
        <v>0</v>
      </c>
      <c r="BY22" s="474">
        <f>'POSF Inventory'!EI14*'POSF Emiss by Zone'!$D$5*'POSF Zone Def'!$BC11</f>
        <v>0</v>
      </c>
      <c r="BZ22" s="474">
        <f>'POSF Inventory'!EJ14*'POSF Emiss by Zone'!$D$6*'POSF Zone Def'!$BC11</f>
        <v>0</v>
      </c>
      <c r="CA22" s="474">
        <f>'POSF Inventory'!EK14*'POSF Emiss by Zone'!$D$5*'POSF Zone Def'!$BC11</f>
        <v>0</v>
      </c>
      <c r="CB22" s="134">
        <f>'POSF Inventory'!EL14*'POSF Emiss by Zone'!$D$6*'POSF Zone Def'!$BC11</f>
        <v>0</v>
      </c>
      <c r="CC22" s="474">
        <f>'POSF Inventory'!GC14*'POSF Emiss by Zone'!$D$7*'POSF Zone Def'!$M11</f>
        <v>8.3528000000000009E-4</v>
      </c>
      <c r="CD22" s="474">
        <f>'POSF Inventory'!GD14*'POSF Emiss by Zone'!$D$9*'POSF Zone Def'!$M11</f>
        <v>1.0326149000000001E-3</v>
      </c>
      <c r="CE22" s="474">
        <f>'POSF Inventory'!GE14*'POSF Emiss by Zone'!$D$7*'POSF Zone Def'!$M11</f>
        <v>1.2529199999999999E-2</v>
      </c>
      <c r="CF22" s="474">
        <f>'POSF Inventory'!GF14*'POSF Emiss by Zone'!$D$9*'POSF Zone Def'!$M11</f>
        <v>1.54892235E-2</v>
      </c>
      <c r="CG22" s="474">
        <f>'POSF Inventory'!GG14*'POSF Emiss by Zone'!$D$7*'POSF Zone Def'!$M11</f>
        <v>4.5940399999999999E-2</v>
      </c>
      <c r="CH22" s="485">
        <f>'POSF Inventory'!GH14*'POSF Emiss by Zone'!$D$9*'POSF Zone Def'!$M11</f>
        <v>0.22717527800000001</v>
      </c>
      <c r="CI22" s="474">
        <f>'POSF Inventory'!GC14*'POSF Emiss by Zone'!$D$7*'POSF Zone Def'!$N11</f>
        <v>8.3528000000000009E-4</v>
      </c>
      <c r="CJ22" s="474">
        <f>'POSF Inventory'!GD14*'POSF Emiss by Zone'!$D$9*'POSF Zone Def'!$N11</f>
        <v>1.0326149000000001E-3</v>
      </c>
      <c r="CK22" s="474">
        <f>'POSF Inventory'!GE14*'POSF Emiss by Zone'!$D$7*'POSF Zone Def'!$N11</f>
        <v>1.2529199999999999E-2</v>
      </c>
      <c r="CL22" s="474">
        <f>'POSF Inventory'!GF14*'POSF Emiss by Zone'!$D$9*'POSF Zone Def'!$N11</f>
        <v>1.54892235E-2</v>
      </c>
      <c r="CM22" s="474">
        <f>'POSF Inventory'!GG14*'POSF Emiss by Zone'!$D$7*'POSF Zone Def'!$N11</f>
        <v>4.5940399999999999E-2</v>
      </c>
      <c r="CN22" s="485">
        <f>'POSF Inventory'!GH14*'POSF Emiss by Zone'!$D$9*'POSF Zone Def'!$N11</f>
        <v>0.22717527800000001</v>
      </c>
      <c r="CO22" s="474">
        <f>'POSF Inventory'!GI14*'POSF Emiss by Zone'!$D$7*'POSF Zone Def'!$AP11</f>
        <v>0</v>
      </c>
      <c r="CP22" s="474">
        <f>'POSF Inventory'!GJ14*'POSF Emiss by Zone'!$D$9*'POSF Zone Def'!$AP11</f>
        <v>0</v>
      </c>
      <c r="CQ22" s="474">
        <f>'POSF Inventory'!GK14*'POSF Emiss by Zone'!$D$7*'POSF Zone Def'!$AP11</f>
        <v>0</v>
      </c>
      <c r="CR22" s="474">
        <f>'POSF Inventory'!GL14*'POSF Emiss by Zone'!$D$9*'POSF Zone Def'!$AP11</f>
        <v>0</v>
      </c>
      <c r="CS22" s="474">
        <f>'POSF Inventory'!GM14*'POSF Emiss by Zone'!$D$7*'POSF Zone Def'!$AP11</f>
        <v>0</v>
      </c>
      <c r="CT22" s="524">
        <f>'POSF Inventory'!GN14*'POSF Emiss by Zone'!$D$9*'POSF Zone Def'!$AP11</f>
        <v>0</v>
      </c>
      <c r="CU22" s="474">
        <f>'POSF Inventory'!GI14*'POSF Emiss by Zone'!$D$7*'POSF Zone Def'!$AQ11</f>
        <v>0</v>
      </c>
      <c r="CV22" s="474">
        <f>'POSF Inventory'!GJ14*'POSF Emiss by Zone'!$D$9*'POSF Zone Def'!$AQ11</f>
        <v>0</v>
      </c>
      <c r="CW22" s="474">
        <f>'POSF Inventory'!GK14*'POSF Emiss by Zone'!$D$7*'POSF Zone Def'!$AQ11</f>
        <v>0</v>
      </c>
      <c r="CX22" s="474">
        <f>'POSF Inventory'!GL14*'POSF Emiss by Zone'!$D$9*'POSF Zone Def'!$AQ11</f>
        <v>0</v>
      </c>
      <c r="CY22" s="474">
        <f>'POSF Inventory'!GM14*'POSF Emiss by Zone'!$D$7*'POSF Zone Def'!$AQ11</f>
        <v>0</v>
      </c>
      <c r="CZ22" s="134">
        <f>'POSF Inventory'!GN14*'POSF Emiss by Zone'!$D$9*'POSF Zone Def'!$AQ11</f>
        <v>0</v>
      </c>
      <c r="DA22" s="474">
        <f>SUM('POSF Inventory'!GQ14,'POSF Inventory'!GS14)*'POSF Emiss by Zone'!$D$7*'POSF Zone Def'!$Y11</f>
        <v>8.3564081977511237E-2</v>
      </c>
      <c r="DB22" s="474">
        <f>SUM('POSF Inventory'!GR14,'POSF Inventory'!GT14)*'POSF Emiss by Zone'!$D$9*'POSF Zone Def'!$Y11</f>
        <v>2.8052832309649869</v>
      </c>
      <c r="DC22" s="474"/>
      <c r="DD22" s="474"/>
      <c r="DE22" s="474">
        <f>'POSF Inventory'!GU14*'POSF Emiss by Zone'!$D$7*'POSF Zone Def'!$Y11</f>
        <v>0</v>
      </c>
      <c r="DF22" s="485">
        <f>'POSF Inventory'!GV14*'POSF Emiss by Zone'!$D$9*'POSF Zone Def'!$Y11</f>
        <v>0</v>
      </c>
      <c r="DG22" s="474">
        <f>SUM('POSF Inventory'!GQ14,'POSF Inventory'!GS14)*'POSF Emiss by Zone'!$D$7*'POSF Zone Def'!$Z11</f>
        <v>9.2848979975012486E-3</v>
      </c>
      <c r="DH22" s="474">
        <f>SUM('POSF Inventory'!GR14,'POSF Inventory'!GT14)*'POSF Emiss by Zone'!$D$9*'POSF Zone Def'!$Z11</f>
        <v>0.31169813677388747</v>
      </c>
      <c r="DI22" s="474"/>
      <c r="DJ22" s="474"/>
      <c r="DK22" s="474">
        <f>'POSF Inventory'!GU14*'POSF Emiss by Zone'!$D$7*'POSF Zone Def'!$Z11</f>
        <v>0</v>
      </c>
      <c r="DL22" s="485">
        <f>'POSF Inventory'!GV14*'POSF Emiss by Zone'!$D$9*'POSF Zone Def'!$Z11</f>
        <v>0</v>
      </c>
      <c r="DM22" s="705">
        <f>SUM('POSF Inventory'!$GQ14,'POSF Inventory'!$GS14)*'POSF Emiss by Zone'!$D$7*'POSF Zone Def'!$AC11</f>
        <v>0</v>
      </c>
      <c r="DN22" s="705">
        <f>SUM('POSF Inventory'!$GR14,'POSF Inventory'!$GT14)*'POSF Emiss by Zone'!$D$9*'POSF Zone Def'!$AC11</f>
        <v>0</v>
      </c>
      <c r="DO22" s="705"/>
      <c r="DP22" s="705"/>
      <c r="DQ22" s="705">
        <f>'POSF Inventory'!$GU14*'POSF Emiss by Zone'!$D$7*'POSF Zone Def'!$AC11</f>
        <v>0</v>
      </c>
      <c r="DR22" s="708">
        <f>'POSF Inventory'!$GV14*'POSF Emiss by Zone'!$D$9*'POSF Zone Def'!$AC11</f>
        <v>0</v>
      </c>
      <c r="DS22" s="474">
        <f>SUM('POSF Inventory'!GW14,'POSF Inventory'!GY14)*$D$7*'POSF Zone Def'!$BB11</f>
        <v>0</v>
      </c>
      <c r="DT22" s="474">
        <f>SUM('POSF Inventory'!GX14,'POSF Inventory'!GZ14)*$D$9*'POSF Zone Def'!$BB11</f>
        <v>0</v>
      </c>
      <c r="DU22" s="474"/>
      <c r="DV22" s="474"/>
      <c r="DW22" s="474">
        <f>'POSF Inventory'!HA14*'POSF Emiss by Zone'!$D$7*'POSF Zone Def'!$BB11</f>
        <v>0</v>
      </c>
      <c r="DX22" s="524">
        <f>'POSF Inventory'!HB14*'POSF Emiss by Zone'!$D$9*'POSF Zone Def'!$BB11</f>
        <v>0</v>
      </c>
      <c r="DY22" s="474">
        <f>SUM('POSF Inventory'!GW14,'POSF Inventory'!GY14)*$D$7*'POSF Zone Def'!$BC11</f>
        <v>0</v>
      </c>
      <c r="DZ22" s="474">
        <f>SUM('POSF Inventory'!GX14,'POSF Inventory'!GZ14)*$D$9*'POSF Zone Def'!$BC11</f>
        <v>0</v>
      </c>
      <c r="EA22" s="474"/>
      <c r="EB22" s="474"/>
      <c r="EC22" s="474">
        <f>'POSF Inventory'!HA14*'POSF Emiss by Zone'!$D$7*'POSF Zone Def'!$BC11</f>
        <v>0</v>
      </c>
      <c r="ED22" s="134">
        <f>'POSF Inventory'!HB14*'POSF Emiss by Zone'!$D$9*'POSF Zone Def'!$BC11</f>
        <v>0</v>
      </c>
      <c r="EE22" s="235">
        <f>'POSF Inventory'!$CF14*'POSF Emiss by Zone'!$D$7*'POSF Zone Def'!$CE11</f>
        <v>0</v>
      </c>
      <c r="EF22" s="235">
        <f>'POSF Inventory'!$CG14*'POSF Emiss by Zone'!$D$9*'POSF Zone Def'!$CE11</f>
        <v>0</v>
      </c>
      <c r="EG22" s="235">
        <f>'POSF Inventory'!$CH14*'POSF Emiss by Zone'!$D$7*'POSF Zone Def'!$CE11</f>
        <v>0</v>
      </c>
      <c r="EH22" s="235">
        <f>'POSF Inventory'!$CI14*'POSF Emiss by Zone'!$D$9*'POSF Zone Def'!$CE11</f>
        <v>0</v>
      </c>
      <c r="EI22" s="235">
        <f>'POSF Inventory'!$CJ14*'POSF Emiss by Zone'!$D$7*'POSF Zone Def'!$CE11</f>
        <v>0</v>
      </c>
      <c r="EJ22" s="580">
        <f>'POSF Inventory'!$CK14*'POSF Emiss by Zone'!$D$9*'POSF Zone Def'!$CE11</f>
        <v>0</v>
      </c>
      <c r="EK22" s="235">
        <f>'POSF Inventory'!$CF14*'POSF Emiss by Zone'!$D$7*'POSF Zone Def'!$CF11</f>
        <v>0</v>
      </c>
      <c r="EL22" s="235">
        <f>'POSF Inventory'!$CG14*'POSF Emiss by Zone'!$D$9*'POSF Zone Def'!$CF11</f>
        <v>0</v>
      </c>
      <c r="EM22" s="235">
        <f>'POSF Inventory'!$CH14*'POSF Emiss by Zone'!$D$7*'POSF Zone Def'!$CF11</f>
        <v>0</v>
      </c>
      <c r="EN22" s="235">
        <f>'POSF Inventory'!$CI14*'POSF Emiss by Zone'!$D$9*'POSF Zone Def'!$CF11</f>
        <v>0</v>
      </c>
      <c r="EO22" s="235">
        <f>'POSF Inventory'!$CJ14*'POSF Emiss by Zone'!$D$7*'POSF Zone Def'!$CF11</f>
        <v>0</v>
      </c>
      <c r="EP22" s="580">
        <f>'POSF Inventory'!$CK14*'POSF Emiss by Zone'!$D$9*'POSF Zone Def'!$CF11</f>
        <v>0</v>
      </c>
      <c r="EQ22" s="235">
        <f>'POSF Inventory'!$CF14*'POSF Emiss by Zone'!$D$7*'POSF Zone Def'!$CG11</f>
        <v>0</v>
      </c>
      <c r="ER22" s="235">
        <f>'POSF Inventory'!$CG14*'POSF Emiss by Zone'!$D$9*'POSF Zone Def'!$CG11</f>
        <v>0</v>
      </c>
      <c r="ES22" s="235">
        <f>'POSF Inventory'!$CH14*'POSF Emiss by Zone'!$D$7*'POSF Zone Def'!$CG11</f>
        <v>0</v>
      </c>
      <c r="ET22" s="235">
        <f>'POSF Inventory'!$CI14*'POSF Emiss by Zone'!$D$9*'POSF Zone Def'!$CG11</f>
        <v>0</v>
      </c>
      <c r="EU22" s="235">
        <f>'POSF Inventory'!$CJ14*'POSF Emiss by Zone'!$D$7*'POSF Zone Def'!$CG11</f>
        <v>0</v>
      </c>
      <c r="EV22" s="580">
        <f>'POSF Inventory'!$CK14*'POSF Emiss by Zone'!$D$9*'POSF Zone Def'!$CG11</f>
        <v>0</v>
      </c>
      <c r="EW22" s="235">
        <f>'POSF Inventory'!$CF14*'POSF Emiss by Zone'!$D$7*'POSF Zone Def'!$CH11</f>
        <v>0</v>
      </c>
      <c r="EX22" s="235">
        <f>'POSF Inventory'!$CG14*'POSF Emiss by Zone'!$D$9*'POSF Zone Def'!$CH11</f>
        <v>0</v>
      </c>
      <c r="EY22" s="235">
        <f>'POSF Inventory'!$CH14*'POSF Emiss by Zone'!$D$7*'POSF Zone Def'!$CH11</f>
        <v>0</v>
      </c>
      <c r="EZ22" s="235">
        <f>'POSF Inventory'!$CI14*'POSF Emiss by Zone'!$D$9*'POSF Zone Def'!$CH11</f>
        <v>0</v>
      </c>
      <c r="FA22" s="235">
        <f>'POSF Inventory'!$CJ14*'POSF Emiss by Zone'!$D$7*'POSF Zone Def'!$CH11</f>
        <v>0</v>
      </c>
      <c r="FB22" s="580">
        <f>'POSF Inventory'!$CK14*'POSF Emiss by Zone'!$D$9*'POSF Zone Def'!$CH11</f>
        <v>0</v>
      </c>
      <c r="FC22" s="235">
        <f>'POSF Inventory'!$CF14*'POSF Emiss by Zone'!$D$7*'POSF Zone Def'!$CI11</f>
        <v>0</v>
      </c>
      <c r="FD22" s="235">
        <f>'POSF Inventory'!$CG14*'POSF Emiss by Zone'!$D$9*'POSF Zone Def'!$CI11</f>
        <v>0</v>
      </c>
      <c r="FE22" s="235">
        <f>'POSF Inventory'!$CH14*'POSF Emiss by Zone'!$D$7*'POSF Zone Def'!$CI11</f>
        <v>0</v>
      </c>
      <c r="FF22" s="235">
        <f>'POSF Inventory'!$CI14*'POSF Emiss by Zone'!$D$9*'POSF Zone Def'!$CI11</f>
        <v>0</v>
      </c>
      <c r="FG22" s="235">
        <f>'POSF Inventory'!$CJ14*'POSF Emiss by Zone'!$D$7*'POSF Zone Def'!$CI11</f>
        <v>0</v>
      </c>
      <c r="FH22" s="577">
        <f>'POSF Inventory'!$CK14*'POSF Emiss by Zone'!$D$9*'POSF Zone Def'!$CI11</f>
        <v>0</v>
      </c>
      <c r="FI22" s="595"/>
      <c r="FJ22" s="595"/>
      <c r="FM22" s="592">
        <v>5</v>
      </c>
      <c r="FN22" s="592">
        <f t="shared" si="0"/>
        <v>1959</v>
      </c>
      <c r="FO22" s="587">
        <v>2</v>
      </c>
      <c r="FP22" s="477">
        <f t="shared" ref="FP22:FP85" si="20">SUM(C22,O22)</f>
        <v>0.17865856124999999</v>
      </c>
      <c r="FQ22" s="474">
        <f t="shared" ref="FQ22:FQ85" si="21">SUM(D22,P22)</f>
        <v>0.17908142174999997</v>
      </c>
      <c r="FR22" s="474">
        <f t="shared" ref="FR22:FR85" si="22">SUM(E22,Q22)</f>
        <v>0</v>
      </c>
      <c r="FS22" s="474">
        <f t="shared" ref="FS22:FS85" si="23">SUM(F22,R22)</f>
        <v>0</v>
      </c>
      <c r="FT22" s="474">
        <f t="shared" ref="FT22:FT85" si="24">SUM(G22,S22)</f>
        <v>0.13233967499999999</v>
      </c>
      <c r="FU22" s="485">
        <f t="shared" ref="FU22:FU85" si="25">SUM(H22,T22)</f>
        <v>0.13265290499999999</v>
      </c>
      <c r="FV22" s="474">
        <f t="shared" ref="FV22:FV85" si="26">SUM(I22,U22)</f>
        <v>0.17865856124999999</v>
      </c>
      <c r="FW22" s="474">
        <f t="shared" ref="FW22:FW85" si="27">SUM(J22,V22)</f>
        <v>0.17908142174999997</v>
      </c>
      <c r="FX22" s="474">
        <f t="shared" ref="FX22:FX85" si="28">SUM(K22,W22)</f>
        <v>0</v>
      </c>
      <c r="FY22" s="474">
        <f t="shared" ref="FY22:FY85" si="29">SUM(L22,X22)</f>
        <v>0</v>
      </c>
      <c r="FZ22" s="474">
        <f t="shared" ref="FZ22:FZ85" si="30">SUM(M22,Y22)</f>
        <v>0.13233967499999999</v>
      </c>
      <c r="GA22" s="134">
        <f t="shared" ref="GA22:GA85" si="31">SUM(N22,Z22)</f>
        <v>0.13265290499999999</v>
      </c>
      <c r="GB22" s="474">
        <f t="shared" ref="GB22:GB85" si="32">SUM(AA22,AM22,AY22,BQ22)*$FN$5</f>
        <v>0</v>
      </c>
      <c r="GC22" s="474">
        <f t="shared" ref="GC22:GC85" si="33">SUM(AB22,AN22,AZ22,BR22)*$FN$5</f>
        <v>0</v>
      </c>
      <c r="GD22" s="474">
        <f t="shared" ref="GD22:GD85" si="34">SUM(AC22,AO22,BA22,BS22)*$FN$5</f>
        <v>0.25670407651269922</v>
      </c>
      <c r="GE22" s="474">
        <f t="shared" ref="GE22:GE85" si="35">SUM(AD22,AP22,BB22,BT22)*$FN$5</f>
        <v>1.5029089015562747</v>
      </c>
      <c r="GF22" s="474">
        <f t="shared" ref="GF22:GF85" si="36">SUM(AE22,AQ22,BC22,BU22)*$FN$5</f>
        <v>0.21968737549800796</v>
      </c>
      <c r="GG22" s="524">
        <f t="shared" ref="GG22:GG85" si="37">SUM(AF22,AR22,BD22,BV22)*$FN$5</f>
        <v>0.22020734561752989</v>
      </c>
      <c r="GH22" s="474">
        <f t="shared" ref="GH22:GH85" si="38">SUM(AG22,AS22,BE22,BW22)*$FN$5</f>
        <v>0</v>
      </c>
      <c r="GI22" s="474">
        <f t="shared" ref="GI22:GI85" si="39">SUM(AH22,AT22,BF22,BX22)*$FN$5</f>
        <v>0</v>
      </c>
      <c r="GJ22" s="474">
        <f t="shared" ref="GJ22:GJ85" si="40">SUM(AI22,AU22,BG22,BY22)*$FN$5</f>
        <v>0.13397261540712152</v>
      </c>
      <c r="GK22" s="474">
        <f t="shared" ref="GK22:GK85" si="41">SUM(AJ22,AV22,BH22,BZ22)*$FN$5</f>
        <v>0.27268940384711154</v>
      </c>
      <c r="GL22" s="474">
        <f t="shared" ref="GL22:GL85" si="42">SUM(AK22,AW22,BI22,CA22)*$FN$5</f>
        <v>0.21968737549800796</v>
      </c>
      <c r="GM22" s="705">
        <f t="shared" ref="GM22:GM85" si="43">SUM(AL22,AX22,BJ22,CB22)*$FN$5</f>
        <v>0.22020734561752989</v>
      </c>
      <c r="GN22" s="705">
        <f t="shared" ref="GN22:GN85" si="44">BK22*$FN$5</f>
        <v>0</v>
      </c>
      <c r="GO22" s="705">
        <f t="shared" ref="GO22:GO85" si="45">BL22*$FN$5</f>
        <v>0</v>
      </c>
      <c r="GP22" s="705">
        <f t="shared" ref="GP22:GP85" si="46">BM22*$FN$5</f>
        <v>0</v>
      </c>
      <c r="GQ22" s="705">
        <f t="shared" ref="GQ22:GQ85" si="47">BN22*$FN$5</f>
        <v>0</v>
      </c>
      <c r="GR22" s="705">
        <f t="shared" ref="GR22:GR85" si="48">BO22*$FN$5</f>
        <v>0</v>
      </c>
      <c r="GS22" s="705">
        <f t="shared" ref="GS22:GS85" si="49">BP22*$FN$5</f>
        <v>0</v>
      </c>
      <c r="GT22" s="551">
        <f t="shared" ref="GT22:GT85" si="50">((CC22*$FN$9)+(CO22*$FN$9)+(DA22*$FN$9)+(DS22*$FN$9)+EE22)*$FN$3</f>
        <v>1.7485126784185596E-3</v>
      </c>
      <c r="GU22" s="548">
        <f t="shared" ref="GU22:GU85" si="51">((CD22*$FN$9)+(CP22*$FN$9)+(DB22*$FN$9)+(DT22*$FN$9)+EF22)*$FN$3</f>
        <v>5.8138814336645146E-2</v>
      </c>
      <c r="GV22" s="548">
        <f t="shared" ref="GV22:GV85" si="52">((CE22*$FN$9)+(CQ22*$FN$9)+(DC22*$FN$9)+(DU22*$FN$9)+EG22)*$FN$3</f>
        <v>2.5956908366533862E-4</v>
      </c>
      <c r="GW22" s="548">
        <f t="shared" ref="GW22:GW85" si="53">((CF22*$FN$9)+(CR22*$FN$9)+(DD22*$FN$9)+(DV22*$FN$9)+EH22)*$FN$3</f>
        <v>3.2089227968127486E-4</v>
      </c>
      <c r="GX22" s="548">
        <f t="shared" ref="GX22:GX85" si="54">((CG22*$FN$9)+(CS22*$FN$9)+(DE22*$FN$9)+(DW22*$FN$9)+EI22)*$FN$3</f>
        <v>9.5175330677290835E-4</v>
      </c>
      <c r="GY22" s="524">
        <f t="shared" ref="GY22:GY85" si="55">((CH22*$FN$9)+(CT22*$FN$9)+(DF22*$FN$9)+(DX22*$FN$9)+EJ22)*$FN$3</f>
        <v>4.7064201019920322E-3</v>
      </c>
      <c r="GZ22" s="548">
        <f t="shared" ref="GZ22:GZ85" si="56">((CI22*$FN$9)+(CU22*$FN$9)+(DG22*$FN$9)+(DY22*$FN$9)+EK22)*$FN$3</f>
        <v>2.0966105811556372E-4</v>
      </c>
      <c r="HA22" s="548">
        <f t="shared" ref="HA22:HA85" si="57">((CJ22*$FN$9)+(CV22*$FN$9)+(DH22*$FN$9)+(DZ22*$FN$9)+EL22)*$FN$3</f>
        <v>6.478884098423167E-3</v>
      </c>
      <c r="HB22" s="548">
        <f t="shared" ref="HB22:HB85" si="58">((CK22*$FN$9)+(CW22*$FN$9)+(DI22*$FN$9)+(EA22*$FN$9)+EM22)*$FN$3</f>
        <v>2.5956908366533862E-4</v>
      </c>
      <c r="HC22" s="548">
        <f t="shared" ref="HC22:HC85" si="59">((CL22*$FN$9)+(CX22*$FN$9)+(DJ22*$FN$9)+(EB22*$FN$9)+EN22)*$FN$3</f>
        <v>3.2089227968127486E-4</v>
      </c>
      <c r="HD22" s="548">
        <f t="shared" ref="HD22:HD85" si="60">((CM22*$FN$9)+(CY22*$FN$9)+(DK22*$FN$9)+(EC22*$FN$9)+EO22)*$FN$3</f>
        <v>9.5175330677290835E-4</v>
      </c>
      <c r="HE22" s="549">
        <f t="shared" ref="HE22:HE85" si="61">((CN22*$FN$9)+(CZ22*$FN$9)+(DL22*$FN$9)+(ED22*$FN$9)+EP22)*$FN$3</f>
        <v>4.7064201019920322E-3</v>
      </c>
      <c r="HF22" s="235">
        <f t="shared" ref="HF22:HF85" si="62">EQ22*$FN$3</f>
        <v>0</v>
      </c>
      <c r="HG22" s="235">
        <f t="shared" ref="HG22:HG85" si="63">ER22*$FN$3</f>
        <v>0</v>
      </c>
      <c r="HH22" s="235">
        <f t="shared" ref="HH22:HH85" si="64">ES22*$FN$3</f>
        <v>0</v>
      </c>
      <c r="HI22" s="235">
        <f t="shared" ref="HI22:HI85" si="65">ET22*$FN$3</f>
        <v>0</v>
      </c>
      <c r="HJ22" s="235">
        <f t="shared" ref="HJ22:HJ85" si="66">EU22*$FN$3</f>
        <v>0</v>
      </c>
      <c r="HK22" s="580">
        <f t="shared" ref="HK22:HK85" si="67">EV22*$FN$3</f>
        <v>0</v>
      </c>
      <c r="HL22" s="235">
        <f t="shared" ref="HL22:HL85" si="68">EW22*$FN$3</f>
        <v>0</v>
      </c>
      <c r="HM22" s="235">
        <f t="shared" ref="HM22:HM85" si="69">EX22*$FN$3</f>
        <v>0</v>
      </c>
      <c r="HN22" s="235">
        <f t="shared" ref="HN22:HN85" si="70">EY22*$FN$3</f>
        <v>0</v>
      </c>
      <c r="HO22" s="235">
        <f t="shared" ref="HO22:HO85" si="71">EZ22*$FN$3</f>
        <v>0</v>
      </c>
      <c r="HP22" s="235">
        <f t="shared" ref="HP22:HP85" si="72">FA22*$FN$3</f>
        <v>0</v>
      </c>
      <c r="HQ22" s="580">
        <f t="shared" ref="HQ22:HQ85" si="73">FB22*$FN$3</f>
        <v>0</v>
      </c>
      <c r="HR22" s="235">
        <f t="shared" ref="HR22:HR85" si="74">(FC22+DM22*$FN$9)*$FN$3</f>
        <v>0</v>
      </c>
      <c r="HS22" s="235">
        <f t="shared" ref="HS22:HS85" si="75">(FD22+DN22*$FN$9)*$FN$3</f>
        <v>0</v>
      </c>
      <c r="HT22" s="235">
        <f t="shared" ref="HT22:HT85" si="76">(FE22+DO22*$FN$9)*$FN$3</f>
        <v>0</v>
      </c>
      <c r="HU22" s="235">
        <f t="shared" ref="HU22:HU85" si="77">(FF22+DP22*$FN$9)*$FN$3</f>
        <v>0</v>
      </c>
      <c r="HV22" s="235">
        <f t="shared" ref="HV22:HV85" si="78">(FG22+DQ22*$FN$9)*$FN$3</f>
        <v>0</v>
      </c>
      <c r="HW22" s="577">
        <f t="shared" ref="HW22:HW85" si="79">(FH22+DR22*$FN$9)*$FN$3</f>
        <v>0</v>
      </c>
      <c r="HX22" s="235">
        <f t="shared" ref="HX22:HX85" si="80">((CC22*$FN$10)+(CO22*$FN$10)+(DA22*$FN$10)+(DS22*$FN$10))*$FN$4</f>
        <v>9.2926723809183265E-2</v>
      </c>
      <c r="HY22" s="235">
        <f t="shared" ref="HY22:HY85" si="81">((CD22*$FN$10)+(CP22*$FN$10)+(DB22*$FN$10)+(DT22*$FN$10))*$FN$4</f>
        <v>3.0898543711683177</v>
      </c>
      <c r="HZ22" s="235">
        <f t="shared" ref="HZ22:HZ85" si="82">((CE22*$FN$10)+(CQ22*$FN$10)+(DC22*$FN$10)+(DU22*$FN$10))*$FN$4</f>
        <v>1.3795098454183264E-2</v>
      </c>
      <c r="IA22" s="235">
        <f t="shared" ref="IA22:IA85" si="83">((CF22*$FN$10)+(CR22*$FN$10)+(DD22*$FN$10)+(DV22*$FN$10))*$FN$4</f>
        <v>1.7054190463984063E-2</v>
      </c>
      <c r="IB22" s="235">
        <f t="shared" ref="IB22:IB85" si="84">((CG22*$FN$10)+(CS22*$FN$10)+(DE22*$FN$10)+(DW22*$FN$10))*$FN$4</f>
        <v>5.058202766533864E-2</v>
      </c>
      <c r="IC22" s="235">
        <f t="shared" ref="IC22:IC85" si="85">((CH22*$FN$10)+(CT22*$FN$10)+(DF22*$FN$10)+(DX22*$FN$10))*$FN$4</f>
        <v>0.2501281268050996</v>
      </c>
      <c r="ID22" s="235">
        <f t="shared" ref="ID22:ID85" si="86">((CI22*$FN$10)+(CU22*$FN$10)+(DG22*$FN$10)+(DY22*$FN$10))*$FN$4</f>
        <v>1.1142678850157153E-2</v>
      </c>
      <c r="IE22" s="235">
        <f t="shared" ref="IE22:IE85" si="87">((CJ22*$FN$10)+(CV22*$FN$10)+(DH22*$FN$10)+(DZ22*$FN$10))*$FN$4</f>
        <v>0.34432777104619727</v>
      </c>
      <c r="IF22" s="235">
        <f t="shared" ref="IF22:IF85" si="88">((CK22*$FN$10)+(CW22*$FN$10)+(DI22*$FN$10)+(EA22*$FN$10))*$FN$4</f>
        <v>1.3795098454183264E-2</v>
      </c>
      <c r="IG22" s="235">
        <f t="shared" ref="IG22:IG85" si="89">((CL22*$FN$10)+(CX22*$FN$10)+(DJ22*$FN$10)+(EB22*$FN$10))*$FN$4</f>
        <v>1.7054190463984063E-2</v>
      </c>
      <c r="IH22" s="235">
        <f t="shared" ref="IH22:IH85" si="90">((CM22*$FN$10)+(CY22*$FN$10)+(DK22*$FN$10)+(EC22*$FN$10))*$FN$4</f>
        <v>5.058202766533864E-2</v>
      </c>
      <c r="II22" s="235">
        <f t="shared" ref="II22:II85" si="91">((CN22*$FN$10)+(CZ22*$FN$10)+(DL22*$FN$10)+(ED22*$FN$10))*$FN$4</f>
        <v>0.2501281268050996</v>
      </c>
      <c r="IJ22" s="235">
        <f t="shared" ref="IJ22:IJ85" si="92">DM22*$FN$10*$FN$4</f>
        <v>0</v>
      </c>
      <c r="IK22" s="235">
        <f t="shared" ref="IK22:IK85" si="93">DN22*$FN$10*$FN$4</f>
        <v>0</v>
      </c>
      <c r="IL22" s="235">
        <f t="shared" ref="IL22:IL85" si="94">DO22*$FN$10*$FN$4</f>
        <v>0</v>
      </c>
      <c r="IM22" s="235">
        <f t="shared" ref="IM22:IM85" si="95">DP22*$FN$10*$FN$4</f>
        <v>0</v>
      </c>
      <c r="IN22" s="235">
        <f t="shared" ref="IN22:IN85" si="96">DQ22*$FN$10*$FN$4</f>
        <v>0</v>
      </c>
      <c r="IO22" s="235">
        <f t="shared" ref="IO22:IO85" si="97">DR22*$FN$10*$FN$4</f>
        <v>0</v>
      </c>
    </row>
    <row r="23" spans="1:249" ht="18" x14ac:dyDescent="0.25">
      <c r="A23" s="18">
        <v>1960</v>
      </c>
      <c r="B23" s="564"/>
      <c r="C23" s="477">
        <f>'POSF Inventory'!AD15*$D$5*'POSF Zone Def'!$M12</f>
        <v>0.26630238374999998</v>
      </c>
      <c r="D23" s="474">
        <f>'POSF Inventory'!AE15*$D$6*'POSF Zone Def'!$M12</f>
        <v>0.26693268524999997</v>
      </c>
      <c r="E23" s="474">
        <f>'POSF Inventory'!AF15*$D$5*'POSF Zone Def'!$M12</f>
        <v>0</v>
      </c>
      <c r="F23" s="474">
        <f>'POSF Inventory'!AG15*$D$6*'POSF Zone Def'!$M12</f>
        <v>0</v>
      </c>
      <c r="G23" s="474">
        <f>'POSF Inventory'!AH15*$D$5*'POSF Zone Def'!$M12</f>
        <v>0.19726102499999998</v>
      </c>
      <c r="H23" s="485">
        <f>'POSF Inventory'!AI15*$D$6*'POSF Zone Def'!$M12</f>
        <v>0.19772791499999998</v>
      </c>
      <c r="I23" s="474">
        <f>'POSF Inventory'!AD15*$D$5*'POSF Zone Def'!$N12</f>
        <v>0.26630238374999998</v>
      </c>
      <c r="J23" s="474">
        <f>'POSF Inventory'!AE15*$D$6*'POSF Zone Def'!$N12</f>
        <v>0.26693268524999997</v>
      </c>
      <c r="K23" s="474">
        <f>'POSF Inventory'!AF15*$D$5*'POSF Zone Def'!$N12</f>
        <v>0</v>
      </c>
      <c r="L23" s="474">
        <f>'POSF Inventory'!AG15*$D$6*'POSF Zone Def'!$N12</f>
        <v>0</v>
      </c>
      <c r="M23" s="474">
        <f>'POSF Inventory'!AH15*$D$5*'POSF Zone Def'!$N12</f>
        <v>0.19726102499999998</v>
      </c>
      <c r="N23" s="485">
        <f>'POSF Inventory'!AI15*$D$6*'POSF Zone Def'!$N12</f>
        <v>0.19772791499999998</v>
      </c>
      <c r="O23" s="474">
        <f>'POSF Inventory'!AJ15*$D$5*'POSF Zone Def'!$AP12</f>
        <v>0</v>
      </c>
      <c r="P23" s="474">
        <f>'POSF Inventory'!AK15*$D$6*'POSF Zone Def'!$AP12</f>
        <v>0</v>
      </c>
      <c r="Q23" s="474">
        <f>'POSF Inventory'!AL15*$D$5*'POSF Zone Def'!$AP12</f>
        <v>0</v>
      </c>
      <c r="R23" s="474">
        <f>'POSF Inventory'!AM15*$D$6*'POSF Zone Def'!$AP12</f>
        <v>0</v>
      </c>
      <c r="S23" s="474">
        <f>'POSF Inventory'!AN15*$D$5*'POSF Zone Def'!$AP12</f>
        <v>0</v>
      </c>
      <c r="T23" s="524">
        <f>'POSF Inventory'!AO15*$D$6*'POSF Zone Def'!$AP12</f>
        <v>0</v>
      </c>
      <c r="U23" s="474">
        <f>'POSF Inventory'!AJ15*$D$5*'POSF Zone Def'!$AQ12</f>
        <v>0</v>
      </c>
      <c r="V23" s="474">
        <f>'POSF Inventory'!AK15*$D$6*'POSF Zone Def'!$AQ12</f>
        <v>0</v>
      </c>
      <c r="W23" s="474">
        <f>'POSF Inventory'!AL15*$D$5*'POSF Zone Def'!$AQ12</f>
        <v>0</v>
      </c>
      <c r="X23" s="474">
        <f>'POSF Inventory'!AM15*$D$6*'POSF Zone Def'!$AQ12</f>
        <v>0</v>
      </c>
      <c r="Y23" s="474">
        <f>'POSF Inventory'!AN15*$D$5*'POSF Zone Def'!$AQ12</f>
        <v>0</v>
      </c>
      <c r="Z23" s="474">
        <f>'POSF Inventory'!AO15*$D$6*'POSF Zone Def'!$AQ12</f>
        <v>0</v>
      </c>
      <c r="AA23" s="477">
        <f>'POSF Inventory'!AV15*'POSF Emiss by Zone'!$D$5*'POSF Zone Def'!$M12</f>
        <v>0</v>
      </c>
      <c r="AB23" s="474">
        <f>'POSF Inventory'!AW15*'POSF Emiss by Zone'!$D$6*'POSF Zone Def'!$M12</f>
        <v>0</v>
      </c>
      <c r="AC23" s="474">
        <f>'POSF Inventory'!AX15*'POSF Emiss by Zone'!$D$5*'POSF Zone Def'!$M12</f>
        <v>0.1775349225</v>
      </c>
      <c r="AD23" s="474">
        <f>'POSF Inventory'!AY15*'POSF Emiss by Zone'!$D$6*'POSF Zone Def'!$M12</f>
        <v>0.17795512349999998</v>
      </c>
      <c r="AE23" s="474">
        <f>'POSF Inventory'!AZ15*'POSF Emiss by Zone'!$D$5*'POSF Zone Def'!$M12</f>
        <v>0.328768375</v>
      </c>
      <c r="AF23" s="485">
        <f>'POSF Inventory'!BA15*'POSF Emiss by Zone'!$D$6*'POSF Zone Def'!$M12</f>
        <v>0.32954652499999998</v>
      </c>
      <c r="AG23" s="474">
        <f>'POSF Inventory'!AV15*'POSF Emiss by Zone'!$D$5*'POSF Zone Def'!$N12</f>
        <v>0</v>
      </c>
      <c r="AH23" s="474">
        <f>'POSF Inventory'!AW15*'POSF Emiss by Zone'!$D$6*'POSF Zone Def'!$N12</f>
        <v>0</v>
      </c>
      <c r="AI23" s="474">
        <f>'POSF Inventory'!AX15*'POSF Emiss by Zone'!$D$5*'POSF Zone Def'!$N12</f>
        <v>0.1775349225</v>
      </c>
      <c r="AJ23" s="474">
        <f>'POSF Inventory'!AY15*'POSF Emiss by Zone'!$D$6*'POSF Zone Def'!$N12</f>
        <v>0.17795512349999998</v>
      </c>
      <c r="AK23" s="474">
        <f>'POSF Inventory'!AZ15*'POSF Emiss by Zone'!$D$5*'POSF Zone Def'!$N12</f>
        <v>0.328768375</v>
      </c>
      <c r="AL23" s="549">
        <f>'POSF Inventory'!BA15*'POSF Emiss by Zone'!$D$6*'POSF Zone Def'!$N12</f>
        <v>0.32954652499999998</v>
      </c>
      <c r="AM23" s="474">
        <f>'POSF Inventory'!BB15*'POSF Emiss by Zone'!$D$5*'POSF Zone Def'!$AP12</f>
        <v>0</v>
      </c>
      <c r="AN23" s="474">
        <f>'POSF Inventory'!BC15*'POSF Emiss by Zone'!$D$6*'POSF Zone Def'!$AP12</f>
        <v>0</v>
      </c>
      <c r="AO23" s="474">
        <f>'POSF Inventory'!BD15*'POSF Emiss by Zone'!$D$5*'POSF Zone Def'!$AP12</f>
        <v>0</v>
      </c>
      <c r="AP23" s="474">
        <f>'POSF Inventory'!BE15*'POSF Emiss by Zone'!$D$6*'POSF Zone Def'!$AP12</f>
        <v>0</v>
      </c>
      <c r="AQ23" s="474">
        <f>'POSF Inventory'!BF15*'POSF Emiss by Zone'!$D$5*'POSF Zone Def'!$AP12</f>
        <v>0</v>
      </c>
      <c r="AR23" s="524">
        <f>'POSF Inventory'!BG15*'POSF Emiss by Zone'!$D$6*'POSF Zone Def'!$AP12</f>
        <v>0</v>
      </c>
      <c r="AS23" s="474">
        <f>'POSF Inventory'!BB15*'POSF Emiss by Zone'!$D$5*'POSF Zone Def'!$AQ12</f>
        <v>0</v>
      </c>
      <c r="AT23" s="474">
        <f>'POSF Inventory'!BC15*'POSF Emiss by Zone'!$D$6*'POSF Zone Def'!$AQ12</f>
        <v>0</v>
      </c>
      <c r="AU23" s="474">
        <f>'POSF Inventory'!BD15*'POSF Emiss by Zone'!$D$5*'POSF Zone Def'!$AQ12</f>
        <v>0</v>
      </c>
      <c r="AV23" s="474">
        <f>'POSF Inventory'!BE15*'POSF Emiss by Zone'!$D$6*'POSF Zone Def'!$AQ12</f>
        <v>0</v>
      </c>
      <c r="AW23" s="474">
        <f>'POSF Inventory'!BF15*'POSF Emiss by Zone'!$D$5*'POSF Zone Def'!$AQ12</f>
        <v>0</v>
      </c>
      <c r="AX23" s="134">
        <f>'POSF Inventory'!BG15*'POSF Emiss by Zone'!$D$6*'POSF Zone Def'!$AQ12</f>
        <v>0</v>
      </c>
      <c r="AY23" s="474">
        <f>'POSF Inventory'!EA15*'POSF Emiss by Zone'!$D$5*'POSF Zone Def'!$Y12</f>
        <v>0</v>
      </c>
      <c r="AZ23" s="474">
        <f>'POSF Inventory'!EB15*'POSF Emiss by Zone'!$D$6*'POSF Zone Def'!$Y12</f>
        <v>0</v>
      </c>
      <c r="BA23" s="474">
        <f>'POSF Inventory'!EC15*'POSF Emiss by Zone'!$D$5*'POSF Zone Def'!$Y12</f>
        <v>0.23162689192499999</v>
      </c>
      <c r="BB23" s="474">
        <f>'POSF Inventory'!ED15*'POSF Emiss by Zone'!$D$6*'POSF Zone Def'!$Y12</f>
        <v>2.3217512125500006</v>
      </c>
      <c r="BC23" s="474">
        <f>'POSF Inventory'!EE15*'POSF Emiss by Zone'!$D$5*'POSF Zone Def'!$Y12</f>
        <v>0</v>
      </c>
      <c r="BD23" s="485">
        <f>'POSF Inventory'!EF15*'POSF Emiss by Zone'!$D$6*'POSF Zone Def'!$Y12</f>
        <v>0</v>
      </c>
      <c r="BE23" s="474">
        <f>'POSF Inventory'!EA15*'POSF Emiss by Zone'!$D$5*'POSF Zone Def'!$Z12</f>
        <v>0</v>
      </c>
      <c r="BF23" s="474">
        <f>'POSF Inventory'!EB15*'POSF Emiss by Zone'!$D$6*'POSF Zone Def'!$Z12</f>
        <v>0</v>
      </c>
      <c r="BG23" s="474">
        <f>'POSF Inventory'!EC15*'POSF Emiss by Zone'!$D$5*'POSF Zone Def'!$Z12</f>
        <v>2.5736321325000002E-2</v>
      </c>
      <c r="BH23" s="474">
        <f>'POSF Inventory'!ED15*'POSF Emiss by Zone'!$D$6*'POSF Zone Def'!$Z12</f>
        <v>0.25797235695000004</v>
      </c>
      <c r="BI23" s="474">
        <f>'POSF Inventory'!EE15*'POSF Emiss by Zone'!$D$5*'POSF Zone Def'!$Z12</f>
        <v>0</v>
      </c>
      <c r="BJ23" s="549">
        <f>'POSF Inventory'!EF15*'POSF Emiss by Zone'!$D$6*'POSF Zone Def'!$Z12</f>
        <v>0</v>
      </c>
      <c r="BK23" s="705">
        <f>'POSF Inventory'!$EA15*'POSF Emiss by Zone'!$D$5*'POSF Zone Def'!$AC12</f>
        <v>0</v>
      </c>
      <c r="BL23" s="705">
        <f>'POSF Inventory'!$EB15*'POSF Emiss by Zone'!$D$6*'POSF Zone Def'!$AC12</f>
        <v>0</v>
      </c>
      <c r="BM23" s="705">
        <f>'POSF Inventory'!$EC15*'POSF Emiss by Zone'!$D$5*'POSF Zone Def'!$AC12</f>
        <v>0</v>
      </c>
      <c r="BN23" s="705">
        <f>'POSF Inventory'!$ED15*'POSF Emiss by Zone'!$D$6*'POSF Zone Def'!$AC12</f>
        <v>0</v>
      </c>
      <c r="BO23" s="705">
        <f>'POSF Inventory'!$EE15*'POSF Emiss by Zone'!$D$5*'POSF Zone Def'!$AC12</f>
        <v>0</v>
      </c>
      <c r="BP23" s="708">
        <f>'POSF Inventory'!$EF15*'POSF Emiss by Zone'!$D$6*'POSF Zone Def'!$AC12</f>
        <v>0</v>
      </c>
      <c r="BQ23" s="474">
        <f>'POSF Inventory'!EG15*'POSF Emiss by Zone'!$D$5*'POSF Zone Def'!$BB12</f>
        <v>0</v>
      </c>
      <c r="BR23" s="474">
        <f>'POSF Inventory'!EH15*'POSF Emiss by Zone'!$D$6*'POSF Zone Def'!$BB12</f>
        <v>0</v>
      </c>
      <c r="BS23" s="474">
        <f>'POSF Inventory'!EI15*'POSF Emiss by Zone'!$D$5*'POSF Zone Def'!$BB12</f>
        <v>0</v>
      </c>
      <c r="BT23" s="474">
        <f>'POSF Inventory'!EJ15*'POSF Emiss by Zone'!$D$6*'POSF Zone Def'!$BB12</f>
        <v>0</v>
      </c>
      <c r="BU23" s="474">
        <f>'POSF Inventory'!EK15*'POSF Emiss by Zone'!$D$5*'POSF Zone Def'!$BB12</f>
        <v>0</v>
      </c>
      <c r="BV23" s="524">
        <f>'POSF Inventory'!EL15*'POSF Emiss by Zone'!$D$6*'POSF Zone Def'!$BB12</f>
        <v>0</v>
      </c>
      <c r="BW23" s="474">
        <f>'POSF Inventory'!EG15*'POSF Emiss by Zone'!$D$5*'POSF Zone Def'!$BC12</f>
        <v>0</v>
      </c>
      <c r="BX23" s="474">
        <f>'POSF Inventory'!EH15*'POSF Emiss by Zone'!$D$6*'POSF Zone Def'!$BC12</f>
        <v>0</v>
      </c>
      <c r="BY23" s="474">
        <f>'POSF Inventory'!EI15*'POSF Emiss by Zone'!$D$5*'POSF Zone Def'!$BC12</f>
        <v>0</v>
      </c>
      <c r="BZ23" s="474">
        <f>'POSF Inventory'!EJ15*'POSF Emiss by Zone'!$D$6*'POSF Zone Def'!$BC12</f>
        <v>0</v>
      </c>
      <c r="CA23" s="474">
        <f>'POSF Inventory'!EK15*'POSF Emiss by Zone'!$D$5*'POSF Zone Def'!$BC12</f>
        <v>0</v>
      </c>
      <c r="CB23" s="134">
        <f>'POSF Inventory'!EL15*'POSF Emiss by Zone'!$D$6*'POSF Zone Def'!$BC12</f>
        <v>0</v>
      </c>
      <c r="CC23" s="474">
        <f>'POSF Inventory'!GC15*'POSF Emiss by Zone'!$D$7*'POSF Zone Def'!$M12</f>
        <v>1.2450400000000002E-3</v>
      </c>
      <c r="CD23" s="474">
        <f>'POSF Inventory'!GD15*'POSF Emiss by Zone'!$D$9*'POSF Zone Def'!$M12</f>
        <v>1.5391807000000003E-3</v>
      </c>
      <c r="CE23" s="474">
        <f>'POSF Inventory'!GE15*'POSF Emiss by Zone'!$D$7*'POSF Zone Def'!$M12</f>
        <v>1.8675599999999997E-2</v>
      </c>
      <c r="CF23" s="474">
        <f>'POSF Inventory'!GF15*'POSF Emiss by Zone'!$D$9*'POSF Zone Def'!$M12</f>
        <v>2.3087710500000001E-2</v>
      </c>
      <c r="CG23" s="474">
        <f>'POSF Inventory'!GG15*'POSF Emiss by Zone'!$D$7*'POSF Zone Def'!$M12</f>
        <v>6.8477200000000002E-2</v>
      </c>
      <c r="CH23" s="485">
        <f>'POSF Inventory'!GH15*'POSF Emiss by Zone'!$D$9*'POSF Zone Def'!$M12</f>
        <v>0.33861975400000005</v>
      </c>
      <c r="CI23" s="474">
        <f>'POSF Inventory'!GC15*'POSF Emiss by Zone'!$D$7*'POSF Zone Def'!$N12</f>
        <v>1.2450400000000002E-3</v>
      </c>
      <c r="CJ23" s="474">
        <f>'POSF Inventory'!GD15*'POSF Emiss by Zone'!$D$9*'POSF Zone Def'!$N12</f>
        <v>1.5391807000000003E-3</v>
      </c>
      <c r="CK23" s="474">
        <f>'POSF Inventory'!GE15*'POSF Emiss by Zone'!$D$7*'POSF Zone Def'!$N12</f>
        <v>1.8675599999999997E-2</v>
      </c>
      <c r="CL23" s="474">
        <f>'POSF Inventory'!GF15*'POSF Emiss by Zone'!$D$9*'POSF Zone Def'!$N12</f>
        <v>2.3087710500000001E-2</v>
      </c>
      <c r="CM23" s="474">
        <f>'POSF Inventory'!GG15*'POSF Emiss by Zone'!$D$7*'POSF Zone Def'!$N12</f>
        <v>6.8477200000000002E-2</v>
      </c>
      <c r="CN23" s="485">
        <f>'POSF Inventory'!GH15*'POSF Emiss by Zone'!$D$9*'POSF Zone Def'!$N12</f>
        <v>0.33861975400000005</v>
      </c>
      <c r="CO23" s="474">
        <f>'POSF Inventory'!GI15*'POSF Emiss by Zone'!$D$7*'POSF Zone Def'!$AP12</f>
        <v>0</v>
      </c>
      <c r="CP23" s="474">
        <f>'POSF Inventory'!GJ15*'POSF Emiss by Zone'!$D$9*'POSF Zone Def'!$AP12</f>
        <v>0</v>
      </c>
      <c r="CQ23" s="474">
        <f>'POSF Inventory'!GK15*'POSF Emiss by Zone'!$D$7*'POSF Zone Def'!$AP12</f>
        <v>0</v>
      </c>
      <c r="CR23" s="474">
        <f>'POSF Inventory'!GL15*'POSF Emiss by Zone'!$D$9*'POSF Zone Def'!$AP12</f>
        <v>0</v>
      </c>
      <c r="CS23" s="474">
        <f>'POSF Inventory'!GM15*'POSF Emiss by Zone'!$D$7*'POSF Zone Def'!$AP12</f>
        <v>0</v>
      </c>
      <c r="CT23" s="524">
        <f>'POSF Inventory'!GN15*'POSF Emiss by Zone'!$D$9*'POSF Zone Def'!$AP12</f>
        <v>0</v>
      </c>
      <c r="CU23" s="474">
        <f>'POSF Inventory'!GI15*'POSF Emiss by Zone'!$D$7*'POSF Zone Def'!$AQ12</f>
        <v>0</v>
      </c>
      <c r="CV23" s="474">
        <f>'POSF Inventory'!GJ15*'POSF Emiss by Zone'!$D$9*'POSF Zone Def'!$AQ12</f>
        <v>0</v>
      </c>
      <c r="CW23" s="474">
        <f>'POSF Inventory'!GK15*'POSF Emiss by Zone'!$D$7*'POSF Zone Def'!$AQ12</f>
        <v>0</v>
      </c>
      <c r="CX23" s="474">
        <f>'POSF Inventory'!GL15*'POSF Emiss by Zone'!$D$9*'POSF Zone Def'!$AQ12</f>
        <v>0</v>
      </c>
      <c r="CY23" s="474">
        <f>'POSF Inventory'!GM15*'POSF Emiss by Zone'!$D$7*'POSF Zone Def'!$AQ12</f>
        <v>0</v>
      </c>
      <c r="CZ23" s="134">
        <f>'POSF Inventory'!GN15*'POSF Emiss by Zone'!$D$9*'POSF Zone Def'!$AQ12</f>
        <v>0</v>
      </c>
      <c r="DA23" s="474">
        <f>SUM('POSF Inventory'!GQ15,'POSF Inventory'!GS15)*'POSF Emiss by Zone'!$D$7*'POSF Zone Def'!$Y12</f>
        <v>0.139716336122055</v>
      </c>
      <c r="DB23" s="474">
        <f>SUM('POSF Inventory'!GR15,'POSF Inventory'!GT15)*'POSF Emiss by Zone'!$D$9*'POSF Zone Def'!$Y12</f>
        <v>4.7431099836388126</v>
      </c>
      <c r="DC23" s="474"/>
      <c r="DD23" s="474"/>
      <c r="DE23" s="474">
        <f>'POSF Inventory'!GU15*'POSF Emiss by Zone'!$D$7*'POSF Zone Def'!$Y12</f>
        <v>0</v>
      </c>
      <c r="DF23" s="485">
        <f>'POSF Inventory'!GV15*'POSF Emiss by Zone'!$D$9*'POSF Zone Def'!$Y12</f>
        <v>0</v>
      </c>
      <c r="DG23" s="474">
        <f>SUM('POSF Inventory'!GQ15,'POSF Inventory'!GS15)*'POSF Emiss by Zone'!$D$7*'POSF Zone Def'!$Z12</f>
        <v>1.5524037346895002E-2</v>
      </c>
      <c r="DH23" s="474">
        <f>SUM('POSF Inventory'!GR15,'POSF Inventory'!GT15)*'POSF Emiss by Zone'!$D$9*'POSF Zone Def'!$Z12</f>
        <v>0.5270122204043125</v>
      </c>
      <c r="DI23" s="474"/>
      <c r="DJ23" s="474"/>
      <c r="DK23" s="474">
        <f>'POSF Inventory'!GU15*'POSF Emiss by Zone'!$D$7*'POSF Zone Def'!$Z12</f>
        <v>0</v>
      </c>
      <c r="DL23" s="485">
        <f>'POSF Inventory'!GV15*'POSF Emiss by Zone'!$D$9*'POSF Zone Def'!$Z12</f>
        <v>0</v>
      </c>
      <c r="DM23" s="705">
        <f>SUM('POSF Inventory'!$GQ15,'POSF Inventory'!$GS15)*'POSF Emiss by Zone'!$D$7*'POSF Zone Def'!$AC12</f>
        <v>0</v>
      </c>
      <c r="DN23" s="705">
        <f>SUM('POSF Inventory'!$GR15,'POSF Inventory'!$GT15)*'POSF Emiss by Zone'!$D$9*'POSF Zone Def'!$AC12</f>
        <v>0</v>
      </c>
      <c r="DO23" s="705"/>
      <c r="DP23" s="705"/>
      <c r="DQ23" s="705">
        <f>'POSF Inventory'!$GU15*'POSF Emiss by Zone'!$D$7*'POSF Zone Def'!$AC12</f>
        <v>0</v>
      </c>
      <c r="DR23" s="708">
        <f>'POSF Inventory'!$GV15*'POSF Emiss by Zone'!$D$9*'POSF Zone Def'!$AC12</f>
        <v>0</v>
      </c>
      <c r="DS23" s="474">
        <f>SUM('POSF Inventory'!GW15,'POSF Inventory'!GY15)*$D$7*'POSF Zone Def'!$BB12</f>
        <v>0</v>
      </c>
      <c r="DT23" s="474">
        <f>SUM('POSF Inventory'!GX15,'POSF Inventory'!GZ15)*$D$9*'POSF Zone Def'!$BB12</f>
        <v>0</v>
      </c>
      <c r="DU23" s="474"/>
      <c r="DV23" s="474"/>
      <c r="DW23" s="474">
        <f>'POSF Inventory'!HA15*'POSF Emiss by Zone'!$D$7*'POSF Zone Def'!$BB12</f>
        <v>0</v>
      </c>
      <c r="DX23" s="524">
        <f>'POSF Inventory'!HB15*'POSF Emiss by Zone'!$D$9*'POSF Zone Def'!$BB12</f>
        <v>0</v>
      </c>
      <c r="DY23" s="474">
        <f>SUM('POSF Inventory'!GW15,'POSF Inventory'!GY15)*$D$7*'POSF Zone Def'!$BC12</f>
        <v>0</v>
      </c>
      <c r="DZ23" s="474">
        <f>SUM('POSF Inventory'!GX15,'POSF Inventory'!GZ15)*$D$9*'POSF Zone Def'!$BC12</f>
        <v>0</v>
      </c>
      <c r="EA23" s="474"/>
      <c r="EB23" s="474"/>
      <c r="EC23" s="474">
        <f>'POSF Inventory'!HA15*'POSF Emiss by Zone'!$D$7*'POSF Zone Def'!$BC12</f>
        <v>0</v>
      </c>
      <c r="ED23" s="134">
        <f>'POSF Inventory'!HB15*'POSF Emiss by Zone'!$D$9*'POSF Zone Def'!$BC12</f>
        <v>0</v>
      </c>
      <c r="EE23" s="235">
        <f>'POSF Inventory'!$CF15*'POSF Emiss by Zone'!$D$7*'POSF Zone Def'!$CE12</f>
        <v>0</v>
      </c>
      <c r="EF23" s="235">
        <f>'POSF Inventory'!$CG15*'POSF Emiss by Zone'!$D$9*'POSF Zone Def'!$CE12</f>
        <v>0</v>
      </c>
      <c r="EG23" s="235">
        <f>'POSF Inventory'!$CH15*'POSF Emiss by Zone'!$D$7*'POSF Zone Def'!$CE12</f>
        <v>0</v>
      </c>
      <c r="EH23" s="235">
        <f>'POSF Inventory'!$CI15*'POSF Emiss by Zone'!$D$9*'POSF Zone Def'!$CE12</f>
        <v>0</v>
      </c>
      <c r="EI23" s="235">
        <f>'POSF Inventory'!$CJ15*'POSF Emiss by Zone'!$D$7*'POSF Zone Def'!$CE12</f>
        <v>0</v>
      </c>
      <c r="EJ23" s="580">
        <f>'POSF Inventory'!$CK15*'POSF Emiss by Zone'!$D$9*'POSF Zone Def'!$CE12</f>
        <v>0</v>
      </c>
      <c r="EK23" s="235">
        <f>'POSF Inventory'!$CF15*'POSF Emiss by Zone'!$D$7*'POSF Zone Def'!$CF12</f>
        <v>0</v>
      </c>
      <c r="EL23" s="235">
        <f>'POSF Inventory'!$CG15*'POSF Emiss by Zone'!$D$9*'POSF Zone Def'!$CF12</f>
        <v>0</v>
      </c>
      <c r="EM23" s="235">
        <f>'POSF Inventory'!$CH15*'POSF Emiss by Zone'!$D$7*'POSF Zone Def'!$CF12</f>
        <v>0</v>
      </c>
      <c r="EN23" s="235">
        <f>'POSF Inventory'!$CI15*'POSF Emiss by Zone'!$D$9*'POSF Zone Def'!$CF12</f>
        <v>0</v>
      </c>
      <c r="EO23" s="235">
        <f>'POSF Inventory'!$CJ15*'POSF Emiss by Zone'!$D$7*'POSF Zone Def'!$CF12</f>
        <v>0</v>
      </c>
      <c r="EP23" s="580">
        <f>'POSF Inventory'!$CK15*'POSF Emiss by Zone'!$D$9*'POSF Zone Def'!$CF12</f>
        <v>0</v>
      </c>
      <c r="EQ23" s="235">
        <f>'POSF Inventory'!$CF15*'POSF Emiss by Zone'!$D$7*'POSF Zone Def'!$CG12</f>
        <v>0</v>
      </c>
      <c r="ER23" s="235">
        <f>'POSF Inventory'!$CG15*'POSF Emiss by Zone'!$D$9*'POSF Zone Def'!$CG12</f>
        <v>0</v>
      </c>
      <c r="ES23" s="235">
        <f>'POSF Inventory'!$CH15*'POSF Emiss by Zone'!$D$7*'POSF Zone Def'!$CG12</f>
        <v>0</v>
      </c>
      <c r="ET23" s="235">
        <f>'POSF Inventory'!$CI15*'POSF Emiss by Zone'!$D$9*'POSF Zone Def'!$CG12</f>
        <v>0</v>
      </c>
      <c r="EU23" s="235">
        <f>'POSF Inventory'!$CJ15*'POSF Emiss by Zone'!$D$7*'POSF Zone Def'!$CG12</f>
        <v>0</v>
      </c>
      <c r="EV23" s="580">
        <f>'POSF Inventory'!$CK15*'POSF Emiss by Zone'!$D$9*'POSF Zone Def'!$CG12</f>
        <v>0</v>
      </c>
      <c r="EW23" s="235">
        <f>'POSF Inventory'!$CF15*'POSF Emiss by Zone'!$D$7*'POSF Zone Def'!$CH12</f>
        <v>0</v>
      </c>
      <c r="EX23" s="235">
        <f>'POSF Inventory'!$CG15*'POSF Emiss by Zone'!$D$9*'POSF Zone Def'!$CH12</f>
        <v>0</v>
      </c>
      <c r="EY23" s="235">
        <f>'POSF Inventory'!$CH15*'POSF Emiss by Zone'!$D$7*'POSF Zone Def'!$CH12</f>
        <v>0</v>
      </c>
      <c r="EZ23" s="235">
        <f>'POSF Inventory'!$CI15*'POSF Emiss by Zone'!$D$9*'POSF Zone Def'!$CH12</f>
        <v>0</v>
      </c>
      <c r="FA23" s="235">
        <f>'POSF Inventory'!$CJ15*'POSF Emiss by Zone'!$D$7*'POSF Zone Def'!$CH12</f>
        <v>0</v>
      </c>
      <c r="FB23" s="580">
        <f>'POSF Inventory'!$CK15*'POSF Emiss by Zone'!$D$9*'POSF Zone Def'!$CH12</f>
        <v>0</v>
      </c>
      <c r="FC23" s="235">
        <f>'POSF Inventory'!$CF15*'POSF Emiss by Zone'!$D$7*'POSF Zone Def'!$CI12</f>
        <v>0</v>
      </c>
      <c r="FD23" s="235">
        <f>'POSF Inventory'!$CG15*'POSF Emiss by Zone'!$D$9*'POSF Zone Def'!$CI12</f>
        <v>0</v>
      </c>
      <c r="FE23" s="235">
        <f>'POSF Inventory'!$CH15*'POSF Emiss by Zone'!$D$7*'POSF Zone Def'!$CI12</f>
        <v>0</v>
      </c>
      <c r="FF23" s="235">
        <f>'POSF Inventory'!$CI15*'POSF Emiss by Zone'!$D$9*'POSF Zone Def'!$CI12</f>
        <v>0</v>
      </c>
      <c r="FG23" s="235">
        <f>'POSF Inventory'!$CJ15*'POSF Emiss by Zone'!$D$7*'POSF Zone Def'!$CI12</f>
        <v>0</v>
      </c>
      <c r="FH23" s="577">
        <f>'POSF Inventory'!$CK15*'POSF Emiss by Zone'!$D$9*'POSF Zone Def'!$CI12</f>
        <v>0</v>
      </c>
      <c r="FI23" s="595"/>
      <c r="FJ23" s="595"/>
      <c r="FM23" s="592">
        <v>6</v>
      </c>
      <c r="FN23" s="592">
        <f t="shared" si="0"/>
        <v>1960</v>
      </c>
      <c r="FO23" s="587">
        <v>3</v>
      </c>
      <c r="FP23" s="477">
        <f t="shared" si="20"/>
        <v>0.26630238374999998</v>
      </c>
      <c r="FQ23" s="474">
        <f t="shared" si="21"/>
        <v>0.26693268524999997</v>
      </c>
      <c r="FR23" s="474">
        <f t="shared" si="22"/>
        <v>0</v>
      </c>
      <c r="FS23" s="474">
        <f t="shared" si="23"/>
        <v>0</v>
      </c>
      <c r="FT23" s="474">
        <f t="shared" si="24"/>
        <v>0.19726102499999998</v>
      </c>
      <c r="FU23" s="485">
        <f t="shared" si="25"/>
        <v>0.19772791499999998</v>
      </c>
      <c r="FV23" s="474">
        <f t="shared" si="26"/>
        <v>0.26630238374999998</v>
      </c>
      <c r="FW23" s="474">
        <f t="shared" si="27"/>
        <v>0.26693268524999997</v>
      </c>
      <c r="FX23" s="474">
        <f t="shared" si="28"/>
        <v>0</v>
      </c>
      <c r="FY23" s="474">
        <f t="shared" si="29"/>
        <v>0</v>
      </c>
      <c r="FZ23" s="474">
        <f t="shared" si="30"/>
        <v>0.19726102499999998</v>
      </c>
      <c r="GA23" s="134">
        <f t="shared" si="31"/>
        <v>0.19772791499999998</v>
      </c>
      <c r="GB23" s="474">
        <f t="shared" si="32"/>
        <v>0</v>
      </c>
      <c r="GC23" s="474">
        <f t="shared" si="33"/>
        <v>0</v>
      </c>
      <c r="GD23" s="474">
        <f t="shared" si="34"/>
        <v>0.40753168767430276</v>
      </c>
      <c r="GE23" s="474">
        <f t="shared" si="35"/>
        <v>2.4897473466633473</v>
      </c>
      <c r="GF23" s="474">
        <f t="shared" si="36"/>
        <v>0.32745854083665338</v>
      </c>
      <c r="GG23" s="524">
        <f t="shared" si="37"/>
        <v>0.32823359063745017</v>
      </c>
      <c r="GH23" s="474">
        <f t="shared" si="38"/>
        <v>0</v>
      </c>
      <c r="GI23" s="474">
        <f t="shared" si="39"/>
        <v>0</v>
      </c>
      <c r="GJ23" s="474">
        <f t="shared" si="40"/>
        <v>0.20246139823207171</v>
      </c>
      <c r="GK23" s="474">
        <f t="shared" si="41"/>
        <v>0.43419071757968131</v>
      </c>
      <c r="GL23" s="474">
        <f t="shared" si="42"/>
        <v>0.32745854083665338</v>
      </c>
      <c r="GM23" s="705">
        <f t="shared" si="43"/>
        <v>0.32823359063745017</v>
      </c>
      <c r="GN23" s="705">
        <f t="shared" si="44"/>
        <v>0</v>
      </c>
      <c r="GO23" s="705">
        <f t="shared" si="45"/>
        <v>0</v>
      </c>
      <c r="GP23" s="705">
        <f t="shared" si="46"/>
        <v>0</v>
      </c>
      <c r="GQ23" s="705">
        <f t="shared" si="47"/>
        <v>0</v>
      </c>
      <c r="GR23" s="705">
        <f t="shared" si="48"/>
        <v>0</v>
      </c>
      <c r="GS23" s="705">
        <f t="shared" si="49"/>
        <v>0</v>
      </c>
      <c r="GT23" s="551">
        <f t="shared" si="50"/>
        <v>2.9203153618911791E-3</v>
      </c>
      <c r="GU23" s="548">
        <f t="shared" si="51"/>
        <v>9.8295520536102896E-2</v>
      </c>
      <c r="GV23" s="548">
        <f t="shared" si="52"/>
        <v>3.8690486055776885E-4</v>
      </c>
      <c r="GW23" s="548">
        <f t="shared" si="53"/>
        <v>4.7831113386454183E-4</v>
      </c>
      <c r="GX23" s="548">
        <f t="shared" si="54"/>
        <v>1.4186511553784861E-3</v>
      </c>
      <c r="GY23" s="524">
        <f t="shared" si="55"/>
        <v>7.0152299633466147E-3</v>
      </c>
      <c r="GZ23" s="548">
        <f t="shared" si="56"/>
        <v>3.4740718009503593E-4</v>
      </c>
      <c r="HA23" s="548">
        <f t="shared" si="57"/>
        <v>1.0950068867499701E-2</v>
      </c>
      <c r="HB23" s="548">
        <f t="shared" si="58"/>
        <v>3.8690486055776885E-4</v>
      </c>
      <c r="HC23" s="548">
        <f t="shared" si="59"/>
        <v>4.7831113386454183E-4</v>
      </c>
      <c r="HD23" s="548">
        <f t="shared" si="60"/>
        <v>1.4186511553784861E-3</v>
      </c>
      <c r="HE23" s="549">
        <f t="shared" si="61"/>
        <v>7.0152299633466147E-3</v>
      </c>
      <c r="HF23" s="235">
        <f t="shared" si="62"/>
        <v>0</v>
      </c>
      <c r="HG23" s="235">
        <f t="shared" si="63"/>
        <v>0</v>
      </c>
      <c r="HH23" s="235">
        <f t="shared" si="64"/>
        <v>0</v>
      </c>
      <c r="HI23" s="235">
        <f t="shared" si="65"/>
        <v>0</v>
      </c>
      <c r="HJ23" s="235">
        <f t="shared" si="66"/>
        <v>0</v>
      </c>
      <c r="HK23" s="580">
        <f t="shared" si="67"/>
        <v>0</v>
      </c>
      <c r="HL23" s="235">
        <f t="shared" si="68"/>
        <v>0</v>
      </c>
      <c r="HM23" s="235">
        <f t="shared" si="69"/>
        <v>0</v>
      </c>
      <c r="HN23" s="235">
        <f t="shared" si="70"/>
        <v>0</v>
      </c>
      <c r="HO23" s="235">
        <f t="shared" si="71"/>
        <v>0</v>
      </c>
      <c r="HP23" s="235">
        <f t="shared" si="72"/>
        <v>0</v>
      </c>
      <c r="HQ23" s="580">
        <f t="shared" si="73"/>
        <v>0</v>
      </c>
      <c r="HR23" s="235">
        <f t="shared" si="74"/>
        <v>0</v>
      </c>
      <c r="HS23" s="235">
        <f t="shared" si="75"/>
        <v>0</v>
      </c>
      <c r="HT23" s="235">
        <f t="shared" si="76"/>
        <v>0</v>
      </c>
      <c r="HU23" s="235">
        <f t="shared" si="77"/>
        <v>0</v>
      </c>
      <c r="HV23" s="235">
        <f t="shared" si="78"/>
        <v>0</v>
      </c>
      <c r="HW23" s="577">
        <f t="shared" si="79"/>
        <v>0</v>
      </c>
      <c r="HX23" s="235">
        <f t="shared" si="80"/>
        <v>0.15520352950235505</v>
      </c>
      <c r="HY23" s="235">
        <f t="shared" si="81"/>
        <v>5.2240288567994986</v>
      </c>
      <c r="HZ23" s="235">
        <f t="shared" si="82"/>
        <v>2.0562505243027884E-2</v>
      </c>
      <c r="IA23" s="235">
        <f t="shared" si="83"/>
        <v>2.5420397106693225E-2</v>
      </c>
      <c r="IB23" s="235">
        <f t="shared" si="84"/>
        <v>7.5395852557768914E-2</v>
      </c>
      <c r="IC23" s="235">
        <f t="shared" si="85"/>
        <v>0.37283249089816733</v>
      </c>
      <c r="ID23" s="235">
        <f t="shared" si="86"/>
        <v>1.8463355440589253E-2</v>
      </c>
      <c r="IE23" s="235">
        <f t="shared" si="87"/>
        <v>0.58195404465811873</v>
      </c>
      <c r="IF23" s="235">
        <f t="shared" si="88"/>
        <v>2.0562505243027884E-2</v>
      </c>
      <c r="IG23" s="235">
        <f t="shared" si="89"/>
        <v>2.5420397106693225E-2</v>
      </c>
      <c r="IH23" s="235">
        <f t="shared" si="90"/>
        <v>7.5395852557768914E-2</v>
      </c>
      <c r="II23" s="235">
        <f t="shared" si="91"/>
        <v>0.37283249089816733</v>
      </c>
      <c r="IJ23" s="235">
        <f t="shared" si="92"/>
        <v>0</v>
      </c>
      <c r="IK23" s="235">
        <f t="shared" si="93"/>
        <v>0</v>
      </c>
      <c r="IL23" s="235">
        <f t="shared" si="94"/>
        <v>0</v>
      </c>
      <c r="IM23" s="235">
        <f t="shared" si="95"/>
        <v>0</v>
      </c>
      <c r="IN23" s="235">
        <f t="shared" si="96"/>
        <v>0</v>
      </c>
      <c r="IO23" s="235">
        <f t="shared" si="97"/>
        <v>0</v>
      </c>
    </row>
    <row r="24" spans="1:249" ht="18" x14ac:dyDescent="0.25">
      <c r="A24" s="18">
        <v>1961</v>
      </c>
      <c r="B24" s="564"/>
      <c r="C24" s="477">
        <f>'POSF Inventory'!AD16*$D$5*'POSF Zone Def'!$M13</f>
        <v>0.35731712249999997</v>
      </c>
      <c r="D24" s="474">
        <f>'POSF Inventory'!AE16*$D$6*'POSF Zone Def'!$M13</f>
        <v>0.35816284349999994</v>
      </c>
      <c r="E24" s="474">
        <f>'POSF Inventory'!AF16*$D$5*'POSF Zone Def'!$M13</f>
        <v>0</v>
      </c>
      <c r="F24" s="474">
        <f>'POSF Inventory'!AG16*$D$6*'POSF Zone Def'!$M13</f>
        <v>0</v>
      </c>
      <c r="G24" s="474">
        <f>'POSF Inventory'!AH16*$D$5*'POSF Zone Def'!$M13</f>
        <v>0.26467934999999998</v>
      </c>
      <c r="H24" s="485">
        <f>'POSF Inventory'!AI16*$D$6*'POSF Zone Def'!$M13</f>
        <v>0.26530580999999998</v>
      </c>
      <c r="I24" s="474">
        <f>'POSF Inventory'!AD16*$D$5*'POSF Zone Def'!$N13</f>
        <v>0.35731712249999997</v>
      </c>
      <c r="J24" s="474">
        <f>'POSF Inventory'!AE16*$D$6*'POSF Zone Def'!$N13</f>
        <v>0.35816284349999994</v>
      </c>
      <c r="K24" s="474">
        <f>'POSF Inventory'!AF16*$D$5*'POSF Zone Def'!$N13</f>
        <v>0</v>
      </c>
      <c r="L24" s="474">
        <f>'POSF Inventory'!AG16*$D$6*'POSF Zone Def'!$N13</f>
        <v>0</v>
      </c>
      <c r="M24" s="474">
        <f>'POSF Inventory'!AH16*$D$5*'POSF Zone Def'!$N13</f>
        <v>0.26467934999999998</v>
      </c>
      <c r="N24" s="485">
        <f>'POSF Inventory'!AI16*$D$6*'POSF Zone Def'!$N13</f>
        <v>0.26530580999999998</v>
      </c>
      <c r="O24" s="474">
        <f>'POSF Inventory'!AJ16*$D$5*'POSF Zone Def'!$AP13</f>
        <v>0</v>
      </c>
      <c r="P24" s="474">
        <f>'POSF Inventory'!AK16*$D$6*'POSF Zone Def'!$AP13</f>
        <v>0</v>
      </c>
      <c r="Q24" s="474">
        <f>'POSF Inventory'!AL16*$D$5*'POSF Zone Def'!$AP13</f>
        <v>0</v>
      </c>
      <c r="R24" s="474">
        <f>'POSF Inventory'!AM16*$D$6*'POSF Zone Def'!$AP13</f>
        <v>0</v>
      </c>
      <c r="S24" s="474">
        <f>'POSF Inventory'!AN16*$D$5*'POSF Zone Def'!$AP13</f>
        <v>0</v>
      </c>
      <c r="T24" s="524">
        <f>'POSF Inventory'!AO16*$D$6*'POSF Zone Def'!$AP13</f>
        <v>0</v>
      </c>
      <c r="U24" s="474">
        <f>'POSF Inventory'!AJ16*$D$5*'POSF Zone Def'!$AQ13</f>
        <v>0</v>
      </c>
      <c r="V24" s="474">
        <f>'POSF Inventory'!AK16*$D$6*'POSF Zone Def'!$AQ13</f>
        <v>0</v>
      </c>
      <c r="W24" s="474">
        <f>'POSF Inventory'!AL16*$D$5*'POSF Zone Def'!$AQ13</f>
        <v>0</v>
      </c>
      <c r="X24" s="474">
        <f>'POSF Inventory'!AM16*$D$6*'POSF Zone Def'!$AQ13</f>
        <v>0</v>
      </c>
      <c r="Y24" s="474">
        <f>'POSF Inventory'!AN16*$D$5*'POSF Zone Def'!$AQ13</f>
        <v>0</v>
      </c>
      <c r="Z24" s="474">
        <f>'POSF Inventory'!AO16*$D$6*'POSF Zone Def'!$AQ13</f>
        <v>0</v>
      </c>
      <c r="AA24" s="477">
        <f>'POSF Inventory'!AV16*'POSF Emiss by Zone'!$D$5*'POSF Zone Def'!$M13</f>
        <v>0</v>
      </c>
      <c r="AB24" s="474">
        <f>'POSF Inventory'!AW16*'POSF Emiss by Zone'!$D$6*'POSF Zone Def'!$M13</f>
        <v>0</v>
      </c>
      <c r="AC24" s="474">
        <f>'POSF Inventory'!AX16*'POSF Emiss by Zone'!$D$5*'POSF Zone Def'!$M13</f>
        <v>0.23821141500000001</v>
      </c>
      <c r="AD24" s="474">
        <f>'POSF Inventory'!AY16*'POSF Emiss by Zone'!$D$6*'POSF Zone Def'!$M13</f>
        <v>0.23877522900000001</v>
      </c>
      <c r="AE24" s="474">
        <f>'POSF Inventory'!AZ16*'POSF Emiss by Zone'!$D$5*'POSF Zone Def'!$M13</f>
        <v>0.44113225</v>
      </c>
      <c r="AF24" s="485">
        <f>'POSF Inventory'!BA16*'POSF Emiss by Zone'!$D$6*'POSF Zone Def'!$M13</f>
        <v>0.44217635</v>
      </c>
      <c r="AG24" s="474">
        <f>'POSF Inventory'!AV16*'POSF Emiss by Zone'!$D$5*'POSF Zone Def'!$N13</f>
        <v>0</v>
      </c>
      <c r="AH24" s="474">
        <f>'POSF Inventory'!AW16*'POSF Emiss by Zone'!$D$6*'POSF Zone Def'!$N13</f>
        <v>0</v>
      </c>
      <c r="AI24" s="474">
        <f>'POSF Inventory'!AX16*'POSF Emiss by Zone'!$D$5*'POSF Zone Def'!$N13</f>
        <v>0.23821141500000001</v>
      </c>
      <c r="AJ24" s="474">
        <f>'POSF Inventory'!AY16*'POSF Emiss by Zone'!$D$6*'POSF Zone Def'!$N13</f>
        <v>0.23877522900000001</v>
      </c>
      <c r="AK24" s="474">
        <f>'POSF Inventory'!AZ16*'POSF Emiss by Zone'!$D$5*'POSF Zone Def'!$N13</f>
        <v>0.44113225</v>
      </c>
      <c r="AL24" s="549">
        <f>'POSF Inventory'!BA16*'POSF Emiss by Zone'!$D$6*'POSF Zone Def'!$N13</f>
        <v>0.44217635</v>
      </c>
      <c r="AM24" s="474">
        <f>'POSF Inventory'!BB16*'POSF Emiss by Zone'!$D$5*'POSF Zone Def'!$AP13</f>
        <v>0</v>
      </c>
      <c r="AN24" s="474">
        <f>'POSF Inventory'!BC16*'POSF Emiss by Zone'!$D$6*'POSF Zone Def'!$AP13</f>
        <v>0</v>
      </c>
      <c r="AO24" s="474">
        <f>'POSF Inventory'!BD16*'POSF Emiss by Zone'!$D$5*'POSF Zone Def'!$AP13</f>
        <v>0</v>
      </c>
      <c r="AP24" s="474">
        <f>'POSF Inventory'!BE16*'POSF Emiss by Zone'!$D$6*'POSF Zone Def'!$AP13</f>
        <v>0</v>
      </c>
      <c r="AQ24" s="474">
        <f>'POSF Inventory'!BF16*'POSF Emiss by Zone'!$D$5*'POSF Zone Def'!$AP13</f>
        <v>0</v>
      </c>
      <c r="AR24" s="524">
        <f>'POSF Inventory'!BG16*'POSF Emiss by Zone'!$D$6*'POSF Zone Def'!$AP13</f>
        <v>0</v>
      </c>
      <c r="AS24" s="474">
        <f>'POSF Inventory'!BB16*'POSF Emiss by Zone'!$D$5*'POSF Zone Def'!$AQ13</f>
        <v>0</v>
      </c>
      <c r="AT24" s="474">
        <f>'POSF Inventory'!BC16*'POSF Emiss by Zone'!$D$6*'POSF Zone Def'!$AQ13</f>
        <v>0</v>
      </c>
      <c r="AU24" s="474">
        <f>'POSF Inventory'!BD16*'POSF Emiss by Zone'!$D$5*'POSF Zone Def'!$AQ13</f>
        <v>0</v>
      </c>
      <c r="AV24" s="474">
        <f>'POSF Inventory'!BE16*'POSF Emiss by Zone'!$D$6*'POSF Zone Def'!$AQ13</f>
        <v>0</v>
      </c>
      <c r="AW24" s="474">
        <f>'POSF Inventory'!BF16*'POSF Emiss by Zone'!$D$5*'POSF Zone Def'!$AQ13</f>
        <v>0</v>
      </c>
      <c r="AX24" s="134">
        <f>'POSF Inventory'!BG16*'POSF Emiss by Zone'!$D$6*'POSF Zone Def'!$AQ13</f>
        <v>0</v>
      </c>
      <c r="AY24" s="474">
        <f>'POSF Inventory'!EA16*'POSF Emiss by Zone'!$D$5*'POSF Zone Def'!$Y13</f>
        <v>0</v>
      </c>
      <c r="AZ24" s="474">
        <f>'POSF Inventory'!EB16*'POSF Emiss by Zone'!$D$6*'POSF Zone Def'!$Y13</f>
        <v>0</v>
      </c>
      <c r="BA24" s="474">
        <f>'POSF Inventory'!EC16*'POSF Emiss by Zone'!$D$5*'POSF Zone Def'!$Y13</f>
        <v>0.32462859853125003</v>
      </c>
      <c r="BB24" s="474">
        <f>'POSF Inventory'!ED16*'POSF Emiss by Zone'!$D$6*'POSF Zone Def'!$Y13</f>
        <v>3.2539695024375006</v>
      </c>
      <c r="BC24" s="474">
        <f>'POSF Inventory'!EE16*'POSF Emiss by Zone'!$D$5*'POSF Zone Def'!$Y13</f>
        <v>0</v>
      </c>
      <c r="BD24" s="485">
        <f>'POSF Inventory'!EF16*'POSF Emiss by Zone'!$D$6*'POSF Zone Def'!$Y13</f>
        <v>0</v>
      </c>
      <c r="BE24" s="474">
        <f>'POSF Inventory'!EA16*'POSF Emiss by Zone'!$D$5*'POSF Zone Def'!$Z13</f>
        <v>0</v>
      </c>
      <c r="BF24" s="474">
        <f>'POSF Inventory'!EB16*'POSF Emiss by Zone'!$D$6*'POSF Zone Def'!$Z13</f>
        <v>0</v>
      </c>
      <c r="BG24" s="474">
        <f>'POSF Inventory'!EC16*'POSF Emiss by Zone'!$D$5*'POSF Zone Def'!$Z13</f>
        <v>3.6069844281250006E-2</v>
      </c>
      <c r="BH24" s="474">
        <f>'POSF Inventory'!ED16*'POSF Emiss by Zone'!$D$6*'POSF Zone Def'!$Z13</f>
        <v>0.36155216693750009</v>
      </c>
      <c r="BI24" s="474">
        <f>'POSF Inventory'!EE16*'POSF Emiss by Zone'!$D$5*'POSF Zone Def'!$Z13</f>
        <v>0</v>
      </c>
      <c r="BJ24" s="549">
        <f>'POSF Inventory'!EF16*'POSF Emiss by Zone'!$D$6*'POSF Zone Def'!$Z13</f>
        <v>0</v>
      </c>
      <c r="BK24" s="705">
        <f>'POSF Inventory'!$EA16*'POSF Emiss by Zone'!$D$5*'POSF Zone Def'!$AC13</f>
        <v>0</v>
      </c>
      <c r="BL24" s="705">
        <f>'POSF Inventory'!$EB16*'POSF Emiss by Zone'!$D$6*'POSF Zone Def'!$AC13</f>
        <v>0</v>
      </c>
      <c r="BM24" s="705">
        <f>'POSF Inventory'!$EC16*'POSF Emiss by Zone'!$D$5*'POSF Zone Def'!$AC13</f>
        <v>0</v>
      </c>
      <c r="BN24" s="705">
        <f>'POSF Inventory'!$ED16*'POSF Emiss by Zone'!$D$6*'POSF Zone Def'!$AC13</f>
        <v>0</v>
      </c>
      <c r="BO24" s="705">
        <f>'POSF Inventory'!$EE16*'POSF Emiss by Zone'!$D$5*'POSF Zone Def'!$AC13</f>
        <v>0</v>
      </c>
      <c r="BP24" s="708">
        <f>'POSF Inventory'!$EF16*'POSF Emiss by Zone'!$D$6*'POSF Zone Def'!$AC13</f>
        <v>0</v>
      </c>
      <c r="BQ24" s="474">
        <f>'POSF Inventory'!EG16*'POSF Emiss by Zone'!$D$5*'POSF Zone Def'!$BB13</f>
        <v>0</v>
      </c>
      <c r="BR24" s="474">
        <f>'POSF Inventory'!EH16*'POSF Emiss by Zone'!$D$6*'POSF Zone Def'!$BB13</f>
        <v>0</v>
      </c>
      <c r="BS24" s="474">
        <f>'POSF Inventory'!EI16*'POSF Emiss by Zone'!$D$5*'POSF Zone Def'!$BB13</f>
        <v>0</v>
      </c>
      <c r="BT24" s="474">
        <f>'POSF Inventory'!EJ16*'POSF Emiss by Zone'!$D$6*'POSF Zone Def'!$BB13</f>
        <v>0</v>
      </c>
      <c r="BU24" s="474">
        <f>'POSF Inventory'!EK16*'POSF Emiss by Zone'!$D$5*'POSF Zone Def'!$BB13</f>
        <v>0</v>
      </c>
      <c r="BV24" s="524">
        <f>'POSF Inventory'!EL16*'POSF Emiss by Zone'!$D$6*'POSF Zone Def'!$BB13</f>
        <v>0</v>
      </c>
      <c r="BW24" s="474">
        <f>'POSF Inventory'!EG16*'POSF Emiss by Zone'!$D$5*'POSF Zone Def'!$BC13</f>
        <v>0</v>
      </c>
      <c r="BX24" s="474">
        <f>'POSF Inventory'!EH16*'POSF Emiss by Zone'!$D$6*'POSF Zone Def'!$BC13</f>
        <v>0</v>
      </c>
      <c r="BY24" s="474">
        <f>'POSF Inventory'!EI16*'POSF Emiss by Zone'!$D$5*'POSF Zone Def'!$BC13</f>
        <v>0</v>
      </c>
      <c r="BZ24" s="474">
        <f>'POSF Inventory'!EJ16*'POSF Emiss by Zone'!$D$6*'POSF Zone Def'!$BC13</f>
        <v>0</v>
      </c>
      <c r="CA24" s="474">
        <f>'POSF Inventory'!EK16*'POSF Emiss by Zone'!$D$5*'POSF Zone Def'!$BC13</f>
        <v>0</v>
      </c>
      <c r="CB24" s="134">
        <f>'POSF Inventory'!EL16*'POSF Emiss by Zone'!$D$6*'POSF Zone Def'!$BC13</f>
        <v>0</v>
      </c>
      <c r="CC24" s="474">
        <f>'POSF Inventory'!GC16*'POSF Emiss by Zone'!$D$7*'POSF Zone Def'!$M13</f>
        <v>1.6705600000000002E-3</v>
      </c>
      <c r="CD24" s="474">
        <f>'POSF Inventory'!GD16*'POSF Emiss by Zone'!$D$9*'POSF Zone Def'!$M13</f>
        <v>2.0652298000000003E-3</v>
      </c>
      <c r="CE24" s="474">
        <f>'POSF Inventory'!GE16*'POSF Emiss by Zone'!$D$7*'POSF Zone Def'!$M13</f>
        <v>2.5058399999999998E-2</v>
      </c>
      <c r="CF24" s="474">
        <f>'POSF Inventory'!GF16*'POSF Emiss by Zone'!$D$9*'POSF Zone Def'!$M13</f>
        <v>3.0978446999999999E-2</v>
      </c>
      <c r="CG24" s="474">
        <f>'POSF Inventory'!GG16*'POSF Emiss by Zone'!$D$7*'POSF Zone Def'!$M13</f>
        <v>9.1880799999999999E-2</v>
      </c>
      <c r="CH24" s="485">
        <f>'POSF Inventory'!GH16*'POSF Emiss by Zone'!$D$9*'POSF Zone Def'!$M13</f>
        <v>0.45435055600000002</v>
      </c>
      <c r="CI24" s="474">
        <f>'POSF Inventory'!GC16*'POSF Emiss by Zone'!$D$7*'POSF Zone Def'!$N13</f>
        <v>1.6705600000000002E-3</v>
      </c>
      <c r="CJ24" s="474">
        <f>'POSF Inventory'!GD16*'POSF Emiss by Zone'!$D$9*'POSF Zone Def'!$N13</f>
        <v>2.0652298000000003E-3</v>
      </c>
      <c r="CK24" s="474">
        <f>'POSF Inventory'!GE16*'POSF Emiss by Zone'!$D$7*'POSF Zone Def'!$N13</f>
        <v>2.5058399999999998E-2</v>
      </c>
      <c r="CL24" s="474">
        <f>'POSF Inventory'!GF16*'POSF Emiss by Zone'!$D$9*'POSF Zone Def'!$N13</f>
        <v>3.0978446999999999E-2</v>
      </c>
      <c r="CM24" s="474">
        <f>'POSF Inventory'!GG16*'POSF Emiss by Zone'!$D$7*'POSF Zone Def'!$N13</f>
        <v>9.1880799999999999E-2</v>
      </c>
      <c r="CN24" s="485">
        <f>'POSF Inventory'!GH16*'POSF Emiss by Zone'!$D$9*'POSF Zone Def'!$N13</f>
        <v>0.45435055600000002</v>
      </c>
      <c r="CO24" s="474">
        <f>'POSF Inventory'!GI16*'POSF Emiss by Zone'!$D$7*'POSF Zone Def'!$AP13</f>
        <v>0</v>
      </c>
      <c r="CP24" s="474">
        <f>'POSF Inventory'!GJ16*'POSF Emiss by Zone'!$D$9*'POSF Zone Def'!$AP13</f>
        <v>0</v>
      </c>
      <c r="CQ24" s="474">
        <f>'POSF Inventory'!GK16*'POSF Emiss by Zone'!$D$7*'POSF Zone Def'!$AP13</f>
        <v>0</v>
      </c>
      <c r="CR24" s="474">
        <f>'POSF Inventory'!GL16*'POSF Emiss by Zone'!$D$9*'POSF Zone Def'!$AP13</f>
        <v>0</v>
      </c>
      <c r="CS24" s="474">
        <f>'POSF Inventory'!GM16*'POSF Emiss by Zone'!$D$7*'POSF Zone Def'!$AP13</f>
        <v>0</v>
      </c>
      <c r="CT24" s="524">
        <f>'POSF Inventory'!GN16*'POSF Emiss by Zone'!$D$9*'POSF Zone Def'!$AP13</f>
        <v>0</v>
      </c>
      <c r="CU24" s="474">
        <f>'POSF Inventory'!GI16*'POSF Emiss by Zone'!$D$7*'POSF Zone Def'!$AQ13</f>
        <v>0</v>
      </c>
      <c r="CV24" s="474">
        <f>'POSF Inventory'!GJ16*'POSF Emiss by Zone'!$D$9*'POSF Zone Def'!$AQ13</f>
        <v>0</v>
      </c>
      <c r="CW24" s="474">
        <f>'POSF Inventory'!GK16*'POSF Emiss by Zone'!$D$7*'POSF Zone Def'!$AQ13</f>
        <v>0</v>
      </c>
      <c r="CX24" s="474">
        <f>'POSF Inventory'!GL16*'POSF Emiss by Zone'!$D$9*'POSF Zone Def'!$AQ13</f>
        <v>0</v>
      </c>
      <c r="CY24" s="474">
        <f>'POSF Inventory'!GM16*'POSF Emiss by Zone'!$D$7*'POSF Zone Def'!$AQ13</f>
        <v>0</v>
      </c>
      <c r="CZ24" s="134">
        <f>'POSF Inventory'!GN16*'POSF Emiss by Zone'!$D$9*'POSF Zone Def'!$AQ13</f>
        <v>0</v>
      </c>
      <c r="DA24" s="474">
        <f>SUM('POSF Inventory'!GQ16,'POSF Inventory'!GS16)*'POSF Emiss by Zone'!$D$7*'POSF Zone Def'!$Y13</f>
        <v>0.19596233748202874</v>
      </c>
      <c r="DB24" s="474">
        <f>SUM('POSF Inventory'!GR16,'POSF Inventory'!GT16)*'POSF Emiss by Zone'!$D$9*'POSF Zone Def'!$Y13</f>
        <v>6.7388842338503068</v>
      </c>
      <c r="DC24" s="474"/>
      <c r="DD24" s="474"/>
      <c r="DE24" s="474">
        <f>'POSF Inventory'!GU16*'POSF Emiss by Zone'!$D$7*'POSF Zone Def'!$Y13</f>
        <v>0</v>
      </c>
      <c r="DF24" s="485">
        <f>'POSF Inventory'!GV16*'POSF Emiss by Zone'!$D$9*'POSF Zone Def'!$Y13</f>
        <v>0</v>
      </c>
      <c r="DG24" s="474">
        <f>SUM('POSF Inventory'!GQ16,'POSF Inventory'!GS16)*'POSF Emiss by Zone'!$D$7*'POSF Zone Def'!$Z13</f>
        <v>2.1773593053558749E-2</v>
      </c>
      <c r="DH24" s="474">
        <f>SUM('POSF Inventory'!GR16,'POSF Inventory'!GT16)*'POSF Emiss by Zone'!$D$9*'POSF Zone Def'!$Z13</f>
        <v>0.74876491487225627</v>
      </c>
      <c r="DI24" s="474"/>
      <c r="DJ24" s="474"/>
      <c r="DK24" s="474">
        <f>'POSF Inventory'!GU16*'POSF Emiss by Zone'!$D$7*'POSF Zone Def'!$Z13</f>
        <v>0</v>
      </c>
      <c r="DL24" s="485">
        <f>'POSF Inventory'!GV16*'POSF Emiss by Zone'!$D$9*'POSF Zone Def'!$Z13</f>
        <v>0</v>
      </c>
      <c r="DM24" s="705">
        <f>SUM('POSF Inventory'!$GQ16,'POSF Inventory'!$GS16)*'POSF Emiss by Zone'!$D$7*'POSF Zone Def'!$AC13</f>
        <v>0</v>
      </c>
      <c r="DN24" s="705">
        <f>SUM('POSF Inventory'!$GR16,'POSF Inventory'!$GT16)*'POSF Emiss by Zone'!$D$9*'POSF Zone Def'!$AC13</f>
        <v>0</v>
      </c>
      <c r="DO24" s="705"/>
      <c r="DP24" s="705"/>
      <c r="DQ24" s="705">
        <f>'POSF Inventory'!$GU16*'POSF Emiss by Zone'!$D$7*'POSF Zone Def'!$AC13</f>
        <v>0</v>
      </c>
      <c r="DR24" s="708">
        <f>'POSF Inventory'!$GV16*'POSF Emiss by Zone'!$D$9*'POSF Zone Def'!$AC13</f>
        <v>0</v>
      </c>
      <c r="DS24" s="474">
        <f>SUM('POSF Inventory'!GW16,'POSF Inventory'!GY16)*$D$7*'POSF Zone Def'!$BB13</f>
        <v>0</v>
      </c>
      <c r="DT24" s="474">
        <f>SUM('POSF Inventory'!GX16,'POSF Inventory'!GZ16)*$D$9*'POSF Zone Def'!$BB13</f>
        <v>0</v>
      </c>
      <c r="DU24" s="474"/>
      <c r="DV24" s="474"/>
      <c r="DW24" s="474">
        <f>'POSF Inventory'!HA16*'POSF Emiss by Zone'!$D$7*'POSF Zone Def'!$BB13</f>
        <v>0</v>
      </c>
      <c r="DX24" s="524">
        <f>'POSF Inventory'!HB16*'POSF Emiss by Zone'!$D$9*'POSF Zone Def'!$BB13</f>
        <v>0</v>
      </c>
      <c r="DY24" s="474">
        <f>SUM('POSF Inventory'!GW16,'POSF Inventory'!GY16)*$D$7*'POSF Zone Def'!$BC13</f>
        <v>0</v>
      </c>
      <c r="DZ24" s="474">
        <f>SUM('POSF Inventory'!GX16,'POSF Inventory'!GZ16)*$D$9*'POSF Zone Def'!$BC13</f>
        <v>0</v>
      </c>
      <c r="EA24" s="474"/>
      <c r="EB24" s="474"/>
      <c r="EC24" s="474">
        <f>'POSF Inventory'!HA16*'POSF Emiss by Zone'!$D$7*'POSF Zone Def'!$BC13</f>
        <v>0</v>
      </c>
      <c r="ED24" s="134">
        <f>'POSF Inventory'!HB16*'POSF Emiss by Zone'!$D$9*'POSF Zone Def'!$BC13</f>
        <v>0</v>
      </c>
      <c r="EE24" s="235">
        <f>'POSF Inventory'!$CF16*'POSF Emiss by Zone'!$D$7*'POSF Zone Def'!$CE13</f>
        <v>0</v>
      </c>
      <c r="EF24" s="235">
        <f>'POSF Inventory'!$CG16*'POSF Emiss by Zone'!$D$9*'POSF Zone Def'!$CE13</f>
        <v>0</v>
      </c>
      <c r="EG24" s="235">
        <f>'POSF Inventory'!$CH16*'POSF Emiss by Zone'!$D$7*'POSF Zone Def'!$CE13</f>
        <v>0</v>
      </c>
      <c r="EH24" s="235">
        <f>'POSF Inventory'!$CI16*'POSF Emiss by Zone'!$D$9*'POSF Zone Def'!$CE13</f>
        <v>0</v>
      </c>
      <c r="EI24" s="235">
        <f>'POSF Inventory'!$CJ16*'POSF Emiss by Zone'!$D$7*'POSF Zone Def'!$CE13</f>
        <v>0</v>
      </c>
      <c r="EJ24" s="580">
        <f>'POSF Inventory'!$CK16*'POSF Emiss by Zone'!$D$9*'POSF Zone Def'!$CE13</f>
        <v>0</v>
      </c>
      <c r="EK24" s="235">
        <f>'POSF Inventory'!$CF16*'POSF Emiss by Zone'!$D$7*'POSF Zone Def'!$CF13</f>
        <v>0</v>
      </c>
      <c r="EL24" s="235">
        <f>'POSF Inventory'!$CG16*'POSF Emiss by Zone'!$D$9*'POSF Zone Def'!$CF13</f>
        <v>0</v>
      </c>
      <c r="EM24" s="235">
        <f>'POSF Inventory'!$CH16*'POSF Emiss by Zone'!$D$7*'POSF Zone Def'!$CF13</f>
        <v>0</v>
      </c>
      <c r="EN24" s="235">
        <f>'POSF Inventory'!$CI16*'POSF Emiss by Zone'!$D$9*'POSF Zone Def'!$CF13</f>
        <v>0</v>
      </c>
      <c r="EO24" s="235">
        <f>'POSF Inventory'!$CJ16*'POSF Emiss by Zone'!$D$7*'POSF Zone Def'!$CF13</f>
        <v>0</v>
      </c>
      <c r="EP24" s="580">
        <f>'POSF Inventory'!$CK16*'POSF Emiss by Zone'!$D$9*'POSF Zone Def'!$CF13</f>
        <v>0</v>
      </c>
      <c r="EQ24" s="235">
        <f>'POSF Inventory'!$CF16*'POSF Emiss by Zone'!$D$7*'POSF Zone Def'!$CG13</f>
        <v>0</v>
      </c>
      <c r="ER24" s="235">
        <f>'POSF Inventory'!$CG16*'POSF Emiss by Zone'!$D$9*'POSF Zone Def'!$CG13</f>
        <v>0</v>
      </c>
      <c r="ES24" s="235">
        <f>'POSF Inventory'!$CH16*'POSF Emiss by Zone'!$D$7*'POSF Zone Def'!$CG13</f>
        <v>0</v>
      </c>
      <c r="ET24" s="235">
        <f>'POSF Inventory'!$CI16*'POSF Emiss by Zone'!$D$9*'POSF Zone Def'!$CG13</f>
        <v>0</v>
      </c>
      <c r="EU24" s="235">
        <f>'POSF Inventory'!$CJ16*'POSF Emiss by Zone'!$D$7*'POSF Zone Def'!$CG13</f>
        <v>0</v>
      </c>
      <c r="EV24" s="580">
        <f>'POSF Inventory'!$CK16*'POSF Emiss by Zone'!$D$9*'POSF Zone Def'!$CG13</f>
        <v>0</v>
      </c>
      <c r="EW24" s="235">
        <f>'POSF Inventory'!$CF16*'POSF Emiss by Zone'!$D$7*'POSF Zone Def'!$CH13</f>
        <v>0</v>
      </c>
      <c r="EX24" s="235">
        <f>'POSF Inventory'!$CG16*'POSF Emiss by Zone'!$D$9*'POSF Zone Def'!$CH13</f>
        <v>0</v>
      </c>
      <c r="EY24" s="235">
        <f>'POSF Inventory'!$CH16*'POSF Emiss by Zone'!$D$7*'POSF Zone Def'!$CH13</f>
        <v>0</v>
      </c>
      <c r="EZ24" s="235">
        <f>'POSF Inventory'!$CI16*'POSF Emiss by Zone'!$D$9*'POSF Zone Def'!$CH13</f>
        <v>0</v>
      </c>
      <c r="FA24" s="235">
        <f>'POSF Inventory'!$CJ16*'POSF Emiss by Zone'!$D$7*'POSF Zone Def'!$CH13</f>
        <v>0</v>
      </c>
      <c r="FB24" s="580">
        <f>'POSF Inventory'!$CK16*'POSF Emiss by Zone'!$D$9*'POSF Zone Def'!$CH13</f>
        <v>0</v>
      </c>
      <c r="FC24" s="235">
        <f>'POSF Inventory'!$CF16*'POSF Emiss by Zone'!$D$7*'POSF Zone Def'!$CI13</f>
        <v>0</v>
      </c>
      <c r="FD24" s="235">
        <f>'POSF Inventory'!$CG16*'POSF Emiss by Zone'!$D$9*'POSF Zone Def'!$CI13</f>
        <v>0</v>
      </c>
      <c r="FE24" s="235">
        <f>'POSF Inventory'!$CH16*'POSF Emiss by Zone'!$D$7*'POSF Zone Def'!$CI13</f>
        <v>0</v>
      </c>
      <c r="FF24" s="235">
        <f>'POSF Inventory'!$CI16*'POSF Emiss by Zone'!$D$9*'POSF Zone Def'!$CI13</f>
        <v>0</v>
      </c>
      <c r="FG24" s="235">
        <f>'POSF Inventory'!$CJ16*'POSF Emiss by Zone'!$D$7*'POSF Zone Def'!$CI13</f>
        <v>0</v>
      </c>
      <c r="FH24" s="577">
        <f>'POSF Inventory'!$CK16*'POSF Emiss by Zone'!$D$9*'POSF Zone Def'!$CI13</f>
        <v>0</v>
      </c>
      <c r="FI24" s="595"/>
      <c r="FJ24" s="595"/>
      <c r="FM24" s="592">
        <v>7</v>
      </c>
      <c r="FN24" s="592">
        <f t="shared" si="0"/>
        <v>1961</v>
      </c>
      <c r="FO24" s="587">
        <v>4</v>
      </c>
      <c r="FP24" s="477">
        <f t="shared" si="20"/>
        <v>0.35731712249999997</v>
      </c>
      <c r="FQ24" s="474">
        <f t="shared" si="21"/>
        <v>0.35816284349999994</v>
      </c>
      <c r="FR24" s="474">
        <f t="shared" si="22"/>
        <v>0</v>
      </c>
      <c r="FS24" s="474">
        <f t="shared" si="23"/>
        <v>0</v>
      </c>
      <c r="FT24" s="474">
        <f t="shared" si="24"/>
        <v>0.26467934999999998</v>
      </c>
      <c r="FU24" s="485">
        <f t="shared" si="25"/>
        <v>0.26530580999999998</v>
      </c>
      <c r="FV24" s="474">
        <f t="shared" si="26"/>
        <v>0.35731712249999997</v>
      </c>
      <c r="FW24" s="474">
        <f t="shared" si="27"/>
        <v>0.35816284349999994</v>
      </c>
      <c r="FX24" s="474">
        <f t="shared" si="28"/>
        <v>0</v>
      </c>
      <c r="FY24" s="474">
        <f t="shared" si="29"/>
        <v>0</v>
      </c>
      <c r="FZ24" s="474">
        <f t="shared" si="30"/>
        <v>0.26467934999999998</v>
      </c>
      <c r="GA24" s="134">
        <f t="shared" si="31"/>
        <v>0.26530580999999998</v>
      </c>
      <c r="GB24" s="474">
        <f t="shared" si="32"/>
        <v>0</v>
      </c>
      <c r="GC24" s="474">
        <f t="shared" si="33"/>
        <v>0</v>
      </c>
      <c r="GD24" s="474">
        <f t="shared" si="34"/>
        <v>0.56059762303909366</v>
      </c>
      <c r="GE24" s="474">
        <f t="shared" si="35"/>
        <v>3.4788294137823708</v>
      </c>
      <c r="GF24" s="474">
        <f t="shared" si="36"/>
        <v>0.43937475099601592</v>
      </c>
      <c r="GG24" s="524">
        <f t="shared" si="37"/>
        <v>0.44041469123505977</v>
      </c>
      <c r="GH24" s="474">
        <f t="shared" si="38"/>
        <v>0</v>
      </c>
      <c r="GI24" s="474">
        <f t="shared" si="39"/>
        <v>0</v>
      </c>
      <c r="GJ24" s="474">
        <f t="shared" si="40"/>
        <v>0.27318850526020921</v>
      </c>
      <c r="GK24" s="474">
        <f t="shared" si="41"/>
        <v>0.59793565332420329</v>
      </c>
      <c r="GL24" s="474">
        <f t="shared" si="42"/>
        <v>0.43937475099601592</v>
      </c>
      <c r="GM24" s="705">
        <f t="shared" si="43"/>
        <v>0.44041469123505977</v>
      </c>
      <c r="GN24" s="705">
        <f t="shared" si="44"/>
        <v>0</v>
      </c>
      <c r="GO24" s="705">
        <f t="shared" si="45"/>
        <v>0</v>
      </c>
      <c r="GP24" s="705">
        <f t="shared" si="46"/>
        <v>0</v>
      </c>
      <c r="GQ24" s="705">
        <f t="shared" si="47"/>
        <v>0</v>
      </c>
      <c r="GR24" s="705">
        <f t="shared" si="48"/>
        <v>0</v>
      </c>
      <c r="GS24" s="705">
        <f t="shared" si="49"/>
        <v>0</v>
      </c>
      <c r="GT24" s="551">
        <f t="shared" si="50"/>
        <v>4.0943867207432249E-3</v>
      </c>
      <c r="GU24" s="548">
        <f t="shared" si="51"/>
        <v>0.13965313629873144</v>
      </c>
      <c r="GV24" s="548">
        <f t="shared" si="52"/>
        <v>5.1913816733067724E-4</v>
      </c>
      <c r="GW24" s="548">
        <f t="shared" si="53"/>
        <v>6.4178455936254972E-4</v>
      </c>
      <c r="GX24" s="548">
        <f t="shared" si="54"/>
        <v>1.9035066135458167E-3</v>
      </c>
      <c r="GY24" s="524">
        <f t="shared" si="55"/>
        <v>9.4128402039840645E-3</v>
      </c>
      <c r="GZ24" s="548">
        <f t="shared" si="56"/>
        <v>4.8569560110958362E-4</v>
      </c>
      <c r="HA24" s="548">
        <f t="shared" si="57"/>
        <v>1.5555046821895348E-2</v>
      </c>
      <c r="HB24" s="548">
        <f t="shared" si="58"/>
        <v>5.1913816733067724E-4</v>
      </c>
      <c r="HC24" s="548">
        <f t="shared" si="59"/>
        <v>6.4178455936254972E-4</v>
      </c>
      <c r="HD24" s="548">
        <f t="shared" si="60"/>
        <v>1.9035066135458167E-3</v>
      </c>
      <c r="HE24" s="549">
        <f t="shared" si="61"/>
        <v>9.4128402039840645E-3</v>
      </c>
      <c r="HF24" s="235">
        <f t="shared" si="62"/>
        <v>0</v>
      </c>
      <c r="HG24" s="235">
        <f t="shared" si="63"/>
        <v>0</v>
      </c>
      <c r="HH24" s="235">
        <f t="shared" si="64"/>
        <v>0</v>
      </c>
      <c r="HI24" s="235">
        <f t="shared" si="65"/>
        <v>0</v>
      </c>
      <c r="HJ24" s="235">
        <f t="shared" si="66"/>
        <v>0</v>
      </c>
      <c r="HK24" s="580">
        <f t="shared" si="67"/>
        <v>0</v>
      </c>
      <c r="HL24" s="235">
        <f t="shared" si="68"/>
        <v>0</v>
      </c>
      <c r="HM24" s="235">
        <f t="shared" si="69"/>
        <v>0</v>
      </c>
      <c r="HN24" s="235">
        <f t="shared" si="70"/>
        <v>0</v>
      </c>
      <c r="HO24" s="235">
        <f t="shared" si="71"/>
        <v>0</v>
      </c>
      <c r="HP24" s="235">
        <f t="shared" si="72"/>
        <v>0</v>
      </c>
      <c r="HQ24" s="580">
        <f t="shared" si="73"/>
        <v>0</v>
      </c>
      <c r="HR24" s="235">
        <f t="shared" si="74"/>
        <v>0</v>
      </c>
      <c r="HS24" s="235">
        <f t="shared" si="75"/>
        <v>0</v>
      </c>
      <c r="HT24" s="235">
        <f t="shared" si="76"/>
        <v>0</v>
      </c>
      <c r="HU24" s="235">
        <f t="shared" si="77"/>
        <v>0</v>
      </c>
      <c r="HV24" s="235">
        <f t="shared" si="78"/>
        <v>0</v>
      </c>
      <c r="HW24" s="577">
        <f t="shared" si="79"/>
        <v>0</v>
      </c>
      <c r="HX24" s="235">
        <f t="shared" si="80"/>
        <v>0.21760090656626871</v>
      </c>
      <c r="HY24" s="235">
        <f t="shared" si="81"/>
        <v>7.4220270668302728</v>
      </c>
      <c r="HZ24" s="235">
        <f t="shared" si="82"/>
        <v>2.7590196908366529E-2</v>
      </c>
      <c r="IA24" s="235">
        <f t="shared" si="83"/>
        <v>3.4108380927968127E-2</v>
      </c>
      <c r="IB24" s="235">
        <f t="shared" si="84"/>
        <v>0.10116405533067728</v>
      </c>
      <c r="IC24" s="235">
        <f t="shared" si="85"/>
        <v>0.50025625361019921</v>
      </c>
      <c r="ID24" s="235">
        <f t="shared" si="86"/>
        <v>2.58128531389701E-2</v>
      </c>
      <c r="IE24" s="235">
        <f t="shared" si="87"/>
        <v>0.8266909114805765</v>
      </c>
      <c r="IF24" s="235">
        <f t="shared" si="88"/>
        <v>2.7590196908366529E-2</v>
      </c>
      <c r="IG24" s="235">
        <f t="shared" si="89"/>
        <v>3.4108380927968127E-2</v>
      </c>
      <c r="IH24" s="235">
        <f t="shared" si="90"/>
        <v>0.10116405533067728</v>
      </c>
      <c r="II24" s="235">
        <f t="shared" si="91"/>
        <v>0.50025625361019921</v>
      </c>
      <c r="IJ24" s="235">
        <f t="shared" si="92"/>
        <v>0</v>
      </c>
      <c r="IK24" s="235">
        <f t="shared" si="93"/>
        <v>0</v>
      </c>
      <c r="IL24" s="235">
        <f t="shared" si="94"/>
        <v>0</v>
      </c>
      <c r="IM24" s="235">
        <f t="shared" si="95"/>
        <v>0</v>
      </c>
      <c r="IN24" s="235">
        <f t="shared" si="96"/>
        <v>0</v>
      </c>
      <c r="IO24" s="235">
        <f t="shared" si="97"/>
        <v>0</v>
      </c>
    </row>
    <row r="25" spans="1:249" ht="18" x14ac:dyDescent="0.25">
      <c r="A25" s="18">
        <v>1962</v>
      </c>
      <c r="B25" s="564"/>
      <c r="C25" s="477">
        <f>'POSF Inventory'!AD17*$D$5*'POSF Zone Def'!$M14</f>
        <v>0.44496094499999994</v>
      </c>
      <c r="D25" s="474">
        <f>'POSF Inventory'!AE17*$D$6*'POSF Zone Def'!$M14</f>
        <v>0.44601410699999994</v>
      </c>
      <c r="E25" s="474">
        <f>'POSF Inventory'!AF17*$D$5*'POSF Zone Def'!$M14</f>
        <v>0</v>
      </c>
      <c r="F25" s="474">
        <f>'POSF Inventory'!AG17*$D$6*'POSF Zone Def'!$M14</f>
        <v>0</v>
      </c>
      <c r="G25" s="474">
        <f>'POSF Inventory'!AH17*$D$5*'POSF Zone Def'!$M14</f>
        <v>0.32960070000000002</v>
      </c>
      <c r="H25" s="485">
        <f>'POSF Inventory'!AI17*$D$6*'POSF Zone Def'!$M14</f>
        <v>0.33038082000000002</v>
      </c>
      <c r="I25" s="474">
        <f>'POSF Inventory'!AD17*$D$5*'POSF Zone Def'!$N14</f>
        <v>0.44496094499999994</v>
      </c>
      <c r="J25" s="474">
        <f>'POSF Inventory'!AE17*$D$6*'POSF Zone Def'!$N14</f>
        <v>0.44601410699999994</v>
      </c>
      <c r="K25" s="474">
        <f>'POSF Inventory'!AF17*$D$5*'POSF Zone Def'!$N14</f>
        <v>0</v>
      </c>
      <c r="L25" s="474">
        <f>'POSF Inventory'!AG17*$D$6*'POSF Zone Def'!$N14</f>
        <v>0</v>
      </c>
      <c r="M25" s="474">
        <f>'POSF Inventory'!AH17*$D$5*'POSF Zone Def'!$N14</f>
        <v>0.32960070000000002</v>
      </c>
      <c r="N25" s="485">
        <f>'POSF Inventory'!AI17*$D$6*'POSF Zone Def'!$N14</f>
        <v>0.33038082000000002</v>
      </c>
      <c r="O25" s="474">
        <f>'POSF Inventory'!AJ17*$D$5*'POSF Zone Def'!$AP14</f>
        <v>0</v>
      </c>
      <c r="P25" s="474">
        <f>'POSF Inventory'!AK17*$D$6*'POSF Zone Def'!$AP14</f>
        <v>0</v>
      </c>
      <c r="Q25" s="474">
        <f>'POSF Inventory'!AL17*$D$5*'POSF Zone Def'!$AP14</f>
        <v>0</v>
      </c>
      <c r="R25" s="474">
        <f>'POSF Inventory'!AM17*$D$6*'POSF Zone Def'!$AP14</f>
        <v>0</v>
      </c>
      <c r="S25" s="474">
        <f>'POSF Inventory'!AN17*$D$5*'POSF Zone Def'!$AP14</f>
        <v>0</v>
      </c>
      <c r="T25" s="524">
        <f>'POSF Inventory'!AO17*$D$6*'POSF Zone Def'!$AP14</f>
        <v>0</v>
      </c>
      <c r="U25" s="474">
        <f>'POSF Inventory'!AJ17*$D$5*'POSF Zone Def'!$AQ14</f>
        <v>0</v>
      </c>
      <c r="V25" s="474">
        <f>'POSF Inventory'!AK17*$D$6*'POSF Zone Def'!$AQ14</f>
        <v>0</v>
      </c>
      <c r="W25" s="474">
        <f>'POSF Inventory'!AL17*$D$5*'POSF Zone Def'!$AQ14</f>
        <v>0</v>
      </c>
      <c r="X25" s="474">
        <f>'POSF Inventory'!AM17*$D$6*'POSF Zone Def'!$AQ14</f>
        <v>0</v>
      </c>
      <c r="Y25" s="474">
        <f>'POSF Inventory'!AN17*$D$5*'POSF Zone Def'!$AQ14</f>
        <v>0</v>
      </c>
      <c r="Z25" s="474">
        <f>'POSF Inventory'!AO17*$D$6*'POSF Zone Def'!$AQ14</f>
        <v>0</v>
      </c>
      <c r="AA25" s="477">
        <f>'POSF Inventory'!AV17*'POSF Emiss by Zone'!$D$5*'POSF Zone Def'!$M14</f>
        <v>0</v>
      </c>
      <c r="AB25" s="474">
        <f>'POSF Inventory'!AW17*'POSF Emiss by Zone'!$D$6*'POSF Zone Def'!$M14</f>
        <v>0</v>
      </c>
      <c r="AC25" s="474">
        <f>'POSF Inventory'!AX17*'POSF Emiss by Zone'!$D$5*'POSF Zone Def'!$M14</f>
        <v>0.29664063000000002</v>
      </c>
      <c r="AD25" s="474">
        <f>'POSF Inventory'!AY17*'POSF Emiss by Zone'!$D$6*'POSF Zone Def'!$M14</f>
        <v>0.297342738</v>
      </c>
      <c r="AE25" s="474">
        <f>'POSF Inventory'!AZ17*'POSF Emiss by Zone'!$D$5*'POSF Zone Def'!$M14</f>
        <v>0.54933449999999995</v>
      </c>
      <c r="AF25" s="485">
        <f>'POSF Inventory'!BA17*'POSF Emiss by Zone'!$D$6*'POSF Zone Def'!$M14</f>
        <v>0.55063470000000003</v>
      </c>
      <c r="AG25" s="474">
        <f>'POSF Inventory'!AV17*'POSF Emiss by Zone'!$D$5*'POSF Zone Def'!$N14</f>
        <v>0</v>
      </c>
      <c r="AH25" s="474">
        <f>'POSF Inventory'!AW17*'POSF Emiss by Zone'!$D$6*'POSF Zone Def'!$N14</f>
        <v>0</v>
      </c>
      <c r="AI25" s="474">
        <f>'POSF Inventory'!AX17*'POSF Emiss by Zone'!$D$5*'POSF Zone Def'!$N14</f>
        <v>0.29664063000000002</v>
      </c>
      <c r="AJ25" s="474">
        <f>'POSF Inventory'!AY17*'POSF Emiss by Zone'!$D$6*'POSF Zone Def'!$N14</f>
        <v>0.297342738</v>
      </c>
      <c r="AK25" s="474">
        <f>'POSF Inventory'!AZ17*'POSF Emiss by Zone'!$D$5*'POSF Zone Def'!$N14</f>
        <v>0.54933449999999995</v>
      </c>
      <c r="AL25" s="549">
        <f>'POSF Inventory'!BA17*'POSF Emiss by Zone'!$D$6*'POSF Zone Def'!$N14</f>
        <v>0.55063470000000003</v>
      </c>
      <c r="AM25" s="474">
        <f>'POSF Inventory'!BB17*'POSF Emiss by Zone'!$D$5*'POSF Zone Def'!$AP14</f>
        <v>0</v>
      </c>
      <c r="AN25" s="474">
        <f>'POSF Inventory'!BC17*'POSF Emiss by Zone'!$D$6*'POSF Zone Def'!$AP14</f>
        <v>0</v>
      </c>
      <c r="AO25" s="474">
        <f>'POSF Inventory'!BD17*'POSF Emiss by Zone'!$D$5*'POSF Zone Def'!$AP14</f>
        <v>0</v>
      </c>
      <c r="AP25" s="474">
        <f>'POSF Inventory'!BE17*'POSF Emiss by Zone'!$D$6*'POSF Zone Def'!$AP14</f>
        <v>0</v>
      </c>
      <c r="AQ25" s="474">
        <f>'POSF Inventory'!BF17*'POSF Emiss by Zone'!$D$5*'POSF Zone Def'!$AP14</f>
        <v>0</v>
      </c>
      <c r="AR25" s="524">
        <f>'POSF Inventory'!BG17*'POSF Emiss by Zone'!$D$6*'POSF Zone Def'!$AP14</f>
        <v>0</v>
      </c>
      <c r="AS25" s="474">
        <f>'POSF Inventory'!BB17*'POSF Emiss by Zone'!$D$5*'POSF Zone Def'!$AQ14</f>
        <v>0</v>
      </c>
      <c r="AT25" s="474">
        <f>'POSF Inventory'!BC17*'POSF Emiss by Zone'!$D$6*'POSF Zone Def'!$AQ14</f>
        <v>0</v>
      </c>
      <c r="AU25" s="474">
        <f>'POSF Inventory'!BD17*'POSF Emiss by Zone'!$D$5*'POSF Zone Def'!$AQ14</f>
        <v>0</v>
      </c>
      <c r="AV25" s="474">
        <f>'POSF Inventory'!BE17*'POSF Emiss by Zone'!$D$6*'POSF Zone Def'!$AQ14</f>
        <v>0</v>
      </c>
      <c r="AW25" s="474">
        <f>'POSF Inventory'!BF17*'POSF Emiss by Zone'!$D$5*'POSF Zone Def'!$AQ14</f>
        <v>0</v>
      </c>
      <c r="AX25" s="134">
        <f>'POSF Inventory'!BG17*'POSF Emiss by Zone'!$D$6*'POSF Zone Def'!$AQ14</f>
        <v>0</v>
      </c>
      <c r="AY25" s="474">
        <f>'POSF Inventory'!EA17*'POSF Emiss by Zone'!$D$5*'POSF Zone Def'!$Y14</f>
        <v>0</v>
      </c>
      <c r="AZ25" s="474">
        <f>'POSF Inventory'!EB17*'POSF Emiss by Zone'!$D$6*'POSF Zone Def'!$Y14</f>
        <v>0</v>
      </c>
      <c r="BA25" s="474">
        <f>'POSF Inventory'!EC17*'POSF Emiss by Zone'!$D$5*'POSF Zone Def'!$Y14</f>
        <v>0.41763030513750005</v>
      </c>
      <c r="BB25" s="474">
        <f>'POSF Inventory'!ED17*'POSF Emiss by Zone'!$D$6*'POSF Zone Def'!$Y14</f>
        <v>4.1861877923250006</v>
      </c>
      <c r="BC25" s="474">
        <f>'POSF Inventory'!EE17*'POSF Emiss by Zone'!$D$5*'POSF Zone Def'!$Y14</f>
        <v>0</v>
      </c>
      <c r="BD25" s="485">
        <f>'POSF Inventory'!EF17*'POSF Emiss by Zone'!$D$6*'POSF Zone Def'!$Y14</f>
        <v>0</v>
      </c>
      <c r="BE25" s="474">
        <f>'POSF Inventory'!EA17*'POSF Emiss by Zone'!$D$5*'POSF Zone Def'!$Z14</f>
        <v>0</v>
      </c>
      <c r="BF25" s="474">
        <f>'POSF Inventory'!EB17*'POSF Emiss by Zone'!$D$6*'POSF Zone Def'!$Z14</f>
        <v>0</v>
      </c>
      <c r="BG25" s="474">
        <f>'POSF Inventory'!EC17*'POSF Emiss by Zone'!$D$5*'POSF Zone Def'!$Z14</f>
        <v>4.6403367237500007E-2</v>
      </c>
      <c r="BH25" s="474">
        <f>'POSF Inventory'!ED17*'POSF Emiss by Zone'!$D$6*'POSF Zone Def'!$Z14</f>
        <v>0.46513197692500008</v>
      </c>
      <c r="BI25" s="474">
        <f>'POSF Inventory'!EE17*'POSF Emiss by Zone'!$D$5*'POSF Zone Def'!$Z14</f>
        <v>0</v>
      </c>
      <c r="BJ25" s="549">
        <f>'POSF Inventory'!EF17*'POSF Emiss by Zone'!$D$6*'POSF Zone Def'!$Z14</f>
        <v>0</v>
      </c>
      <c r="BK25" s="705">
        <f>'POSF Inventory'!$EA17*'POSF Emiss by Zone'!$D$5*'POSF Zone Def'!$AC14</f>
        <v>0</v>
      </c>
      <c r="BL25" s="705">
        <f>'POSF Inventory'!$EB17*'POSF Emiss by Zone'!$D$6*'POSF Zone Def'!$AC14</f>
        <v>0</v>
      </c>
      <c r="BM25" s="705">
        <f>'POSF Inventory'!$EC17*'POSF Emiss by Zone'!$D$5*'POSF Zone Def'!$AC14</f>
        <v>0</v>
      </c>
      <c r="BN25" s="705">
        <f>'POSF Inventory'!$ED17*'POSF Emiss by Zone'!$D$6*'POSF Zone Def'!$AC14</f>
        <v>0</v>
      </c>
      <c r="BO25" s="705">
        <f>'POSF Inventory'!$EE17*'POSF Emiss by Zone'!$D$5*'POSF Zone Def'!$AC14</f>
        <v>0</v>
      </c>
      <c r="BP25" s="708">
        <f>'POSF Inventory'!$EF17*'POSF Emiss by Zone'!$D$6*'POSF Zone Def'!$AC14</f>
        <v>0</v>
      </c>
      <c r="BQ25" s="474">
        <f>'POSF Inventory'!EG17*'POSF Emiss by Zone'!$D$5*'POSF Zone Def'!$BB14</f>
        <v>0</v>
      </c>
      <c r="BR25" s="474">
        <f>'POSF Inventory'!EH17*'POSF Emiss by Zone'!$D$6*'POSF Zone Def'!$BB14</f>
        <v>0</v>
      </c>
      <c r="BS25" s="474">
        <f>'POSF Inventory'!EI17*'POSF Emiss by Zone'!$D$5*'POSF Zone Def'!$BB14</f>
        <v>0</v>
      </c>
      <c r="BT25" s="474">
        <f>'POSF Inventory'!EJ17*'POSF Emiss by Zone'!$D$6*'POSF Zone Def'!$BB14</f>
        <v>0</v>
      </c>
      <c r="BU25" s="474">
        <f>'POSF Inventory'!EK17*'POSF Emiss by Zone'!$D$5*'POSF Zone Def'!$BB14</f>
        <v>0</v>
      </c>
      <c r="BV25" s="524">
        <f>'POSF Inventory'!EL17*'POSF Emiss by Zone'!$D$6*'POSF Zone Def'!$BB14</f>
        <v>0</v>
      </c>
      <c r="BW25" s="474">
        <f>'POSF Inventory'!EG17*'POSF Emiss by Zone'!$D$5*'POSF Zone Def'!$BC14</f>
        <v>0</v>
      </c>
      <c r="BX25" s="474">
        <f>'POSF Inventory'!EH17*'POSF Emiss by Zone'!$D$6*'POSF Zone Def'!$BC14</f>
        <v>0</v>
      </c>
      <c r="BY25" s="474">
        <f>'POSF Inventory'!EI17*'POSF Emiss by Zone'!$D$5*'POSF Zone Def'!$BC14</f>
        <v>0</v>
      </c>
      <c r="BZ25" s="474">
        <f>'POSF Inventory'!EJ17*'POSF Emiss by Zone'!$D$6*'POSF Zone Def'!$BC14</f>
        <v>0</v>
      </c>
      <c r="CA25" s="474">
        <f>'POSF Inventory'!EK17*'POSF Emiss by Zone'!$D$5*'POSF Zone Def'!$BC14</f>
        <v>0</v>
      </c>
      <c r="CB25" s="134">
        <f>'POSF Inventory'!EL17*'POSF Emiss by Zone'!$D$6*'POSF Zone Def'!$BC14</f>
        <v>0</v>
      </c>
      <c r="CC25" s="474">
        <f>'POSF Inventory'!GC17*'POSF Emiss by Zone'!$D$7*'POSF Zone Def'!$M14</f>
        <v>2.0803200000000005E-3</v>
      </c>
      <c r="CD25" s="474">
        <f>'POSF Inventory'!GD17*'POSF Emiss by Zone'!$D$9*'POSF Zone Def'!$M14</f>
        <v>2.5717956000000006E-3</v>
      </c>
      <c r="CE25" s="474">
        <f>'POSF Inventory'!GE17*'POSF Emiss by Zone'!$D$7*'POSF Zone Def'!$M14</f>
        <v>3.1204800000000001E-2</v>
      </c>
      <c r="CF25" s="474">
        <f>'POSF Inventory'!GF17*'POSF Emiss by Zone'!$D$9*'POSF Zone Def'!$M14</f>
        <v>3.8576934E-2</v>
      </c>
      <c r="CG25" s="474">
        <f>'POSF Inventory'!GG17*'POSF Emiss by Zone'!$D$7*'POSF Zone Def'!$M14</f>
        <v>0.11441760000000001</v>
      </c>
      <c r="CH25" s="485">
        <f>'POSF Inventory'!GH17*'POSF Emiss by Zone'!$D$9*'POSF Zone Def'!$M14</f>
        <v>0.56579503200000014</v>
      </c>
      <c r="CI25" s="474">
        <f>'POSF Inventory'!GC17*'POSF Emiss by Zone'!$D$7*'POSF Zone Def'!$N14</f>
        <v>2.0803200000000005E-3</v>
      </c>
      <c r="CJ25" s="474">
        <f>'POSF Inventory'!GD17*'POSF Emiss by Zone'!$D$9*'POSF Zone Def'!$N14</f>
        <v>2.5717956000000006E-3</v>
      </c>
      <c r="CK25" s="474">
        <f>'POSF Inventory'!GE17*'POSF Emiss by Zone'!$D$7*'POSF Zone Def'!$N14</f>
        <v>3.1204800000000001E-2</v>
      </c>
      <c r="CL25" s="474">
        <f>'POSF Inventory'!GF17*'POSF Emiss by Zone'!$D$9*'POSF Zone Def'!$N14</f>
        <v>3.8576934E-2</v>
      </c>
      <c r="CM25" s="474">
        <f>'POSF Inventory'!GG17*'POSF Emiss by Zone'!$D$7*'POSF Zone Def'!$N14</f>
        <v>0.11441760000000001</v>
      </c>
      <c r="CN25" s="485">
        <f>'POSF Inventory'!GH17*'POSF Emiss by Zone'!$D$9*'POSF Zone Def'!$N14</f>
        <v>0.56579503200000014</v>
      </c>
      <c r="CO25" s="474">
        <f>'POSF Inventory'!GI17*'POSF Emiss by Zone'!$D$7*'POSF Zone Def'!$AP14</f>
        <v>0</v>
      </c>
      <c r="CP25" s="474">
        <f>'POSF Inventory'!GJ17*'POSF Emiss by Zone'!$D$9*'POSF Zone Def'!$AP14</f>
        <v>0</v>
      </c>
      <c r="CQ25" s="474">
        <f>'POSF Inventory'!GK17*'POSF Emiss by Zone'!$D$7*'POSF Zone Def'!$AP14</f>
        <v>0</v>
      </c>
      <c r="CR25" s="474">
        <f>'POSF Inventory'!GL17*'POSF Emiss by Zone'!$D$9*'POSF Zone Def'!$AP14</f>
        <v>0</v>
      </c>
      <c r="CS25" s="474">
        <f>'POSF Inventory'!GM17*'POSF Emiss by Zone'!$D$7*'POSF Zone Def'!$AP14</f>
        <v>0</v>
      </c>
      <c r="CT25" s="524">
        <f>'POSF Inventory'!GN17*'POSF Emiss by Zone'!$D$9*'POSF Zone Def'!$AP14</f>
        <v>0</v>
      </c>
      <c r="CU25" s="474">
        <f>'POSF Inventory'!GI17*'POSF Emiss by Zone'!$D$7*'POSF Zone Def'!$AQ14</f>
        <v>0</v>
      </c>
      <c r="CV25" s="474">
        <f>'POSF Inventory'!GJ17*'POSF Emiss by Zone'!$D$9*'POSF Zone Def'!$AQ14</f>
        <v>0</v>
      </c>
      <c r="CW25" s="474">
        <f>'POSF Inventory'!GK17*'POSF Emiss by Zone'!$D$7*'POSF Zone Def'!$AQ14</f>
        <v>0</v>
      </c>
      <c r="CX25" s="474">
        <f>'POSF Inventory'!GL17*'POSF Emiss by Zone'!$D$9*'POSF Zone Def'!$AQ14</f>
        <v>0</v>
      </c>
      <c r="CY25" s="474">
        <f>'POSF Inventory'!GM17*'POSF Emiss by Zone'!$D$7*'POSF Zone Def'!$AQ14</f>
        <v>0</v>
      </c>
      <c r="CZ25" s="134">
        <f>'POSF Inventory'!GN17*'POSF Emiss by Zone'!$D$9*'POSF Zone Def'!$AQ14</f>
        <v>0</v>
      </c>
      <c r="DA25" s="474">
        <f>SUM('POSF Inventory'!GQ17,'POSF Inventory'!GS17)*'POSF Emiss by Zone'!$D$7*'POSF Zone Def'!$Y14</f>
        <v>0.25229861393834252</v>
      </c>
      <c r="DB25" s="474">
        <f>SUM('POSF Inventory'!GR17,'POSF Inventory'!GT17)*'POSF Emiss by Zone'!$D$9*'POSF Zone Def'!$Y14</f>
        <v>8.790459777986964</v>
      </c>
      <c r="DC25" s="474"/>
      <c r="DD25" s="474"/>
      <c r="DE25" s="474">
        <f>'POSF Inventory'!GU17*'POSF Emiss by Zone'!$D$7*'POSF Zone Def'!$Y14</f>
        <v>0</v>
      </c>
      <c r="DF25" s="485">
        <f>'POSF Inventory'!GV17*'POSF Emiss by Zone'!$D$9*'POSF Zone Def'!$Y14</f>
        <v>0</v>
      </c>
      <c r="DG25" s="474">
        <f>SUM('POSF Inventory'!GQ17,'POSF Inventory'!GS17)*'POSF Emiss by Zone'!$D$7*'POSF Zone Def'!$Z14</f>
        <v>2.8033179326482499E-2</v>
      </c>
      <c r="DH25" s="474">
        <f>SUM('POSF Inventory'!GR17,'POSF Inventory'!GT17)*'POSF Emiss by Zone'!$D$9*'POSF Zone Def'!$Z14</f>
        <v>0.97671775310966269</v>
      </c>
      <c r="DI25" s="474"/>
      <c r="DJ25" s="474"/>
      <c r="DK25" s="474">
        <f>'POSF Inventory'!GU17*'POSF Emiss by Zone'!$D$7*'POSF Zone Def'!$Z14</f>
        <v>0</v>
      </c>
      <c r="DL25" s="485">
        <f>'POSF Inventory'!GV17*'POSF Emiss by Zone'!$D$9*'POSF Zone Def'!$Z14</f>
        <v>0</v>
      </c>
      <c r="DM25" s="705">
        <f>SUM('POSF Inventory'!$GQ17,'POSF Inventory'!$GS17)*'POSF Emiss by Zone'!$D$7*'POSF Zone Def'!$AC14</f>
        <v>0</v>
      </c>
      <c r="DN25" s="705">
        <f>SUM('POSF Inventory'!$GR17,'POSF Inventory'!$GT17)*'POSF Emiss by Zone'!$D$9*'POSF Zone Def'!$AC14</f>
        <v>0</v>
      </c>
      <c r="DO25" s="705"/>
      <c r="DP25" s="705"/>
      <c r="DQ25" s="705">
        <f>'POSF Inventory'!$GU17*'POSF Emiss by Zone'!$D$7*'POSF Zone Def'!$AC14</f>
        <v>0</v>
      </c>
      <c r="DR25" s="708">
        <f>'POSF Inventory'!$GV17*'POSF Emiss by Zone'!$D$9*'POSF Zone Def'!$AC14</f>
        <v>0</v>
      </c>
      <c r="DS25" s="474">
        <f>SUM('POSF Inventory'!GW17,'POSF Inventory'!GY17)*$D$7*'POSF Zone Def'!$BB14</f>
        <v>0</v>
      </c>
      <c r="DT25" s="474">
        <f>SUM('POSF Inventory'!GX17,'POSF Inventory'!GZ17)*$D$9*'POSF Zone Def'!$BB14</f>
        <v>0</v>
      </c>
      <c r="DU25" s="474"/>
      <c r="DV25" s="474"/>
      <c r="DW25" s="474">
        <f>'POSF Inventory'!HA17*'POSF Emiss by Zone'!$D$7*'POSF Zone Def'!$BB14</f>
        <v>0</v>
      </c>
      <c r="DX25" s="524">
        <f>'POSF Inventory'!HB17*'POSF Emiss by Zone'!$D$9*'POSF Zone Def'!$BB14</f>
        <v>0</v>
      </c>
      <c r="DY25" s="474">
        <f>SUM('POSF Inventory'!GW17,'POSF Inventory'!GY17)*$D$7*'POSF Zone Def'!$BC14</f>
        <v>0</v>
      </c>
      <c r="DZ25" s="474">
        <f>SUM('POSF Inventory'!GX17,'POSF Inventory'!GZ17)*$D$9*'POSF Zone Def'!$BC14</f>
        <v>0</v>
      </c>
      <c r="EA25" s="474"/>
      <c r="EB25" s="474"/>
      <c r="EC25" s="474">
        <f>'POSF Inventory'!HA17*'POSF Emiss by Zone'!$D$7*'POSF Zone Def'!$BC14</f>
        <v>0</v>
      </c>
      <c r="ED25" s="134">
        <f>'POSF Inventory'!HB17*'POSF Emiss by Zone'!$D$9*'POSF Zone Def'!$BC14</f>
        <v>0</v>
      </c>
      <c r="EE25" s="235">
        <f>'POSF Inventory'!$CF17*'POSF Emiss by Zone'!$D$7*'POSF Zone Def'!$CE14</f>
        <v>0</v>
      </c>
      <c r="EF25" s="235">
        <f>'POSF Inventory'!$CG17*'POSF Emiss by Zone'!$D$9*'POSF Zone Def'!$CE14</f>
        <v>0</v>
      </c>
      <c r="EG25" s="235">
        <f>'POSF Inventory'!$CH17*'POSF Emiss by Zone'!$D$7*'POSF Zone Def'!$CE14</f>
        <v>0</v>
      </c>
      <c r="EH25" s="235">
        <f>'POSF Inventory'!$CI17*'POSF Emiss by Zone'!$D$9*'POSF Zone Def'!$CE14</f>
        <v>0</v>
      </c>
      <c r="EI25" s="235">
        <f>'POSF Inventory'!$CJ17*'POSF Emiss by Zone'!$D$7*'POSF Zone Def'!$CE14</f>
        <v>0</v>
      </c>
      <c r="EJ25" s="580">
        <f>'POSF Inventory'!$CK17*'POSF Emiss by Zone'!$D$9*'POSF Zone Def'!$CE14</f>
        <v>0</v>
      </c>
      <c r="EK25" s="235">
        <f>'POSF Inventory'!$CF17*'POSF Emiss by Zone'!$D$7*'POSF Zone Def'!$CF14</f>
        <v>0</v>
      </c>
      <c r="EL25" s="235">
        <f>'POSF Inventory'!$CG17*'POSF Emiss by Zone'!$D$9*'POSF Zone Def'!$CF14</f>
        <v>0</v>
      </c>
      <c r="EM25" s="235">
        <f>'POSF Inventory'!$CH17*'POSF Emiss by Zone'!$D$7*'POSF Zone Def'!$CF14</f>
        <v>0</v>
      </c>
      <c r="EN25" s="235">
        <f>'POSF Inventory'!$CI17*'POSF Emiss by Zone'!$D$9*'POSF Zone Def'!$CF14</f>
        <v>0</v>
      </c>
      <c r="EO25" s="235">
        <f>'POSF Inventory'!$CJ17*'POSF Emiss by Zone'!$D$7*'POSF Zone Def'!$CF14</f>
        <v>0</v>
      </c>
      <c r="EP25" s="580">
        <f>'POSF Inventory'!$CK17*'POSF Emiss by Zone'!$D$9*'POSF Zone Def'!$CF14</f>
        <v>0</v>
      </c>
      <c r="EQ25" s="235">
        <f>'POSF Inventory'!$CF17*'POSF Emiss by Zone'!$D$7*'POSF Zone Def'!$CG14</f>
        <v>0</v>
      </c>
      <c r="ER25" s="235">
        <f>'POSF Inventory'!$CG17*'POSF Emiss by Zone'!$D$9*'POSF Zone Def'!$CG14</f>
        <v>0</v>
      </c>
      <c r="ES25" s="235">
        <f>'POSF Inventory'!$CH17*'POSF Emiss by Zone'!$D$7*'POSF Zone Def'!$CG14</f>
        <v>0</v>
      </c>
      <c r="ET25" s="235">
        <f>'POSF Inventory'!$CI17*'POSF Emiss by Zone'!$D$9*'POSF Zone Def'!$CG14</f>
        <v>0</v>
      </c>
      <c r="EU25" s="235">
        <f>'POSF Inventory'!$CJ17*'POSF Emiss by Zone'!$D$7*'POSF Zone Def'!$CG14</f>
        <v>0</v>
      </c>
      <c r="EV25" s="580">
        <f>'POSF Inventory'!$CK17*'POSF Emiss by Zone'!$D$9*'POSF Zone Def'!$CG14</f>
        <v>0</v>
      </c>
      <c r="EW25" s="235">
        <f>'POSF Inventory'!$CF17*'POSF Emiss by Zone'!$D$7*'POSF Zone Def'!$CH14</f>
        <v>0</v>
      </c>
      <c r="EX25" s="235">
        <f>'POSF Inventory'!$CG17*'POSF Emiss by Zone'!$D$9*'POSF Zone Def'!$CH14</f>
        <v>0</v>
      </c>
      <c r="EY25" s="235">
        <f>'POSF Inventory'!$CH17*'POSF Emiss by Zone'!$D$7*'POSF Zone Def'!$CH14</f>
        <v>0</v>
      </c>
      <c r="EZ25" s="235">
        <f>'POSF Inventory'!$CI17*'POSF Emiss by Zone'!$D$9*'POSF Zone Def'!$CH14</f>
        <v>0</v>
      </c>
      <c r="FA25" s="235">
        <f>'POSF Inventory'!$CJ17*'POSF Emiss by Zone'!$D$7*'POSF Zone Def'!$CH14</f>
        <v>0</v>
      </c>
      <c r="FB25" s="580">
        <f>'POSF Inventory'!$CK17*'POSF Emiss by Zone'!$D$9*'POSF Zone Def'!$CH14</f>
        <v>0</v>
      </c>
      <c r="FC25" s="235">
        <f>'POSF Inventory'!$CF17*'POSF Emiss by Zone'!$D$7*'POSF Zone Def'!$CI14</f>
        <v>0</v>
      </c>
      <c r="FD25" s="235">
        <f>'POSF Inventory'!$CG17*'POSF Emiss by Zone'!$D$9*'POSF Zone Def'!$CI14</f>
        <v>0</v>
      </c>
      <c r="FE25" s="235">
        <f>'POSF Inventory'!$CH17*'POSF Emiss by Zone'!$D$7*'POSF Zone Def'!$CI14</f>
        <v>0</v>
      </c>
      <c r="FF25" s="235">
        <f>'POSF Inventory'!$CI17*'POSF Emiss by Zone'!$D$9*'POSF Zone Def'!$CI14</f>
        <v>0</v>
      </c>
      <c r="FG25" s="235">
        <f>'POSF Inventory'!$CJ17*'POSF Emiss by Zone'!$D$7*'POSF Zone Def'!$CI14</f>
        <v>0</v>
      </c>
      <c r="FH25" s="577">
        <f>'POSF Inventory'!$CK17*'POSF Emiss by Zone'!$D$9*'POSF Zone Def'!$CI14</f>
        <v>0</v>
      </c>
      <c r="FI25" s="595"/>
      <c r="FJ25" s="595"/>
      <c r="FM25" s="592">
        <v>8</v>
      </c>
      <c r="FN25" s="592">
        <f t="shared" si="0"/>
        <v>1962</v>
      </c>
      <c r="FO25" s="587">
        <v>5</v>
      </c>
      <c r="FP25" s="477">
        <f t="shared" si="20"/>
        <v>0.44496094499999994</v>
      </c>
      <c r="FQ25" s="474">
        <f t="shared" si="21"/>
        <v>0.44601410699999994</v>
      </c>
      <c r="FR25" s="474">
        <f t="shared" si="22"/>
        <v>0</v>
      </c>
      <c r="FS25" s="474">
        <f t="shared" si="23"/>
        <v>0</v>
      </c>
      <c r="FT25" s="474">
        <f t="shared" si="24"/>
        <v>0.32960070000000002</v>
      </c>
      <c r="FU25" s="485">
        <f t="shared" si="25"/>
        <v>0.33038082000000002</v>
      </c>
      <c r="FV25" s="474">
        <f t="shared" si="26"/>
        <v>0.44496094499999994</v>
      </c>
      <c r="FW25" s="474">
        <f t="shared" si="27"/>
        <v>0.44601410699999994</v>
      </c>
      <c r="FX25" s="474">
        <f t="shared" si="28"/>
        <v>0</v>
      </c>
      <c r="FY25" s="474">
        <f t="shared" si="29"/>
        <v>0</v>
      </c>
      <c r="FZ25" s="474">
        <f t="shared" si="30"/>
        <v>0.32960070000000002</v>
      </c>
      <c r="GA25" s="134">
        <f t="shared" si="31"/>
        <v>0.33038082000000002</v>
      </c>
      <c r="GB25" s="474">
        <f t="shared" si="32"/>
        <v>0</v>
      </c>
      <c r="GC25" s="474">
        <f t="shared" si="33"/>
        <v>0</v>
      </c>
      <c r="GD25" s="474">
        <f t="shared" si="34"/>
        <v>0.71142523420069725</v>
      </c>
      <c r="GE25" s="474">
        <f t="shared" si="35"/>
        <v>4.465667858889443</v>
      </c>
      <c r="GF25" s="474">
        <f t="shared" si="36"/>
        <v>0.54714591633466125</v>
      </c>
      <c r="GG25" s="524">
        <f t="shared" si="37"/>
        <v>0.54844093625498014</v>
      </c>
      <c r="GH25" s="474">
        <f t="shared" si="38"/>
        <v>0</v>
      </c>
      <c r="GI25" s="474">
        <f t="shared" si="39"/>
        <v>0</v>
      </c>
      <c r="GJ25" s="474">
        <f t="shared" si="40"/>
        <v>0.34167728808515935</v>
      </c>
      <c r="GK25" s="474">
        <f t="shared" si="41"/>
        <v>0.75943696705677299</v>
      </c>
      <c r="GL25" s="474">
        <f t="shared" si="42"/>
        <v>0.54714591633466125</v>
      </c>
      <c r="GM25" s="705">
        <f t="shared" si="43"/>
        <v>0.54844093625498014</v>
      </c>
      <c r="GN25" s="705">
        <f t="shared" si="44"/>
        <v>0</v>
      </c>
      <c r="GO25" s="705">
        <f t="shared" si="45"/>
        <v>0</v>
      </c>
      <c r="GP25" s="705">
        <f t="shared" si="46"/>
        <v>0</v>
      </c>
      <c r="GQ25" s="705">
        <f t="shared" si="47"/>
        <v>0</v>
      </c>
      <c r="GR25" s="705">
        <f t="shared" si="48"/>
        <v>0</v>
      </c>
      <c r="GS25" s="705">
        <f t="shared" si="49"/>
        <v>0</v>
      </c>
      <c r="GT25" s="551">
        <f t="shared" si="50"/>
        <v>5.2700018186429528E-3</v>
      </c>
      <c r="GU25" s="548">
        <f t="shared" si="51"/>
        <v>0.18216639116594507</v>
      </c>
      <c r="GV25" s="548">
        <f t="shared" si="52"/>
        <v>6.4647394422310764E-4</v>
      </c>
      <c r="GW25" s="548">
        <f t="shared" si="53"/>
        <v>7.9920341354581669E-4</v>
      </c>
      <c r="GX25" s="548">
        <f t="shared" si="54"/>
        <v>2.3704044621513944E-3</v>
      </c>
      <c r="GY25" s="524">
        <f t="shared" si="55"/>
        <v>1.1721650065338648E-2</v>
      </c>
      <c r="GZ25" s="548">
        <f t="shared" si="56"/>
        <v>6.2386532469206775E-4</v>
      </c>
      <c r="HA25" s="548">
        <f t="shared" si="57"/>
        <v>2.0288070331833649E-2</v>
      </c>
      <c r="HB25" s="548">
        <f t="shared" si="58"/>
        <v>6.4647394422310764E-4</v>
      </c>
      <c r="HC25" s="548">
        <f t="shared" si="59"/>
        <v>7.9920341354581669E-4</v>
      </c>
      <c r="HD25" s="548">
        <f t="shared" si="60"/>
        <v>2.3704044621513944E-3</v>
      </c>
      <c r="HE25" s="549">
        <f t="shared" si="61"/>
        <v>1.1721650065338648E-2</v>
      </c>
      <c r="HF25" s="235">
        <f t="shared" si="62"/>
        <v>0</v>
      </c>
      <c r="HG25" s="235">
        <f t="shared" si="63"/>
        <v>0</v>
      </c>
      <c r="HH25" s="235">
        <f t="shared" si="64"/>
        <v>0</v>
      </c>
      <c r="HI25" s="235">
        <f t="shared" si="65"/>
        <v>0</v>
      </c>
      <c r="HJ25" s="235">
        <f t="shared" si="66"/>
        <v>0</v>
      </c>
      <c r="HK25" s="580">
        <f t="shared" si="67"/>
        <v>0</v>
      </c>
      <c r="HL25" s="235">
        <f t="shared" si="68"/>
        <v>0</v>
      </c>
      <c r="HM25" s="235">
        <f t="shared" si="69"/>
        <v>0</v>
      </c>
      <c r="HN25" s="235">
        <f t="shared" si="70"/>
        <v>0</v>
      </c>
      <c r="HO25" s="235">
        <f t="shared" si="71"/>
        <v>0</v>
      </c>
      <c r="HP25" s="235">
        <f t="shared" si="72"/>
        <v>0</v>
      </c>
      <c r="HQ25" s="580">
        <f t="shared" si="73"/>
        <v>0</v>
      </c>
      <c r="HR25" s="235">
        <f t="shared" si="74"/>
        <v>0</v>
      </c>
      <c r="HS25" s="235">
        <f t="shared" si="75"/>
        <v>0</v>
      </c>
      <c r="HT25" s="235">
        <f t="shared" si="76"/>
        <v>0</v>
      </c>
      <c r="HU25" s="235">
        <f t="shared" si="77"/>
        <v>0</v>
      </c>
      <c r="HV25" s="235">
        <f t="shared" si="78"/>
        <v>0</v>
      </c>
      <c r="HW25" s="577">
        <f t="shared" si="79"/>
        <v>0</v>
      </c>
      <c r="HX25" s="235">
        <f t="shared" si="80"/>
        <v>0.2800803274231089</v>
      </c>
      <c r="HY25" s="235">
        <f t="shared" si="81"/>
        <v>9.6814430505039564</v>
      </c>
      <c r="HZ25" s="235">
        <f t="shared" si="82"/>
        <v>3.435760369721115E-2</v>
      </c>
      <c r="IA25" s="235">
        <f t="shared" si="83"/>
        <v>4.2474587570677284E-2</v>
      </c>
      <c r="IB25" s="235">
        <f t="shared" si="84"/>
        <v>0.12597788022310755</v>
      </c>
      <c r="IC25" s="235">
        <f t="shared" si="85"/>
        <v>0.62296061770326705</v>
      </c>
      <c r="ID25" s="235">
        <f t="shared" si="86"/>
        <v>3.3156042525365352E-2</v>
      </c>
      <c r="IE25" s="235">
        <f t="shared" si="87"/>
        <v>1.0782329070972205</v>
      </c>
      <c r="IF25" s="235">
        <f t="shared" si="88"/>
        <v>3.435760369721115E-2</v>
      </c>
      <c r="IG25" s="235">
        <f t="shared" si="89"/>
        <v>4.2474587570677284E-2</v>
      </c>
      <c r="IH25" s="235">
        <f t="shared" si="90"/>
        <v>0.12597788022310755</v>
      </c>
      <c r="II25" s="235">
        <f t="shared" si="91"/>
        <v>0.62296061770326705</v>
      </c>
      <c r="IJ25" s="235">
        <f t="shared" si="92"/>
        <v>0</v>
      </c>
      <c r="IK25" s="235">
        <f t="shared" si="93"/>
        <v>0</v>
      </c>
      <c r="IL25" s="235">
        <f t="shared" si="94"/>
        <v>0</v>
      </c>
      <c r="IM25" s="235">
        <f t="shared" si="95"/>
        <v>0</v>
      </c>
      <c r="IN25" s="235">
        <f t="shared" si="96"/>
        <v>0</v>
      </c>
      <c r="IO25" s="235">
        <f t="shared" si="97"/>
        <v>0</v>
      </c>
    </row>
    <row r="26" spans="1:249" ht="18" x14ac:dyDescent="0.25">
      <c r="A26" s="18">
        <v>1963</v>
      </c>
      <c r="B26" s="564"/>
      <c r="C26" s="477">
        <f>'POSF Inventory'!AD18*$D$5*'POSF Zone Def'!$M15</f>
        <v>0.53597568375000004</v>
      </c>
      <c r="D26" s="474">
        <f>'POSF Inventory'!AE18*$D$6*'POSF Zone Def'!$M15</f>
        <v>0.53724426525000002</v>
      </c>
      <c r="E26" s="474">
        <f>'POSF Inventory'!AF18*$D$5*'POSF Zone Def'!$M15</f>
        <v>0</v>
      </c>
      <c r="F26" s="474">
        <f>'POSF Inventory'!AG18*$D$6*'POSF Zone Def'!$M15</f>
        <v>0</v>
      </c>
      <c r="G26" s="474">
        <f>'POSF Inventory'!AH18*$D$5*'POSF Zone Def'!$M15</f>
        <v>0.39701902500000003</v>
      </c>
      <c r="H26" s="485">
        <f>'POSF Inventory'!AI18*$D$6*'POSF Zone Def'!$M15</f>
        <v>0.39795871500000002</v>
      </c>
      <c r="I26" s="474">
        <f>'POSF Inventory'!AD18*$D$5*'POSF Zone Def'!$N15</f>
        <v>0.53597568375000004</v>
      </c>
      <c r="J26" s="474">
        <f>'POSF Inventory'!AE18*$D$6*'POSF Zone Def'!$N15</f>
        <v>0.53724426525000002</v>
      </c>
      <c r="K26" s="474">
        <f>'POSF Inventory'!AF18*$D$5*'POSF Zone Def'!$N15</f>
        <v>0</v>
      </c>
      <c r="L26" s="474">
        <f>'POSF Inventory'!AG18*$D$6*'POSF Zone Def'!$N15</f>
        <v>0</v>
      </c>
      <c r="M26" s="474">
        <f>'POSF Inventory'!AH18*$D$5*'POSF Zone Def'!$N15</f>
        <v>0.39701902500000003</v>
      </c>
      <c r="N26" s="485">
        <f>'POSF Inventory'!AI18*$D$6*'POSF Zone Def'!$N15</f>
        <v>0.39795871500000002</v>
      </c>
      <c r="O26" s="474">
        <f>'POSF Inventory'!AJ18*$D$5*'POSF Zone Def'!$AP15</f>
        <v>0</v>
      </c>
      <c r="P26" s="474">
        <f>'POSF Inventory'!AK18*$D$6*'POSF Zone Def'!$AP15</f>
        <v>0</v>
      </c>
      <c r="Q26" s="474">
        <f>'POSF Inventory'!AL18*$D$5*'POSF Zone Def'!$AP15</f>
        <v>0</v>
      </c>
      <c r="R26" s="474">
        <f>'POSF Inventory'!AM18*$D$6*'POSF Zone Def'!$AP15</f>
        <v>0</v>
      </c>
      <c r="S26" s="474">
        <f>'POSF Inventory'!AN18*$D$5*'POSF Zone Def'!$AP15</f>
        <v>0</v>
      </c>
      <c r="T26" s="524">
        <f>'POSF Inventory'!AO18*$D$6*'POSF Zone Def'!$AP15</f>
        <v>0</v>
      </c>
      <c r="U26" s="474">
        <f>'POSF Inventory'!AJ18*$D$5*'POSF Zone Def'!$AQ15</f>
        <v>0</v>
      </c>
      <c r="V26" s="474">
        <f>'POSF Inventory'!AK18*$D$6*'POSF Zone Def'!$AQ15</f>
        <v>0</v>
      </c>
      <c r="W26" s="474">
        <f>'POSF Inventory'!AL18*$D$5*'POSF Zone Def'!$AQ15</f>
        <v>0</v>
      </c>
      <c r="X26" s="474">
        <f>'POSF Inventory'!AM18*$D$6*'POSF Zone Def'!$AQ15</f>
        <v>0</v>
      </c>
      <c r="Y26" s="474">
        <f>'POSF Inventory'!AN18*$D$5*'POSF Zone Def'!$AQ15</f>
        <v>0</v>
      </c>
      <c r="Z26" s="474">
        <f>'POSF Inventory'!AO18*$D$6*'POSF Zone Def'!$AQ15</f>
        <v>0</v>
      </c>
      <c r="AA26" s="477">
        <f>'POSF Inventory'!AV18*'POSF Emiss by Zone'!$D$5*'POSF Zone Def'!$M15</f>
        <v>0</v>
      </c>
      <c r="AB26" s="474">
        <f>'POSF Inventory'!AW18*'POSF Emiss by Zone'!$D$6*'POSF Zone Def'!$M15</f>
        <v>0</v>
      </c>
      <c r="AC26" s="474">
        <f>'POSF Inventory'!AX18*'POSF Emiss by Zone'!$D$5*'POSF Zone Def'!$M15</f>
        <v>0.35731712250000003</v>
      </c>
      <c r="AD26" s="474">
        <f>'POSF Inventory'!AY18*'POSF Emiss by Zone'!$D$6*'POSF Zone Def'!$M15</f>
        <v>0.35816284349999999</v>
      </c>
      <c r="AE26" s="474">
        <f>'POSF Inventory'!AZ18*'POSF Emiss by Zone'!$D$5*'POSF Zone Def'!$M15</f>
        <v>0.66169837500000006</v>
      </c>
      <c r="AF26" s="485">
        <f>'POSF Inventory'!BA18*'POSF Emiss by Zone'!$D$6*'POSF Zone Def'!$M15</f>
        <v>0.66326452499999999</v>
      </c>
      <c r="AG26" s="474">
        <f>'POSF Inventory'!AV18*'POSF Emiss by Zone'!$D$5*'POSF Zone Def'!$N15</f>
        <v>0</v>
      </c>
      <c r="AH26" s="474">
        <f>'POSF Inventory'!AW18*'POSF Emiss by Zone'!$D$6*'POSF Zone Def'!$N15</f>
        <v>0</v>
      </c>
      <c r="AI26" s="474">
        <f>'POSF Inventory'!AX18*'POSF Emiss by Zone'!$D$5*'POSF Zone Def'!$N15</f>
        <v>0.35731712250000003</v>
      </c>
      <c r="AJ26" s="474">
        <f>'POSF Inventory'!AY18*'POSF Emiss by Zone'!$D$6*'POSF Zone Def'!$N15</f>
        <v>0.35816284349999999</v>
      </c>
      <c r="AK26" s="474">
        <f>'POSF Inventory'!AZ18*'POSF Emiss by Zone'!$D$5*'POSF Zone Def'!$N15</f>
        <v>0.66169837500000006</v>
      </c>
      <c r="AL26" s="549">
        <f>'POSF Inventory'!BA18*'POSF Emiss by Zone'!$D$6*'POSF Zone Def'!$N15</f>
        <v>0.66326452499999999</v>
      </c>
      <c r="AM26" s="474">
        <f>'POSF Inventory'!BB18*'POSF Emiss by Zone'!$D$5*'POSF Zone Def'!$AP15</f>
        <v>0</v>
      </c>
      <c r="AN26" s="474">
        <f>'POSF Inventory'!BC18*'POSF Emiss by Zone'!$D$6*'POSF Zone Def'!$AP15</f>
        <v>0</v>
      </c>
      <c r="AO26" s="474">
        <f>'POSF Inventory'!BD18*'POSF Emiss by Zone'!$D$5*'POSF Zone Def'!$AP15</f>
        <v>0</v>
      </c>
      <c r="AP26" s="474">
        <f>'POSF Inventory'!BE18*'POSF Emiss by Zone'!$D$6*'POSF Zone Def'!$AP15</f>
        <v>0</v>
      </c>
      <c r="AQ26" s="474">
        <f>'POSF Inventory'!BF18*'POSF Emiss by Zone'!$D$5*'POSF Zone Def'!$AP15</f>
        <v>0</v>
      </c>
      <c r="AR26" s="524">
        <f>'POSF Inventory'!BG18*'POSF Emiss by Zone'!$D$6*'POSF Zone Def'!$AP15</f>
        <v>0</v>
      </c>
      <c r="AS26" s="474">
        <f>'POSF Inventory'!BB18*'POSF Emiss by Zone'!$D$5*'POSF Zone Def'!$AQ15</f>
        <v>0</v>
      </c>
      <c r="AT26" s="474">
        <f>'POSF Inventory'!BC18*'POSF Emiss by Zone'!$D$6*'POSF Zone Def'!$AQ15</f>
        <v>0</v>
      </c>
      <c r="AU26" s="474">
        <f>'POSF Inventory'!BD18*'POSF Emiss by Zone'!$D$5*'POSF Zone Def'!$AQ15</f>
        <v>0</v>
      </c>
      <c r="AV26" s="474">
        <f>'POSF Inventory'!BE18*'POSF Emiss by Zone'!$D$6*'POSF Zone Def'!$AQ15</f>
        <v>0</v>
      </c>
      <c r="AW26" s="474">
        <f>'POSF Inventory'!BF18*'POSF Emiss by Zone'!$D$5*'POSF Zone Def'!$AQ15</f>
        <v>0</v>
      </c>
      <c r="AX26" s="134">
        <f>'POSF Inventory'!BG18*'POSF Emiss by Zone'!$D$6*'POSF Zone Def'!$AQ15</f>
        <v>0</v>
      </c>
      <c r="AY26" s="474">
        <f>'POSF Inventory'!EA18*'POSF Emiss by Zone'!$D$5*'POSF Zone Def'!$Y15</f>
        <v>0</v>
      </c>
      <c r="AZ26" s="474">
        <f>'POSF Inventory'!EB18*'POSF Emiss by Zone'!$D$6*'POSF Zone Def'!$Y15</f>
        <v>0</v>
      </c>
      <c r="BA26" s="474">
        <f>'POSF Inventory'!EC18*'POSF Emiss by Zone'!$D$5*'POSF Zone Def'!$Y15</f>
        <v>0.51063201174375017</v>
      </c>
      <c r="BB26" s="474">
        <f>'POSF Inventory'!ED18*'POSF Emiss by Zone'!$D$6*'POSF Zone Def'!$Y15</f>
        <v>5.1184060822125002</v>
      </c>
      <c r="BC26" s="474">
        <f>'POSF Inventory'!EE18*'POSF Emiss by Zone'!$D$5*'POSF Zone Def'!$Y15</f>
        <v>0</v>
      </c>
      <c r="BD26" s="485">
        <f>'POSF Inventory'!EF18*'POSF Emiss by Zone'!$D$6*'POSF Zone Def'!$Y15</f>
        <v>0</v>
      </c>
      <c r="BE26" s="474">
        <f>'POSF Inventory'!EA18*'POSF Emiss by Zone'!$D$5*'POSF Zone Def'!$Z15</f>
        <v>0</v>
      </c>
      <c r="BF26" s="474">
        <f>'POSF Inventory'!EB18*'POSF Emiss by Zone'!$D$6*'POSF Zone Def'!$Z15</f>
        <v>0</v>
      </c>
      <c r="BG26" s="474">
        <f>'POSF Inventory'!EC18*'POSF Emiss by Zone'!$D$5*'POSF Zone Def'!$Z15</f>
        <v>5.6736890193750014E-2</v>
      </c>
      <c r="BH26" s="474">
        <f>'POSF Inventory'!ED18*'POSF Emiss by Zone'!$D$6*'POSF Zone Def'!$Z15</f>
        <v>0.56871178691250002</v>
      </c>
      <c r="BI26" s="474">
        <f>'POSF Inventory'!EE18*'POSF Emiss by Zone'!$D$5*'POSF Zone Def'!$Z15</f>
        <v>0</v>
      </c>
      <c r="BJ26" s="549">
        <f>'POSF Inventory'!EF18*'POSF Emiss by Zone'!$D$6*'POSF Zone Def'!$Z15</f>
        <v>0</v>
      </c>
      <c r="BK26" s="705">
        <f>'POSF Inventory'!$EA18*'POSF Emiss by Zone'!$D$5*'POSF Zone Def'!$AC15</f>
        <v>0</v>
      </c>
      <c r="BL26" s="705">
        <f>'POSF Inventory'!$EB18*'POSF Emiss by Zone'!$D$6*'POSF Zone Def'!$AC15</f>
        <v>0</v>
      </c>
      <c r="BM26" s="705">
        <f>'POSF Inventory'!$EC18*'POSF Emiss by Zone'!$D$5*'POSF Zone Def'!$AC15</f>
        <v>0</v>
      </c>
      <c r="BN26" s="705">
        <f>'POSF Inventory'!$ED18*'POSF Emiss by Zone'!$D$6*'POSF Zone Def'!$AC15</f>
        <v>0</v>
      </c>
      <c r="BO26" s="705">
        <f>'POSF Inventory'!$EE18*'POSF Emiss by Zone'!$D$5*'POSF Zone Def'!$AC15</f>
        <v>0</v>
      </c>
      <c r="BP26" s="708">
        <f>'POSF Inventory'!$EF18*'POSF Emiss by Zone'!$D$6*'POSF Zone Def'!$AC15</f>
        <v>0</v>
      </c>
      <c r="BQ26" s="474">
        <f>'POSF Inventory'!EG18*'POSF Emiss by Zone'!$D$5*'POSF Zone Def'!$BB15</f>
        <v>0</v>
      </c>
      <c r="BR26" s="474">
        <f>'POSF Inventory'!EH18*'POSF Emiss by Zone'!$D$6*'POSF Zone Def'!$BB15</f>
        <v>0</v>
      </c>
      <c r="BS26" s="474">
        <f>'POSF Inventory'!EI18*'POSF Emiss by Zone'!$D$5*'POSF Zone Def'!$BB15</f>
        <v>0</v>
      </c>
      <c r="BT26" s="474">
        <f>'POSF Inventory'!EJ18*'POSF Emiss by Zone'!$D$6*'POSF Zone Def'!$BB15</f>
        <v>0</v>
      </c>
      <c r="BU26" s="474">
        <f>'POSF Inventory'!EK18*'POSF Emiss by Zone'!$D$5*'POSF Zone Def'!$BB15</f>
        <v>0</v>
      </c>
      <c r="BV26" s="524">
        <f>'POSF Inventory'!EL18*'POSF Emiss by Zone'!$D$6*'POSF Zone Def'!$BB15</f>
        <v>0</v>
      </c>
      <c r="BW26" s="474">
        <f>'POSF Inventory'!EG18*'POSF Emiss by Zone'!$D$5*'POSF Zone Def'!$BC15</f>
        <v>0</v>
      </c>
      <c r="BX26" s="474">
        <f>'POSF Inventory'!EH18*'POSF Emiss by Zone'!$D$6*'POSF Zone Def'!$BC15</f>
        <v>0</v>
      </c>
      <c r="BY26" s="474">
        <f>'POSF Inventory'!EI18*'POSF Emiss by Zone'!$D$5*'POSF Zone Def'!$BC15</f>
        <v>0</v>
      </c>
      <c r="BZ26" s="474">
        <f>'POSF Inventory'!EJ18*'POSF Emiss by Zone'!$D$6*'POSF Zone Def'!$BC15</f>
        <v>0</v>
      </c>
      <c r="CA26" s="474">
        <f>'POSF Inventory'!EK18*'POSF Emiss by Zone'!$D$5*'POSF Zone Def'!$BC15</f>
        <v>0</v>
      </c>
      <c r="CB26" s="134">
        <f>'POSF Inventory'!EL18*'POSF Emiss by Zone'!$D$6*'POSF Zone Def'!$BC15</f>
        <v>0</v>
      </c>
      <c r="CC26" s="474">
        <f>'POSF Inventory'!GC18*'POSF Emiss by Zone'!$D$7*'POSF Zone Def'!$M15</f>
        <v>2.5058400000000005E-3</v>
      </c>
      <c r="CD26" s="474">
        <f>'POSF Inventory'!GD18*'POSF Emiss by Zone'!$D$9*'POSF Zone Def'!$M15</f>
        <v>3.0978447000000009E-3</v>
      </c>
      <c r="CE26" s="474">
        <f>'POSF Inventory'!GE18*'POSF Emiss by Zone'!$D$7*'POSF Zone Def'!$M15</f>
        <v>3.7587599999999999E-2</v>
      </c>
      <c r="CF26" s="474">
        <f>'POSF Inventory'!GF18*'POSF Emiss by Zone'!$D$9*'POSF Zone Def'!$M15</f>
        <v>4.6467670500000002E-2</v>
      </c>
      <c r="CG26" s="474">
        <f>'POSF Inventory'!GG18*'POSF Emiss by Zone'!$D$7*'POSF Zone Def'!$M15</f>
        <v>0.13782120000000003</v>
      </c>
      <c r="CH26" s="485">
        <f>'POSF Inventory'!GH18*'POSF Emiss by Zone'!$D$9*'POSF Zone Def'!$M15</f>
        <v>0.68152583400000022</v>
      </c>
      <c r="CI26" s="474">
        <f>'POSF Inventory'!GC18*'POSF Emiss by Zone'!$D$7*'POSF Zone Def'!$N15</f>
        <v>2.5058400000000005E-3</v>
      </c>
      <c r="CJ26" s="474">
        <f>'POSF Inventory'!GD18*'POSF Emiss by Zone'!$D$9*'POSF Zone Def'!$N15</f>
        <v>3.0978447000000009E-3</v>
      </c>
      <c r="CK26" s="474">
        <f>'POSF Inventory'!GE18*'POSF Emiss by Zone'!$D$7*'POSF Zone Def'!$N15</f>
        <v>3.7587599999999999E-2</v>
      </c>
      <c r="CL26" s="474">
        <f>'POSF Inventory'!GF18*'POSF Emiss by Zone'!$D$9*'POSF Zone Def'!$N15</f>
        <v>4.6467670500000002E-2</v>
      </c>
      <c r="CM26" s="474">
        <f>'POSF Inventory'!GG18*'POSF Emiss by Zone'!$D$7*'POSF Zone Def'!$N15</f>
        <v>0.13782120000000003</v>
      </c>
      <c r="CN26" s="485">
        <f>'POSF Inventory'!GH18*'POSF Emiss by Zone'!$D$9*'POSF Zone Def'!$N15</f>
        <v>0.68152583400000022</v>
      </c>
      <c r="CO26" s="474">
        <f>'POSF Inventory'!GI18*'POSF Emiss by Zone'!$D$7*'POSF Zone Def'!$AP15</f>
        <v>0</v>
      </c>
      <c r="CP26" s="474">
        <f>'POSF Inventory'!GJ18*'POSF Emiss by Zone'!$D$9*'POSF Zone Def'!$AP15</f>
        <v>0</v>
      </c>
      <c r="CQ26" s="474">
        <f>'POSF Inventory'!GK18*'POSF Emiss by Zone'!$D$7*'POSF Zone Def'!$AP15</f>
        <v>0</v>
      </c>
      <c r="CR26" s="474">
        <f>'POSF Inventory'!GL18*'POSF Emiss by Zone'!$D$9*'POSF Zone Def'!$AP15</f>
        <v>0</v>
      </c>
      <c r="CS26" s="474">
        <f>'POSF Inventory'!GM18*'POSF Emiss by Zone'!$D$7*'POSF Zone Def'!$AP15</f>
        <v>0</v>
      </c>
      <c r="CT26" s="524">
        <f>'POSF Inventory'!GN18*'POSF Emiss by Zone'!$D$9*'POSF Zone Def'!$AP15</f>
        <v>0</v>
      </c>
      <c r="CU26" s="474">
        <f>'POSF Inventory'!GI18*'POSF Emiss by Zone'!$D$7*'POSF Zone Def'!$AQ15</f>
        <v>0</v>
      </c>
      <c r="CV26" s="474">
        <f>'POSF Inventory'!GJ18*'POSF Emiss by Zone'!$D$9*'POSF Zone Def'!$AQ15</f>
        <v>0</v>
      </c>
      <c r="CW26" s="474">
        <f>'POSF Inventory'!GK18*'POSF Emiss by Zone'!$D$7*'POSF Zone Def'!$AQ15</f>
        <v>0</v>
      </c>
      <c r="CX26" s="474">
        <f>'POSF Inventory'!GL18*'POSF Emiss by Zone'!$D$9*'POSF Zone Def'!$AQ15</f>
        <v>0</v>
      </c>
      <c r="CY26" s="474">
        <f>'POSF Inventory'!GM18*'POSF Emiss by Zone'!$D$7*'POSF Zone Def'!$AQ15</f>
        <v>0</v>
      </c>
      <c r="CZ26" s="134">
        <f>'POSF Inventory'!GN18*'POSF Emiss by Zone'!$D$9*'POSF Zone Def'!$AQ15</f>
        <v>0</v>
      </c>
      <c r="DA26" s="474">
        <f>SUM('POSF Inventory'!GQ18,'POSF Inventory'!GS18)*'POSF Emiss by Zone'!$D$7*'POSF Zone Def'!$Y15</f>
        <v>0.30872863761008629</v>
      </c>
      <c r="DB26" s="474">
        <f>SUM('POSF Inventory'!GR18,'POSF Inventory'!GT18)*'POSF Emiss by Zone'!$D$9*'POSF Zone Def'!$Y15</f>
        <v>10.89998281966129</v>
      </c>
      <c r="DC26" s="474"/>
      <c r="DD26" s="474"/>
      <c r="DE26" s="474">
        <f>'POSF Inventory'!GU18*'POSF Emiss by Zone'!$D$7*'POSF Zone Def'!$Y15</f>
        <v>0</v>
      </c>
      <c r="DF26" s="485">
        <f>'POSF Inventory'!GV18*'POSF Emiss by Zone'!$D$9*'POSF Zone Def'!$Y15</f>
        <v>0</v>
      </c>
      <c r="DG26" s="474">
        <f>SUM('POSF Inventory'!GQ18,'POSF Inventory'!GS18)*'POSF Emiss by Zone'!$D$7*'POSF Zone Def'!$Z15</f>
        <v>3.4303181956676254E-2</v>
      </c>
      <c r="DH26" s="474">
        <f>SUM('POSF Inventory'!GR18,'POSF Inventory'!GT18)*'POSF Emiss by Zone'!$D$9*'POSF Zone Def'!$Z15</f>
        <v>1.2111092021845877</v>
      </c>
      <c r="DI26" s="474"/>
      <c r="DJ26" s="474"/>
      <c r="DK26" s="474">
        <f>'POSF Inventory'!GU18*'POSF Emiss by Zone'!$D$7*'POSF Zone Def'!$Z15</f>
        <v>0</v>
      </c>
      <c r="DL26" s="485">
        <f>'POSF Inventory'!GV18*'POSF Emiss by Zone'!$D$9*'POSF Zone Def'!$Z15</f>
        <v>0</v>
      </c>
      <c r="DM26" s="705">
        <f>SUM('POSF Inventory'!$GQ18,'POSF Inventory'!$GS18)*'POSF Emiss by Zone'!$D$7*'POSF Zone Def'!$AC15</f>
        <v>0</v>
      </c>
      <c r="DN26" s="705">
        <f>SUM('POSF Inventory'!$GR18,'POSF Inventory'!$GT18)*'POSF Emiss by Zone'!$D$9*'POSF Zone Def'!$AC15</f>
        <v>0</v>
      </c>
      <c r="DO26" s="705"/>
      <c r="DP26" s="705"/>
      <c r="DQ26" s="705">
        <f>'POSF Inventory'!$GU18*'POSF Emiss by Zone'!$D$7*'POSF Zone Def'!$AC15</f>
        <v>0</v>
      </c>
      <c r="DR26" s="708">
        <f>'POSF Inventory'!$GV18*'POSF Emiss by Zone'!$D$9*'POSF Zone Def'!$AC15</f>
        <v>0</v>
      </c>
      <c r="DS26" s="474">
        <f>SUM('POSF Inventory'!GW18,'POSF Inventory'!GY18)*$D$7*'POSF Zone Def'!$BB15</f>
        <v>0</v>
      </c>
      <c r="DT26" s="474">
        <f>SUM('POSF Inventory'!GX18,'POSF Inventory'!GZ18)*$D$9*'POSF Zone Def'!$BB15</f>
        <v>0</v>
      </c>
      <c r="DU26" s="474"/>
      <c r="DV26" s="474"/>
      <c r="DW26" s="474">
        <f>'POSF Inventory'!HA18*'POSF Emiss by Zone'!$D$7*'POSF Zone Def'!$BB15</f>
        <v>0</v>
      </c>
      <c r="DX26" s="524">
        <f>'POSF Inventory'!HB18*'POSF Emiss by Zone'!$D$9*'POSF Zone Def'!$BB15</f>
        <v>0</v>
      </c>
      <c r="DY26" s="474">
        <f>SUM('POSF Inventory'!GW18,'POSF Inventory'!GY18)*$D$7*'POSF Zone Def'!$BC15</f>
        <v>0</v>
      </c>
      <c r="DZ26" s="474">
        <f>SUM('POSF Inventory'!GX18,'POSF Inventory'!GZ18)*$D$9*'POSF Zone Def'!$BC15</f>
        <v>0</v>
      </c>
      <c r="EA26" s="474"/>
      <c r="EB26" s="474"/>
      <c r="EC26" s="474">
        <f>'POSF Inventory'!HA18*'POSF Emiss by Zone'!$D$7*'POSF Zone Def'!$BC15</f>
        <v>0</v>
      </c>
      <c r="ED26" s="134">
        <f>'POSF Inventory'!HB18*'POSF Emiss by Zone'!$D$9*'POSF Zone Def'!$BC15</f>
        <v>0</v>
      </c>
      <c r="EE26" s="235">
        <f>'POSF Inventory'!$CF18*'POSF Emiss by Zone'!$D$7*'POSF Zone Def'!$CE15</f>
        <v>0</v>
      </c>
      <c r="EF26" s="235">
        <f>'POSF Inventory'!$CG18*'POSF Emiss by Zone'!$D$9*'POSF Zone Def'!$CE15</f>
        <v>0</v>
      </c>
      <c r="EG26" s="235">
        <f>'POSF Inventory'!$CH18*'POSF Emiss by Zone'!$D$7*'POSF Zone Def'!$CE15</f>
        <v>0</v>
      </c>
      <c r="EH26" s="235">
        <f>'POSF Inventory'!$CI18*'POSF Emiss by Zone'!$D$9*'POSF Zone Def'!$CE15</f>
        <v>0</v>
      </c>
      <c r="EI26" s="235">
        <f>'POSF Inventory'!$CJ18*'POSF Emiss by Zone'!$D$7*'POSF Zone Def'!$CE15</f>
        <v>0</v>
      </c>
      <c r="EJ26" s="580">
        <f>'POSF Inventory'!$CK18*'POSF Emiss by Zone'!$D$9*'POSF Zone Def'!$CE15</f>
        <v>0</v>
      </c>
      <c r="EK26" s="235">
        <f>'POSF Inventory'!$CF18*'POSF Emiss by Zone'!$D$7*'POSF Zone Def'!$CF15</f>
        <v>0</v>
      </c>
      <c r="EL26" s="235">
        <f>'POSF Inventory'!$CG18*'POSF Emiss by Zone'!$D$9*'POSF Zone Def'!$CF15</f>
        <v>0</v>
      </c>
      <c r="EM26" s="235">
        <f>'POSF Inventory'!$CH18*'POSF Emiss by Zone'!$D$7*'POSF Zone Def'!$CF15</f>
        <v>0</v>
      </c>
      <c r="EN26" s="235">
        <f>'POSF Inventory'!$CI18*'POSF Emiss by Zone'!$D$9*'POSF Zone Def'!$CF15</f>
        <v>0</v>
      </c>
      <c r="EO26" s="235">
        <f>'POSF Inventory'!$CJ18*'POSF Emiss by Zone'!$D$7*'POSF Zone Def'!$CF15</f>
        <v>0</v>
      </c>
      <c r="EP26" s="580">
        <f>'POSF Inventory'!$CK18*'POSF Emiss by Zone'!$D$9*'POSF Zone Def'!$CF15</f>
        <v>0</v>
      </c>
      <c r="EQ26" s="235">
        <f>'POSF Inventory'!$CF18*'POSF Emiss by Zone'!$D$7*'POSF Zone Def'!$CG15</f>
        <v>0</v>
      </c>
      <c r="ER26" s="235">
        <f>'POSF Inventory'!$CG18*'POSF Emiss by Zone'!$D$9*'POSF Zone Def'!$CG15</f>
        <v>0</v>
      </c>
      <c r="ES26" s="235">
        <f>'POSF Inventory'!$CH18*'POSF Emiss by Zone'!$D$7*'POSF Zone Def'!$CG15</f>
        <v>0</v>
      </c>
      <c r="ET26" s="235">
        <f>'POSF Inventory'!$CI18*'POSF Emiss by Zone'!$D$9*'POSF Zone Def'!$CG15</f>
        <v>0</v>
      </c>
      <c r="EU26" s="235">
        <f>'POSF Inventory'!$CJ18*'POSF Emiss by Zone'!$D$7*'POSF Zone Def'!$CG15</f>
        <v>0</v>
      </c>
      <c r="EV26" s="580">
        <f>'POSF Inventory'!$CK18*'POSF Emiss by Zone'!$D$9*'POSF Zone Def'!$CG15</f>
        <v>0</v>
      </c>
      <c r="EW26" s="235">
        <f>'POSF Inventory'!$CF18*'POSF Emiss by Zone'!$D$7*'POSF Zone Def'!$CH15</f>
        <v>0</v>
      </c>
      <c r="EX26" s="235">
        <f>'POSF Inventory'!$CG18*'POSF Emiss by Zone'!$D$9*'POSF Zone Def'!$CH15</f>
        <v>0</v>
      </c>
      <c r="EY26" s="235">
        <f>'POSF Inventory'!$CH18*'POSF Emiss by Zone'!$D$7*'POSF Zone Def'!$CH15</f>
        <v>0</v>
      </c>
      <c r="EZ26" s="235">
        <f>'POSF Inventory'!$CI18*'POSF Emiss by Zone'!$D$9*'POSF Zone Def'!$CH15</f>
        <v>0</v>
      </c>
      <c r="FA26" s="235">
        <f>'POSF Inventory'!$CJ18*'POSF Emiss by Zone'!$D$7*'POSF Zone Def'!$CH15</f>
        <v>0</v>
      </c>
      <c r="FB26" s="580">
        <f>'POSF Inventory'!$CK18*'POSF Emiss by Zone'!$D$9*'POSF Zone Def'!$CH15</f>
        <v>0</v>
      </c>
      <c r="FC26" s="235">
        <f>'POSF Inventory'!$CF18*'POSF Emiss by Zone'!$D$7*'POSF Zone Def'!$CI15</f>
        <v>0</v>
      </c>
      <c r="FD26" s="235">
        <f>'POSF Inventory'!$CG18*'POSF Emiss by Zone'!$D$9*'POSF Zone Def'!$CI15</f>
        <v>0</v>
      </c>
      <c r="FE26" s="235">
        <f>'POSF Inventory'!$CH18*'POSF Emiss by Zone'!$D$7*'POSF Zone Def'!$CI15</f>
        <v>0</v>
      </c>
      <c r="FF26" s="235">
        <f>'POSF Inventory'!$CI18*'POSF Emiss by Zone'!$D$9*'POSF Zone Def'!$CI15</f>
        <v>0</v>
      </c>
      <c r="FG26" s="235">
        <f>'POSF Inventory'!$CJ18*'POSF Emiss by Zone'!$D$7*'POSF Zone Def'!$CI15</f>
        <v>0</v>
      </c>
      <c r="FH26" s="577">
        <f>'POSF Inventory'!$CK18*'POSF Emiss by Zone'!$D$9*'POSF Zone Def'!$CI15</f>
        <v>0</v>
      </c>
      <c r="FI26" s="595"/>
      <c r="FJ26" s="595"/>
      <c r="FM26" s="592">
        <v>9</v>
      </c>
      <c r="FN26" s="592">
        <f t="shared" si="0"/>
        <v>1963</v>
      </c>
      <c r="FO26" s="587">
        <v>6</v>
      </c>
      <c r="FP26" s="477">
        <f t="shared" si="20"/>
        <v>0.53597568375000004</v>
      </c>
      <c r="FQ26" s="474">
        <f t="shared" si="21"/>
        <v>0.53724426525000002</v>
      </c>
      <c r="FR26" s="474">
        <f t="shared" si="22"/>
        <v>0</v>
      </c>
      <c r="FS26" s="474">
        <f t="shared" si="23"/>
        <v>0</v>
      </c>
      <c r="FT26" s="474">
        <f t="shared" si="24"/>
        <v>0.39701902500000003</v>
      </c>
      <c r="FU26" s="485">
        <f t="shared" si="25"/>
        <v>0.39795871500000002</v>
      </c>
      <c r="FV26" s="474">
        <f t="shared" si="26"/>
        <v>0.53597568375000004</v>
      </c>
      <c r="FW26" s="474">
        <f t="shared" si="27"/>
        <v>0.53724426525000002</v>
      </c>
      <c r="FX26" s="474">
        <f t="shared" si="28"/>
        <v>0</v>
      </c>
      <c r="FY26" s="474">
        <f t="shared" si="29"/>
        <v>0</v>
      </c>
      <c r="FZ26" s="474">
        <f t="shared" si="30"/>
        <v>0.39701902500000003</v>
      </c>
      <c r="GA26" s="134">
        <f t="shared" si="31"/>
        <v>0.39795871500000002</v>
      </c>
      <c r="GB26" s="474">
        <f t="shared" si="32"/>
        <v>0</v>
      </c>
      <c r="GC26" s="474">
        <f t="shared" si="33"/>
        <v>0</v>
      </c>
      <c r="GD26" s="474">
        <f t="shared" si="34"/>
        <v>0.86449116956548822</v>
      </c>
      <c r="GE26" s="474">
        <f t="shared" si="35"/>
        <v>5.454749926008466</v>
      </c>
      <c r="GF26" s="474">
        <f t="shared" si="36"/>
        <v>0.65906212649402396</v>
      </c>
      <c r="GG26" s="524">
        <f t="shared" si="37"/>
        <v>0.66062203685258969</v>
      </c>
      <c r="GH26" s="474">
        <f t="shared" si="38"/>
        <v>0</v>
      </c>
      <c r="GI26" s="474">
        <f t="shared" si="39"/>
        <v>0</v>
      </c>
      <c r="GJ26" s="474">
        <f t="shared" si="40"/>
        <v>0.41240439511329685</v>
      </c>
      <c r="GK26" s="474">
        <f t="shared" si="41"/>
        <v>0.92318190280129475</v>
      </c>
      <c r="GL26" s="474">
        <f t="shared" si="42"/>
        <v>0.65906212649402396</v>
      </c>
      <c r="GM26" s="705">
        <f t="shared" si="43"/>
        <v>0.66062203685258969</v>
      </c>
      <c r="GN26" s="705">
        <f t="shared" si="44"/>
        <v>0</v>
      </c>
      <c r="GO26" s="705">
        <f t="shared" si="45"/>
        <v>0</v>
      </c>
      <c r="GP26" s="705">
        <f t="shared" si="46"/>
        <v>0</v>
      </c>
      <c r="GQ26" s="705">
        <f t="shared" si="47"/>
        <v>0</v>
      </c>
      <c r="GR26" s="705">
        <f t="shared" si="48"/>
        <v>0</v>
      </c>
      <c r="GS26" s="705">
        <f t="shared" si="49"/>
        <v>0</v>
      </c>
      <c r="GT26" s="551">
        <f t="shared" si="50"/>
        <v>6.4478855919221064E-3</v>
      </c>
      <c r="GU26" s="548">
        <f t="shared" si="51"/>
        <v>0.2258805555963295</v>
      </c>
      <c r="GV26" s="548">
        <f t="shared" si="52"/>
        <v>7.7870725099601587E-4</v>
      </c>
      <c r="GW26" s="548">
        <f t="shared" si="53"/>
        <v>9.6267683904382474E-4</v>
      </c>
      <c r="GX26" s="548">
        <f t="shared" si="54"/>
        <v>2.8552599203187259E-3</v>
      </c>
      <c r="GY26" s="524">
        <f t="shared" si="55"/>
        <v>1.41192603059761E-2</v>
      </c>
      <c r="GZ26" s="548">
        <f t="shared" si="56"/>
        <v>7.6257734730962752E-4</v>
      </c>
      <c r="HA26" s="548">
        <f t="shared" si="57"/>
        <v>2.5154887027091063E-2</v>
      </c>
      <c r="HB26" s="548">
        <f t="shared" si="58"/>
        <v>7.7870725099601587E-4</v>
      </c>
      <c r="HC26" s="548">
        <f t="shared" si="59"/>
        <v>9.6267683904382474E-4</v>
      </c>
      <c r="HD26" s="548">
        <f t="shared" si="60"/>
        <v>2.8552599203187259E-3</v>
      </c>
      <c r="HE26" s="549">
        <f t="shared" si="61"/>
        <v>1.41192603059761E-2</v>
      </c>
      <c r="HF26" s="235">
        <f t="shared" si="62"/>
        <v>0</v>
      </c>
      <c r="HG26" s="235">
        <f t="shared" si="63"/>
        <v>0</v>
      </c>
      <c r="HH26" s="235">
        <f t="shared" si="64"/>
        <v>0</v>
      </c>
      <c r="HI26" s="235">
        <f t="shared" si="65"/>
        <v>0</v>
      </c>
      <c r="HJ26" s="235">
        <f t="shared" si="66"/>
        <v>0</v>
      </c>
      <c r="HK26" s="580">
        <f t="shared" si="67"/>
        <v>0</v>
      </c>
      <c r="HL26" s="235">
        <f t="shared" si="68"/>
        <v>0</v>
      </c>
      <c r="HM26" s="235">
        <f t="shared" si="69"/>
        <v>0</v>
      </c>
      <c r="HN26" s="235">
        <f t="shared" si="70"/>
        <v>0</v>
      </c>
      <c r="HO26" s="235">
        <f t="shared" si="71"/>
        <v>0</v>
      </c>
      <c r="HP26" s="235">
        <f t="shared" si="72"/>
        <v>0</v>
      </c>
      <c r="HQ26" s="580">
        <f t="shared" si="73"/>
        <v>0</v>
      </c>
      <c r="HR26" s="235">
        <f t="shared" si="74"/>
        <v>0</v>
      </c>
      <c r="HS26" s="235">
        <f t="shared" si="75"/>
        <v>0</v>
      </c>
      <c r="HT26" s="235">
        <f t="shared" si="76"/>
        <v>0</v>
      </c>
      <c r="HU26" s="235">
        <f t="shared" si="77"/>
        <v>0</v>
      </c>
      <c r="HV26" s="235">
        <f t="shared" si="78"/>
        <v>0</v>
      </c>
      <c r="HW26" s="577">
        <f t="shared" si="79"/>
        <v>0</v>
      </c>
      <c r="HX26" s="235">
        <f t="shared" si="80"/>
        <v>0.34268031965069096</v>
      </c>
      <c r="HY26" s="235">
        <f t="shared" si="81"/>
        <v>12.004682758577232</v>
      </c>
      <c r="HZ26" s="235">
        <f t="shared" si="82"/>
        <v>4.1385295362549791E-2</v>
      </c>
      <c r="IA26" s="235">
        <f t="shared" si="83"/>
        <v>5.116257139195219E-2</v>
      </c>
      <c r="IB26" s="235">
        <f t="shared" si="84"/>
        <v>0.15174608299601594</v>
      </c>
      <c r="IC26" s="235">
        <f t="shared" si="85"/>
        <v>0.75038438041529898</v>
      </c>
      <c r="ID26" s="235">
        <f t="shared" si="86"/>
        <v>4.0528053019709361E-2</v>
      </c>
      <c r="IE26" s="235">
        <f t="shared" si="87"/>
        <v>1.3368854959244008</v>
      </c>
      <c r="IF26" s="235">
        <f t="shared" si="88"/>
        <v>4.1385295362549791E-2</v>
      </c>
      <c r="IG26" s="235">
        <f t="shared" si="89"/>
        <v>5.116257139195219E-2</v>
      </c>
      <c r="IH26" s="235">
        <f t="shared" si="90"/>
        <v>0.15174608299601594</v>
      </c>
      <c r="II26" s="235">
        <f t="shared" si="91"/>
        <v>0.75038438041529898</v>
      </c>
      <c r="IJ26" s="235">
        <f t="shared" si="92"/>
        <v>0</v>
      </c>
      <c r="IK26" s="235">
        <f t="shared" si="93"/>
        <v>0</v>
      </c>
      <c r="IL26" s="235">
        <f t="shared" si="94"/>
        <v>0</v>
      </c>
      <c r="IM26" s="235">
        <f t="shared" si="95"/>
        <v>0</v>
      </c>
      <c r="IN26" s="235">
        <f t="shared" si="96"/>
        <v>0</v>
      </c>
      <c r="IO26" s="235">
        <f t="shared" si="97"/>
        <v>0</v>
      </c>
    </row>
    <row r="27" spans="1:249" ht="18" x14ac:dyDescent="0.25">
      <c r="A27" s="18">
        <v>1964</v>
      </c>
      <c r="B27" s="564"/>
      <c r="C27" s="477">
        <f>'POSF Inventory'!AD19*$D$5*'POSF Zone Def'!$M16</f>
        <v>0.62361950624999984</v>
      </c>
      <c r="D27" s="474">
        <f>'POSF Inventory'!AE19*$D$6*'POSF Zone Def'!$M16</f>
        <v>0.62509552874999985</v>
      </c>
      <c r="E27" s="474">
        <f>'POSF Inventory'!AF19*$D$5*'POSF Zone Def'!$M16</f>
        <v>0</v>
      </c>
      <c r="F27" s="474">
        <f>'POSF Inventory'!AG19*$D$6*'POSF Zone Def'!$M16</f>
        <v>0</v>
      </c>
      <c r="G27" s="474">
        <f>'POSF Inventory'!AH19*$D$5*'POSF Zone Def'!$M16</f>
        <v>0.46194037500000001</v>
      </c>
      <c r="H27" s="485">
        <f>'POSF Inventory'!AI19*$D$6*'POSF Zone Def'!$M16</f>
        <v>0.46303372500000001</v>
      </c>
      <c r="I27" s="474">
        <f>'POSF Inventory'!AD19*$D$5*'POSF Zone Def'!$N16</f>
        <v>0.62361950624999984</v>
      </c>
      <c r="J27" s="474">
        <f>'POSF Inventory'!AE19*$D$6*'POSF Zone Def'!$N16</f>
        <v>0.62509552874999985</v>
      </c>
      <c r="K27" s="474">
        <f>'POSF Inventory'!AF19*$D$5*'POSF Zone Def'!$N16</f>
        <v>0</v>
      </c>
      <c r="L27" s="474">
        <f>'POSF Inventory'!AG19*$D$6*'POSF Zone Def'!$N16</f>
        <v>0</v>
      </c>
      <c r="M27" s="474">
        <f>'POSF Inventory'!AH19*$D$5*'POSF Zone Def'!$N16</f>
        <v>0.46194037500000001</v>
      </c>
      <c r="N27" s="485">
        <f>'POSF Inventory'!AI19*$D$6*'POSF Zone Def'!$N16</f>
        <v>0.46303372500000001</v>
      </c>
      <c r="O27" s="474">
        <f>'POSF Inventory'!AJ19*$D$5*'POSF Zone Def'!$AP16</f>
        <v>0</v>
      </c>
      <c r="P27" s="474">
        <f>'POSF Inventory'!AK19*$D$6*'POSF Zone Def'!$AP16</f>
        <v>0</v>
      </c>
      <c r="Q27" s="474">
        <f>'POSF Inventory'!AL19*$D$5*'POSF Zone Def'!$AP16</f>
        <v>0</v>
      </c>
      <c r="R27" s="474">
        <f>'POSF Inventory'!AM19*$D$6*'POSF Zone Def'!$AP16</f>
        <v>0</v>
      </c>
      <c r="S27" s="474">
        <f>'POSF Inventory'!AN19*$D$5*'POSF Zone Def'!$AP16</f>
        <v>0</v>
      </c>
      <c r="T27" s="524">
        <f>'POSF Inventory'!AO19*$D$6*'POSF Zone Def'!$AP16</f>
        <v>0</v>
      </c>
      <c r="U27" s="474">
        <f>'POSF Inventory'!AJ19*$D$5*'POSF Zone Def'!$AQ16</f>
        <v>0</v>
      </c>
      <c r="V27" s="474">
        <f>'POSF Inventory'!AK19*$D$6*'POSF Zone Def'!$AQ16</f>
        <v>0</v>
      </c>
      <c r="W27" s="474">
        <f>'POSF Inventory'!AL19*$D$5*'POSF Zone Def'!$AQ16</f>
        <v>0</v>
      </c>
      <c r="X27" s="474">
        <f>'POSF Inventory'!AM19*$D$6*'POSF Zone Def'!$AQ16</f>
        <v>0</v>
      </c>
      <c r="Y27" s="474">
        <f>'POSF Inventory'!AN19*$D$5*'POSF Zone Def'!$AQ16</f>
        <v>0</v>
      </c>
      <c r="Z27" s="474">
        <f>'POSF Inventory'!AO19*$D$6*'POSF Zone Def'!$AQ16</f>
        <v>0</v>
      </c>
      <c r="AA27" s="477">
        <f>'POSF Inventory'!AV19*'POSF Emiss by Zone'!$D$5*'POSF Zone Def'!$M16</f>
        <v>0</v>
      </c>
      <c r="AB27" s="474">
        <f>'POSF Inventory'!AW19*'POSF Emiss by Zone'!$D$6*'POSF Zone Def'!$M16</f>
        <v>0</v>
      </c>
      <c r="AC27" s="474">
        <f>'POSF Inventory'!AX19*'POSF Emiss by Zone'!$D$5*'POSF Zone Def'!$M16</f>
        <v>0.41574633749999995</v>
      </c>
      <c r="AD27" s="474">
        <f>'POSF Inventory'!AY19*'POSF Emiss by Zone'!$D$6*'POSF Zone Def'!$M16</f>
        <v>0.41673035249999996</v>
      </c>
      <c r="AE27" s="474">
        <f>'POSF Inventory'!AZ19*'POSF Emiss by Zone'!$D$5*'POSF Zone Def'!$M16</f>
        <v>0.76990062499999989</v>
      </c>
      <c r="AF27" s="485">
        <f>'POSF Inventory'!BA19*'POSF Emiss by Zone'!$D$6*'POSF Zone Def'!$M16</f>
        <v>0.77172287499999992</v>
      </c>
      <c r="AG27" s="474">
        <f>'POSF Inventory'!AV19*'POSF Emiss by Zone'!$D$5*'POSF Zone Def'!$N16</f>
        <v>0</v>
      </c>
      <c r="AH27" s="474">
        <f>'POSF Inventory'!AW19*'POSF Emiss by Zone'!$D$6*'POSF Zone Def'!$N16</f>
        <v>0</v>
      </c>
      <c r="AI27" s="474">
        <f>'POSF Inventory'!AX19*'POSF Emiss by Zone'!$D$5*'POSF Zone Def'!$N16</f>
        <v>0.41574633749999995</v>
      </c>
      <c r="AJ27" s="474">
        <f>'POSF Inventory'!AY19*'POSF Emiss by Zone'!$D$6*'POSF Zone Def'!$N16</f>
        <v>0.41673035249999996</v>
      </c>
      <c r="AK27" s="474">
        <f>'POSF Inventory'!AZ19*'POSF Emiss by Zone'!$D$5*'POSF Zone Def'!$N16</f>
        <v>0.76990062499999989</v>
      </c>
      <c r="AL27" s="549">
        <f>'POSF Inventory'!BA19*'POSF Emiss by Zone'!$D$6*'POSF Zone Def'!$N16</f>
        <v>0.77172287499999992</v>
      </c>
      <c r="AM27" s="474">
        <f>'POSF Inventory'!BB19*'POSF Emiss by Zone'!$D$5*'POSF Zone Def'!$AP16</f>
        <v>0</v>
      </c>
      <c r="AN27" s="474">
        <f>'POSF Inventory'!BC19*'POSF Emiss by Zone'!$D$6*'POSF Zone Def'!$AP16</f>
        <v>0</v>
      </c>
      <c r="AO27" s="474">
        <f>'POSF Inventory'!BD19*'POSF Emiss by Zone'!$D$5*'POSF Zone Def'!$AP16</f>
        <v>0</v>
      </c>
      <c r="AP27" s="474">
        <f>'POSF Inventory'!BE19*'POSF Emiss by Zone'!$D$6*'POSF Zone Def'!$AP16</f>
        <v>0</v>
      </c>
      <c r="AQ27" s="474">
        <f>'POSF Inventory'!BF19*'POSF Emiss by Zone'!$D$5*'POSF Zone Def'!$AP16</f>
        <v>0</v>
      </c>
      <c r="AR27" s="524">
        <f>'POSF Inventory'!BG19*'POSF Emiss by Zone'!$D$6*'POSF Zone Def'!$AP16</f>
        <v>0</v>
      </c>
      <c r="AS27" s="474">
        <f>'POSF Inventory'!BB19*'POSF Emiss by Zone'!$D$5*'POSF Zone Def'!$AQ16</f>
        <v>0</v>
      </c>
      <c r="AT27" s="474">
        <f>'POSF Inventory'!BC19*'POSF Emiss by Zone'!$D$6*'POSF Zone Def'!$AQ16</f>
        <v>0</v>
      </c>
      <c r="AU27" s="474">
        <f>'POSF Inventory'!BD19*'POSF Emiss by Zone'!$D$5*'POSF Zone Def'!$AQ16</f>
        <v>0</v>
      </c>
      <c r="AV27" s="474">
        <f>'POSF Inventory'!BE19*'POSF Emiss by Zone'!$D$6*'POSF Zone Def'!$AQ16</f>
        <v>0</v>
      </c>
      <c r="AW27" s="474">
        <f>'POSF Inventory'!BF19*'POSF Emiss by Zone'!$D$5*'POSF Zone Def'!$AQ16</f>
        <v>0</v>
      </c>
      <c r="AX27" s="134">
        <f>'POSF Inventory'!BG19*'POSF Emiss by Zone'!$D$6*'POSF Zone Def'!$AQ16</f>
        <v>0</v>
      </c>
      <c r="AY27" s="474">
        <f>'POSF Inventory'!EA19*'POSF Emiss by Zone'!$D$5*'POSF Zone Def'!$Y16</f>
        <v>0</v>
      </c>
      <c r="AZ27" s="474">
        <f>'POSF Inventory'!EB19*'POSF Emiss by Zone'!$D$6*'POSF Zone Def'!$Y16</f>
        <v>0</v>
      </c>
      <c r="BA27" s="474">
        <f>'POSF Inventory'!EC19*'POSF Emiss by Zone'!$D$5*'POSF Zone Def'!$Y16</f>
        <v>0.60363371835000013</v>
      </c>
      <c r="BB27" s="474">
        <f>'POSF Inventory'!ED19*'POSF Emiss by Zone'!$D$6*'POSF Zone Def'!$Y16</f>
        <v>6.0506243720999997</v>
      </c>
      <c r="BC27" s="474">
        <f>'POSF Inventory'!EE19*'POSF Emiss by Zone'!$D$5*'POSF Zone Def'!$Y16</f>
        <v>0</v>
      </c>
      <c r="BD27" s="485">
        <f>'POSF Inventory'!EF19*'POSF Emiss by Zone'!$D$6*'POSF Zone Def'!$Y16</f>
        <v>0</v>
      </c>
      <c r="BE27" s="474">
        <f>'POSF Inventory'!EA19*'POSF Emiss by Zone'!$D$5*'POSF Zone Def'!$Z16</f>
        <v>0</v>
      </c>
      <c r="BF27" s="474">
        <f>'POSF Inventory'!EB19*'POSF Emiss by Zone'!$D$6*'POSF Zone Def'!$Z16</f>
        <v>0</v>
      </c>
      <c r="BG27" s="474">
        <f>'POSF Inventory'!EC19*'POSF Emiss by Zone'!$D$5*'POSF Zone Def'!$Z16</f>
        <v>6.7070413150000008E-2</v>
      </c>
      <c r="BH27" s="474">
        <f>'POSF Inventory'!ED19*'POSF Emiss by Zone'!$D$6*'POSF Zone Def'!$Z16</f>
        <v>0.67229159690000007</v>
      </c>
      <c r="BI27" s="474">
        <f>'POSF Inventory'!EE19*'POSF Emiss by Zone'!$D$5*'POSF Zone Def'!$Z16</f>
        <v>0</v>
      </c>
      <c r="BJ27" s="549">
        <f>'POSF Inventory'!EF19*'POSF Emiss by Zone'!$D$6*'POSF Zone Def'!$Z16</f>
        <v>0</v>
      </c>
      <c r="BK27" s="705">
        <f>'POSF Inventory'!$EA19*'POSF Emiss by Zone'!$D$5*'POSF Zone Def'!$AC16</f>
        <v>0</v>
      </c>
      <c r="BL27" s="705">
        <f>'POSF Inventory'!$EB19*'POSF Emiss by Zone'!$D$6*'POSF Zone Def'!$AC16</f>
        <v>0</v>
      </c>
      <c r="BM27" s="705">
        <f>'POSF Inventory'!$EC19*'POSF Emiss by Zone'!$D$5*'POSF Zone Def'!$AC16</f>
        <v>0</v>
      </c>
      <c r="BN27" s="705">
        <f>'POSF Inventory'!$ED19*'POSF Emiss by Zone'!$D$6*'POSF Zone Def'!$AC16</f>
        <v>0</v>
      </c>
      <c r="BO27" s="705">
        <f>'POSF Inventory'!$EE19*'POSF Emiss by Zone'!$D$5*'POSF Zone Def'!$AC16</f>
        <v>0</v>
      </c>
      <c r="BP27" s="708">
        <f>'POSF Inventory'!$EF19*'POSF Emiss by Zone'!$D$6*'POSF Zone Def'!$AC16</f>
        <v>0</v>
      </c>
      <c r="BQ27" s="474">
        <f>'POSF Inventory'!EG19*'POSF Emiss by Zone'!$D$5*'POSF Zone Def'!$BB16</f>
        <v>0</v>
      </c>
      <c r="BR27" s="474">
        <f>'POSF Inventory'!EH19*'POSF Emiss by Zone'!$D$6*'POSF Zone Def'!$BB16</f>
        <v>0</v>
      </c>
      <c r="BS27" s="474">
        <f>'POSF Inventory'!EI19*'POSF Emiss by Zone'!$D$5*'POSF Zone Def'!$BB16</f>
        <v>0</v>
      </c>
      <c r="BT27" s="474">
        <f>'POSF Inventory'!EJ19*'POSF Emiss by Zone'!$D$6*'POSF Zone Def'!$BB16</f>
        <v>0</v>
      </c>
      <c r="BU27" s="474">
        <f>'POSF Inventory'!EK19*'POSF Emiss by Zone'!$D$5*'POSF Zone Def'!$BB16</f>
        <v>0</v>
      </c>
      <c r="BV27" s="524">
        <f>'POSF Inventory'!EL19*'POSF Emiss by Zone'!$D$6*'POSF Zone Def'!$BB16</f>
        <v>0</v>
      </c>
      <c r="BW27" s="474">
        <f>'POSF Inventory'!EG19*'POSF Emiss by Zone'!$D$5*'POSF Zone Def'!$BC16</f>
        <v>0</v>
      </c>
      <c r="BX27" s="474">
        <f>'POSF Inventory'!EH19*'POSF Emiss by Zone'!$D$6*'POSF Zone Def'!$BC16</f>
        <v>0</v>
      </c>
      <c r="BY27" s="474">
        <f>'POSF Inventory'!EI19*'POSF Emiss by Zone'!$D$5*'POSF Zone Def'!$BC16</f>
        <v>0</v>
      </c>
      <c r="BZ27" s="474">
        <f>'POSF Inventory'!EJ19*'POSF Emiss by Zone'!$D$6*'POSF Zone Def'!$BC16</f>
        <v>0</v>
      </c>
      <c r="CA27" s="474">
        <f>'POSF Inventory'!EK19*'POSF Emiss by Zone'!$D$5*'POSF Zone Def'!$BC16</f>
        <v>0</v>
      </c>
      <c r="CB27" s="134">
        <f>'POSF Inventory'!EL19*'POSF Emiss by Zone'!$D$6*'POSF Zone Def'!$BC16</f>
        <v>0</v>
      </c>
      <c r="CC27" s="474">
        <f>'POSF Inventory'!GC19*'POSF Emiss by Zone'!$D$7*'POSF Zone Def'!$M16</f>
        <v>2.9156000000000004E-3</v>
      </c>
      <c r="CD27" s="474">
        <f>'POSF Inventory'!GD19*'POSF Emiss by Zone'!$D$9*'POSF Zone Def'!$M16</f>
        <v>3.6044105000000003E-3</v>
      </c>
      <c r="CE27" s="474">
        <f>'POSF Inventory'!GE19*'POSF Emiss by Zone'!$D$7*'POSF Zone Def'!$M16</f>
        <v>4.3733999999999995E-2</v>
      </c>
      <c r="CF27" s="474">
        <f>'POSF Inventory'!GF19*'POSF Emiss by Zone'!$D$9*'POSF Zone Def'!$M16</f>
        <v>5.4066157499999996E-2</v>
      </c>
      <c r="CG27" s="474">
        <f>'POSF Inventory'!GG19*'POSF Emiss by Zone'!$D$7*'POSF Zone Def'!$M16</f>
        <v>0.160358</v>
      </c>
      <c r="CH27" s="485">
        <f>'POSF Inventory'!GH19*'POSF Emiss by Zone'!$D$9*'POSF Zone Def'!$M16</f>
        <v>0.79297031000000007</v>
      </c>
      <c r="CI27" s="474">
        <f>'POSF Inventory'!GC19*'POSF Emiss by Zone'!$D$7*'POSF Zone Def'!$N16</f>
        <v>2.9156000000000004E-3</v>
      </c>
      <c r="CJ27" s="474">
        <f>'POSF Inventory'!GD19*'POSF Emiss by Zone'!$D$9*'POSF Zone Def'!$N16</f>
        <v>3.6044105000000003E-3</v>
      </c>
      <c r="CK27" s="474">
        <f>'POSF Inventory'!GE19*'POSF Emiss by Zone'!$D$7*'POSF Zone Def'!$N16</f>
        <v>4.3733999999999995E-2</v>
      </c>
      <c r="CL27" s="474">
        <f>'POSF Inventory'!GF19*'POSF Emiss by Zone'!$D$9*'POSF Zone Def'!$N16</f>
        <v>5.4066157499999996E-2</v>
      </c>
      <c r="CM27" s="474">
        <f>'POSF Inventory'!GG19*'POSF Emiss by Zone'!$D$7*'POSF Zone Def'!$N16</f>
        <v>0.160358</v>
      </c>
      <c r="CN27" s="485">
        <f>'POSF Inventory'!GH19*'POSF Emiss by Zone'!$D$9*'POSF Zone Def'!$N16</f>
        <v>0.79297031000000007</v>
      </c>
      <c r="CO27" s="474">
        <f>'POSF Inventory'!GI19*'POSF Emiss by Zone'!$D$7*'POSF Zone Def'!$AP16</f>
        <v>0</v>
      </c>
      <c r="CP27" s="474">
        <f>'POSF Inventory'!GJ19*'POSF Emiss by Zone'!$D$9*'POSF Zone Def'!$AP16</f>
        <v>0</v>
      </c>
      <c r="CQ27" s="474">
        <f>'POSF Inventory'!GK19*'POSF Emiss by Zone'!$D$7*'POSF Zone Def'!$AP16</f>
        <v>0</v>
      </c>
      <c r="CR27" s="474">
        <f>'POSF Inventory'!GL19*'POSF Emiss by Zone'!$D$9*'POSF Zone Def'!$AP16</f>
        <v>0</v>
      </c>
      <c r="CS27" s="474">
        <f>'POSF Inventory'!GM19*'POSF Emiss by Zone'!$D$7*'POSF Zone Def'!$AP16</f>
        <v>0</v>
      </c>
      <c r="CT27" s="524">
        <f>'POSF Inventory'!GN19*'POSF Emiss by Zone'!$D$9*'POSF Zone Def'!$AP16</f>
        <v>0</v>
      </c>
      <c r="CU27" s="474">
        <f>'POSF Inventory'!GI19*'POSF Emiss by Zone'!$D$7*'POSF Zone Def'!$AQ16</f>
        <v>0</v>
      </c>
      <c r="CV27" s="474">
        <f>'POSF Inventory'!GJ19*'POSF Emiss by Zone'!$D$9*'POSF Zone Def'!$AQ16</f>
        <v>0</v>
      </c>
      <c r="CW27" s="474">
        <f>'POSF Inventory'!GK19*'POSF Emiss by Zone'!$D$7*'POSF Zone Def'!$AQ16</f>
        <v>0</v>
      </c>
      <c r="CX27" s="474">
        <f>'POSF Inventory'!GL19*'POSF Emiss by Zone'!$D$9*'POSF Zone Def'!$AQ16</f>
        <v>0</v>
      </c>
      <c r="CY27" s="474">
        <f>'POSF Inventory'!GM19*'POSF Emiss by Zone'!$D$7*'POSF Zone Def'!$AQ16</f>
        <v>0</v>
      </c>
      <c r="CZ27" s="134">
        <f>'POSF Inventory'!GN19*'POSF Emiss by Zone'!$D$9*'POSF Zone Def'!$AQ16</f>
        <v>0</v>
      </c>
      <c r="DA27" s="474">
        <f>SUM('POSF Inventory'!GQ19,'POSF Inventory'!GS19)*'POSF Emiss by Zone'!$D$7*'POSF Zone Def'!$Y16</f>
        <v>0.36524893637816996</v>
      </c>
      <c r="DB27" s="474">
        <f>SUM('POSF Inventory'!GR19,'POSF Inventory'!GT19)*'POSF Emiss by Zone'!$D$9*'POSF Zone Def'!$Y16</f>
        <v>13.065307155260776</v>
      </c>
      <c r="DC27" s="474"/>
      <c r="DD27" s="474"/>
      <c r="DE27" s="474">
        <f>'POSF Inventory'!GU19*'POSF Emiss by Zone'!$D$7*'POSF Zone Def'!$Y16</f>
        <v>0</v>
      </c>
      <c r="DF27" s="485">
        <f>'POSF Inventory'!GV19*'POSF Emiss by Zone'!$D$9*'POSF Zone Def'!$Y16</f>
        <v>0</v>
      </c>
      <c r="DG27" s="474">
        <f>SUM('POSF Inventory'!GQ19,'POSF Inventory'!GS19)*'POSF Emiss by Zone'!$D$7*'POSF Zone Def'!$Z16</f>
        <v>4.0583215153130001E-2</v>
      </c>
      <c r="DH27" s="474">
        <f>SUM('POSF Inventory'!GR19,'POSF Inventory'!GT19)*'POSF Emiss by Zone'!$D$9*'POSF Zone Def'!$Z16</f>
        <v>1.4517007950289751</v>
      </c>
      <c r="DI27" s="474"/>
      <c r="DJ27" s="474"/>
      <c r="DK27" s="474">
        <f>'POSF Inventory'!GU19*'POSF Emiss by Zone'!$D$7*'POSF Zone Def'!$Z16</f>
        <v>0</v>
      </c>
      <c r="DL27" s="485">
        <f>'POSF Inventory'!GV19*'POSF Emiss by Zone'!$D$9*'POSF Zone Def'!$Z16</f>
        <v>0</v>
      </c>
      <c r="DM27" s="705">
        <f>SUM('POSF Inventory'!$GQ19,'POSF Inventory'!$GS19)*'POSF Emiss by Zone'!$D$7*'POSF Zone Def'!$AC16</f>
        <v>0</v>
      </c>
      <c r="DN27" s="705">
        <f>SUM('POSF Inventory'!$GR19,'POSF Inventory'!$GT19)*'POSF Emiss by Zone'!$D$9*'POSF Zone Def'!$AC16</f>
        <v>0</v>
      </c>
      <c r="DO27" s="705"/>
      <c r="DP27" s="705"/>
      <c r="DQ27" s="705">
        <f>'POSF Inventory'!$GU19*'POSF Emiss by Zone'!$D$7*'POSF Zone Def'!$AC16</f>
        <v>0</v>
      </c>
      <c r="DR27" s="708">
        <f>'POSF Inventory'!$GV19*'POSF Emiss by Zone'!$D$9*'POSF Zone Def'!$AC16</f>
        <v>0</v>
      </c>
      <c r="DS27" s="474">
        <f>SUM('POSF Inventory'!GW19,'POSF Inventory'!GY19)*$D$7*'POSF Zone Def'!$BB16</f>
        <v>0</v>
      </c>
      <c r="DT27" s="474">
        <f>SUM('POSF Inventory'!GX19,'POSF Inventory'!GZ19)*$D$9*'POSF Zone Def'!$BB16</f>
        <v>0</v>
      </c>
      <c r="DU27" s="474"/>
      <c r="DV27" s="474"/>
      <c r="DW27" s="474">
        <f>'POSF Inventory'!HA19*'POSF Emiss by Zone'!$D$7*'POSF Zone Def'!$BB16</f>
        <v>0</v>
      </c>
      <c r="DX27" s="524">
        <f>'POSF Inventory'!HB19*'POSF Emiss by Zone'!$D$9*'POSF Zone Def'!$BB16</f>
        <v>0</v>
      </c>
      <c r="DY27" s="474">
        <f>SUM('POSF Inventory'!GW19,'POSF Inventory'!GY19)*$D$7*'POSF Zone Def'!$BC16</f>
        <v>0</v>
      </c>
      <c r="DZ27" s="474">
        <f>SUM('POSF Inventory'!GX19,'POSF Inventory'!GZ19)*$D$9*'POSF Zone Def'!$BC16</f>
        <v>0</v>
      </c>
      <c r="EA27" s="474"/>
      <c r="EB27" s="474"/>
      <c r="EC27" s="474">
        <f>'POSF Inventory'!HA19*'POSF Emiss by Zone'!$D$7*'POSF Zone Def'!$BC16</f>
        <v>0</v>
      </c>
      <c r="ED27" s="134">
        <f>'POSF Inventory'!HB19*'POSF Emiss by Zone'!$D$9*'POSF Zone Def'!$BC16</f>
        <v>0</v>
      </c>
      <c r="EE27" s="235">
        <f>'POSF Inventory'!$CF19*'POSF Emiss by Zone'!$D$7*'POSF Zone Def'!$CE16</f>
        <v>0</v>
      </c>
      <c r="EF27" s="235">
        <f>'POSF Inventory'!$CG19*'POSF Emiss by Zone'!$D$9*'POSF Zone Def'!$CE16</f>
        <v>0</v>
      </c>
      <c r="EG27" s="235">
        <f>'POSF Inventory'!$CH19*'POSF Emiss by Zone'!$D$7*'POSF Zone Def'!$CE16</f>
        <v>0</v>
      </c>
      <c r="EH27" s="235">
        <f>'POSF Inventory'!$CI19*'POSF Emiss by Zone'!$D$9*'POSF Zone Def'!$CE16</f>
        <v>0</v>
      </c>
      <c r="EI27" s="235">
        <f>'POSF Inventory'!$CJ19*'POSF Emiss by Zone'!$D$7*'POSF Zone Def'!$CE16</f>
        <v>0</v>
      </c>
      <c r="EJ27" s="580">
        <f>'POSF Inventory'!$CK19*'POSF Emiss by Zone'!$D$9*'POSF Zone Def'!$CE16</f>
        <v>0</v>
      </c>
      <c r="EK27" s="235">
        <f>'POSF Inventory'!$CF19*'POSF Emiss by Zone'!$D$7*'POSF Zone Def'!$CF16</f>
        <v>0</v>
      </c>
      <c r="EL27" s="235">
        <f>'POSF Inventory'!$CG19*'POSF Emiss by Zone'!$D$9*'POSF Zone Def'!$CF16</f>
        <v>0</v>
      </c>
      <c r="EM27" s="235">
        <f>'POSF Inventory'!$CH19*'POSF Emiss by Zone'!$D$7*'POSF Zone Def'!$CF16</f>
        <v>0</v>
      </c>
      <c r="EN27" s="235">
        <f>'POSF Inventory'!$CI19*'POSF Emiss by Zone'!$D$9*'POSF Zone Def'!$CF16</f>
        <v>0</v>
      </c>
      <c r="EO27" s="235">
        <f>'POSF Inventory'!$CJ19*'POSF Emiss by Zone'!$D$7*'POSF Zone Def'!$CF16</f>
        <v>0</v>
      </c>
      <c r="EP27" s="580">
        <f>'POSF Inventory'!$CK19*'POSF Emiss by Zone'!$D$9*'POSF Zone Def'!$CF16</f>
        <v>0</v>
      </c>
      <c r="EQ27" s="235">
        <f>'POSF Inventory'!$CF19*'POSF Emiss by Zone'!$D$7*'POSF Zone Def'!$CG16</f>
        <v>0</v>
      </c>
      <c r="ER27" s="235">
        <f>'POSF Inventory'!$CG19*'POSF Emiss by Zone'!$D$9*'POSF Zone Def'!$CG16</f>
        <v>0</v>
      </c>
      <c r="ES27" s="235">
        <f>'POSF Inventory'!$CH19*'POSF Emiss by Zone'!$D$7*'POSF Zone Def'!$CG16</f>
        <v>0</v>
      </c>
      <c r="ET27" s="235">
        <f>'POSF Inventory'!$CI19*'POSF Emiss by Zone'!$D$9*'POSF Zone Def'!$CG16</f>
        <v>0</v>
      </c>
      <c r="EU27" s="235">
        <f>'POSF Inventory'!$CJ19*'POSF Emiss by Zone'!$D$7*'POSF Zone Def'!$CG16</f>
        <v>0</v>
      </c>
      <c r="EV27" s="580">
        <f>'POSF Inventory'!$CK19*'POSF Emiss by Zone'!$D$9*'POSF Zone Def'!$CG16</f>
        <v>0</v>
      </c>
      <c r="EW27" s="235">
        <f>'POSF Inventory'!$CF19*'POSF Emiss by Zone'!$D$7*'POSF Zone Def'!$CH16</f>
        <v>0</v>
      </c>
      <c r="EX27" s="235">
        <f>'POSF Inventory'!$CG19*'POSF Emiss by Zone'!$D$9*'POSF Zone Def'!$CH16</f>
        <v>0</v>
      </c>
      <c r="EY27" s="235">
        <f>'POSF Inventory'!$CH19*'POSF Emiss by Zone'!$D$7*'POSF Zone Def'!$CH16</f>
        <v>0</v>
      </c>
      <c r="EZ27" s="235">
        <f>'POSF Inventory'!$CI19*'POSF Emiss by Zone'!$D$9*'POSF Zone Def'!$CH16</f>
        <v>0</v>
      </c>
      <c r="FA27" s="235">
        <f>'POSF Inventory'!$CJ19*'POSF Emiss by Zone'!$D$7*'POSF Zone Def'!$CH16</f>
        <v>0</v>
      </c>
      <c r="FB27" s="580">
        <f>'POSF Inventory'!$CK19*'POSF Emiss by Zone'!$D$9*'POSF Zone Def'!$CH16</f>
        <v>0</v>
      </c>
      <c r="FC27" s="235">
        <f>'POSF Inventory'!$CF19*'POSF Emiss by Zone'!$D$7*'POSF Zone Def'!$CI16</f>
        <v>0</v>
      </c>
      <c r="FD27" s="235">
        <f>'POSF Inventory'!$CG19*'POSF Emiss by Zone'!$D$9*'POSF Zone Def'!$CI16</f>
        <v>0</v>
      </c>
      <c r="FE27" s="235">
        <f>'POSF Inventory'!$CH19*'POSF Emiss by Zone'!$D$7*'POSF Zone Def'!$CI16</f>
        <v>0</v>
      </c>
      <c r="FF27" s="235">
        <f>'POSF Inventory'!$CI19*'POSF Emiss by Zone'!$D$9*'POSF Zone Def'!$CI16</f>
        <v>0</v>
      </c>
      <c r="FG27" s="235">
        <f>'POSF Inventory'!$CJ19*'POSF Emiss by Zone'!$D$7*'POSF Zone Def'!$CI16</f>
        <v>0</v>
      </c>
      <c r="FH27" s="577">
        <f>'POSF Inventory'!$CK19*'POSF Emiss by Zone'!$D$9*'POSF Zone Def'!$CI16</f>
        <v>0</v>
      </c>
      <c r="FI27" s="595"/>
      <c r="FJ27" s="595"/>
      <c r="FM27" s="592">
        <v>10</v>
      </c>
      <c r="FN27" s="592">
        <f t="shared" si="0"/>
        <v>1964</v>
      </c>
      <c r="FO27" s="587">
        <v>7</v>
      </c>
      <c r="FP27" s="477">
        <f t="shared" si="20"/>
        <v>0.62361950624999984</v>
      </c>
      <c r="FQ27" s="474">
        <f t="shared" si="21"/>
        <v>0.62509552874999985</v>
      </c>
      <c r="FR27" s="474">
        <f t="shared" si="22"/>
        <v>0</v>
      </c>
      <c r="FS27" s="474">
        <f t="shared" si="23"/>
        <v>0</v>
      </c>
      <c r="FT27" s="474">
        <f t="shared" si="24"/>
        <v>0.46194037500000001</v>
      </c>
      <c r="FU27" s="485">
        <f t="shared" si="25"/>
        <v>0.46303372500000001</v>
      </c>
      <c r="FV27" s="474">
        <f t="shared" si="26"/>
        <v>0.62361950624999984</v>
      </c>
      <c r="FW27" s="474">
        <f t="shared" si="27"/>
        <v>0.62509552874999985</v>
      </c>
      <c r="FX27" s="474">
        <f t="shared" si="28"/>
        <v>0</v>
      </c>
      <c r="FY27" s="474">
        <f t="shared" si="29"/>
        <v>0</v>
      </c>
      <c r="FZ27" s="474">
        <f t="shared" si="30"/>
        <v>0.46194037500000001</v>
      </c>
      <c r="GA27" s="134">
        <f t="shared" si="31"/>
        <v>0.46303372500000001</v>
      </c>
      <c r="GB27" s="474">
        <f t="shared" si="32"/>
        <v>0</v>
      </c>
      <c r="GC27" s="474">
        <f t="shared" si="33"/>
        <v>0</v>
      </c>
      <c r="GD27" s="474">
        <f t="shared" si="34"/>
        <v>1.0153187807270918</v>
      </c>
      <c r="GE27" s="474">
        <f t="shared" si="35"/>
        <v>6.4415883711155377</v>
      </c>
      <c r="GF27" s="474">
        <f t="shared" si="36"/>
        <v>0.76683329183266924</v>
      </c>
      <c r="GG27" s="524">
        <f t="shared" si="37"/>
        <v>0.76864828187250989</v>
      </c>
      <c r="GH27" s="474">
        <f t="shared" si="38"/>
        <v>0</v>
      </c>
      <c r="GI27" s="474">
        <f t="shared" si="39"/>
        <v>0</v>
      </c>
      <c r="GJ27" s="474">
        <f t="shared" si="40"/>
        <v>0.48089317793824699</v>
      </c>
      <c r="GK27" s="474">
        <f t="shared" si="41"/>
        <v>1.0846832165338645</v>
      </c>
      <c r="GL27" s="474">
        <f t="shared" si="42"/>
        <v>0.76683329183266924</v>
      </c>
      <c r="GM27" s="705">
        <f t="shared" si="43"/>
        <v>0.76864828187250989</v>
      </c>
      <c r="GN27" s="705">
        <f t="shared" si="44"/>
        <v>0</v>
      </c>
      <c r="GO27" s="705">
        <f t="shared" si="45"/>
        <v>0</v>
      </c>
      <c r="GP27" s="705">
        <f t="shared" si="46"/>
        <v>0</v>
      </c>
      <c r="GQ27" s="705">
        <f t="shared" si="47"/>
        <v>0</v>
      </c>
      <c r="GR27" s="705">
        <f t="shared" si="48"/>
        <v>0</v>
      </c>
      <c r="GS27" s="705">
        <f t="shared" si="49"/>
        <v>0</v>
      </c>
      <c r="GT27" s="551">
        <f t="shared" si="50"/>
        <v>7.6273131042489386E-3</v>
      </c>
      <c r="GU27" s="548">
        <f t="shared" si="51"/>
        <v>0.27075035913129891</v>
      </c>
      <c r="GV27" s="548">
        <f t="shared" si="52"/>
        <v>9.0604302788844615E-4</v>
      </c>
      <c r="GW27" s="548">
        <f t="shared" si="53"/>
        <v>1.1200956932270916E-3</v>
      </c>
      <c r="GX27" s="548">
        <f t="shared" si="54"/>
        <v>3.3221577689243028E-3</v>
      </c>
      <c r="GY27" s="524">
        <f t="shared" si="55"/>
        <v>1.642807016733068E-2</v>
      </c>
      <c r="GZ27" s="548">
        <f t="shared" si="56"/>
        <v>9.0117067249512346E-4</v>
      </c>
      <c r="HA27" s="548">
        <f t="shared" si="57"/>
        <v>3.014974927789112E-2</v>
      </c>
      <c r="HB27" s="548">
        <f t="shared" si="58"/>
        <v>9.0604302788844615E-4</v>
      </c>
      <c r="HC27" s="548">
        <f t="shared" si="59"/>
        <v>1.1200956932270916E-3</v>
      </c>
      <c r="HD27" s="548">
        <f t="shared" si="60"/>
        <v>3.3221577689243028E-3</v>
      </c>
      <c r="HE27" s="549">
        <f t="shared" si="61"/>
        <v>1.642807016733068E-2</v>
      </c>
      <c r="HF27" s="235">
        <f t="shared" si="62"/>
        <v>0</v>
      </c>
      <c r="HG27" s="235">
        <f t="shared" si="63"/>
        <v>0</v>
      </c>
      <c r="HH27" s="235">
        <f t="shared" si="64"/>
        <v>0</v>
      </c>
      <c r="HI27" s="235">
        <f t="shared" si="65"/>
        <v>0</v>
      </c>
      <c r="HJ27" s="235">
        <f t="shared" si="66"/>
        <v>0</v>
      </c>
      <c r="HK27" s="580">
        <f t="shared" si="67"/>
        <v>0</v>
      </c>
      <c r="HL27" s="235">
        <f t="shared" si="68"/>
        <v>0</v>
      </c>
      <c r="HM27" s="235">
        <f t="shared" si="69"/>
        <v>0</v>
      </c>
      <c r="HN27" s="235">
        <f t="shared" si="70"/>
        <v>0</v>
      </c>
      <c r="HO27" s="235">
        <f t="shared" si="71"/>
        <v>0</v>
      </c>
      <c r="HP27" s="235">
        <f t="shared" si="72"/>
        <v>0</v>
      </c>
      <c r="HQ27" s="580">
        <f t="shared" si="73"/>
        <v>0</v>
      </c>
      <c r="HR27" s="235">
        <f t="shared" si="74"/>
        <v>0</v>
      </c>
      <c r="HS27" s="235">
        <f t="shared" si="75"/>
        <v>0</v>
      </c>
      <c r="HT27" s="235">
        <f t="shared" si="76"/>
        <v>0</v>
      </c>
      <c r="HU27" s="235">
        <f t="shared" si="77"/>
        <v>0</v>
      </c>
      <c r="HV27" s="235">
        <f t="shared" si="78"/>
        <v>0</v>
      </c>
      <c r="HW27" s="577">
        <f t="shared" si="79"/>
        <v>0</v>
      </c>
      <c r="HX27" s="235">
        <f t="shared" si="80"/>
        <v>0.40536235567119938</v>
      </c>
      <c r="HY27" s="235">
        <f t="shared" si="81"/>
        <v>14.389340240293418</v>
      </c>
      <c r="HZ27" s="235">
        <f t="shared" si="82"/>
        <v>4.815270215139441E-2</v>
      </c>
      <c r="IA27" s="235">
        <f t="shared" si="83"/>
        <v>5.9528778034661341E-2</v>
      </c>
      <c r="IB27" s="235">
        <f t="shared" si="84"/>
        <v>0.17655990788844619</v>
      </c>
      <c r="IC27" s="235">
        <f t="shared" si="85"/>
        <v>0.87308874450836649</v>
      </c>
      <c r="ID27" s="235">
        <f t="shared" si="86"/>
        <v>4.7893755202067755E-2</v>
      </c>
      <c r="IE27" s="235">
        <f t="shared" si="87"/>
        <v>1.6023432135457669</v>
      </c>
      <c r="IF27" s="235">
        <f t="shared" si="88"/>
        <v>4.815270215139441E-2</v>
      </c>
      <c r="IG27" s="235">
        <f t="shared" si="89"/>
        <v>5.9528778034661341E-2</v>
      </c>
      <c r="IH27" s="235">
        <f t="shared" si="90"/>
        <v>0.17655990788844619</v>
      </c>
      <c r="II27" s="235">
        <f t="shared" si="91"/>
        <v>0.87308874450836649</v>
      </c>
      <c r="IJ27" s="235">
        <f t="shared" si="92"/>
        <v>0</v>
      </c>
      <c r="IK27" s="235">
        <f t="shared" si="93"/>
        <v>0</v>
      </c>
      <c r="IL27" s="235">
        <f t="shared" si="94"/>
        <v>0</v>
      </c>
      <c r="IM27" s="235">
        <f t="shared" si="95"/>
        <v>0</v>
      </c>
      <c r="IN27" s="235">
        <f t="shared" si="96"/>
        <v>0</v>
      </c>
      <c r="IO27" s="235">
        <f t="shared" si="97"/>
        <v>0</v>
      </c>
    </row>
    <row r="28" spans="1:249" ht="18" x14ac:dyDescent="0.25">
      <c r="A28" s="18">
        <v>1965</v>
      </c>
      <c r="B28" s="564"/>
      <c r="C28" s="477">
        <f>'POSF Inventory'!AD20*$D$5*'POSF Zone Def'!$M17</f>
        <v>0.71463424499999995</v>
      </c>
      <c r="D28" s="474">
        <f>'POSF Inventory'!AE20*$D$6*'POSF Zone Def'!$M17</f>
        <v>0.71632568699999988</v>
      </c>
      <c r="E28" s="474">
        <f>'POSF Inventory'!AF20*$D$5*'POSF Zone Def'!$M17</f>
        <v>0</v>
      </c>
      <c r="F28" s="474">
        <f>'POSF Inventory'!AG20*$D$6*'POSF Zone Def'!$M17</f>
        <v>0</v>
      </c>
      <c r="G28" s="474">
        <f>'POSF Inventory'!AH20*$D$5*'POSF Zone Def'!$M17</f>
        <v>0.52935869999999996</v>
      </c>
      <c r="H28" s="485">
        <f>'POSF Inventory'!AI20*$D$6*'POSF Zone Def'!$M17</f>
        <v>0.53061161999999995</v>
      </c>
      <c r="I28" s="474">
        <f>'POSF Inventory'!AD20*$D$5*'POSF Zone Def'!$N17</f>
        <v>0.71463424499999995</v>
      </c>
      <c r="J28" s="474">
        <f>'POSF Inventory'!AE20*$D$6*'POSF Zone Def'!$N17</f>
        <v>0.71632568699999988</v>
      </c>
      <c r="K28" s="474">
        <f>'POSF Inventory'!AF20*$D$5*'POSF Zone Def'!$N17</f>
        <v>0</v>
      </c>
      <c r="L28" s="474">
        <f>'POSF Inventory'!AG20*$D$6*'POSF Zone Def'!$N17</f>
        <v>0</v>
      </c>
      <c r="M28" s="474">
        <f>'POSF Inventory'!AH20*$D$5*'POSF Zone Def'!$N17</f>
        <v>0.52935869999999996</v>
      </c>
      <c r="N28" s="485">
        <f>'POSF Inventory'!AI20*$D$6*'POSF Zone Def'!$N17</f>
        <v>0.53061161999999995</v>
      </c>
      <c r="O28" s="474">
        <f>'POSF Inventory'!AJ20*$D$5*'POSF Zone Def'!$AP17</f>
        <v>0</v>
      </c>
      <c r="P28" s="474">
        <f>'POSF Inventory'!AK20*$D$6*'POSF Zone Def'!$AP17</f>
        <v>0</v>
      </c>
      <c r="Q28" s="474">
        <f>'POSF Inventory'!AL20*$D$5*'POSF Zone Def'!$AP17</f>
        <v>0</v>
      </c>
      <c r="R28" s="474">
        <f>'POSF Inventory'!AM20*$D$6*'POSF Zone Def'!$AP17</f>
        <v>0</v>
      </c>
      <c r="S28" s="474">
        <f>'POSF Inventory'!AN20*$D$5*'POSF Zone Def'!$AP17</f>
        <v>0</v>
      </c>
      <c r="T28" s="524">
        <f>'POSF Inventory'!AO20*$D$6*'POSF Zone Def'!$AP17</f>
        <v>0</v>
      </c>
      <c r="U28" s="474">
        <f>'POSF Inventory'!AJ20*$D$5*'POSF Zone Def'!$AQ17</f>
        <v>0</v>
      </c>
      <c r="V28" s="474">
        <f>'POSF Inventory'!AK20*$D$6*'POSF Zone Def'!$AQ17</f>
        <v>0</v>
      </c>
      <c r="W28" s="474">
        <f>'POSF Inventory'!AL20*$D$5*'POSF Zone Def'!$AQ17</f>
        <v>0</v>
      </c>
      <c r="X28" s="474">
        <f>'POSF Inventory'!AM20*$D$6*'POSF Zone Def'!$AQ17</f>
        <v>0</v>
      </c>
      <c r="Y28" s="474">
        <f>'POSF Inventory'!AN20*$D$5*'POSF Zone Def'!$AQ17</f>
        <v>0</v>
      </c>
      <c r="Z28" s="474">
        <f>'POSF Inventory'!AO20*$D$6*'POSF Zone Def'!$AQ17</f>
        <v>0</v>
      </c>
      <c r="AA28" s="477">
        <f>'POSF Inventory'!AV20*'POSF Emiss by Zone'!$D$5*'POSF Zone Def'!$M17</f>
        <v>0</v>
      </c>
      <c r="AB28" s="474">
        <f>'POSF Inventory'!AW20*'POSF Emiss by Zone'!$D$6*'POSF Zone Def'!$M17</f>
        <v>0</v>
      </c>
      <c r="AC28" s="474">
        <f>'POSF Inventory'!AX20*'POSF Emiss by Zone'!$D$5*'POSF Zone Def'!$M17</f>
        <v>0.47642283000000002</v>
      </c>
      <c r="AD28" s="474">
        <f>'POSF Inventory'!AY20*'POSF Emiss by Zone'!$D$6*'POSF Zone Def'!$M17</f>
        <v>0.47755045800000001</v>
      </c>
      <c r="AE28" s="474">
        <f>'POSF Inventory'!AZ20*'POSF Emiss by Zone'!$D$5*'POSF Zone Def'!$M17</f>
        <v>0.88226450000000001</v>
      </c>
      <c r="AF28" s="485">
        <f>'POSF Inventory'!BA20*'POSF Emiss by Zone'!$D$6*'POSF Zone Def'!$M17</f>
        <v>0.88435269999999999</v>
      </c>
      <c r="AG28" s="474">
        <f>'POSF Inventory'!AV20*'POSF Emiss by Zone'!$D$5*'POSF Zone Def'!$N17</f>
        <v>0</v>
      </c>
      <c r="AH28" s="474">
        <f>'POSF Inventory'!AW20*'POSF Emiss by Zone'!$D$6*'POSF Zone Def'!$N17</f>
        <v>0</v>
      </c>
      <c r="AI28" s="474">
        <f>'POSF Inventory'!AX20*'POSF Emiss by Zone'!$D$5*'POSF Zone Def'!$N17</f>
        <v>0.47642283000000002</v>
      </c>
      <c r="AJ28" s="474">
        <f>'POSF Inventory'!AY20*'POSF Emiss by Zone'!$D$6*'POSF Zone Def'!$N17</f>
        <v>0.47755045800000001</v>
      </c>
      <c r="AK28" s="474">
        <f>'POSF Inventory'!AZ20*'POSF Emiss by Zone'!$D$5*'POSF Zone Def'!$N17</f>
        <v>0.88226450000000001</v>
      </c>
      <c r="AL28" s="549">
        <f>'POSF Inventory'!BA20*'POSF Emiss by Zone'!$D$6*'POSF Zone Def'!$N17</f>
        <v>0.88435269999999999</v>
      </c>
      <c r="AM28" s="474">
        <f>'POSF Inventory'!BB20*'POSF Emiss by Zone'!$D$5*'POSF Zone Def'!$AP17</f>
        <v>0</v>
      </c>
      <c r="AN28" s="474">
        <f>'POSF Inventory'!BC20*'POSF Emiss by Zone'!$D$6*'POSF Zone Def'!$AP17</f>
        <v>0</v>
      </c>
      <c r="AO28" s="474">
        <f>'POSF Inventory'!BD20*'POSF Emiss by Zone'!$D$5*'POSF Zone Def'!$AP17</f>
        <v>0</v>
      </c>
      <c r="AP28" s="474">
        <f>'POSF Inventory'!BE20*'POSF Emiss by Zone'!$D$6*'POSF Zone Def'!$AP17</f>
        <v>0</v>
      </c>
      <c r="AQ28" s="474">
        <f>'POSF Inventory'!BF20*'POSF Emiss by Zone'!$D$5*'POSF Zone Def'!$AP17</f>
        <v>0</v>
      </c>
      <c r="AR28" s="524">
        <f>'POSF Inventory'!BG20*'POSF Emiss by Zone'!$D$6*'POSF Zone Def'!$AP17</f>
        <v>0</v>
      </c>
      <c r="AS28" s="474">
        <f>'POSF Inventory'!BB20*'POSF Emiss by Zone'!$D$5*'POSF Zone Def'!$AQ17</f>
        <v>0</v>
      </c>
      <c r="AT28" s="474">
        <f>'POSF Inventory'!BC20*'POSF Emiss by Zone'!$D$6*'POSF Zone Def'!$AQ17</f>
        <v>0</v>
      </c>
      <c r="AU28" s="474">
        <f>'POSF Inventory'!BD20*'POSF Emiss by Zone'!$D$5*'POSF Zone Def'!$AQ17</f>
        <v>0</v>
      </c>
      <c r="AV28" s="474">
        <f>'POSF Inventory'!BE20*'POSF Emiss by Zone'!$D$6*'POSF Zone Def'!$AQ17</f>
        <v>0</v>
      </c>
      <c r="AW28" s="474">
        <f>'POSF Inventory'!BF20*'POSF Emiss by Zone'!$D$5*'POSF Zone Def'!$AQ17</f>
        <v>0</v>
      </c>
      <c r="AX28" s="134">
        <f>'POSF Inventory'!BG20*'POSF Emiss by Zone'!$D$6*'POSF Zone Def'!$AQ17</f>
        <v>0</v>
      </c>
      <c r="AY28" s="474">
        <f>'POSF Inventory'!EA20*'POSF Emiss by Zone'!$D$5*'POSF Zone Def'!$Y17</f>
        <v>0</v>
      </c>
      <c r="AZ28" s="474">
        <f>'POSF Inventory'!EB20*'POSF Emiss by Zone'!$D$6*'POSF Zone Def'!$Y17</f>
        <v>0</v>
      </c>
      <c r="BA28" s="474">
        <f>'POSF Inventory'!EC20*'POSF Emiss by Zone'!$D$5*'POSF Zone Def'!$Y17</f>
        <v>0.69663542495624997</v>
      </c>
      <c r="BB28" s="474">
        <f>'POSF Inventory'!ED20*'POSF Emiss by Zone'!$D$6*'POSF Zone Def'!$Y17</f>
        <v>6.9828426619875001</v>
      </c>
      <c r="BC28" s="474">
        <f>'POSF Inventory'!EE20*'POSF Emiss by Zone'!$D$5*'POSF Zone Def'!$Y17</f>
        <v>0</v>
      </c>
      <c r="BD28" s="485">
        <f>'POSF Inventory'!EF20*'POSF Emiss by Zone'!$D$6*'POSF Zone Def'!$Y17</f>
        <v>0</v>
      </c>
      <c r="BE28" s="474">
        <f>'POSF Inventory'!EA20*'POSF Emiss by Zone'!$D$5*'POSF Zone Def'!$Z17</f>
        <v>0</v>
      </c>
      <c r="BF28" s="474">
        <f>'POSF Inventory'!EB20*'POSF Emiss by Zone'!$D$6*'POSF Zone Def'!$Z17</f>
        <v>0</v>
      </c>
      <c r="BG28" s="474">
        <f>'POSF Inventory'!EC20*'POSF Emiss by Zone'!$D$5*'POSF Zone Def'!$Z17</f>
        <v>7.7403936106250001E-2</v>
      </c>
      <c r="BH28" s="474">
        <f>'POSF Inventory'!ED20*'POSF Emiss by Zone'!$D$6*'POSF Zone Def'!$Z17</f>
        <v>0.77587140688750011</v>
      </c>
      <c r="BI28" s="474">
        <f>'POSF Inventory'!EE20*'POSF Emiss by Zone'!$D$5*'POSF Zone Def'!$Z17</f>
        <v>0</v>
      </c>
      <c r="BJ28" s="549">
        <f>'POSF Inventory'!EF20*'POSF Emiss by Zone'!$D$6*'POSF Zone Def'!$Z17</f>
        <v>0</v>
      </c>
      <c r="BK28" s="705">
        <f>'POSF Inventory'!$EA20*'POSF Emiss by Zone'!$D$5*'POSF Zone Def'!$AC17</f>
        <v>0</v>
      </c>
      <c r="BL28" s="705">
        <f>'POSF Inventory'!$EB20*'POSF Emiss by Zone'!$D$6*'POSF Zone Def'!$AC17</f>
        <v>0</v>
      </c>
      <c r="BM28" s="705">
        <f>'POSF Inventory'!$EC20*'POSF Emiss by Zone'!$D$5*'POSF Zone Def'!$AC17</f>
        <v>0</v>
      </c>
      <c r="BN28" s="705">
        <f>'POSF Inventory'!$ED20*'POSF Emiss by Zone'!$D$6*'POSF Zone Def'!$AC17</f>
        <v>0</v>
      </c>
      <c r="BO28" s="705">
        <f>'POSF Inventory'!$EE20*'POSF Emiss by Zone'!$D$5*'POSF Zone Def'!$AC17</f>
        <v>0</v>
      </c>
      <c r="BP28" s="708">
        <f>'POSF Inventory'!$EF20*'POSF Emiss by Zone'!$D$6*'POSF Zone Def'!$AC17</f>
        <v>0</v>
      </c>
      <c r="BQ28" s="474">
        <f>'POSF Inventory'!EG20*'POSF Emiss by Zone'!$D$5*'POSF Zone Def'!$BB17</f>
        <v>0</v>
      </c>
      <c r="BR28" s="474">
        <f>'POSF Inventory'!EH20*'POSF Emiss by Zone'!$D$6*'POSF Zone Def'!$BB17</f>
        <v>0</v>
      </c>
      <c r="BS28" s="474">
        <f>'POSF Inventory'!EI20*'POSF Emiss by Zone'!$D$5*'POSF Zone Def'!$BB17</f>
        <v>0</v>
      </c>
      <c r="BT28" s="474">
        <f>'POSF Inventory'!EJ20*'POSF Emiss by Zone'!$D$6*'POSF Zone Def'!$BB17</f>
        <v>0</v>
      </c>
      <c r="BU28" s="474">
        <f>'POSF Inventory'!EK20*'POSF Emiss by Zone'!$D$5*'POSF Zone Def'!$BB17</f>
        <v>0</v>
      </c>
      <c r="BV28" s="524">
        <f>'POSF Inventory'!EL20*'POSF Emiss by Zone'!$D$6*'POSF Zone Def'!$BB17</f>
        <v>0</v>
      </c>
      <c r="BW28" s="474">
        <f>'POSF Inventory'!EG20*'POSF Emiss by Zone'!$D$5*'POSF Zone Def'!$BC17</f>
        <v>0</v>
      </c>
      <c r="BX28" s="474">
        <f>'POSF Inventory'!EH20*'POSF Emiss by Zone'!$D$6*'POSF Zone Def'!$BC17</f>
        <v>0</v>
      </c>
      <c r="BY28" s="474">
        <f>'POSF Inventory'!EI20*'POSF Emiss by Zone'!$D$5*'POSF Zone Def'!$BC17</f>
        <v>0</v>
      </c>
      <c r="BZ28" s="474">
        <f>'POSF Inventory'!EJ20*'POSF Emiss by Zone'!$D$6*'POSF Zone Def'!$BC17</f>
        <v>0</v>
      </c>
      <c r="CA28" s="474">
        <f>'POSF Inventory'!EK20*'POSF Emiss by Zone'!$D$5*'POSF Zone Def'!$BC17</f>
        <v>0</v>
      </c>
      <c r="CB28" s="134">
        <f>'POSF Inventory'!EL20*'POSF Emiss by Zone'!$D$6*'POSF Zone Def'!$BC17</f>
        <v>0</v>
      </c>
      <c r="CC28" s="474">
        <f>'POSF Inventory'!GC20*'POSF Emiss by Zone'!$D$7*'POSF Zone Def'!$M17</f>
        <v>3.3411200000000004E-3</v>
      </c>
      <c r="CD28" s="474">
        <f>'POSF Inventory'!GD20*'POSF Emiss by Zone'!$D$9*'POSF Zone Def'!$M17</f>
        <v>4.1304596000000006E-3</v>
      </c>
      <c r="CE28" s="474">
        <f>'POSF Inventory'!GE20*'POSF Emiss by Zone'!$D$7*'POSF Zone Def'!$M17</f>
        <v>5.0116799999999996E-2</v>
      </c>
      <c r="CF28" s="474">
        <f>'POSF Inventory'!GF20*'POSF Emiss by Zone'!$D$9*'POSF Zone Def'!$M17</f>
        <v>6.1956893999999998E-2</v>
      </c>
      <c r="CG28" s="474">
        <f>'POSF Inventory'!GG20*'POSF Emiss by Zone'!$D$7*'POSF Zone Def'!$M17</f>
        <v>0.1837616</v>
      </c>
      <c r="CH28" s="485">
        <f>'POSF Inventory'!GH20*'POSF Emiss by Zone'!$D$9*'POSF Zone Def'!$M17</f>
        <v>0.90870111200000003</v>
      </c>
      <c r="CI28" s="474">
        <f>'POSF Inventory'!GC20*'POSF Emiss by Zone'!$D$7*'POSF Zone Def'!$N17</f>
        <v>3.3411200000000004E-3</v>
      </c>
      <c r="CJ28" s="474">
        <f>'POSF Inventory'!GD20*'POSF Emiss by Zone'!$D$9*'POSF Zone Def'!$N17</f>
        <v>4.1304596000000006E-3</v>
      </c>
      <c r="CK28" s="474">
        <f>'POSF Inventory'!GE20*'POSF Emiss by Zone'!$D$7*'POSF Zone Def'!$N17</f>
        <v>5.0116799999999996E-2</v>
      </c>
      <c r="CL28" s="474">
        <f>'POSF Inventory'!GF20*'POSF Emiss by Zone'!$D$9*'POSF Zone Def'!$N17</f>
        <v>6.1956893999999998E-2</v>
      </c>
      <c r="CM28" s="474">
        <f>'POSF Inventory'!GG20*'POSF Emiss by Zone'!$D$7*'POSF Zone Def'!$N17</f>
        <v>0.1837616</v>
      </c>
      <c r="CN28" s="485">
        <f>'POSF Inventory'!GH20*'POSF Emiss by Zone'!$D$9*'POSF Zone Def'!$N17</f>
        <v>0.90870111200000003</v>
      </c>
      <c r="CO28" s="474">
        <f>'POSF Inventory'!GI20*'POSF Emiss by Zone'!$D$7*'POSF Zone Def'!$AP17</f>
        <v>0</v>
      </c>
      <c r="CP28" s="474">
        <f>'POSF Inventory'!GJ20*'POSF Emiss by Zone'!$D$9*'POSF Zone Def'!$AP17</f>
        <v>0</v>
      </c>
      <c r="CQ28" s="474">
        <f>'POSF Inventory'!GK20*'POSF Emiss by Zone'!$D$7*'POSF Zone Def'!$AP17</f>
        <v>0</v>
      </c>
      <c r="CR28" s="474">
        <f>'POSF Inventory'!GL20*'POSF Emiss by Zone'!$D$9*'POSF Zone Def'!$AP17</f>
        <v>0</v>
      </c>
      <c r="CS28" s="474">
        <f>'POSF Inventory'!GM20*'POSF Emiss by Zone'!$D$7*'POSF Zone Def'!$AP17</f>
        <v>0</v>
      </c>
      <c r="CT28" s="524">
        <f>'POSF Inventory'!GN20*'POSF Emiss by Zone'!$D$9*'POSF Zone Def'!$AP17</f>
        <v>0</v>
      </c>
      <c r="CU28" s="474">
        <f>'POSF Inventory'!GI20*'POSF Emiss by Zone'!$D$7*'POSF Zone Def'!$AQ17</f>
        <v>0</v>
      </c>
      <c r="CV28" s="474">
        <f>'POSF Inventory'!GJ20*'POSF Emiss by Zone'!$D$9*'POSF Zone Def'!$AQ17</f>
        <v>0</v>
      </c>
      <c r="CW28" s="474">
        <f>'POSF Inventory'!GK20*'POSF Emiss by Zone'!$D$7*'POSF Zone Def'!$AQ17</f>
        <v>0</v>
      </c>
      <c r="CX28" s="474">
        <f>'POSF Inventory'!GL20*'POSF Emiss by Zone'!$D$9*'POSF Zone Def'!$AQ17</f>
        <v>0</v>
      </c>
      <c r="CY28" s="474">
        <f>'POSF Inventory'!GM20*'POSF Emiss by Zone'!$D$7*'POSF Zone Def'!$AQ17</f>
        <v>0</v>
      </c>
      <c r="CZ28" s="134">
        <f>'POSF Inventory'!GN20*'POSF Emiss by Zone'!$D$9*'POSF Zone Def'!$AQ17</f>
        <v>0</v>
      </c>
      <c r="DA28" s="474">
        <f>SUM('POSF Inventory'!GQ20,'POSF Inventory'!GS20)*'POSF Emiss by Zone'!$D$7*'POSF Zone Def'!$Y17</f>
        <v>0.42186298236168379</v>
      </c>
      <c r="DB28" s="474">
        <f>SUM('POSF Inventory'!GR20,'POSF Inventory'!GT20)*'POSF Emiss by Zone'!$D$9*'POSF Zone Def'!$Y17</f>
        <v>15.288578988397932</v>
      </c>
      <c r="DC28" s="474"/>
      <c r="DD28" s="474"/>
      <c r="DE28" s="474">
        <f>'POSF Inventory'!GU20*'POSF Emiss by Zone'!$D$7*'POSF Zone Def'!$Y17</f>
        <v>0</v>
      </c>
      <c r="DF28" s="485">
        <f>'POSF Inventory'!GV20*'POSF Emiss by Zone'!$D$9*'POSF Zone Def'!$Y17</f>
        <v>0</v>
      </c>
      <c r="DG28" s="474">
        <f>SUM('POSF Inventory'!GQ20,'POSF Inventory'!GS20)*'POSF Emiss by Zone'!$D$7*'POSF Zone Def'!$Z17</f>
        <v>4.6873664706853752E-2</v>
      </c>
      <c r="DH28" s="474">
        <f>SUM('POSF Inventory'!GR20,'POSF Inventory'!GT20)*'POSF Emiss by Zone'!$D$9*'POSF Zone Def'!$Z17</f>
        <v>1.6987309987108814</v>
      </c>
      <c r="DI28" s="474"/>
      <c r="DJ28" s="474"/>
      <c r="DK28" s="474">
        <f>'POSF Inventory'!GU20*'POSF Emiss by Zone'!$D$7*'POSF Zone Def'!$Z17</f>
        <v>0</v>
      </c>
      <c r="DL28" s="485">
        <f>'POSF Inventory'!GV20*'POSF Emiss by Zone'!$D$9*'POSF Zone Def'!$Z17</f>
        <v>0</v>
      </c>
      <c r="DM28" s="705">
        <f>SUM('POSF Inventory'!$GQ20,'POSF Inventory'!$GS20)*'POSF Emiss by Zone'!$D$7*'POSF Zone Def'!$AC17</f>
        <v>0</v>
      </c>
      <c r="DN28" s="705">
        <f>SUM('POSF Inventory'!$GR20,'POSF Inventory'!$GT20)*'POSF Emiss by Zone'!$D$9*'POSF Zone Def'!$AC17</f>
        <v>0</v>
      </c>
      <c r="DO28" s="705"/>
      <c r="DP28" s="705"/>
      <c r="DQ28" s="705">
        <f>'POSF Inventory'!$GU20*'POSF Emiss by Zone'!$D$7*'POSF Zone Def'!$AC17</f>
        <v>0</v>
      </c>
      <c r="DR28" s="708">
        <f>'POSF Inventory'!$GV20*'POSF Emiss by Zone'!$D$9*'POSF Zone Def'!$AC17</f>
        <v>0</v>
      </c>
      <c r="DS28" s="474">
        <f>SUM('POSF Inventory'!GW20,'POSF Inventory'!GY20)*$D$7*'POSF Zone Def'!$BB17</f>
        <v>0</v>
      </c>
      <c r="DT28" s="474">
        <f>SUM('POSF Inventory'!GX20,'POSF Inventory'!GZ20)*$D$9*'POSF Zone Def'!$BB17</f>
        <v>0</v>
      </c>
      <c r="DU28" s="474"/>
      <c r="DV28" s="474"/>
      <c r="DW28" s="474">
        <f>'POSF Inventory'!HA20*'POSF Emiss by Zone'!$D$7*'POSF Zone Def'!$BB17</f>
        <v>0</v>
      </c>
      <c r="DX28" s="524">
        <f>'POSF Inventory'!HB20*'POSF Emiss by Zone'!$D$9*'POSF Zone Def'!$BB17</f>
        <v>0</v>
      </c>
      <c r="DY28" s="474">
        <f>SUM('POSF Inventory'!GW20,'POSF Inventory'!GY20)*$D$7*'POSF Zone Def'!$BC17</f>
        <v>0</v>
      </c>
      <c r="DZ28" s="474">
        <f>SUM('POSF Inventory'!GX20,'POSF Inventory'!GZ20)*$D$9*'POSF Zone Def'!$BC17</f>
        <v>0</v>
      </c>
      <c r="EA28" s="474"/>
      <c r="EB28" s="474"/>
      <c r="EC28" s="474">
        <f>'POSF Inventory'!HA20*'POSF Emiss by Zone'!$D$7*'POSF Zone Def'!$BC17</f>
        <v>0</v>
      </c>
      <c r="ED28" s="134">
        <f>'POSF Inventory'!HB20*'POSF Emiss by Zone'!$D$9*'POSF Zone Def'!$BC17</f>
        <v>0</v>
      </c>
      <c r="EE28" s="235">
        <f>'POSF Inventory'!$CF20*'POSF Emiss by Zone'!$D$7*'POSF Zone Def'!$CE17</f>
        <v>0</v>
      </c>
      <c r="EF28" s="235">
        <f>'POSF Inventory'!$CG20*'POSF Emiss by Zone'!$D$9*'POSF Zone Def'!$CE17</f>
        <v>0</v>
      </c>
      <c r="EG28" s="235">
        <f>'POSF Inventory'!$CH20*'POSF Emiss by Zone'!$D$7*'POSF Zone Def'!$CE17</f>
        <v>0</v>
      </c>
      <c r="EH28" s="235">
        <f>'POSF Inventory'!$CI20*'POSF Emiss by Zone'!$D$9*'POSF Zone Def'!$CE17</f>
        <v>0</v>
      </c>
      <c r="EI28" s="235">
        <f>'POSF Inventory'!$CJ20*'POSF Emiss by Zone'!$D$7*'POSF Zone Def'!$CE17</f>
        <v>0</v>
      </c>
      <c r="EJ28" s="580">
        <f>'POSF Inventory'!$CK20*'POSF Emiss by Zone'!$D$9*'POSF Zone Def'!$CE17</f>
        <v>0</v>
      </c>
      <c r="EK28" s="235">
        <f>'POSF Inventory'!$CF20*'POSF Emiss by Zone'!$D$7*'POSF Zone Def'!$CF17</f>
        <v>0</v>
      </c>
      <c r="EL28" s="235">
        <f>'POSF Inventory'!$CG20*'POSF Emiss by Zone'!$D$9*'POSF Zone Def'!$CF17</f>
        <v>0</v>
      </c>
      <c r="EM28" s="235">
        <f>'POSF Inventory'!$CH20*'POSF Emiss by Zone'!$D$7*'POSF Zone Def'!$CF17</f>
        <v>0</v>
      </c>
      <c r="EN28" s="235">
        <f>'POSF Inventory'!$CI20*'POSF Emiss by Zone'!$D$9*'POSF Zone Def'!$CF17</f>
        <v>0</v>
      </c>
      <c r="EO28" s="235">
        <f>'POSF Inventory'!$CJ20*'POSF Emiss by Zone'!$D$7*'POSF Zone Def'!$CF17</f>
        <v>0</v>
      </c>
      <c r="EP28" s="580">
        <f>'POSF Inventory'!$CK20*'POSF Emiss by Zone'!$D$9*'POSF Zone Def'!$CF17</f>
        <v>0</v>
      </c>
      <c r="EQ28" s="235">
        <f>'POSF Inventory'!$CF20*'POSF Emiss by Zone'!$D$7*'POSF Zone Def'!$CG17</f>
        <v>0</v>
      </c>
      <c r="ER28" s="235">
        <f>'POSF Inventory'!$CG20*'POSF Emiss by Zone'!$D$9*'POSF Zone Def'!$CG17</f>
        <v>0</v>
      </c>
      <c r="ES28" s="235">
        <f>'POSF Inventory'!$CH20*'POSF Emiss by Zone'!$D$7*'POSF Zone Def'!$CG17</f>
        <v>0</v>
      </c>
      <c r="ET28" s="235">
        <f>'POSF Inventory'!$CI20*'POSF Emiss by Zone'!$D$9*'POSF Zone Def'!$CG17</f>
        <v>0</v>
      </c>
      <c r="EU28" s="235">
        <f>'POSF Inventory'!$CJ20*'POSF Emiss by Zone'!$D$7*'POSF Zone Def'!$CG17</f>
        <v>0</v>
      </c>
      <c r="EV28" s="580">
        <f>'POSF Inventory'!$CK20*'POSF Emiss by Zone'!$D$9*'POSF Zone Def'!$CG17</f>
        <v>0</v>
      </c>
      <c r="EW28" s="235">
        <f>'POSF Inventory'!$CF20*'POSF Emiss by Zone'!$D$7*'POSF Zone Def'!$CH17</f>
        <v>0</v>
      </c>
      <c r="EX28" s="235">
        <f>'POSF Inventory'!$CG20*'POSF Emiss by Zone'!$D$9*'POSF Zone Def'!$CH17</f>
        <v>0</v>
      </c>
      <c r="EY28" s="235">
        <f>'POSF Inventory'!$CH20*'POSF Emiss by Zone'!$D$7*'POSF Zone Def'!$CH17</f>
        <v>0</v>
      </c>
      <c r="EZ28" s="235">
        <f>'POSF Inventory'!$CI20*'POSF Emiss by Zone'!$D$9*'POSF Zone Def'!$CH17</f>
        <v>0</v>
      </c>
      <c r="FA28" s="235">
        <f>'POSF Inventory'!$CJ20*'POSF Emiss by Zone'!$D$7*'POSF Zone Def'!$CH17</f>
        <v>0</v>
      </c>
      <c r="FB28" s="580">
        <f>'POSF Inventory'!$CK20*'POSF Emiss by Zone'!$D$9*'POSF Zone Def'!$CH17</f>
        <v>0</v>
      </c>
      <c r="FC28" s="235">
        <f>'POSF Inventory'!$CF20*'POSF Emiss by Zone'!$D$7*'POSF Zone Def'!$CI17</f>
        <v>0</v>
      </c>
      <c r="FD28" s="235">
        <f>'POSF Inventory'!$CG20*'POSF Emiss by Zone'!$D$9*'POSF Zone Def'!$CI17</f>
        <v>0</v>
      </c>
      <c r="FE28" s="235">
        <f>'POSF Inventory'!$CH20*'POSF Emiss by Zone'!$D$7*'POSF Zone Def'!$CI17</f>
        <v>0</v>
      </c>
      <c r="FF28" s="235">
        <f>'POSF Inventory'!$CI20*'POSF Emiss by Zone'!$D$9*'POSF Zone Def'!$CI17</f>
        <v>0</v>
      </c>
      <c r="FG28" s="235">
        <f>'POSF Inventory'!$CJ20*'POSF Emiss by Zone'!$D$7*'POSF Zone Def'!$CI17</f>
        <v>0</v>
      </c>
      <c r="FH28" s="577">
        <f>'POSF Inventory'!$CK20*'POSF Emiss by Zone'!$D$9*'POSF Zone Def'!$CI17</f>
        <v>0</v>
      </c>
      <c r="FI28" s="595"/>
      <c r="FJ28" s="595"/>
      <c r="FM28" s="592">
        <v>11</v>
      </c>
      <c r="FN28" s="592">
        <f t="shared" si="0"/>
        <v>1965</v>
      </c>
      <c r="FO28" s="587">
        <v>8</v>
      </c>
      <c r="FP28" s="477">
        <f t="shared" si="20"/>
        <v>0.71463424499999995</v>
      </c>
      <c r="FQ28" s="474">
        <f t="shared" si="21"/>
        <v>0.71632568699999988</v>
      </c>
      <c r="FR28" s="474">
        <f t="shared" si="22"/>
        <v>0</v>
      </c>
      <c r="FS28" s="474">
        <f t="shared" si="23"/>
        <v>0</v>
      </c>
      <c r="FT28" s="474">
        <f t="shared" si="24"/>
        <v>0.52935869999999996</v>
      </c>
      <c r="FU28" s="485">
        <f t="shared" si="25"/>
        <v>0.53061161999999995</v>
      </c>
      <c r="FV28" s="474">
        <f t="shared" si="26"/>
        <v>0.71463424499999995</v>
      </c>
      <c r="FW28" s="474">
        <f t="shared" si="27"/>
        <v>0.71632568699999988</v>
      </c>
      <c r="FX28" s="474">
        <f t="shared" si="28"/>
        <v>0</v>
      </c>
      <c r="FY28" s="474">
        <f t="shared" si="29"/>
        <v>0</v>
      </c>
      <c r="FZ28" s="474">
        <f t="shared" si="30"/>
        <v>0.52935869999999996</v>
      </c>
      <c r="GA28" s="134">
        <f t="shared" si="31"/>
        <v>0.53061161999999995</v>
      </c>
      <c r="GB28" s="474">
        <f t="shared" si="32"/>
        <v>0</v>
      </c>
      <c r="GC28" s="474">
        <f t="shared" si="33"/>
        <v>0</v>
      </c>
      <c r="GD28" s="474">
        <f t="shared" si="34"/>
        <v>1.1683847160918825</v>
      </c>
      <c r="GE28" s="474">
        <f t="shared" si="35"/>
        <v>7.4306704382345616</v>
      </c>
      <c r="GF28" s="474">
        <f t="shared" si="36"/>
        <v>0.87874950199203183</v>
      </c>
      <c r="GG28" s="524">
        <f t="shared" si="37"/>
        <v>0.88082938247011955</v>
      </c>
      <c r="GH28" s="474">
        <f t="shared" si="38"/>
        <v>0</v>
      </c>
      <c r="GI28" s="474">
        <f t="shared" si="39"/>
        <v>0</v>
      </c>
      <c r="GJ28" s="474">
        <f t="shared" si="40"/>
        <v>0.55162028496638449</v>
      </c>
      <c r="GK28" s="474">
        <f t="shared" si="41"/>
        <v>1.2484281522783867</v>
      </c>
      <c r="GL28" s="474">
        <f t="shared" si="42"/>
        <v>0.87874950199203183</v>
      </c>
      <c r="GM28" s="705">
        <f t="shared" si="43"/>
        <v>0.88082938247011955</v>
      </c>
      <c r="GN28" s="705">
        <f t="shared" si="44"/>
        <v>0</v>
      </c>
      <c r="GO28" s="705">
        <f t="shared" si="45"/>
        <v>0</v>
      </c>
      <c r="GP28" s="705">
        <f t="shared" si="46"/>
        <v>0</v>
      </c>
      <c r="GQ28" s="705">
        <f t="shared" si="47"/>
        <v>0</v>
      </c>
      <c r="GR28" s="705">
        <f t="shared" si="48"/>
        <v>0</v>
      </c>
      <c r="GS28" s="705">
        <f t="shared" si="49"/>
        <v>0</v>
      </c>
      <c r="GT28" s="551">
        <f t="shared" si="50"/>
        <v>8.8090092919552009E-3</v>
      </c>
      <c r="GU28" s="548">
        <f t="shared" si="51"/>
        <v>0.31682107222943923</v>
      </c>
      <c r="GV28" s="548">
        <f t="shared" si="52"/>
        <v>1.0382763346613545E-3</v>
      </c>
      <c r="GW28" s="548">
        <f t="shared" si="53"/>
        <v>1.2835691187250994E-3</v>
      </c>
      <c r="GX28" s="548">
        <f t="shared" si="54"/>
        <v>3.8070132270916334E-3</v>
      </c>
      <c r="GY28" s="524">
        <f t="shared" si="55"/>
        <v>1.8825680407968129E-2</v>
      </c>
      <c r="GZ28" s="548">
        <f t="shared" si="56"/>
        <v>1.0403062967156952E-3</v>
      </c>
      <c r="HA28" s="548">
        <f t="shared" si="57"/>
        <v>3.5278404714010288E-2</v>
      </c>
      <c r="HB28" s="548">
        <f t="shared" si="58"/>
        <v>1.0382763346613545E-3</v>
      </c>
      <c r="HC28" s="548">
        <f t="shared" si="59"/>
        <v>1.2835691187250994E-3</v>
      </c>
      <c r="HD28" s="548">
        <f t="shared" si="60"/>
        <v>3.8070132270916334E-3</v>
      </c>
      <c r="HE28" s="549">
        <f t="shared" si="61"/>
        <v>1.8825680407968129E-2</v>
      </c>
      <c r="HF28" s="235">
        <f t="shared" si="62"/>
        <v>0</v>
      </c>
      <c r="HG28" s="235">
        <f t="shared" si="63"/>
        <v>0</v>
      </c>
      <c r="HH28" s="235">
        <f t="shared" si="64"/>
        <v>0</v>
      </c>
      <c r="HI28" s="235">
        <f t="shared" si="65"/>
        <v>0</v>
      </c>
      <c r="HJ28" s="235">
        <f t="shared" si="66"/>
        <v>0</v>
      </c>
      <c r="HK28" s="580">
        <f t="shared" si="67"/>
        <v>0</v>
      </c>
      <c r="HL28" s="235">
        <f t="shared" si="68"/>
        <v>0</v>
      </c>
      <c r="HM28" s="235">
        <f t="shared" si="69"/>
        <v>0</v>
      </c>
      <c r="HN28" s="235">
        <f t="shared" si="70"/>
        <v>0</v>
      </c>
      <c r="HO28" s="235">
        <f t="shared" si="71"/>
        <v>0</v>
      </c>
      <c r="HP28" s="235">
        <f t="shared" si="72"/>
        <v>0</v>
      </c>
      <c r="HQ28" s="580">
        <f t="shared" si="73"/>
        <v>0</v>
      </c>
      <c r="HR28" s="235">
        <f t="shared" si="74"/>
        <v>0</v>
      </c>
      <c r="HS28" s="235">
        <f t="shared" si="75"/>
        <v>0</v>
      </c>
      <c r="HT28" s="235">
        <f t="shared" si="76"/>
        <v>0</v>
      </c>
      <c r="HU28" s="235">
        <f t="shared" si="77"/>
        <v>0</v>
      </c>
      <c r="HV28" s="235">
        <f t="shared" si="78"/>
        <v>0</v>
      </c>
      <c r="HW28" s="577">
        <f t="shared" si="79"/>
        <v>0</v>
      </c>
      <c r="HX28" s="235">
        <f t="shared" si="80"/>
        <v>0.46816496306244987</v>
      </c>
      <c r="HY28" s="235">
        <f t="shared" si="81"/>
        <v>16.837821446409194</v>
      </c>
      <c r="HZ28" s="235">
        <f t="shared" si="82"/>
        <v>5.5180393816733057E-2</v>
      </c>
      <c r="IA28" s="235">
        <f t="shared" si="83"/>
        <v>6.8216761855936253E-2</v>
      </c>
      <c r="IB28" s="235">
        <f t="shared" si="84"/>
        <v>0.20232811066135456</v>
      </c>
      <c r="IC28" s="235">
        <f t="shared" si="85"/>
        <v>1.0005125072203984</v>
      </c>
      <c r="ID28" s="235">
        <f t="shared" si="86"/>
        <v>5.5288278492374908E-2</v>
      </c>
      <c r="IE28" s="235">
        <f t="shared" si="87"/>
        <v>1.8749115243776697</v>
      </c>
      <c r="IF28" s="235">
        <f t="shared" si="88"/>
        <v>5.5180393816733057E-2</v>
      </c>
      <c r="IG28" s="235">
        <f t="shared" si="89"/>
        <v>6.8216761855936253E-2</v>
      </c>
      <c r="IH28" s="235">
        <f t="shared" si="90"/>
        <v>0.20232811066135456</v>
      </c>
      <c r="II28" s="235">
        <f t="shared" si="91"/>
        <v>1.0005125072203984</v>
      </c>
      <c r="IJ28" s="235">
        <f t="shared" si="92"/>
        <v>0</v>
      </c>
      <c r="IK28" s="235">
        <f t="shared" si="93"/>
        <v>0</v>
      </c>
      <c r="IL28" s="235">
        <f t="shared" si="94"/>
        <v>0</v>
      </c>
      <c r="IM28" s="235">
        <f t="shared" si="95"/>
        <v>0</v>
      </c>
      <c r="IN28" s="235">
        <f t="shared" si="96"/>
        <v>0</v>
      </c>
      <c r="IO28" s="235">
        <f t="shared" si="97"/>
        <v>0</v>
      </c>
    </row>
    <row r="29" spans="1:249" ht="18" x14ac:dyDescent="0.25">
      <c r="A29" s="18">
        <v>1966</v>
      </c>
      <c r="B29" s="564"/>
      <c r="C29" s="477">
        <f>'POSF Inventory'!AD21*$D$5*'POSF Zone Def'!$M18</f>
        <v>0.80227806749999997</v>
      </c>
      <c r="D29" s="474">
        <f>'POSF Inventory'!AE21*$D$6*'POSF Zone Def'!$M18</f>
        <v>0.80417695049999993</v>
      </c>
      <c r="E29" s="474">
        <f>'POSF Inventory'!AF21*$D$5*'POSF Zone Def'!$M18</f>
        <v>0</v>
      </c>
      <c r="F29" s="474">
        <f>'POSF Inventory'!AG21*$D$6*'POSF Zone Def'!$M18</f>
        <v>0</v>
      </c>
      <c r="G29" s="474">
        <f>'POSF Inventory'!AH21*$D$5*'POSF Zone Def'!$M18</f>
        <v>0.59428005000000006</v>
      </c>
      <c r="H29" s="485">
        <f>'POSF Inventory'!AI21*$D$6*'POSF Zone Def'!$M18</f>
        <v>0.59568663000000011</v>
      </c>
      <c r="I29" s="474">
        <f>'POSF Inventory'!AD21*$D$5*'POSF Zone Def'!$N18</f>
        <v>0.80227806749999997</v>
      </c>
      <c r="J29" s="474">
        <f>'POSF Inventory'!AE21*$D$6*'POSF Zone Def'!$N18</f>
        <v>0.80417695049999993</v>
      </c>
      <c r="K29" s="474">
        <f>'POSF Inventory'!AF21*$D$5*'POSF Zone Def'!$N18</f>
        <v>0</v>
      </c>
      <c r="L29" s="474">
        <f>'POSF Inventory'!AG21*$D$6*'POSF Zone Def'!$N18</f>
        <v>0</v>
      </c>
      <c r="M29" s="474">
        <f>'POSF Inventory'!AH21*$D$5*'POSF Zone Def'!$N18</f>
        <v>0.59428005000000006</v>
      </c>
      <c r="N29" s="485">
        <f>'POSF Inventory'!AI21*$D$6*'POSF Zone Def'!$N18</f>
        <v>0.59568663000000011</v>
      </c>
      <c r="O29" s="474">
        <f>'POSF Inventory'!AJ21*$D$5*'POSF Zone Def'!$AP18</f>
        <v>0</v>
      </c>
      <c r="P29" s="474">
        <f>'POSF Inventory'!AK21*$D$6*'POSF Zone Def'!$AP18</f>
        <v>0</v>
      </c>
      <c r="Q29" s="474">
        <f>'POSF Inventory'!AL21*$D$5*'POSF Zone Def'!$AP18</f>
        <v>0</v>
      </c>
      <c r="R29" s="474">
        <f>'POSF Inventory'!AM21*$D$6*'POSF Zone Def'!$AP18</f>
        <v>0</v>
      </c>
      <c r="S29" s="474">
        <f>'POSF Inventory'!AN21*$D$5*'POSF Zone Def'!$AP18</f>
        <v>0</v>
      </c>
      <c r="T29" s="524">
        <f>'POSF Inventory'!AO21*$D$6*'POSF Zone Def'!$AP18</f>
        <v>0</v>
      </c>
      <c r="U29" s="474">
        <f>'POSF Inventory'!AJ21*$D$5*'POSF Zone Def'!$AQ18</f>
        <v>0</v>
      </c>
      <c r="V29" s="474">
        <f>'POSF Inventory'!AK21*$D$6*'POSF Zone Def'!$AQ18</f>
        <v>0</v>
      </c>
      <c r="W29" s="474">
        <f>'POSF Inventory'!AL21*$D$5*'POSF Zone Def'!$AQ18</f>
        <v>0</v>
      </c>
      <c r="X29" s="474">
        <f>'POSF Inventory'!AM21*$D$6*'POSF Zone Def'!$AQ18</f>
        <v>0</v>
      </c>
      <c r="Y29" s="474">
        <f>'POSF Inventory'!AN21*$D$5*'POSF Zone Def'!$AQ18</f>
        <v>0</v>
      </c>
      <c r="Z29" s="474">
        <f>'POSF Inventory'!AO21*$D$6*'POSF Zone Def'!$AQ18</f>
        <v>0</v>
      </c>
      <c r="AA29" s="477">
        <f>'POSF Inventory'!AV21*'POSF Emiss by Zone'!$D$5*'POSF Zone Def'!$M18</f>
        <v>0</v>
      </c>
      <c r="AB29" s="474">
        <f>'POSF Inventory'!AW21*'POSF Emiss by Zone'!$D$6*'POSF Zone Def'!$M18</f>
        <v>0</v>
      </c>
      <c r="AC29" s="474">
        <f>'POSF Inventory'!AX21*'POSF Emiss by Zone'!$D$5*'POSF Zone Def'!$M18</f>
        <v>0.53485204500000005</v>
      </c>
      <c r="AD29" s="474">
        <f>'POSF Inventory'!AY21*'POSF Emiss by Zone'!$D$6*'POSF Zone Def'!$M18</f>
        <v>0.53611796700000003</v>
      </c>
      <c r="AE29" s="474">
        <f>'POSF Inventory'!AZ21*'POSF Emiss by Zone'!$D$5*'POSF Zone Def'!$M18</f>
        <v>0.99046674999999995</v>
      </c>
      <c r="AF29" s="485">
        <f>'POSF Inventory'!BA21*'POSF Emiss by Zone'!$D$6*'POSF Zone Def'!$M18</f>
        <v>0.99281105000000003</v>
      </c>
      <c r="AG29" s="474">
        <f>'POSF Inventory'!AV21*'POSF Emiss by Zone'!$D$5*'POSF Zone Def'!$N18</f>
        <v>0</v>
      </c>
      <c r="AH29" s="474">
        <f>'POSF Inventory'!AW21*'POSF Emiss by Zone'!$D$6*'POSF Zone Def'!$N18</f>
        <v>0</v>
      </c>
      <c r="AI29" s="474">
        <f>'POSF Inventory'!AX21*'POSF Emiss by Zone'!$D$5*'POSF Zone Def'!$N18</f>
        <v>0.53485204500000005</v>
      </c>
      <c r="AJ29" s="474">
        <f>'POSF Inventory'!AY21*'POSF Emiss by Zone'!$D$6*'POSF Zone Def'!$N18</f>
        <v>0.53611796700000003</v>
      </c>
      <c r="AK29" s="474">
        <f>'POSF Inventory'!AZ21*'POSF Emiss by Zone'!$D$5*'POSF Zone Def'!$N18</f>
        <v>0.99046674999999995</v>
      </c>
      <c r="AL29" s="549">
        <f>'POSF Inventory'!BA21*'POSF Emiss by Zone'!$D$6*'POSF Zone Def'!$N18</f>
        <v>0.99281105000000003</v>
      </c>
      <c r="AM29" s="474">
        <f>'POSF Inventory'!BB21*'POSF Emiss by Zone'!$D$5*'POSF Zone Def'!$AP18</f>
        <v>0</v>
      </c>
      <c r="AN29" s="474">
        <f>'POSF Inventory'!BC21*'POSF Emiss by Zone'!$D$6*'POSF Zone Def'!$AP18</f>
        <v>0</v>
      </c>
      <c r="AO29" s="474">
        <f>'POSF Inventory'!BD21*'POSF Emiss by Zone'!$D$5*'POSF Zone Def'!$AP18</f>
        <v>0</v>
      </c>
      <c r="AP29" s="474">
        <f>'POSF Inventory'!BE21*'POSF Emiss by Zone'!$D$6*'POSF Zone Def'!$AP18</f>
        <v>0</v>
      </c>
      <c r="AQ29" s="474">
        <f>'POSF Inventory'!BF21*'POSF Emiss by Zone'!$D$5*'POSF Zone Def'!$AP18</f>
        <v>0</v>
      </c>
      <c r="AR29" s="524">
        <f>'POSF Inventory'!BG21*'POSF Emiss by Zone'!$D$6*'POSF Zone Def'!$AP18</f>
        <v>0</v>
      </c>
      <c r="AS29" s="474">
        <f>'POSF Inventory'!BB21*'POSF Emiss by Zone'!$D$5*'POSF Zone Def'!$AQ18</f>
        <v>0</v>
      </c>
      <c r="AT29" s="474">
        <f>'POSF Inventory'!BC21*'POSF Emiss by Zone'!$D$6*'POSF Zone Def'!$AQ18</f>
        <v>0</v>
      </c>
      <c r="AU29" s="474">
        <f>'POSF Inventory'!BD21*'POSF Emiss by Zone'!$D$5*'POSF Zone Def'!$AQ18</f>
        <v>0</v>
      </c>
      <c r="AV29" s="474">
        <f>'POSF Inventory'!BE21*'POSF Emiss by Zone'!$D$6*'POSF Zone Def'!$AQ18</f>
        <v>0</v>
      </c>
      <c r="AW29" s="474">
        <f>'POSF Inventory'!BF21*'POSF Emiss by Zone'!$D$5*'POSF Zone Def'!$AQ18</f>
        <v>0</v>
      </c>
      <c r="AX29" s="134">
        <f>'POSF Inventory'!BG21*'POSF Emiss by Zone'!$D$6*'POSF Zone Def'!$AQ18</f>
        <v>0</v>
      </c>
      <c r="AY29" s="474">
        <f>'POSF Inventory'!EA21*'POSF Emiss by Zone'!$D$5*'POSF Zone Def'!$Y18</f>
        <v>0</v>
      </c>
      <c r="AZ29" s="474">
        <f>'POSF Inventory'!EB21*'POSF Emiss by Zone'!$D$6*'POSF Zone Def'!$Y18</f>
        <v>0</v>
      </c>
      <c r="BA29" s="474">
        <f>'POSF Inventory'!EC21*'POSF Emiss by Zone'!$D$5*'POSF Zone Def'!$Y18</f>
        <v>0.78963713156250015</v>
      </c>
      <c r="BB29" s="474">
        <f>'POSF Inventory'!ED21*'POSF Emiss by Zone'!$D$6*'POSF Zone Def'!$Y18</f>
        <v>7.9150609518750015</v>
      </c>
      <c r="BC29" s="474">
        <f>'POSF Inventory'!EE21*'POSF Emiss by Zone'!$D$5*'POSF Zone Def'!$Y18</f>
        <v>0</v>
      </c>
      <c r="BD29" s="485">
        <f>'POSF Inventory'!EF21*'POSF Emiss by Zone'!$D$6*'POSF Zone Def'!$Y18</f>
        <v>0</v>
      </c>
      <c r="BE29" s="474">
        <f>'POSF Inventory'!EA21*'POSF Emiss by Zone'!$D$5*'POSF Zone Def'!$Z18</f>
        <v>0</v>
      </c>
      <c r="BF29" s="474">
        <f>'POSF Inventory'!EB21*'POSF Emiss by Zone'!$D$6*'POSF Zone Def'!$Z18</f>
        <v>0</v>
      </c>
      <c r="BG29" s="474">
        <f>'POSF Inventory'!EC21*'POSF Emiss by Zone'!$D$5*'POSF Zone Def'!$Z18</f>
        <v>8.7737459062500023E-2</v>
      </c>
      <c r="BH29" s="474">
        <f>'POSF Inventory'!ED21*'POSF Emiss by Zone'!$D$6*'POSF Zone Def'!$Z18</f>
        <v>0.87945121687500016</v>
      </c>
      <c r="BI29" s="474">
        <f>'POSF Inventory'!EE21*'POSF Emiss by Zone'!$D$5*'POSF Zone Def'!$Z18</f>
        <v>0</v>
      </c>
      <c r="BJ29" s="549">
        <f>'POSF Inventory'!EF21*'POSF Emiss by Zone'!$D$6*'POSF Zone Def'!$Z18</f>
        <v>0</v>
      </c>
      <c r="BK29" s="705">
        <f>'POSF Inventory'!$EA21*'POSF Emiss by Zone'!$D$5*'POSF Zone Def'!$AC18</f>
        <v>0</v>
      </c>
      <c r="BL29" s="705">
        <f>'POSF Inventory'!$EB21*'POSF Emiss by Zone'!$D$6*'POSF Zone Def'!$AC18</f>
        <v>0</v>
      </c>
      <c r="BM29" s="705">
        <f>'POSF Inventory'!$EC21*'POSF Emiss by Zone'!$D$5*'POSF Zone Def'!$AC18</f>
        <v>0</v>
      </c>
      <c r="BN29" s="705">
        <f>'POSF Inventory'!$ED21*'POSF Emiss by Zone'!$D$6*'POSF Zone Def'!$AC18</f>
        <v>0</v>
      </c>
      <c r="BO29" s="705">
        <f>'POSF Inventory'!$EE21*'POSF Emiss by Zone'!$D$5*'POSF Zone Def'!$AC18</f>
        <v>0</v>
      </c>
      <c r="BP29" s="708">
        <f>'POSF Inventory'!$EF21*'POSF Emiss by Zone'!$D$6*'POSF Zone Def'!$AC18</f>
        <v>0</v>
      </c>
      <c r="BQ29" s="474">
        <f>'POSF Inventory'!EG21*'POSF Emiss by Zone'!$D$5*'POSF Zone Def'!$BB18</f>
        <v>0</v>
      </c>
      <c r="BR29" s="474">
        <f>'POSF Inventory'!EH21*'POSF Emiss by Zone'!$D$6*'POSF Zone Def'!$BB18</f>
        <v>0</v>
      </c>
      <c r="BS29" s="474">
        <f>'POSF Inventory'!EI21*'POSF Emiss by Zone'!$D$5*'POSF Zone Def'!$BB18</f>
        <v>0</v>
      </c>
      <c r="BT29" s="474">
        <f>'POSF Inventory'!EJ21*'POSF Emiss by Zone'!$D$6*'POSF Zone Def'!$BB18</f>
        <v>0</v>
      </c>
      <c r="BU29" s="474">
        <f>'POSF Inventory'!EK21*'POSF Emiss by Zone'!$D$5*'POSF Zone Def'!$BB18</f>
        <v>0</v>
      </c>
      <c r="BV29" s="524">
        <f>'POSF Inventory'!EL21*'POSF Emiss by Zone'!$D$6*'POSF Zone Def'!$BB18</f>
        <v>0</v>
      </c>
      <c r="BW29" s="474">
        <f>'POSF Inventory'!EG21*'POSF Emiss by Zone'!$D$5*'POSF Zone Def'!$BC18</f>
        <v>0</v>
      </c>
      <c r="BX29" s="474">
        <f>'POSF Inventory'!EH21*'POSF Emiss by Zone'!$D$6*'POSF Zone Def'!$BC18</f>
        <v>0</v>
      </c>
      <c r="BY29" s="474">
        <f>'POSF Inventory'!EI21*'POSF Emiss by Zone'!$D$5*'POSF Zone Def'!$BC18</f>
        <v>0</v>
      </c>
      <c r="BZ29" s="474">
        <f>'POSF Inventory'!EJ21*'POSF Emiss by Zone'!$D$6*'POSF Zone Def'!$BC18</f>
        <v>0</v>
      </c>
      <c r="CA29" s="474">
        <f>'POSF Inventory'!EK21*'POSF Emiss by Zone'!$D$5*'POSF Zone Def'!$BC18</f>
        <v>0</v>
      </c>
      <c r="CB29" s="134">
        <f>'POSF Inventory'!EL21*'POSF Emiss by Zone'!$D$6*'POSF Zone Def'!$BC18</f>
        <v>0</v>
      </c>
      <c r="CC29" s="474">
        <f>'POSF Inventory'!GC21*'POSF Emiss by Zone'!$D$7*'POSF Zone Def'!$M18</f>
        <v>3.7508800000000003E-3</v>
      </c>
      <c r="CD29" s="474">
        <f>'POSF Inventory'!GD21*'POSF Emiss by Zone'!$D$9*'POSF Zone Def'!$M18</f>
        <v>4.6370254000000005E-3</v>
      </c>
      <c r="CE29" s="474">
        <f>'POSF Inventory'!GE21*'POSF Emiss by Zone'!$D$7*'POSF Zone Def'!$M18</f>
        <v>5.6263200000000006E-2</v>
      </c>
      <c r="CF29" s="474">
        <f>'POSF Inventory'!GF21*'POSF Emiss by Zone'!$D$9*'POSF Zone Def'!$M18</f>
        <v>6.9555381000000013E-2</v>
      </c>
      <c r="CG29" s="474">
        <f>'POSF Inventory'!GG21*'POSF Emiss by Zone'!$D$7*'POSF Zone Def'!$M18</f>
        <v>0.20629839999999999</v>
      </c>
      <c r="CH29" s="485">
        <f>'POSF Inventory'!GH21*'POSF Emiss by Zone'!$D$9*'POSF Zone Def'!$M18</f>
        <v>1.0201455879999999</v>
      </c>
      <c r="CI29" s="474">
        <f>'POSF Inventory'!GC21*'POSF Emiss by Zone'!$D$7*'POSF Zone Def'!$N18</f>
        <v>3.7508800000000003E-3</v>
      </c>
      <c r="CJ29" s="474">
        <f>'POSF Inventory'!GD21*'POSF Emiss by Zone'!$D$9*'POSF Zone Def'!$N18</f>
        <v>4.6370254000000005E-3</v>
      </c>
      <c r="CK29" s="474">
        <f>'POSF Inventory'!GE21*'POSF Emiss by Zone'!$D$7*'POSF Zone Def'!$N18</f>
        <v>5.6263200000000006E-2</v>
      </c>
      <c r="CL29" s="474">
        <f>'POSF Inventory'!GF21*'POSF Emiss by Zone'!$D$9*'POSF Zone Def'!$N18</f>
        <v>6.9555381000000013E-2</v>
      </c>
      <c r="CM29" s="474">
        <f>'POSF Inventory'!GG21*'POSF Emiss by Zone'!$D$7*'POSF Zone Def'!$N18</f>
        <v>0.20629839999999999</v>
      </c>
      <c r="CN29" s="485">
        <f>'POSF Inventory'!GH21*'POSF Emiss by Zone'!$D$9*'POSF Zone Def'!$N18</f>
        <v>1.0201455879999999</v>
      </c>
      <c r="CO29" s="474">
        <f>'POSF Inventory'!GI21*'POSF Emiss by Zone'!$D$7*'POSF Zone Def'!$AP18</f>
        <v>0</v>
      </c>
      <c r="CP29" s="474">
        <f>'POSF Inventory'!GJ21*'POSF Emiss by Zone'!$D$9*'POSF Zone Def'!$AP18</f>
        <v>0</v>
      </c>
      <c r="CQ29" s="474">
        <f>'POSF Inventory'!GK21*'POSF Emiss by Zone'!$D$7*'POSF Zone Def'!$AP18</f>
        <v>0</v>
      </c>
      <c r="CR29" s="474">
        <f>'POSF Inventory'!GL21*'POSF Emiss by Zone'!$D$9*'POSF Zone Def'!$AP18</f>
        <v>0</v>
      </c>
      <c r="CS29" s="474">
        <f>'POSF Inventory'!GM21*'POSF Emiss by Zone'!$D$7*'POSF Zone Def'!$AP18</f>
        <v>0</v>
      </c>
      <c r="CT29" s="524">
        <f>'POSF Inventory'!GN21*'POSF Emiss by Zone'!$D$9*'POSF Zone Def'!$AP18</f>
        <v>0</v>
      </c>
      <c r="CU29" s="474">
        <f>'POSF Inventory'!GI21*'POSF Emiss by Zone'!$D$7*'POSF Zone Def'!$AQ18</f>
        <v>0</v>
      </c>
      <c r="CV29" s="474">
        <f>'POSF Inventory'!GJ21*'POSF Emiss by Zone'!$D$9*'POSF Zone Def'!$AQ18</f>
        <v>0</v>
      </c>
      <c r="CW29" s="474">
        <f>'POSF Inventory'!GK21*'POSF Emiss by Zone'!$D$7*'POSF Zone Def'!$AQ18</f>
        <v>0</v>
      </c>
      <c r="CX29" s="474">
        <f>'POSF Inventory'!GL21*'POSF Emiss by Zone'!$D$9*'POSF Zone Def'!$AQ18</f>
        <v>0</v>
      </c>
      <c r="CY29" s="474">
        <f>'POSF Inventory'!GM21*'POSF Emiss by Zone'!$D$7*'POSF Zone Def'!$AQ18</f>
        <v>0</v>
      </c>
      <c r="CZ29" s="134">
        <f>'POSF Inventory'!GN21*'POSF Emiss by Zone'!$D$9*'POSF Zone Def'!$AQ18</f>
        <v>0</v>
      </c>
      <c r="DA29" s="474">
        <f>SUM('POSF Inventory'!GQ21,'POSF Inventory'!GS21)*'POSF Emiss by Zone'!$D$7*'POSF Zone Def'!$Y18</f>
        <v>0.47856730344153753</v>
      </c>
      <c r="DB29" s="474">
        <f>SUM('POSF Inventory'!GR21,'POSF Inventory'!GT21)*'POSF Emiss by Zone'!$D$9*'POSF Zone Def'!$Y18</f>
        <v>17.567652115460248</v>
      </c>
      <c r="DC29" s="474"/>
      <c r="DD29" s="474"/>
      <c r="DE29" s="474">
        <f>'POSF Inventory'!GU21*'POSF Emiss by Zone'!$D$7*'POSF Zone Def'!$Y18</f>
        <v>0</v>
      </c>
      <c r="DF29" s="485">
        <f>'POSF Inventory'!GV21*'POSF Emiss by Zone'!$D$9*'POSF Zone Def'!$Y18</f>
        <v>0</v>
      </c>
      <c r="DG29" s="474">
        <f>SUM('POSF Inventory'!GQ21,'POSF Inventory'!GS21)*'POSF Emiss by Zone'!$D$7*'POSF Zone Def'!$Z18</f>
        <v>5.3174144826837501E-2</v>
      </c>
      <c r="DH29" s="474">
        <f>SUM('POSF Inventory'!GR21,'POSF Inventory'!GT21)*'POSF Emiss by Zone'!$D$9*'POSF Zone Def'!$Z18</f>
        <v>1.9519613461622498</v>
      </c>
      <c r="DI29" s="474"/>
      <c r="DJ29" s="474"/>
      <c r="DK29" s="474">
        <f>'POSF Inventory'!GU21*'POSF Emiss by Zone'!$D$7*'POSF Zone Def'!$Z18</f>
        <v>0</v>
      </c>
      <c r="DL29" s="485">
        <f>'POSF Inventory'!GV21*'POSF Emiss by Zone'!$D$9*'POSF Zone Def'!$Z18</f>
        <v>0</v>
      </c>
      <c r="DM29" s="705">
        <f>SUM('POSF Inventory'!$GQ21,'POSF Inventory'!$GS21)*'POSF Emiss by Zone'!$D$7*'POSF Zone Def'!$AC18</f>
        <v>0</v>
      </c>
      <c r="DN29" s="705">
        <f>SUM('POSF Inventory'!$GR21,'POSF Inventory'!$GT21)*'POSF Emiss by Zone'!$D$9*'POSF Zone Def'!$AC18</f>
        <v>0</v>
      </c>
      <c r="DO29" s="705"/>
      <c r="DP29" s="705"/>
      <c r="DQ29" s="705">
        <f>'POSF Inventory'!$GU21*'POSF Emiss by Zone'!$D$7*'POSF Zone Def'!$AC18</f>
        <v>0</v>
      </c>
      <c r="DR29" s="708">
        <f>'POSF Inventory'!$GV21*'POSF Emiss by Zone'!$D$9*'POSF Zone Def'!$AC18</f>
        <v>0</v>
      </c>
      <c r="DS29" s="474">
        <f>SUM('POSF Inventory'!GW21,'POSF Inventory'!GY21)*$D$7*'POSF Zone Def'!$BB18</f>
        <v>0</v>
      </c>
      <c r="DT29" s="474">
        <f>SUM('POSF Inventory'!GX21,'POSF Inventory'!GZ21)*$D$9*'POSF Zone Def'!$BB18</f>
        <v>0</v>
      </c>
      <c r="DU29" s="474"/>
      <c r="DV29" s="474"/>
      <c r="DW29" s="474">
        <f>'POSF Inventory'!HA21*'POSF Emiss by Zone'!$D$7*'POSF Zone Def'!$BB18</f>
        <v>0</v>
      </c>
      <c r="DX29" s="524">
        <f>'POSF Inventory'!HB21*'POSF Emiss by Zone'!$D$9*'POSF Zone Def'!$BB18</f>
        <v>0</v>
      </c>
      <c r="DY29" s="474">
        <f>SUM('POSF Inventory'!GW21,'POSF Inventory'!GY21)*$D$7*'POSF Zone Def'!$BC18</f>
        <v>0</v>
      </c>
      <c r="DZ29" s="474">
        <f>SUM('POSF Inventory'!GX21,'POSF Inventory'!GZ21)*$D$9*'POSF Zone Def'!$BC18</f>
        <v>0</v>
      </c>
      <c r="EA29" s="474"/>
      <c r="EB29" s="474"/>
      <c r="EC29" s="474">
        <f>'POSF Inventory'!HA21*'POSF Emiss by Zone'!$D$7*'POSF Zone Def'!$BC18</f>
        <v>0</v>
      </c>
      <c r="ED29" s="134">
        <f>'POSF Inventory'!HB21*'POSF Emiss by Zone'!$D$9*'POSF Zone Def'!$BC18</f>
        <v>0</v>
      </c>
      <c r="EE29" s="235">
        <f>'POSF Inventory'!$CF21*'POSF Emiss by Zone'!$D$7*'POSF Zone Def'!$CE18</f>
        <v>0</v>
      </c>
      <c r="EF29" s="235">
        <f>'POSF Inventory'!$CG21*'POSF Emiss by Zone'!$D$9*'POSF Zone Def'!$CE18</f>
        <v>0</v>
      </c>
      <c r="EG29" s="235">
        <f>'POSF Inventory'!$CH21*'POSF Emiss by Zone'!$D$7*'POSF Zone Def'!$CE18</f>
        <v>0</v>
      </c>
      <c r="EH29" s="235">
        <f>'POSF Inventory'!$CI21*'POSF Emiss by Zone'!$D$9*'POSF Zone Def'!$CE18</f>
        <v>0</v>
      </c>
      <c r="EI29" s="235">
        <f>'POSF Inventory'!$CJ21*'POSF Emiss by Zone'!$D$7*'POSF Zone Def'!$CE18</f>
        <v>0</v>
      </c>
      <c r="EJ29" s="580">
        <f>'POSF Inventory'!$CK21*'POSF Emiss by Zone'!$D$9*'POSF Zone Def'!$CE18</f>
        <v>0</v>
      </c>
      <c r="EK29" s="235">
        <f>'POSF Inventory'!$CF21*'POSF Emiss by Zone'!$D$7*'POSF Zone Def'!$CF18</f>
        <v>0</v>
      </c>
      <c r="EL29" s="235">
        <f>'POSF Inventory'!$CG21*'POSF Emiss by Zone'!$D$9*'POSF Zone Def'!$CF18</f>
        <v>0</v>
      </c>
      <c r="EM29" s="235">
        <f>'POSF Inventory'!$CH21*'POSF Emiss by Zone'!$D$7*'POSF Zone Def'!$CF18</f>
        <v>0</v>
      </c>
      <c r="EN29" s="235">
        <f>'POSF Inventory'!$CI21*'POSF Emiss by Zone'!$D$9*'POSF Zone Def'!$CF18</f>
        <v>0</v>
      </c>
      <c r="EO29" s="235">
        <f>'POSF Inventory'!$CJ21*'POSF Emiss by Zone'!$D$7*'POSF Zone Def'!$CF18</f>
        <v>0</v>
      </c>
      <c r="EP29" s="580">
        <f>'POSF Inventory'!$CK21*'POSF Emiss by Zone'!$D$9*'POSF Zone Def'!$CF18</f>
        <v>0</v>
      </c>
      <c r="EQ29" s="235">
        <f>'POSF Inventory'!$CF21*'POSF Emiss by Zone'!$D$7*'POSF Zone Def'!$CG18</f>
        <v>0</v>
      </c>
      <c r="ER29" s="235">
        <f>'POSF Inventory'!$CG21*'POSF Emiss by Zone'!$D$9*'POSF Zone Def'!$CG18</f>
        <v>0</v>
      </c>
      <c r="ES29" s="235">
        <f>'POSF Inventory'!$CH21*'POSF Emiss by Zone'!$D$7*'POSF Zone Def'!$CG18</f>
        <v>0</v>
      </c>
      <c r="ET29" s="235">
        <f>'POSF Inventory'!$CI21*'POSF Emiss by Zone'!$D$9*'POSF Zone Def'!$CG18</f>
        <v>0</v>
      </c>
      <c r="EU29" s="235">
        <f>'POSF Inventory'!$CJ21*'POSF Emiss by Zone'!$D$7*'POSF Zone Def'!$CG18</f>
        <v>0</v>
      </c>
      <c r="EV29" s="580">
        <f>'POSF Inventory'!$CK21*'POSF Emiss by Zone'!$D$9*'POSF Zone Def'!$CG18</f>
        <v>0</v>
      </c>
      <c r="EW29" s="235">
        <f>'POSF Inventory'!$CF21*'POSF Emiss by Zone'!$D$7*'POSF Zone Def'!$CH18</f>
        <v>0</v>
      </c>
      <c r="EX29" s="235">
        <f>'POSF Inventory'!$CG21*'POSF Emiss by Zone'!$D$9*'POSF Zone Def'!$CH18</f>
        <v>0</v>
      </c>
      <c r="EY29" s="235">
        <f>'POSF Inventory'!$CH21*'POSF Emiss by Zone'!$D$7*'POSF Zone Def'!$CH18</f>
        <v>0</v>
      </c>
      <c r="EZ29" s="235">
        <f>'POSF Inventory'!$CI21*'POSF Emiss by Zone'!$D$9*'POSF Zone Def'!$CH18</f>
        <v>0</v>
      </c>
      <c r="FA29" s="235">
        <f>'POSF Inventory'!$CJ21*'POSF Emiss by Zone'!$D$7*'POSF Zone Def'!$CH18</f>
        <v>0</v>
      </c>
      <c r="FB29" s="580">
        <f>'POSF Inventory'!$CK21*'POSF Emiss by Zone'!$D$9*'POSF Zone Def'!$CH18</f>
        <v>0</v>
      </c>
      <c r="FC29" s="235">
        <f>'POSF Inventory'!$CF21*'POSF Emiss by Zone'!$D$7*'POSF Zone Def'!$CI18</f>
        <v>0</v>
      </c>
      <c r="FD29" s="235">
        <f>'POSF Inventory'!$CG21*'POSF Emiss by Zone'!$D$9*'POSF Zone Def'!$CI18</f>
        <v>0</v>
      </c>
      <c r="FE29" s="235">
        <f>'POSF Inventory'!$CH21*'POSF Emiss by Zone'!$D$7*'POSF Zone Def'!$CI18</f>
        <v>0</v>
      </c>
      <c r="FF29" s="235">
        <f>'POSF Inventory'!$CI21*'POSF Emiss by Zone'!$D$9*'POSF Zone Def'!$CI18</f>
        <v>0</v>
      </c>
      <c r="FG29" s="235">
        <f>'POSF Inventory'!$CJ21*'POSF Emiss by Zone'!$D$7*'POSF Zone Def'!$CI18</f>
        <v>0</v>
      </c>
      <c r="FH29" s="577">
        <f>'POSF Inventory'!$CK21*'POSF Emiss by Zone'!$D$9*'POSF Zone Def'!$CI18</f>
        <v>0</v>
      </c>
      <c r="FI29" s="595"/>
      <c r="FJ29" s="595"/>
      <c r="FM29" s="592">
        <v>12</v>
      </c>
      <c r="FN29" s="592">
        <f t="shared" si="0"/>
        <v>1966</v>
      </c>
      <c r="FO29" s="587">
        <v>9</v>
      </c>
      <c r="FP29" s="477">
        <f t="shared" si="20"/>
        <v>0.80227806749999997</v>
      </c>
      <c r="FQ29" s="474">
        <f t="shared" si="21"/>
        <v>0.80417695049999993</v>
      </c>
      <c r="FR29" s="474">
        <f t="shared" si="22"/>
        <v>0</v>
      </c>
      <c r="FS29" s="474">
        <f t="shared" si="23"/>
        <v>0</v>
      </c>
      <c r="FT29" s="474">
        <f t="shared" si="24"/>
        <v>0.59428005000000006</v>
      </c>
      <c r="FU29" s="485">
        <f t="shared" si="25"/>
        <v>0.59568663000000011</v>
      </c>
      <c r="FV29" s="474">
        <f t="shared" si="26"/>
        <v>0.80227806749999997</v>
      </c>
      <c r="FW29" s="474">
        <f t="shared" si="27"/>
        <v>0.80417695049999993</v>
      </c>
      <c r="FX29" s="474">
        <f t="shared" si="28"/>
        <v>0</v>
      </c>
      <c r="FY29" s="474">
        <f t="shared" si="29"/>
        <v>0</v>
      </c>
      <c r="FZ29" s="474">
        <f t="shared" si="30"/>
        <v>0.59428005000000006</v>
      </c>
      <c r="GA29" s="134">
        <f t="shared" si="31"/>
        <v>0.59568663000000011</v>
      </c>
      <c r="GB29" s="474">
        <f t="shared" si="32"/>
        <v>0</v>
      </c>
      <c r="GC29" s="474">
        <f t="shared" si="33"/>
        <v>0</v>
      </c>
      <c r="GD29" s="474">
        <f t="shared" si="34"/>
        <v>1.3192123272534864</v>
      </c>
      <c r="GE29" s="474">
        <f t="shared" si="35"/>
        <v>8.4175088833416343</v>
      </c>
      <c r="GF29" s="474">
        <f t="shared" si="36"/>
        <v>0.98652066733067723</v>
      </c>
      <c r="GG29" s="524">
        <f t="shared" si="37"/>
        <v>0.98885562749003986</v>
      </c>
      <c r="GH29" s="474">
        <f t="shared" si="38"/>
        <v>0</v>
      </c>
      <c r="GI29" s="474">
        <f t="shared" si="39"/>
        <v>0</v>
      </c>
      <c r="GJ29" s="474">
        <f t="shared" si="40"/>
        <v>0.62010906779133468</v>
      </c>
      <c r="GK29" s="474">
        <f t="shared" si="41"/>
        <v>1.4099294660109565</v>
      </c>
      <c r="GL29" s="474">
        <f t="shared" si="42"/>
        <v>0.98652066733067723</v>
      </c>
      <c r="GM29" s="705">
        <f t="shared" si="43"/>
        <v>0.98885562749003986</v>
      </c>
      <c r="GN29" s="705">
        <f t="shared" si="44"/>
        <v>0</v>
      </c>
      <c r="GO29" s="705">
        <f t="shared" si="45"/>
        <v>0</v>
      </c>
      <c r="GP29" s="705">
        <f t="shared" si="46"/>
        <v>0</v>
      </c>
      <c r="GQ29" s="705">
        <f t="shared" si="47"/>
        <v>0</v>
      </c>
      <c r="GR29" s="705">
        <f t="shared" si="48"/>
        <v>0</v>
      </c>
      <c r="GS29" s="705">
        <f t="shared" si="49"/>
        <v>0</v>
      </c>
      <c r="GT29" s="551">
        <f t="shared" si="50"/>
        <v>9.9922492187091445E-3</v>
      </c>
      <c r="GU29" s="548">
        <f t="shared" si="51"/>
        <v>0.36404742443216453</v>
      </c>
      <c r="GV29" s="548">
        <f t="shared" si="52"/>
        <v>1.165612111553785E-3</v>
      </c>
      <c r="GW29" s="548">
        <f t="shared" si="53"/>
        <v>1.4409879729083668E-3</v>
      </c>
      <c r="GX29" s="548">
        <f t="shared" si="54"/>
        <v>4.2739110756972107E-3</v>
      </c>
      <c r="GY29" s="524">
        <f t="shared" si="55"/>
        <v>2.1134490269322709E-2</v>
      </c>
      <c r="GZ29" s="548">
        <f t="shared" si="56"/>
        <v>1.1793232235042031E-3</v>
      </c>
      <c r="HA29" s="548">
        <f t="shared" si="57"/>
        <v>4.0535105705672106E-2</v>
      </c>
      <c r="HB29" s="548">
        <f t="shared" si="58"/>
        <v>1.165612111553785E-3</v>
      </c>
      <c r="HC29" s="548">
        <f t="shared" si="59"/>
        <v>1.4409879729083668E-3</v>
      </c>
      <c r="HD29" s="548">
        <f t="shared" si="60"/>
        <v>4.2739110756972107E-3</v>
      </c>
      <c r="HE29" s="549">
        <f t="shared" si="61"/>
        <v>2.1134490269322709E-2</v>
      </c>
      <c r="HF29" s="235">
        <f t="shared" si="62"/>
        <v>0</v>
      </c>
      <c r="HG29" s="235">
        <f t="shared" si="63"/>
        <v>0</v>
      </c>
      <c r="HH29" s="235">
        <f t="shared" si="64"/>
        <v>0</v>
      </c>
      <c r="HI29" s="235">
        <f t="shared" si="65"/>
        <v>0</v>
      </c>
      <c r="HJ29" s="235">
        <f t="shared" si="66"/>
        <v>0</v>
      </c>
      <c r="HK29" s="580">
        <f t="shared" si="67"/>
        <v>0</v>
      </c>
      <c r="HL29" s="235">
        <f t="shared" si="68"/>
        <v>0</v>
      </c>
      <c r="HM29" s="235">
        <f t="shared" si="69"/>
        <v>0</v>
      </c>
      <c r="HN29" s="235">
        <f t="shared" si="70"/>
        <v>0</v>
      </c>
      <c r="HO29" s="235">
        <f t="shared" si="71"/>
        <v>0</v>
      </c>
      <c r="HP29" s="235">
        <f t="shared" si="72"/>
        <v>0</v>
      </c>
      <c r="HQ29" s="580">
        <f t="shared" si="73"/>
        <v>0</v>
      </c>
      <c r="HR29" s="235">
        <f t="shared" si="74"/>
        <v>0</v>
      </c>
      <c r="HS29" s="235">
        <f t="shared" si="75"/>
        <v>0</v>
      </c>
      <c r="HT29" s="235">
        <f t="shared" si="76"/>
        <v>0</v>
      </c>
      <c r="HU29" s="235">
        <f t="shared" si="77"/>
        <v>0</v>
      </c>
      <c r="HV29" s="235">
        <f t="shared" si="78"/>
        <v>0</v>
      </c>
      <c r="HW29" s="577">
        <f t="shared" si="79"/>
        <v>0</v>
      </c>
      <c r="HX29" s="235">
        <f t="shared" si="80"/>
        <v>0.53104961424662667</v>
      </c>
      <c r="HY29" s="235">
        <f t="shared" si="81"/>
        <v>19.347720426167875</v>
      </c>
      <c r="HZ29" s="235">
        <f t="shared" si="82"/>
        <v>6.1947800605577689E-2</v>
      </c>
      <c r="IA29" s="235">
        <f t="shared" si="83"/>
        <v>7.6582968498645432E-2</v>
      </c>
      <c r="IB29" s="235">
        <f t="shared" si="84"/>
        <v>0.22714193555378481</v>
      </c>
      <c r="IC29" s="235">
        <f t="shared" si="85"/>
        <v>1.1232168713134658</v>
      </c>
      <c r="ID29" s="235">
        <f t="shared" si="86"/>
        <v>6.2676493470696454E-2</v>
      </c>
      <c r="IE29" s="235">
        <f t="shared" si="87"/>
        <v>2.1542849640037582</v>
      </c>
      <c r="IF29" s="235">
        <f t="shared" si="88"/>
        <v>6.1947800605577689E-2</v>
      </c>
      <c r="IG29" s="235">
        <f t="shared" si="89"/>
        <v>7.6582968498645432E-2</v>
      </c>
      <c r="IH29" s="235">
        <f t="shared" si="90"/>
        <v>0.22714193555378481</v>
      </c>
      <c r="II29" s="235">
        <f t="shared" si="91"/>
        <v>1.1232168713134658</v>
      </c>
      <c r="IJ29" s="235">
        <f t="shared" si="92"/>
        <v>0</v>
      </c>
      <c r="IK29" s="235">
        <f t="shared" si="93"/>
        <v>0</v>
      </c>
      <c r="IL29" s="235">
        <f t="shared" si="94"/>
        <v>0</v>
      </c>
      <c r="IM29" s="235">
        <f t="shared" si="95"/>
        <v>0</v>
      </c>
      <c r="IN29" s="235">
        <f t="shared" si="96"/>
        <v>0</v>
      </c>
      <c r="IO29" s="235">
        <f t="shared" si="97"/>
        <v>0</v>
      </c>
    </row>
    <row r="30" spans="1:249" ht="18" x14ac:dyDescent="0.25">
      <c r="A30" s="18">
        <v>1967</v>
      </c>
      <c r="B30" s="564"/>
      <c r="C30" s="474">
        <f>'POSF Inventory'!AD22*$D$5*'POSF Zone Def'!$M19</f>
        <v>0.89329280624999974</v>
      </c>
      <c r="D30" s="474">
        <f>'POSF Inventory'!AE22*$D$6*'POSF Zone Def'!$M19</f>
        <v>0.89540710874999974</v>
      </c>
      <c r="E30" s="474">
        <f>'POSF Inventory'!AF22*$D$5*'POSF Zone Def'!$M19</f>
        <v>0</v>
      </c>
      <c r="F30" s="474">
        <f>'POSF Inventory'!AG22*$D$6*'POSF Zone Def'!$M19</f>
        <v>0</v>
      </c>
      <c r="G30" s="474">
        <f>'POSF Inventory'!AH22*$D$5*'POSF Zone Def'!$M19</f>
        <v>0.66169837499999995</v>
      </c>
      <c r="H30" s="524">
        <f>'POSF Inventory'!AI22*$D$6*'POSF Zone Def'!$M19</f>
        <v>0.66326452499999999</v>
      </c>
      <c r="I30" s="474">
        <f>'POSF Inventory'!AD22*$D$5*'POSF Zone Def'!$N19</f>
        <v>0.89329280624999974</v>
      </c>
      <c r="J30" s="474">
        <f>'POSF Inventory'!AE22*$D$6*'POSF Zone Def'!$N19</f>
        <v>0.89540710874999974</v>
      </c>
      <c r="K30" s="474">
        <f>'POSF Inventory'!AF22*$D$5*'POSF Zone Def'!$N19</f>
        <v>0</v>
      </c>
      <c r="L30" s="474">
        <f>'POSF Inventory'!AG22*$D$6*'POSF Zone Def'!$N19</f>
        <v>0</v>
      </c>
      <c r="M30" s="474">
        <f>'POSF Inventory'!AH22*$D$5*'POSF Zone Def'!$N19</f>
        <v>0.66169837499999995</v>
      </c>
      <c r="N30" s="485">
        <f>'POSF Inventory'!AI22*$D$6*'POSF Zone Def'!$N19</f>
        <v>0.66326452499999999</v>
      </c>
      <c r="O30" s="474">
        <f>'POSF Inventory'!AJ22*$D$5*'POSF Zone Def'!$AP19</f>
        <v>0</v>
      </c>
      <c r="P30" s="474">
        <f>'POSF Inventory'!AK22*$D$6*'POSF Zone Def'!$AP19</f>
        <v>0</v>
      </c>
      <c r="Q30" s="474">
        <f>'POSF Inventory'!AL22*$D$5*'POSF Zone Def'!$AP19</f>
        <v>0</v>
      </c>
      <c r="R30" s="474">
        <f>'POSF Inventory'!AM22*$D$6*'POSF Zone Def'!$AP19</f>
        <v>0</v>
      </c>
      <c r="S30" s="474">
        <f>'POSF Inventory'!AN22*$D$5*'POSF Zone Def'!$AP19</f>
        <v>0</v>
      </c>
      <c r="T30" s="524">
        <f>'POSF Inventory'!AO22*$D$6*'POSF Zone Def'!$AP19</f>
        <v>0</v>
      </c>
      <c r="U30" s="474">
        <f>'POSF Inventory'!AJ22*$D$5*'POSF Zone Def'!$AQ19</f>
        <v>0</v>
      </c>
      <c r="V30" s="474">
        <f>'POSF Inventory'!AK22*$D$6*'POSF Zone Def'!$AQ19</f>
        <v>0</v>
      </c>
      <c r="W30" s="474">
        <f>'POSF Inventory'!AL22*$D$5*'POSF Zone Def'!$AQ19</f>
        <v>0</v>
      </c>
      <c r="X30" s="474">
        <f>'POSF Inventory'!AM22*$D$6*'POSF Zone Def'!$AQ19</f>
        <v>0</v>
      </c>
      <c r="Y30" s="474">
        <f>'POSF Inventory'!AN22*$D$5*'POSF Zone Def'!$AQ19</f>
        <v>0</v>
      </c>
      <c r="Z30" s="134">
        <f>'POSF Inventory'!AO22*$D$6*'POSF Zone Def'!$AQ19</f>
        <v>0</v>
      </c>
      <c r="AA30" s="474">
        <f>'POSF Inventory'!AV22*'POSF Emiss by Zone'!$D$5*'POSF Zone Def'!$M19</f>
        <v>0</v>
      </c>
      <c r="AB30" s="474">
        <f>'POSF Inventory'!AW22*'POSF Emiss by Zone'!$D$6*'POSF Zone Def'!$M19</f>
        <v>0</v>
      </c>
      <c r="AC30" s="474">
        <f>'POSF Inventory'!AX22*'POSF Emiss by Zone'!$D$5*'POSF Zone Def'!$M19</f>
        <v>0.59552853750000001</v>
      </c>
      <c r="AD30" s="474">
        <f>'POSF Inventory'!AY22*'POSF Emiss by Zone'!$D$6*'POSF Zone Def'!$M19</f>
        <v>0.59693807249999997</v>
      </c>
      <c r="AE30" s="474">
        <f>'POSF Inventory'!AZ22*'POSF Emiss by Zone'!$D$5*'POSF Zone Def'!$M19</f>
        <v>1.102830625</v>
      </c>
      <c r="AF30" s="524">
        <f>'POSF Inventory'!BA22*'POSF Emiss by Zone'!$D$6*'POSF Zone Def'!$M19</f>
        <v>1.1054408749999998</v>
      </c>
      <c r="AG30" s="474">
        <f>'POSF Inventory'!AV22*'POSF Emiss by Zone'!$D$5*'POSF Zone Def'!$N19</f>
        <v>0</v>
      </c>
      <c r="AH30" s="474">
        <f>'POSF Inventory'!AW22*'POSF Emiss by Zone'!$D$6*'POSF Zone Def'!$N19</f>
        <v>0</v>
      </c>
      <c r="AI30" s="474">
        <f>'POSF Inventory'!AX22*'POSF Emiss by Zone'!$D$5*'POSF Zone Def'!$N19</f>
        <v>0.59552853750000001</v>
      </c>
      <c r="AJ30" s="474">
        <f>'POSF Inventory'!AY22*'POSF Emiss by Zone'!$D$6*'POSF Zone Def'!$N19</f>
        <v>0.59693807249999997</v>
      </c>
      <c r="AK30" s="474">
        <f>'POSF Inventory'!AZ22*'POSF Emiss by Zone'!$D$5*'POSF Zone Def'!$N19</f>
        <v>1.102830625</v>
      </c>
      <c r="AL30" s="549">
        <f>'POSF Inventory'!BA22*'POSF Emiss by Zone'!$D$6*'POSF Zone Def'!$N19</f>
        <v>1.1054408749999998</v>
      </c>
      <c r="AM30" s="474">
        <f>'POSF Inventory'!BB22*'POSF Emiss by Zone'!$D$5*'POSF Zone Def'!$AP19</f>
        <v>0</v>
      </c>
      <c r="AN30" s="474">
        <f>'POSF Inventory'!BC22*'POSF Emiss by Zone'!$D$6*'POSF Zone Def'!$AP19</f>
        <v>0</v>
      </c>
      <c r="AO30" s="474">
        <f>'POSF Inventory'!BD22*'POSF Emiss by Zone'!$D$5*'POSF Zone Def'!$AP19</f>
        <v>0</v>
      </c>
      <c r="AP30" s="474">
        <f>'POSF Inventory'!BE22*'POSF Emiss by Zone'!$D$6*'POSF Zone Def'!$AP19</f>
        <v>0</v>
      </c>
      <c r="AQ30" s="474">
        <f>'POSF Inventory'!BF22*'POSF Emiss by Zone'!$D$5*'POSF Zone Def'!$AP19</f>
        <v>0</v>
      </c>
      <c r="AR30" s="524">
        <f>'POSF Inventory'!BG22*'POSF Emiss by Zone'!$D$6*'POSF Zone Def'!$AP19</f>
        <v>0</v>
      </c>
      <c r="AS30" s="474">
        <f>'POSF Inventory'!BB22*'POSF Emiss by Zone'!$D$5*'POSF Zone Def'!$AQ19</f>
        <v>0</v>
      </c>
      <c r="AT30" s="474">
        <f>'POSF Inventory'!BC22*'POSF Emiss by Zone'!$D$6*'POSF Zone Def'!$AQ19</f>
        <v>0</v>
      </c>
      <c r="AU30" s="474">
        <f>'POSF Inventory'!BD22*'POSF Emiss by Zone'!$D$5*'POSF Zone Def'!$AQ19</f>
        <v>0</v>
      </c>
      <c r="AV30" s="474">
        <f>'POSF Inventory'!BE22*'POSF Emiss by Zone'!$D$6*'POSF Zone Def'!$AQ19</f>
        <v>0</v>
      </c>
      <c r="AW30" s="474">
        <f>'POSF Inventory'!BF22*'POSF Emiss by Zone'!$D$5*'POSF Zone Def'!$AQ19</f>
        <v>0</v>
      </c>
      <c r="AX30" s="134">
        <f>'POSF Inventory'!BG22*'POSF Emiss by Zone'!$D$6*'POSF Zone Def'!$AQ19</f>
        <v>0</v>
      </c>
      <c r="AY30" s="474">
        <f>'POSF Inventory'!EA22*'POSF Emiss by Zone'!$D$5*'POSF Zone Def'!$Y19</f>
        <v>0</v>
      </c>
      <c r="AZ30" s="474">
        <f>'POSF Inventory'!EB22*'POSF Emiss by Zone'!$D$6*'POSF Zone Def'!$Y19</f>
        <v>0</v>
      </c>
      <c r="BA30" s="474">
        <f>'POSF Inventory'!EC22*'POSF Emiss by Zone'!$D$5*'POSF Zone Def'!$Y19</f>
        <v>0.88263883816875</v>
      </c>
      <c r="BB30" s="474">
        <f>'POSF Inventory'!ED22*'POSF Emiss by Zone'!$D$6*'POSF Zone Def'!$Y19</f>
        <v>8.8472792417625001</v>
      </c>
      <c r="BC30" s="474">
        <f>'POSF Inventory'!EE22*'POSF Emiss by Zone'!$D$5*'POSF Zone Def'!$Y19</f>
        <v>0</v>
      </c>
      <c r="BD30" s="524">
        <f>'POSF Inventory'!EF22*'POSF Emiss by Zone'!$D$6*'POSF Zone Def'!$Y19</f>
        <v>0</v>
      </c>
      <c r="BE30" s="474">
        <f>'POSF Inventory'!EA22*'POSF Emiss by Zone'!$D$5*'POSF Zone Def'!$Z19</f>
        <v>0</v>
      </c>
      <c r="BF30" s="474">
        <f>'POSF Inventory'!EB22*'POSF Emiss by Zone'!$D$6*'POSF Zone Def'!$Z19</f>
        <v>0</v>
      </c>
      <c r="BG30" s="474">
        <f>'POSF Inventory'!EC22*'POSF Emiss by Zone'!$D$5*'POSF Zone Def'!$Z19</f>
        <v>9.8070982018750003E-2</v>
      </c>
      <c r="BH30" s="474">
        <f>'POSF Inventory'!ED22*'POSF Emiss by Zone'!$D$6*'POSF Zone Def'!$Z19</f>
        <v>0.9830310268625001</v>
      </c>
      <c r="BI30" s="474">
        <f>'POSF Inventory'!EE22*'POSF Emiss by Zone'!$D$5*'POSF Zone Def'!$Z19</f>
        <v>0</v>
      </c>
      <c r="BJ30" s="549">
        <f>'POSF Inventory'!EF22*'POSF Emiss by Zone'!$D$6*'POSF Zone Def'!$Z19</f>
        <v>0</v>
      </c>
      <c r="BK30" s="705">
        <f>'POSF Inventory'!$EA22*'POSF Emiss by Zone'!$D$5*'POSF Zone Def'!$AC19</f>
        <v>0</v>
      </c>
      <c r="BL30" s="705">
        <f>'POSF Inventory'!$EB22*'POSF Emiss by Zone'!$D$6*'POSF Zone Def'!$AC19</f>
        <v>0</v>
      </c>
      <c r="BM30" s="705">
        <f>'POSF Inventory'!$EC22*'POSF Emiss by Zone'!$D$5*'POSF Zone Def'!$AC19</f>
        <v>0</v>
      </c>
      <c r="BN30" s="705">
        <f>'POSF Inventory'!$ED22*'POSF Emiss by Zone'!$D$6*'POSF Zone Def'!$AC19</f>
        <v>0</v>
      </c>
      <c r="BO30" s="705">
        <f>'POSF Inventory'!$EE22*'POSF Emiss by Zone'!$D$5*'POSF Zone Def'!$AC19</f>
        <v>0</v>
      </c>
      <c r="BP30" s="708">
        <f>'POSF Inventory'!$EF22*'POSF Emiss by Zone'!$D$6*'POSF Zone Def'!$AC19</f>
        <v>0</v>
      </c>
      <c r="BQ30" s="474">
        <f>'POSF Inventory'!EG22*'POSF Emiss by Zone'!$D$5*'POSF Zone Def'!$BB19</f>
        <v>0</v>
      </c>
      <c r="BR30" s="474">
        <f>'POSF Inventory'!EH22*'POSF Emiss by Zone'!$D$6*'POSF Zone Def'!$BB19</f>
        <v>0</v>
      </c>
      <c r="BS30" s="474">
        <f>'POSF Inventory'!EI22*'POSF Emiss by Zone'!$D$5*'POSF Zone Def'!$BB19</f>
        <v>0</v>
      </c>
      <c r="BT30" s="474">
        <f>'POSF Inventory'!EJ22*'POSF Emiss by Zone'!$D$6*'POSF Zone Def'!$BB19</f>
        <v>0</v>
      </c>
      <c r="BU30" s="474">
        <f>'POSF Inventory'!EK22*'POSF Emiss by Zone'!$D$5*'POSF Zone Def'!$BB19</f>
        <v>0</v>
      </c>
      <c r="BV30" s="524">
        <f>'POSF Inventory'!EL22*'POSF Emiss by Zone'!$D$6*'POSF Zone Def'!$BB19</f>
        <v>0</v>
      </c>
      <c r="BW30" s="474">
        <f>'POSF Inventory'!EG22*'POSF Emiss by Zone'!$D$5*'POSF Zone Def'!$BC19</f>
        <v>0</v>
      </c>
      <c r="BX30" s="474">
        <f>'POSF Inventory'!EH22*'POSF Emiss by Zone'!$D$6*'POSF Zone Def'!$BC19</f>
        <v>0</v>
      </c>
      <c r="BY30" s="474">
        <f>'POSF Inventory'!EI22*'POSF Emiss by Zone'!$D$5*'POSF Zone Def'!$BC19</f>
        <v>0</v>
      </c>
      <c r="BZ30" s="474">
        <f>'POSF Inventory'!EJ22*'POSF Emiss by Zone'!$D$6*'POSF Zone Def'!$BC19</f>
        <v>0</v>
      </c>
      <c r="CA30" s="474">
        <f>'POSF Inventory'!EK22*'POSF Emiss by Zone'!$D$5*'POSF Zone Def'!$BC19</f>
        <v>0</v>
      </c>
      <c r="CB30" s="134">
        <f>'POSF Inventory'!EL22*'POSF Emiss by Zone'!$D$6*'POSF Zone Def'!$BC19</f>
        <v>0</v>
      </c>
      <c r="CC30" s="474">
        <f>'POSF Inventory'!GC22*'POSF Emiss by Zone'!$D$7*'POSF Zone Def'!$M19</f>
        <v>4.1764000000000003E-3</v>
      </c>
      <c r="CD30" s="474">
        <f>'POSF Inventory'!GD22*'POSF Emiss by Zone'!$D$9*'POSF Zone Def'!$M19</f>
        <v>5.1630745000000007E-3</v>
      </c>
      <c r="CE30" s="474">
        <f>'POSF Inventory'!GE22*'POSF Emiss by Zone'!$D$7*'POSF Zone Def'!$M19</f>
        <v>6.2645999999999993E-2</v>
      </c>
      <c r="CF30" s="474">
        <f>'POSF Inventory'!GF22*'POSF Emiss by Zone'!$D$9*'POSF Zone Def'!$M19</f>
        <v>7.7446117499999995E-2</v>
      </c>
      <c r="CG30" s="474">
        <f>'POSF Inventory'!GG22*'POSF Emiss by Zone'!$D$7*'POSF Zone Def'!$M19</f>
        <v>0.22970199999999999</v>
      </c>
      <c r="CH30" s="524">
        <f>'POSF Inventory'!GH22*'POSF Emiss by Zone'!$D$9*'POSF Zone Def'!$M19</f>
        <v>1.13587639</v>
      </c>
      <c r="CI30" s="474">
        <f>'POSF Inventory'!GC22*'POSF Emiss by Zone'!$D$7*'POSF Zone Def'!$N19</f>
        <v>4.1764000000000003E-3</v>
      </c>
      <c r="CJ30" s="474">
        <f>'POSF Inventory'!GD22*'POSF Emiss by Zone'!$D$9*'POSF Zone Def'!$N19</f>
        <v>5.1630745000000007E-3</v>
      </c>
      <c r="CK30" s="474">
        <f>'POSF Inventory'!GE22*'POSF Emiss by Zone'!$D$7*'POSF Zone Def'!$N19</f>
        <v>6.2645999999999993E-2</v>
      </c>
      <c r="CL30" s="474">
        <f>'POSF Inventory'!GF22*'POSF Emiss by Zone'!$D$9*'POSF Zone Def'!$N19</f>
        <v>7.7446117499999995E-2</v>
      </c>
      <c r="CM30" s="474">
        <f>'POSF Inventory'!GG22*'POSF Emiss by Zone'!$D$7*'POSF Zone Def'!$N19</f>
        <v>0.22970199999999999</v>
      </c>
      <c r="CN30" s="485">
        <f>'POSF Inventory'!GH22*'POSF Emiss by Zone'!$D$9*'POSF Zone Def'!$N19</f>
        <v>1.13587639</v>
      </c>
      <c r="CO30" s="474">
        <f>'POSF Inventory'!GI22*'POSF Emiss by Zone'!$D$7*'POSF Zone Def'!$AP19</f>
        <v>0</v>
      </c>
      <c r="CP30" s="474">
        <f>'POSF Inventory'!GJ22*'POSF Emiss by Zone'!$D$9*'POSF Zone Def'!$AP19</f>
        <v>0</v>
      </c>
      <c r="CQ30" s="474">
        <f>'POSF Inventory'!GK22*'POSF Emiss by Zone'!$D$7*'POSF Zone Def'!$AP19</f>
        <v>0</v>
      </c>
      <c r="CR30" s="474">
        <f>'POSF Inventory'!GL22*'POSF Emiss by Zone'!$D$9*'POSF Zone Def'!$AP19</f>
        <v>0</v>
      </c>
      <c r="CS30" s="474">
        <f>'POSF Inventory'!GM22*'POSF Emiss by Zone'!$D$7*'POSF Zone Def'!$AP19</f>
        <v>0</v>
      </c>
      <c r="CT30" s="524">
        <f>'POSF Inventory'!GN22*'POSF Emiss by Zone'!$D$9*'POSF Zone Def'!$AP19</f>
        <v>0</v>
      </c>
      <c r="CU30" s="474">
        <f>'POSF Inventory'!GI22*'POSF Emiss by Zone'!$D$7*'POSF Zone Def'!$AQ19</f>
        <v>0</v>
      </c>
      <c r="CV30" s="474">
        <f>'POSF Inventory'!GJ22*'POSF Emiss by Zone'!$D$9*'POSF Zone Def'!$AQ19</f>
        <v>0</v>
      </c>
      <c r="CW30" s="474">
        <f>'POSF Inventory'!GK22*'POSF Emiss by Zone'!$D$7*'POSF Zone Def'!$AQ19</f>
        <v>0</v>
      </c>
      <c r="CX30" s="474">
        <f>'POSF Inventory'!GL22*'POSF Emiss by Zone'!$D$9*'POSF Zone Def'!$AQ19</f>
        <v>0</v>
      </c>
      <c r="CY30" s="474">
        <f>'POSF Inventory'!GM22*'POSF Emiss by Zone'!$D$7*'POSF Zone Def'!$AQ19</f>
        <v>0</v>
      </c>
      <c r="CZ30" s="134">
        <f>'POSF Inventory'!GN22*'POSF Emiss by Zone'!$D$9*'POSF Zone Def'!$AQ19</f>
        <v>0</v>
      </c>
      <c r="DA30" s="474">
        <f>SUM('POSF Inventory'!GQ22,'POSF Inventory'!GS22)*'POSF Emiss by Zone'!$D$7*'POSF Zone Def'!$Y19</f>
        <v>0.5353653717368213</v>
      </c>
      <c r="DB30" s="474">
        <f>SUM('POSF Inventory'!GR22,'POSF Inventory'!GT22)*'POSF Emiss by Zone'!$D$9*'POSF Zone Def'!$Y19</f>
        <v>19.904672740060242</v>
      </c>
      <c r="DC30" s="474"/>
      <c r="DD30" s="474"/>
      <c r="DE30" s="474">
        <f>'POSF Inventory'!GU22*'POSF Emiss by Zone'!$D$7*'POSF Zone Def'!$Y19</f>
        <v>0</v>
      </c>
      <c r="DF30" s="524">
        <f>'POSF Inventory'!GV22*'POSF Emiss by Zone'!$D$9*'POSF Zone Def'!$Y19</f>
        <v>0</v>
      </c>
      <c r="DG30" s="474">
        <f>SUM('POSF Inventory'!GQ22,'POSF Inventory'!GS22)*'POSF Emiss by Zone'!$D$7*'POSF Zone Def'!$Z19</f>
        <v>5.9485041304091262E-2</v>
      </c>
      <c r="DH30" s="474">
        <f>SUM('POSF Inventory'!GR22,'POSF Inventory'!GT22)*'POSF Emiss by Zone'!$D$9*'POSF Zone Def'!$Z19</f>
        <v>2.2116303044511381</v>
      </c>
      <c r="DI30" s="474"/>
      <c r="DJ30" s="474"/>
      <c r="DK30" s="474">
        <f>'POSF Inventory'!GU22*'POSF Emiss by Zone'!$D$7*'POSF Zone Def'!$Z19</f>
        <v>0</v>
      </c>
      <c r="DL30" s="485">
        <f>'POSF Inventory'!GV22*'POSF Emiss by Zone'!$D$9*'POSF Zone Def'!$Z19</f>
        <v>0</v>
      </c>
      <c r="DM30" s="705">
        <f>SUM('POSF Inventory'!$GQ22,'POSF Inventory'!$GS22)*'POSF Emiss by Zone'!$D$7*'POSF Zone Def'!$AC19</f>
        <v>0</v>
      </c>
      <c r="DN30" s="705">
        <f>SUM('POSF Inventory'!$GR22,'POSF Inventory'!$GT22)*'POSF Emiss by Zone'!$D$9*'POSF Zone Def'!$AC19</f>
        <v>0</v>
      </c>
      <c r="DO30" s="705"/>
      <c r="DP30" s="705"/>
      <c r="DQ30" s="705">
        <f>'POSF Inventory'!$GU22*'POSF Emiss by Zone'!$D$7*'POSF Zone Def'!$AC19</f>
        <v>0</v>
      </c>
      <c r="DR30" s="708">
        <f>'POSF Inventory'!$GV22*'POSF Emiss by Zone'!$D$9*'POSF Zone Def'!$AC19</f>
        <v>0</v>
      </c>
      <c r="DS30" s="474">
        <f>SUM('POSF Inventory'!GW22,'POSF Inventory'!GY22)*$D$7*'POSF Zone Def'!$BB19</f>
        <v>0</v>
      </c>
      <c r="DT30" s="474">
        <f>SUM('POSF Inventory'!GX22,'POSF Inventory'!GZ22)*$D$9*'POSF Zone Def'!$BB19</f>
        <v>0</v>
      </c>
      <c r="DU30" s="474"/>
      <c r="DV30" s="474"/>
      <c r="DW30" s="474">
        <f>'POSF Inventory'!HA22*'POSF Emiss by Zone'!$D$7*'POSF Zone Def'!$BB19</f>
        <v>0</v>
      </c>
      <c r="DX30" s="524">
        <f>'POSF Inventory'!HB22*'POSF Emiss by Zone'!$D$9*'POSF Zone Def'!$BB19</f>
        <v>0</v>
      </c>
      <c r="DY30" s="474">
        <f>SUM('POSF Inventory'!GW22,'POSF Inventory'!GY22)*$D$7*'POSF Zone Def'!$BC19</f>
        <v>0</v>
      </c>
      <c r="DZ30" s="474">
        <f>SUM('POSF Inventory'!GX22,'POSF Inventory'!GZ22)*$D$9*'POSF Zone Def'!$BC19</f>
        <v>0</v>
      </c>
      <c r="EA30" s="474"/>
      <c r="EB30" s="474"/>
      <c r="EC30" s="474">
        <f>'POSF Inventory'!HA22*'POSF Emiss by Zone'!$D$7*'POSF Zone Def'!$BC19</f>
        <v>0</v>
      </c>
      <c r="ED30" s="134">
        <f>'POSF Inventory'!HB22*'POSF Emiss by Zone'!$D$9*'POSF Zone Def'!$BC19</f>
        <v>0</v>
      </c>
      <c r="EE30" s="235">
        <f>'POSF Inventory'!$CF22*'POSF Emiss by Zone'!$D$7*'POSF Zone Def'!$CE19</f>
        <v>0</v>
      </c>
      <c r="EF30" s="235">
        <f>'POSF Inventory'!$CG22*'POSF Emiss by Zone'!$D$9*'POSF Zone Def'!$CE19</f>
        <v>0</v>
      </c>
      <c r="EG30" s="235">
        <f>'POSF Inventory'!$CH22*'POSF Emiss by Zone'!$D$7*'POSF Zone Def'!$CE19</f>
        <v>0</v>
      </c>
      <c r="EH30" s="235">
        <f>'POSF Inventory'!$CI22*'POSF Emiss by Zone'!$D$9*'POSF Zone Def'!$CE19</f>
        <v>0</v>
      </c>
      <c r="EI30" s="235">
        <f>'POSF Inventory'!$CJ22*'POSF Emiss by Zone'!$D$7*'POSF Zone Def'!$CE19</f>
        <v>0</v>
      </c>
      <c r="EJ30" s="580">
        <f>'POSF Inventory'!$CK22*'POSF Emiss by Zone'!$D$9*'POSF Zone Def'!$CE19</f>
        <v>0</v>
      </c>
      <c r="EK30" s="235">
        <f>'POSF Inventory'!$CF22*'POSF Emiss by Zone'!$D$7*'POSF Zone Def'!$CF19</f>
        <v>0</v>
      </c>
      <c r="EL30" s="235">
        <f>'POSF Inventory'!$CG22*'POSF Emiss by Zone'!$D$9*'POSF Zone Def'!$CF19</f>
        <v>0</v>
      </c>
      <c r="EM30" s="235">
        <f>'POSF Inventory'!$CH22*'POSF Emiss by Zone'!$D$7*'POSF Zone Def'!$CF19</f>
        <v>0</v>
      </c>
      <c r="EN30" s="235">
        <f>'POSF Inventory'!$CI22*'POSF Emiss by Zone'!$D$9*'POSF Zone Def'!$CF19</f>
        <v>0</v>
      </c>
      <c r="EO30" s="235">
        <f>'POSF Inventory'!$CJ22*'POSF Emiss by Zone'!$D$7*'POSF Zone Def'!$CF19</f>
        <v>0</v>
      </c>
      <c r="EP30" s="580">
        <f>'POSF Inventory'!$CK22*'POSF Emiss by Zone'!$D$9*'POSF Zone Def'!$CF19</f>
        <v>0</v>
      </c>
      <c r="EQ30" s="235">
        <f>'POSF Inventory'!$CF22*'POSF Emiss by Zone'!$D$7*'POSF Zone Def'!$CG19</f>
        <v>0</v>
      </c>
      <c r="ER30" s="235">
        <f>'POSF Inventory'!$CG22*'POSF Emiss by Zone'!$D$9*'POSF Zone Def'!$CG19</f>
        <v>0</v>
      </c>
      <c r="ES30" s="235">
        <f>'POSF Inventory'!$CH22*'POSF Emiss by Zone'!$D$7*'POSF Zone Def'!$CG19</f>
        <v>0</v>
      </c>
      <c r="ET30" s="235">
        <f>'POSF Inventory'!$CI22*'POSF Emiss by Zone'!$D$9*'POSF Zone Def'!$CG19</f>
        <v>0</v>
      </c>
      <c r="EU30" s="235">
        <f>'POSF Inventory'!$CJ22*'POSF Emiss by Zone'!$D$7*'POSF Zone Def'!$CG19</f>
        <v>0</v>
      </c>
      <c r="EV30" s="580">
        <f>'POSF Inventory'!$CK22*'POSF Emiss by Zone'!$D$9*'POSF Zone Def'!$CG19</f>
        <v>0</v>
      </c>
      <c r="EW30" s="235">
        <f>'POSF Inventory'!$CF22*'POSF Emiss by Zone'!$D$7*'POSF Zone Def'!$CH19</f>
        <v>0</v>
      </c>
      <c r="EX30" s="235">
        <f>'POSF Inventory'!$CG22*'POSF Emiss by Zone'!$D$9*'POSF Zone Def'!$CH19</f>
        <v>0</v>
      </c>
      <c r="EY30" s="235">
        <f>'POSF Inventory'!$CH22*'POSF Emiss by Zone'!$D$7*'POSF Zone Def'!$CH19</f>
        <v>0</v>
      </c>
      <c r="EZ30" s="235">
        <f>'POSF Inventory'!$CI22*'POSF Emiss by Zone'!$D$9*'POSF Zone Def'!$CH19</f>
        <v>0</v>
      </c>
      <c r="FA30" s="235">
        <f>'POSF Inventory'!$CJ22*'POSF Emiss by Zone'!$D$7*'POSF Zone Def'!$CH19</f>
        <v>0</v>
      </c>
      <c r="FB30" s="580">
        <f>'POSF Inventory'!$CK22*'POSF Emiss by Zone'!$D$9*'POSF Zone Def'!$CH19</f>
        <v>0</v>
      </c>
      <c r="FC30" s="235">
        <f>'POSF Inventory'!$CF22*'POSF Emiss by Zone'!$D$7*'POSF Zone Def'!$CI19</f>
        <v>0</v>
      </c>
      <c r="FD30" s="235">
        <f>'POSF Inventory'!$CG22*'POSF Emiss by Zone'!$D$9*'POSF Zone Def'!$CI19</f>
        <v>0</v>
      </c>
      <c r="FE30" s="235">
        <f>'POSF Inventory'!$CH22*'POSF Emiss by Zone'!$D$7*'POSF Zone Def'!$CI19</f>
        <v>0</v>
      </c>
      <c r="FF30" s="235">
        <f>'POSF Inventory'!$CI22*'POSF Emiss by Zone'!$D$9*'POSF Zone Def'!$CI19</f>
        <v>0</v>
      </c>
      <c r="FG30" s="235">
        <f>'POSF Inventory'!$CJ22*'POSF Emiss by Zone'!$D$7*'POSF Zone Def'!$CI19</f>
        <v>0</v>
      </c>
      <c r="FH30" s="577">
        <f>'POSF Inventory'!$CK22*'POSF Emiss by Zone'!$D$9*'POSF Zone Def'!$CI19</f>
        <v>0</v>
      </c>
      <c r="FI30" s="595"/>
      <c r="FJ30" s="595"/>
      <c r="FM30" s="592">
        <v>13</v>
      </c>
      <c r="FN30" s="592">
        <f t="shared" si="0"/>
        <v>1967</v>
      </c>
      <c r="FO30" s="587">
        <v>10</v>
      </c>
      <c r="FP30" s="551">
        <f t="shared" si="20"/>
        <v>0.89329280624999974</v>
      </c>
      <c r="FQ30" s="474">
        <f t="shared" si="21"/>
        <v>0.89540710874999974</v>
      </c>
      <c r="FR30" s="474">
        <f t="shared" si="22"/>
        <v>0</v>
      </c>
      <c r="FS30" s="474">
        <f t="shared" si="23"/>
        <v>0</v>
      </c>
      <c r="FT30" s="474">
        <f t="shared" si="24"/>
        <v>0.66169837499999995</v>
      </c>
      <c r="FU30" s="524">
        <f t="shared" si="25"/>
        <v>0.66326452499999999</v>
      </c>
      <c r="FV30" s="474">
        <f t="shared" si="26"/>
        <v>0.89329280624999974</v>
      </c>
      <c r="FW30" s="474">
        <f t="shared" si="27"/>
        <v>0.89540710874999974</v>
      </c>
      <c r="FX30" s="474">
        <f t="shared" si="28"/>
        <v>0</v>
      </c>
      <c r="FY30" s="474">
        <f t="shared" si="29"/>
        <v>0</v>
      </c>
      <c r="FZ30" s="474">
        <f t="shared" si="30"/>
        <v>0.66169837499999995</v>
      </c>
      <c r="GA30" s="134">
        <f t="shared" si="31"/>
        <v>0.66326452499999999</v>
      </c>
      <c r="GB30" s="474">
        <f t="shared" si="32"/>
        <v>0</v>
      </c>
      <c r="GC30" s="474">
        <f t="shared" si="33"/>
        <v>0</v>
      </c>
      <c r="GD30" s="474">
        <f t="shared" si="34"/>
        <v>1.4722782626182769</v>
      </c>
      <c r="GE30" s="474">
        <f t="shared" si="35"/>
        <v>9.4065909504606573</v>
      </c>
      <c r="GF30" s="474">
        <f t="shared" si="36"/>
        <v>1.0984368774900397</v>
      </c>
      <c r="GG30" s="524">
        <f t="shared" si="37"/>
        <v>1.1010367280876492</v>
      </c>
      <c r="GH30" s="474">
        <f t="shared" si="38"/>
        <v>0</v>
      </c>
      <c r="GI30" s="474">
        <f t="shared" si="39"/>
        <v>0</v>
      </c>
      <c r="GJ30" s="474">
        <f t="shared" si="40"/>
        <v>0.69083617481947213</v>
      </c>
      <c r="GK30" s="474">
        <f t="shared" si="41"/>
        <v>1.5736744017554782</v>
      </c>
      <c r="GL30" s="474">
        <f t="shared" si="42"/>
        <v>1.0984368774900397</v>
      </c>
      <c r="GM30" s="705">
        <f t="shared" si="43"/>
        <v>1.1010367280876492</v>
      </c>
      <c r="GN30" s="705">
        <f t="shared" si="44"/>
        <v>0</v>
      </c>
      <c r="GO30" s="705">
        <f t="shared" si="45"/>
        <v>0</v>
      </c>
      <c r="GP30" s="705">
        <f t="shared" si="46"/>
        <v>0</v>
      </c>
      <c r="GQ30" s="705">
        <f t="shared" si="47"/>
        <v>0</v>
      </c>
      <c r="GR30" s="705">
        <f t="shared" si="48"/>
        <v>0</v>
      </c>
      <c r="GS30" s="705">
        <f t="shared" si="49"/>
        <v>0</v>
      </c>
      <c r="GT30" s="551">
        <f t="shared" si="50"/>
        <v>1.1177757820842512E-2</v>
      </c>
      <c r="GU30" s="548">
        <f t="shared" si="51"/>
        <v>0.41247468619806077</v>
      </c>
      <c r="GV30" s="548">
        <f t="shared" si="52"/>
        <v>1.2978454183266929E-3</v>
      </c>
      <c r="GW30" s="548">
        <f t="shared" si="53"/>
        <v>1.6044613984063745E-3</v>
      </c>
      <c r="GX30" s="548">
        <f t="shared" si="54"/>
        <v>4.7587665338645413E-3</v>
      </c>
      <c r="GY30" s="524">
        <f t="shared" si="55"/>
        <v>2.3532100509960158E-2</v>
      </c>
      <c r="GZ30" s="548">
        <f t="shared" si="56"/>
        <v>1.3188824493277872E-3</v>
      </c>
      <c r="HA30" s="548">
        <f t="shared" si="57"/>
        <v>4.5925599882653059E-2</v>
      </c>
      <c r="HB30" s="548">
        <f t="shared" si="58"/>
        <v>1.2978454183266929E-3</v>
      </c>
      <c r="HC30" s="548">
        <f t="shared" si="59"/>
        <v>1.6044613984063745E-3</v>
      </c>
      <c r="HD30" s="548">
        <f t="shared" si="60"/>
        <v>4.7587665338645413E-3</v>
      </c>
      <c r="HE30" s="549">
        <f t="shared" si="61"/>
        <v>2.3532100509960158E-2</v>
      </c>
      <c r="HF30" s="235">
        <f t="shared" si="62"/>
        <v>0</v>
      </c>
      <c r="HG30" s="235">
        <f t="shared" si="63"/>
        <v>0</v>
      </c>
      <c r="HH30" s="235">
        <f t="shared" si="64"/>
        <v>0</v>
      </c>
      <c r="HI30" s="235">
        <f t="shared" si="65"/>
        <v>0</v>
      </c>
      <c r="HJ30" s="235">
        <f t="shared" si="66"/>
        <v>0</v>
      </c>
      <c r="HK30" s="580">
        <f t="shared" si="67"/>
        <v>0</v>
      </c>
      <c r="HL30" s="235">
        <f t="shared" si="68"/>
        <v>0</v>
      </c>
      <c r="HM30" s="235">
        <f t="shared" si="69"/>
        <v>0</v>
      </c>
      <c r="HN30" s="235">
        <f t="shared" si="70"/>
        <v>0</v>
      </c>
      <c r="HO30" s="235">
        <f t="shared" si="71"/>
        <v>0</v>
      </c>
      <c r="HP30" s="235">
        <f t="shared" si="72"/>
        <v>0</v>
      </c>
      <c r="HQ30" s="580">
        <f t="shared" si="73"/>
        <v>0</v>
      </c>
      <c r="HR30" s="235">
        <f t="shared" si="74"/>
        <v>0</v>
      </c>
      <c r="HS30" s="235">
        <f t="shared" si="75"/>
        <v>0</v>
      </c>
      <c r="HT30" s="235">
        <f t="shared" si="76"/>
        <v>0</v>
      </c>
      <c r="HU30" s="235">
        <f t="shared" si="77"/>
        <v>0</v>
      </c>
      <c r="HV30" s="235">
        <f t="shared" si="78"/>
        <v>0</v>
      </c>
      <c r="HW30" s="577">
        <f t="shared" si="79"/>
        <v>0</v>
      </c>
      <c r="HX30" s="235">
        <f t="shared" si="80"/>
        <v>0.59405483680154547</v>
      </c>
      <c r="HY30" s="235">
        <f t="shared" si="81"/>
        <v>21.921443130326168</v>
      </c>
      <c r="HZ30" s="235">
        <f t="shared" si="82"/>
        <v>6.8975492270916317E-2</v>
      </c>
      <c r="IA30" s="235">
        <f t="shared" si="83"/>
        <v>8.527095231992031E-2</v>
      </c>
      <c r="IB30" s="235">
        <f t="shared" si="84"/>
        <v>0.25291013832669318</v>
      </c>
      <c r="IC30" s="235">
        <f t="shared" si="85"/>
        <v>1.2506406340254979</v>
      </c>
      <c r="ID30" s="235">
        <f t="shared" si="86"/>
        <v>7.0093529556966766E-2</v>
      </c>
      <c r="IE30" s="235">
        <f t="shared" si="87"/>
        <v>2.4407689968403838</v>
      </c>
      <c r="IF30" s="235">
        <f t="shared" si="88"/>
        <v>6.8975492270916317E-2</v>
      </c>
      <c r="IG30" s="235">
        <f t="shared" si="89"/>
        <v>8.527095231992031E-2</v>
      </c>
      <c r="IH30" s="235">
        <f t="shared" si="90"/>
        <v>0.25291013832669318</v>
      </c>
      <c r="II30" s="235">
        <f t="shared" si="91"/>
        <v>1.2506406340254979</v>
      </c>
      <c r="IJ30" s="235">
        <f t="shared" si="92"/>
        <v>0</v>
      </c>
      <c r="IK30" s="235">
        <f t="shared" si="93"/>
        <v>0</v>
      </c>
      <c r="IL30" s="235">
        <f t="shared" si="94"/>
        <v>0</v>
      </c>
      <c r="IM30" s="235">
        <f t="shared" si="95"/>
        <v>0</v>
      </c>
      <c r="IN30" s="235">
        <f t="shared" si="96"/>
        <v>0</v>
      </c>
      <c r="IO30" s="235">
        <f t="shared" si="97"/>
        <v>0</v>
      </c>
    </row>
    <row r="31" spans="1:249" ht="18" x14ac:dyDescent="0.25">
      <c r="A31" s="18">
        <v>1968</v>
      </c>
      <c r="B31" s="564"/>
      <c r="C31" s="529">
        <f>'POSF Inventory'!AD23*$D$5*'POSF Zone Def'!$M20</f>
        <v>0.98093662874999987</v>
      </c>
      <c r="D31" s="529">
        <f>'POSF Inventory'!AE23*$D$6*'POSF Zone Def'!$M20</f>
        <v>0.9832583722499999</v>
      </c>
      <c r="E31" s="529">
        <f>'POSF Inventory'!AF23*$D$5*'POSF Zone Def'!$M20</f>
        <v>0</v>
      </c>
      <c r="F31" s="529">
        <f>'POSF Inventory'!AG23*$D$6*'POSF Zone Def'!$M20</f>
        <v>0</v>
      </c>
      <c r="G31" s="529">
        <f>'POSF Inventory'!AH23*$D$5*'POSF Zone Def'!$M20</f>
        <v>0.72661972500000005</v>
      </c>
      <c r="H31" s="524">
        <f>'POSF Inventory'!AI23*$D$6*'POSF Zone Def'!$M20</f>
        <v>0.72833953500000004</v>
      </c>
      <c r="I31" s="474">
        <f>'POSF Inventory'!AD23*$D$5*'POSF Zone Def'!$N20</f>
        <v>0.98093662874999987</v>
      </c>
      <c r="J31" s="474">
        <f>'POSF Inventory'!AE23*$D$6*'POSF Zone Def'!$N20</f>
        <v>0.9832583722499999</v>
      </c>
      <c r="K31" s="474">
        <f>'POSF Inventory'!AF23*$D$5*'POSF Zone Def'!$N20</f>
        <v>0</v>
      </c>
      <c r="L31" s="474">
        <f>'POSF Inventory'!AG23*$D$6*'POSF Zone Def'!$N20</f>
        <v>0</v>
      </c>
      <c r="M31" s="474">
        <f>'POSF Inventory'!AH23*$D$5*'POSF Zone Def'!$N20</f>
        <v>0.72661972500000005</v>
      </c>
      <c r="N31" s="485">
        <f>'POSF Inventory'!AI23*$D$6*'POSF Zone Def'!$N20</f>
        <v>0.72833953500000004</v>
      </c>
      <c r="O31" s="529">
        <f>'POSF Inventory'!AJ23*$D$5*'POSF Zone Def'!$AP20</f>
        <v>0</v>
      </c>
      <c r="P31" s="529">
        <f>'POSF Inventory'!AK23*$D$6*'POSF Zone Def'!$AP20</f>
        <v>0</v>
      </c>
      <c r="Q31" s="529">
        <f>'POSF Inventory'!AL23*$D$5*'POSF Zone Def'!$AP20</f>
        <v>0</v>
      </c>
      <c r="R31" s="529">
        <f>'POSF Inventory'!AM23*$D$6*'POSF Zone Def'!$AP20</f>
        <v>0</v>
      </c>
      <c r="S31" s="529">
        <f>'POSF Inventory'!AN23*$D$5*'POSF Zone Def'!$AP20</f>
        <v>0</v>
      </c>
      <c r="T31" s="524">
        <f>'POSF Inventory'!AO23*$D$6*'POSF Zone Def'!$AP20</f>
        <v>0</v>
      </c>
      <c r="U31" s="474">
        <f>'POSF Inventory'!AJ23*$D$5*'POSF Zone Def'!$AQ20</f>
        <v>0</v>
      </c>
      <c r="V31" s="474">
        <f>'POSF Inventory'!AK23*$D$6*'POSF Zone Def'!$AQ20</f>
        <v>0</v>
      </c>
      <c r="W31" s="474">
        <f>'POSF Inventory'!AL23*$D$5*'POSF Zone Def'!$AQ20</f>
        <v>0</v>
      </c>
      <c r="X31" s="474">
        <f>'POSF Inventory'!AM23*$D$6*'POSF Zone Def'!$AQ20</f>
        <v>0</v>
      </c>
      <c r="Y31" s="474">
        <f>'POSF Inventory'!AN23*$D$5*'POSF Zone Def'!$AQ20</f>
        <v>0</v>
      </c>
      <c r="Z31" s="134">
        <f>'POSF Inventory'!AO23*$D$6*'POSF Zone Def'!$AQ20</f>
        <v>0</v>
      </c>
      <c r="AA31" s="529">
        <f>'POSF Inventory'!AV23*'POSF Emiss by Zone'!$D$5*'POSF Zone Def'!$M20</f>
        <v>0</v>
      </c>
      <c r="AB31" s="529">
        <f>'POSF Inventory'!AW23*'POSF Emiss by Zone'!$D$6*'POSF Zone Def'!$M20</f>
        <v>0</v>
      </c>
      <c r="AC31" s="529">
        <f>'POSF Inventory'!AX23*'POSF Emiss by Zone'!$D$5*'POSF Zone Def'!$M20</f>
        <v>0.65395775249999999</v>
      </c>
      <c r="AD31" s="529">
        <f>'POSF Inventory'!AY23*'POSF Emiss by Zone'!$D$6*'POSF Zone Def'!$M20</f>
        <v>0.65550558150000005</v>
      </c>
      <c r="AE31" s="529">
        <f>'POSF Inventory'!AZ23*'POSF Emiss by Zone'!$D$5*'POSF Zone Def'!$M20</f>
        <v>1.2110328750000001</v>
      </c>
      <c r="AF31" s="524">
        <f>'POSF Inventory'!BA23*'POSF Emiss by Zone'!$D$6*'POSF Zone Def'!$M20</f>
        <v>1.213899225</v>
      </c>
      <c r="AG31" s="474">
        <f>'POSF Inventory'!AV23*'POSF Emiss by Zone'!$D$5*'POSF Zone Def'!$N20</f>
        <v>0</v>
      </c>
      <c r="AH31" s="474">
        <f>'POSF Inventory'!AW23*'POSF Emiss by Zone'!$D$6*'POSF Zone Def'!$N20</f>
        <v>0</v>
      </c>
      <c r="AI31" s="474">
        <f>'POSF Inventory'!AX23*'POSF Emiss by Zone'!$D$5*'POSF Zone Def'!$N20</f>
        <v>0.65395775249999999</v>
      </c>
      <c r="AJ31" s="474">
        <f>'POSF Inventory'!AY23*'POSF Emiss by Zone'!$D$6*'POSF Zone Def'!$N20</f>
        <v>0.65550558150000005</v>
      </c>
      <c r="AK31" s="474">
        <f>'POSF Inventory'!AZ23*'POSF Emiss by Zone'!$D$5*'POSF Zone Def'!$N20</f>
        <v>1.2110328750000001</v>
      </c>
      <c r="AL31" s="549">
        <f>'POSF Inventory'!BA23*'POSF Emiss by Zone'!$D$6*'POSF Zone Def'!$N20</f>
        <v>1.213899225</v>
      </c>
      <c r="AM31" s="529">
        <f>'POSF Inventory'!BB23*'POSF Emiss by Zone'!$D$5*'POSF Zone Def'!$AP20</f>
        <v>0</v>
      </c>
      <c r="AN31" s="529">
        <f>'POSF Inventory'!BC23*'POSF Emiss by Zone'!$D$6*'POSF Zone Def'!$AP20</f>
        <v>0</v>
      </c>
      <c r="AO31" s="529">
        <f>'POSF Inventory'!BD23*'POSF Emiss by Zone'!$D$5*'POSF Zone Def'!$AP20</f>
        <v>0</v>
      </c>
      <c r="AP31" s="529">
        <f>'POSF Inventory'!BE23*'POSF Emiss by Zone'!$D$6*'POSF Zone Def'!$AP20</f>
        <v>0</v>
      </c>
      <c r="AQ31" s="529">
        <f>'POSF Inventory'!BF23*'POSF Emiss by Zone'!$D$5*'POSF Zone Def'!$AP20</f>
        <v>0</v>
      </c>
      <c r="AR31" s="524">
        <f>'POSF Inventory'!BG23*'POSF Emiss by Zone'!$D$6*'POSF Zone Def'!$AP20</f>
        <v>0</v>
      </c>
      <c r="AS31" s="474">
        <f>'POSF Inventory'!BB23*'POSF Emiss by Zone'!$D$5*'POSF Zone Def'!$AQ20</f>
        <v>0</v>
      </c>
      <c r="AT31" s="474">
        <f>'POSF Inventory'!BC23*'POSF Emiss by Zone'!$D$6*'POSF Zone Def'!$AQ20</f>
        <v>0</v>
      </c>
      <c r="AU31" s="474">
        <f>'POSF Inventory'!BD23*'POSF Emiss by Zone'!$D$5*'POSF Zone Def'!$AQ20</f>
        <v>0</v>
      </c>
      <c r="AV31" s="474">
        <f>'POSF Inventory'!BE23*'POSF Emiss by Zone'!$D$6*'POSF Zone Def'!$AQ20</f>
        <v>0</v>
      </c>
      <c r="AW31" s="474">
        <f>'POSF Inventory'!BF23*'POSF Emiss by Zone'!$D$5*'POSF Zone Def'!$AQ20</f>
        <v>0</v>
      </c>
      <c r="AX31" s="134">
        <f>'POSF Inventory'!BG23*'POSF Emiss by Zone'!$D$6*'POSF Zone Def'!$AQ20</f>
        <v>0</v>
      </c>
      <c r="AY31" s="529">
        <f>'POSF Inventory'!EA23*'POSF Emiss by Zone'!$D$5*'POSF Zone Def'!$Y20</f>
        <v>0</v>
      </c>
      <c r="AZ31" s="529">
        <f>'POSF Inventory'!EB23*'POSF Emiss by Zone'!$D$6*'POSF Zone Def'!$Y20</f>
        <v>0</v>
      </c>
      <c r="BA31" s="529">
        <f>'POSF Inventory'!EC23*'POSF Emiss by Zone'!$D$5*'POSF Zone Def'!$Y20</f>
        <v>0.97564054477500028</v>
      </c>
      <c r="BB31" s="529">
        <f>'POSF Inventory'!ED23*'POSF Emiss by Zone'!$D$6*'POSF Zone Def'!$Y20</f>
        <v>9.7794975316499997</v>
      </c>
      <c r="BC31" s="529">
        <f>'POSF Inventory'!EE23*'POSF Emiss by Zone'!$D$5*'POSF Zone Def'!$Y20</f>
        <v>0</v>
      </c>
      <c r="BD31" s="524">
        <f>'POSF Inventory'!EF23*'POSF Emiss by Zone'!$D$6*'POSF Zone Def'!$Y20</f>
        <v>0</v>
      </c>
      <c r="BE31" s="474">
        <f>'POSF Inventory'!EA23*'POSF Emiss by Zone'!$D$5*'POSF Zone Def'!$Z20</f>
        <v>0</v>
      </c>
      <c r="BF31" s="474">
        <f>'POSF Inventory'!EB23*'POSF Emiss by Zone'!$D$6*'POSF Zone Def'!$Z20</f>
        <v>0</v>
      </c>
      <c r="BG31" s="474">
        <f>'POSF Inventory'!EC23*'POSF Emiss by Zone'!$D$5*'POSF Zone Def'!$Z20</f>
        <v>0.10840450497500004</v>
      </c>
      <c r="BH31" s="474">
        <f>'POSF Inventory'!ED23*'POSF Emiss by Zone'!$D$6*'POSF Zone Def'!$Z20</f>
        <v>1.08661083685</v>
      </c>
      <c r="BI31" s="474">
        <f>'POSF Inventory'!EE23*'POSF Emiss by Zone'!$D$5*'POSF Zone Def'!$Z20</f>
        <v>0</v>
      </c>
      <c r="BJ31" s="549">
        <f>'POSF Inventory'!EF23*'POSF Emiss by Zone'!$D$6*'POSF Zone Def'!$Z20</f>
        <v>0</v>
      </c>
      <c r="BK31" s="705">
        <f>'POSF Inventory'!$EA23*'POSF Emiss by Zone'!$D$5*'POSF Zone Def'!$AC20</f>
        <v>0</v>
      </c>
      <c r="BL31" s="705">
        <f>'POSF Inventory'!$EB23*'POSF Emiss by Zone'!$D$6*'POSF Zone Def'!$AC20</f>
        <v>0</v>
      </c>
      <c r="BM31" s="705">
        <f>'POSF Inventory'!$EC23*'POSF Emiss by Zone'!$D$5*'POSF Zone Def'!$AC20</f>
        <v>0</v>
      </c>
      <c r="BN31" s="705">
        <f>'POSF Inventory'!$ED23*'POSF Emiss by Zone'!$D$6*'POSF Zone Def'!$AC20</f>
        <v>0</v>
      </c>
      <c r="BO31" s="705">
        <f>'POSF Inventory'!$EE23*'POSF Emiss by Zone'!$D$5*'POSF Zone Def'!$AC20</f>
        <v>0</v>
      </c>
      <c r="BP31" s="708">
        <f>'POSF Inventory'!$EF23*'POSF Emiss by Zone'!$D$6*'POSF Zone Def'!$AC20</f>
        <v>0</v>
      </c>
      <c r="BQ31" s="529">
        <f>'POSF Inventory'!EG23*'POSF Emiss by Zone'!$D$5*'POSF Zone Def'!$BB20</f>
        <v>0</v>
      </c>
      <c r="BR31" s="529">
        <f>'POSF Inventory'!EH23*'POSF Emiss by Zone'!$D$6*'POSF Zone Def'!$BB20</f>
        <v>0</v>
      </c>
      <c r="BS31" s="529">
        <f>'POSF Inventory'!EI23*'POSF Emiss by Zone'!$D$5*'POSF Zone Def'!$BB20</f>
        <v>0</v>
      </c>
      <c r="BT31" s="529">
        <f>'POSF Inventory'!EJ23*'POSF Emiss by Zone'!$D$6*'POSF Zone Def'!$BB20</f>
        <v>0</v>
      </c>
      <c r="BU31" s="529">
        <f>'POSF Inventory'!EK23*'POSF Emiss by Zone'!$D$5*'POSF Zone Def'!$BB20</f>
        <v>0</v>
      </c>
      <c r="BV31" s="524">
        <f>'POSF Inventory'!EL23*'POSF Emiss by Zone'!$D$6*'POSF Zone Def'!$BB20</f>
        <v>0</v>
      </c>
      <c r="BW31" s="474">
        <f>'POSF Inventory'!EG23*'POSF Emiss by Zone'!$D$5*'POSF Zone Def'!$BC20</f>
        <v>0</v>
      </c>
      <c r="BX31" s="474">
        <f>'POSF Inventory'!EH23*'POSF Emiss by Zone'!$D$6*'POSF Zone Def'!$BC20</f>
        <v>0</v>
      </c>
      <c r="BY31" s="474">
        <f>'POSF Inventory'!EI23*'POSF Emiss by Zone'!$D$5*'POSF Zone Def'!$BC20</f>
        <v>0</v>
      </c>
      <c r="BZ31" s="474">
        <f>'POSF Inventory'!EJ23*'POSF Emiss by Zone'!$D$6*'POSF Zone Def'!$BC20</f>
        <v>0</v>
      </c>
      <c r="CA31" s="474">
        <f>'POSF Inventory'!EK23*'POSF Emiss by Zone'!$D$5*'POSF Zone Def'!$BC20</f>
        <v>0</v>
      </c>
      <c r="CB31" s="134">
        <f>'POSF Inventory'!EL23*'POSF Emiss by Zone'!$D$6*'POSF Zone Def'!$BC20</f>
        <v>0</v>
      </c>
      <c r="CC31" s="529">
        <f>'POSF Inventory'!GC23*'POSF Emiss by Zone'!$D$7*'POSF Zone Def'!$M20</f>
        <v>4.5861600000000006E-3</v>
      </c>
      <c r="CD31" s="529">
        <f>'POSF Inventory'!GD23*'POSF Emiss by Zone'!$D$9*'POSF Zone Def'!$M20</f>
        <v>5.6696403000000006E-3</v>
      </c>
      <c r="CE31" s="529">
        <f>'POSF Inventory'!GE23*'POSF Emiss by Zone'!$D$7*'POSF Zone Def'!$M20</f>
        <v>6.879239999999999E-2</v>
      </c>
      <c r="CF31" s="529">
        <f>'POSF Inventory'!GF23*'POSF Emiss by Zone'!$D$9*'POSF Zone Def'!$M20</f>
        <v>8.5044604499999996E-2</v>
      </c>
      <c r="CG31" s="529">
        <f>'POSF Inventory'!GG23*'POSF Emiss by Zone'!$D$7*'POSF Zone Def'!$M20</f>
        <v>0.25223879999999999</v>
      </c>
      <c r="CH31" s="524">
        <f>'POSF Inventory'!GH23*'POSF Emiss by Zone'!$D$9*'POSF Zone Def'!$M20</f>
        <v>1.2473208660000001</v>
      </c>
      <c r="CI31" s="474">
        <f>'POSF Inventory'!GC23*'POSF Emiss by Zone'!$D$7*'POSF Zone Def'!$N20</f>
        <v>4.5861600000000006E-3</v>
      </c>
      <c r="CJ31" s="474">
        <f>'POSF Inventory'!GD23*'POSF Emiss by Zone'!$D$9*'POSF Zone Def'!$N20</f>
        <v>5.6696403000000006E-3</v>
      </c>
      <c r="CK31" s="474">
        <f>'POSF Inventory'!GE23*'POSF Emiss by Zone'!$D$7*'POSF Zone Def'!$N20</f>
        <v>6.879239999999999E-2</v>
      </c>
      <c r="CL31" s="474">
        <f>'POSF Inventory'!GF23*'POSF Emiss by Zone'!$D$9*'POSF Zone Def'!$N20</f>
        <v>8.5044604499999996E-2</v>
      </c>
      <c r="CM31" s="474">
        <f>'POSF Inventory'!GG23*'POSF Emiss by Zone'!$D$7*'POSF Zone Def'!$N20</f>
        <v>0.25223879999999999</v>
      </c>
      <c r="CN31" s="485">
        <f>'POSF Inventory'!GH23*'POSF Emiss by Zone'!$D$9*'POSF Zone Def'!$N20</f>
        <v>1.2473208660000001</v>
      </c>
      <c r="CO31" s="529">
        <f>'POSF Inventory'!GI23*'POSF Emiss by Zone'!$D$7*'POSF Zone Def'!$AP20</f>
        <v>0</v>
      </c>
      <c r="CP31" s="529">
        <f>'POSF Inventory'!GJ23*'POSF Emiss by Zone'!$D$9*'POSF Zone Def'!$AP20</f>
        <v>0</v>
      </c>
      <c r="CQ31" s="529">
        <f>'POSF Inventory'!GK23*'POSF Emiss by Zone'!$D$7*'POSF Zone Def'!$AP20</f>
        <v>0</v>
      </c>
      <c r="CR31" s="529">
        <f>'POSF Inventory'!GL23*'POSF Emiss by Zone'!$D$9*'POSF Zone Def'!$AP20</f>
        <v>0</v>
      </c>
      <c r="CS31" s="529">
        <f>'POSF Inventory'!GM23*'POSF Emiss by Zone'!$D$7*'POSF Zone Def'!$AP20</f>
        <v>0</v>
      </c>
      <c r="CT31" s="524">
        <f>'POSF Inventory'!GN23*'POSF Emiss by Zone'!$D$9*'POSF Zone Def'!$AP20</f>
        <v>0</v>
      </c>
      <c r="CU31" s="474">
        <f>'POSF Inventory'!GI23*'POSF Emiss by Zone'!$D$7*'POSF Zone Def'!$AQ20</f>
        <v>0</v>
      </c>
      <c r="CV31" s="474">
        <f>'POSF Inventory'!GJ23*'POSF Emiss by Zone'!$D$9*'POSF Zone Def'!$AQ20</f>
        <v>0</v>
      </c>
      <c r="CW31" s="474">
        <f>'POSF Inventory'!GK23*'POSF Emiss by Zone'!$D$7*'POSF Zone Def'!$AQ20</f>
        <v>0</v>
      </c>
      <c r="CX31" s="474">
        <f>'POSF Inventory'!GL23*'POSF Emiss by Zone'!$D$9*'POSF Zone Def'!$AQ20</f>
        <v>0</v>
      </c>
      <c r="CY31" s="474">
        <f>'POSF Inventory'!GM23*'POSF Emiss by Zone'!$D$7*'POSF Zone Def'!$AQ20</f>
        <v>0</v>
      </c>
      <c r="CZ31" s="134">
        <f>'POSF Inventory'!GN23*'POSF Emiss by Zone'!$D$9*'POSF Zone Def'!$AQ20</f>
        <v>0</v>
      </c>
      <c r="DA31" s="529">
        <f>SUM('POSF Inventory'!GQ23,'POSF Inventory'!GS23)*'POSF Emiss by Zone'!$D$7*'POSF Zone Def'!$Y20</f>
        <v>0.59216344003210508</v>
      </c>
      <c r="DB31" s="529">
        <f>SUM('POSF Inventory'!GR23,'POSF Inventory'!GT23)*'POSF Emiss by Zone'!$D$9*'POSF Zone Def'!$Y20</f>
        <v>22.241693364660232</v>
      </c>
      <c r="DC31" s="529"/>
      <c r="DD31" s="529"/>
      <c r="DE31" s="529">
        <f>'POSF Inventory'!GU23*'POSF Emiss by Zone'!$D$7*'POSF Zone Def'!$Y20</f>
        <v>0</v>
      </c>
      <c r="DF31" s="524">
        <f>'POSF Inventory'!GV23*'POSF Emiss by Zone'!$D$9*'POSF Zone Def'!$Y20</f>
        <v>0</v>
      </c>
      <c r="DG31" s="474">
        <f>SUM('POSF Inventory'!GQ23,'POSF Inventory'!GS23)*'POSF Emiss by Zone'!$D$7*'POSF Zone Def'!$Z20</f>
        <v>6.5795937781345001E-2</v>
      </c>
      <c r="DH31" s="474">
        <f>SUM('POSF Inventory'!GR23,'POSF Inventory'!GT23)*'POSF Emiss by Zone'!$D$9*'POSF Zone Def'!$Z20</f>
        <v>2.4712992627400259</v>
      </c>
      <c r="DI31" s="474"/>
      <c r="DJ31" s="474"/>
      <c r="DK31" s="474">
        <f>'POSF Inventory'!GU23*'POSF Emiss by Zone'!$D$7*'POSF Zone Def'!$Z20</f>
        <v>0</v>
      </c>
      <c r="DL31" s="485">
        <f>'POSF Inventory'!GV23*'POSF Emiss by Zone'!$D$9*'POSF Zone Def'!$Z20</f>
        <v>0</v>
      </c>
      <c r="DM31" s="705">
        <f>SUM('POSF Inventory'!$GQ23,'POSF Inventory'!$GS23)*'POSF Emiss by Zone'!$D$7*'POSF Zone Def'!$AC20</f>
        <v>0</v>
      </c>
      <c r="DN31" s="705">
        <f>SUM('POSF Inventory'!$GR23,'POSF Inventory'!$GT23)*'POSF Emiss by Zone'!$D$9*'POSF Zone Def'!$AC20</f>
        <v>0</v>
      </c>
      <c r="DO31" s="705"/>
      <c r="DP31" s="705"/>
      <c r="DQ31" s="705">
        <f>'POSF Inventory'!$GU23*'POSF Emiss by Zone'!$D$7*'POSF Zone Def'!$AC20</f>
        <v>0</v>
      </c>
      <c r="DR31" s="708">
        <f>'POSF Inventory'!$GV23*'POSF Emiss by Zone'!$D$9*'POSF Zone Def'!$AC20</f>
        <v>0</v>
      </c>
      <c r="DS31" s="529">
        <f>SUM('POSF Inventory'!GW23,'POSF Inventory'!GY23)*$D$7*'POSF Zone Def'!$BB20</f>
        <v>0</v>
      </c>
      <c r="DT31" s="529">
        <f>SUM('POSF Inventory'!GX23,'POSF Inventory'!GZ23)*$D$9*'POSF Zone Def'!$BB20</f>
        <v>0</v>
      </c>
      <c r="DU31" s="529"/>
      <c r="DV31" s="529"/>
      <c r="DW31" s="529">
        <f>'POSF Inventory'!HA23*'POSF Emiss by Zone'!$D$7*'POSF Zone Def'!$BB20</f>
        <v>0</v>
      </c>
      <c r="DX31" s="524">
        <f>'POSF Inventory'!HB23*'POSF Emiss by Zone'!$D$9*'POSF Zone Def'!$BB20</f>
        <v>0</v>
      </c>
      <c r="DY31" s="474">
        <f>SUM('POSF Inventory'!GW23,'POSF Inventory'!GY23)*$D$7*'POSF Zone Def'!$BC20</f>
        <v>0</v>
      </c>
      <c r="DZ31" s="474">
        <f>SUM('POSF Inventory'!GX23,'POSF Inventory'!GZ23)*$D$9*'POSF Zone Def'!$BC20</f>
        <v>0</v>
      </c>
      <c r="EA31" s="474"/>
      <c r="EB31" s="474"/>
      <c r="EC31" s="474">
        <f>'POSF Inventory'!HA23*'POSF Emiss by Zone'!$D$7*'POSF Zone Def'!$BC20</f>
        <v>0</v>
      </c>
      <c r="ED31" s="134">
        <f>'POSF Inventory'!HB23*'POSF Emiss by Zone'!$D$9*'POSF Zone Def'!$BC20</f>
        <v>0</v>
      </c>
      <c r="EE31" s="235">
        <f>'POSF Inventory'!$CF23*'POSF Emiss by Zone'!$D$7*'POSF Zone Def'!$CE20</f>
        <v>0</v>
      </c>
      <c r="EF31" s="235">
        <f>'POSF Inventory'!$CG23*'POSF Emiss by Zone'!$D$9*'POSF Zone Def'!$CE20</f>
        <v>0</v>
      </c>
      <c r="EG31" s="235">
        <f>'POSF Inventory'!$CH23*'POSF Emiss by Zone'!$D$7*'POSF Zone Def'!$CE20</f>
        <v>0</v>
      </c>
      <c r="EH31" s="235">
        <f>'POSF Inventory'!$CI23*'POSF Emiss by Zone'!$D$9*'POSF Zone Def'!$CE20</f>
        <v>0</v>
      </c>
      <c r="EI31" s="235">
        <f>'POSF Inventory'!$CJ23*'POSF Emiss by Zone'!$D$7*'POSF Zone Def'!$CE20</f>
        <v>0</v>
      </c>
      <c r="EJ31" s="580">
        <f>'POSF Inventory'!$CK23*'POSF Emiss by Zone'!$D$9*'POSF Zone Def'!$CE20</f>
        <v>0</v>
      </c>
      <c r="EK31" s="235">
        <f>'POSF Inventory'!$CF23*'POSF Emiss by Zone'!$D$7*'POSF Zone Def'!$CF20</f>
        <v>0</v>
      </c>
      <c r="EL31" s="235">
        <f>'POSF Inventory'!$CG23*'POSF Emiss by Zone'!$D$9*'POSF Zone Def'!$CF20</f>
        <v>0</v>
      </c>
      <c r="EM31" s="235">
        <f>'POSF Inventory'!$CH23*'POSF Emiss by Zone'!$D$7*'POSF Zone Def'!$CF20</f>
        <v>0</v>
      </c>
      <c r="EN31" s="235">
        <f>'POSF Inventory'!$CI23*'POSF Emiss by Zone'!$D$9*'POSF Zone Def'!$CF20</f>
        <v>0</v>
      </c>
      <c r="EO31" s="235">
        <f>'POSF Inventory'!$CJ23*'POSF Emiss by Zone'!$D$7*'POSF Zone Def'!$CF20</f>
        <v>0</v>
      </c>
      <c r="EP31" s="580">
        <f>'POSF Inventory'!$CK23*'POSF Emiss by Zone'!$D$9*'POSF Zone Def'!$CF20</f>
        <v>0</v>
      </c>
      <c r="EQ31" s="235">
        <f>'POSF Inventory'!$CF23*'POSF Emiss by Zone'!$D$7*'POSF Zone Def'!$CG20</f>
        <v>0</v>
      </c>
      <c r="ER31" s="235">
        <f>'POSF Inventory'!$CG23*'POSF Emiss by Zone'!$D$9*'POSF Zone Def'!$CG20</f>
        <v>0</v>
      </c>
      <c r="ES31" s="235">
        <f>'POSF Inventory'!$CH23*'POSF Emiss by Zone'!$D$7*'POSF Zone Def'!$CG20</f>
        <v>0</v>
      </c>
      <c r="ET31" s="235">
        <f>'POSF Inventory'!$CI23*'POSF Emiss by Zone'!$D$9*'POSF Zone Def'!$CG20</f>
        <v>0</v>
      </c>
      <c r="EU31" s="235">
        <f>'POSF Inventory'!$CJ23*'POSF Emiss by Zone'!$D$7*'POSF Zone Def'!$CG20</f>
        <v>0</v>
      </c>
      <c r="EV31" s="580">
        <f>'POSF Inventory'!$CK23*'POSF Emiss by Zone'!$D$9*'POSF Zone Def'!$CG20</f>
        <v>0</v>
      </c>
      <c r="EW31" s="235">
        <f>'POSF Inventory'!$CF23*'POSF Emiss by Zone'!$D$7*'POSF Zone Def'!$CH20</f>
        <v>0</v>
      </c>
      <c r="EX31" s="235">
        <f>'POSF Inventory'!$CG23*'POSF Emiss by Zone'!$D$9*'POSF Zone Def'!$CH20</f>
        <v>0</v>
      </c>
      <c r="EY31" s="235">
        <f>'POSF Inventory'!$CH23*'POSF Emiss by Zone'!$D$7*'POSF Zone Def'!$CH20</f>
        <v>0</v>
      </c>
      <c r="EZ31" s="235">
        <f>'POSF Inventory'!$CI23*'POSF Emiss by Zone'!$D$9*'POSF Zone Def'!$CH20</f>
        <v>0</v>
      </c>
      <c r="FA31" s="235">
        <f>'POSF Inventory'!$CJ23*'POSF Emiss by Zone'!$D$7*'POSF Zone Def'!$CH20</f>
        <v>0</v>
      </c>
      <c r="FB31" s="580">
        <f>'POSF Inventory'!$CK23*'POSF Emiss by Zone'!$D$9*'POSF Zone Def'!$CH20</f>
        <v>0</v>
      </c>
      <c r="FC31" s="235">
        <f>'POSF Inventory'!$CF23*'POSF Emiss by Zone'!$D$7*'POSF Zone Def'!$CI20</f>
        <v>0</v>
      </c>
      <c r="FD31" s="235">
        <f>'POSF Inventory'!$CG23*'POSF Emiss by Zone'!$D$9*'POSF Zone Def'!$CI20</f>
        <v>0</v>
      </c>
      <c r="FE31" s="235">
        <f>'POSF Inventory'!$CH23*'POSF Emiss by Zone'!$D$7*'POSF Zone Def'!$CI20</f>
        <v>0</v>
      </c>
      <c r="FF31" s="235">
        <f>'POSF Inventory'!$CI23*'POSF Emiss by Zone'!$D$9*'POSF Zone Def'!$CI20</f>
        <v>0</v>
      </c>
      <c r="FG31" s="235">
        <f>'POSF Inventory'!$CJ23*'POSF Emiss by Zone'!$D$7*'POSF Zone Def'!$CI20</f>
        <v>0</v>
      </c>
      <c r="FH31" s="577">
        <f>'POSF Inventory'!$CK23*'POSF Emiss by Zone'!$D$9*'POSF Zone Def'!$CI20</f>
        <v>0</v>
      </c>
      <c r="FI31" s="595"/>
      <c r="FJ31" s="595"/>
      <c r="FM31" s="592">
        <v>14</v>
      </c>
      <c r="FN31" s="592">
        <f t="shared" si="0"/>
        <v>1968</v>
      </c>
      <c r="FO31" s="587">
        <v>11</v>
      </c>
      <c r="FP31" s="551">
        <f t="shared" si="20"/>
        <v>0.98093662874999987</v>
      </c>
      <c r="FQ31" s="529">
        <f t="shared" si="21"/>
        <v>0.9832583722499999</v>
      </c>
      <c r="FR31" s="529">
        <f t="shared" si="22"/>
        <v>0</v>
      </c>
      <c r="FS31" s="529">
        <f t="shared" si="23"/>
        <v>0</v>
      </c>
      <c r="FT31" s="529">
        <f t="shared" si="24"/>
        <v>0.72661972500000005</v>
      </c>
      <c r="FU31" s="524">
        <f t="shared" si="25"/>
        <v>0.72833953500000004</v>
      </c>
      <c r="FV31" s="474">
        <f t="shared" si="26"/>
        <v>0.98093662874999987</v>
      </c>
      <c r="FW31" s="474">
        <f t="shared" si="27"/>
        <v>0.9832583722499999</v>
      </c>
      <c r="FX31" s="474">
        <f t="shared" si="28"/>
        <v>0</v>
      </c>
      <c r="FY31" s="474">
        <f t="shared" si="29"/>
        <v>0</v>
      </c>
      <c r="FZ31" s="474">
        <f t="shared" si="30"/>
        <v>0.72661972500000005</v>
      </c>
      <c r="GA31" s="134">
        <f t="shared" si="31"/>
        <v>0.72833953500000004</v>
      </c>
      <c r="GB31" s="529">
        <f t="shared" si="32"/>
        <v>0</v>
      </c>
      <c r="GC31" s="529">
        <f t="shared" si="33"/>
        <v>0</v>
      </c>
      <c r="GD31" s="529">
        <f t="shared" si="34"/>
        <v>1.6231058737798807</v>
      </c>
      <c r="GE31" s="529">
        <f t="shared" si="35"/>
        <v>10.393429395567729</v>
      </c>
      <c r="GF31" s="529">
        <f t="shared" si="36"/>
        <v>1.2062080428286854</v>
      </c>
      <c r="GG31" s="524">
        <f t="shared" si="37"/>
        <v>1.2090629731075697</v>
      </c>
      <c r="GH31" s="474">
        <f t="shared" si="38"/>
        <v>0</v>
      </c>
      <c r="GI31" s="474">
        <f t="shared" si="39"/>
        <v>0</v>
      </c>
      <c r="GJ31" s="474">
        <f t="shared" si="40"/>
        <v>0.75932495764442232</v>
      </c>
      <c r="GK31" s="474">
        <f t="shared" si="41"/>
        <v>1.7351757154880481</v>
      </c>
      <c r="GL31" s="474">
        <f t="shared" si="42"/>
        <v>1.2062080428286854</v>
      </c>
      <c r="GM31" s="705">
        <f t="shared" si="43"/>
        <v>1.2090629731075697</v>
      </c>
      <c r="GN31" s="705">
        <f t="shared" si="44"/>
        <v>0</v>
      </c>
      <c r="GO31" s="705">
        <f t="shared" si="45"/>
        <v>0</v>
      </c>
      <c r="GP31" s="705">
        <f t="shared" si="46"/>
        <v>0</v>
      </c>
      <c r="GQ31" s="705">
        <f t="shared" si="47"/>
        <v>0</v>
      </c>
      <c r="GR31" s="705">
        <f t="shared" si="48"/>
        <v>0</v>
      </c>
      <c r="GS31" s="705">
        <f t="shared" si="49"/>
        <v>0</v>
      </c>
      <c r="GT31" s="551">
        <f t="shared" si="50"/>
        <v>1.236293992098385E-2</v>
      </c>
      <c r="GU31" s="548">
        <f t="shared" si="51"/>
        <v>0.46090154432586933</v>
      </c>
      <c r="GV31" s="548">
        <f t="shared" si="52"/>
        <v>1.4251811952191232E-3</v>
      </c>
      <c r="GW31" s="548">
        <f t="shared" si="53"/>
        <v>1.7618802525896412E-3</v>
      </c>
      <c r="GX31" s="548">
        <f t="shared" si="54"/>
        <v>5.2256643824701195E-3</v>
      </c>
      <c r="GY31" s="524">
        <f t="shared" si="55"/>
        <v>2.5840910371314744E-2</v>
      </c>
      <c r="GZ31" s="548">
        <f t="shared" si="56"/>
        <v>1.4581151731593387E-3</v>
      </c>
      <c r="HA31" s="548">
        <f t="shared" si="57"/>
        <v>5.1315690421546351E-2</v>
      </c>
      <c r="HB31" s="548">
        <f t="shared" si="58"/>
        <v>1.4251811952191232E-3</v>
      </c>
      <c r="HC31" s="548">
        <f t="shared" si="59"/>
        <v>1.7618802525896412E-3</v>
      </c>
      <c r="HD31" s="548">
        <f t="shared" si="60"/>
        <v>5.2256643824701195E-3</v>
      </c>
      <c r="HE31" s="549">
        <f t="shared" si="61"/>
        <v>2.5840910371314744E-2</v>
      </c>
      <c r="HF31" s="235">
        <f t="shared" si="62"/>
        <v>0</v>
      </c>
      <c r="HG31" s="235">
        <f t="shared" si="63"/>
        <v>0</v>
      </c>
      <c r="HH31" s="235">
        <f t="shared" si="64"/>
        <v>0</v>
      </c>
      <c r="HI31" s="235">
        <f t="shared" si="65"/>
        <v>0</v>
      </c>
      <c r="HJ31" s="235">
        <f t="shared" si="66"/>
        <v>0</v>
      </c>
      <c r="HK31" s="580">
        <f t="shared" si="67"/>
        <v>0</v>
      </c>
      <c r="HL31" s="235">
        <f t="shared" si="68"/>
        <v>0</v>
      </c>
      <c r="HM31" s="235">
        <f t="shared" si="69"/>
        <v>0</v>
      </c>
      <c r="HN31" s="235">
        <f t="shared" si="70"/>
        <v>0</v>
      </c>
      <c r="HO31" s="235">
        <f t="shared" si="71"/>
        <v>0</v>
      </c>
      <c r="HP31" s="235">
        <f t="shared" si="72"/>
        <v>0</v>
      </c>
      <c r="HQ31" s="580">
        <f t="shared" si="73"/>
        <v>0</v>
      </c>
      <c r="HR31" s="235">
        <f t="shared" si="74"/>
        <v>0</v>
      </c>
      <c r="HS31" s="235">
        <f t="shared" si="75"/>
        <v>0</v>
      </c>
      <c r="HT31" s="235">
        <f t="shared" si="76"/>
        <v>0</v>
      </c>
      <c r="HU31" s="235">
        <f t="shared" si="77"/>
        <v>0</v>
      </c>
      <c r="HV31" s="235">
        <f t="shared" si="78"/>
        <v>0</v>
      </c>
      <c r="HW31" s="577">
        <f t="shared" si="79"/>
        <v>0</v>
      </c>
      <c r="HX31" s="235">
        <f t="shared" si="80"/>
        <v>0.65704270703136458</v>
      </c>
      <c r="HY31" s="235">
        <f t="shared" si="81"/>
        <v>24.495144382672546</v>
      </c>
      <c r="HZ31" s="235">
        <f t="shared" si="82"/>
        <v>7.5742899059760935E-2</v>
      </c>
      <c r="IA31" s="235">
        <f t="shared" si="83"/>
        <v>9.363715896262946E-2</v>
      </c>
      <c r="IB31" s="235">
        <f t="shared" si="84"/>
        <v>0.27772396321912346</v>
      </c>
      <c r="IC31" s="235">
        <f t="shared" si="85"/>
        <v>1.3733449981185657</v>
      </c>
      <c r="ID31" s="235">
        <f t="shared" si="86"/>
        <v>7.7493213318137452E-2</v>
      </c>
      <c r="IE31" s="235">
        <f t="shared" si="87"/>
        <v>2.7272315778651053</v>
      </c>
      <c r="IF31" s="235">
        <f t="shared" si="88"/>
        <v>7.5742899059760935E-2</v>
      </c>
      <c r="IG31" s="235">
        <f t="shared" si="89"/>
        <v>9.363715896262946E-2</v>
      </c>
      <c r="IH31" s="235">
        <f t="shared" si="90"/>
        <v>0.27772396321912346</v>
      </c>
      <c r="II31" s="235">
        <f t="shared" si="91"/>
        <v>1.3733449981185657</v>
      </c>
      <c r="IJ31" s="235">
        <f t="shared" si="92"/>
        <v>0</v>
      </c>
      <c r="IK31" s="235">
        <f t="shared" si="93"/>
        <v>0</v>
      </c>
      <c r="IL31" s="235">
        <f t="shared" si="94"/>
        <v>0</v>
      </c>
      <c r="IM31" s="235">
        <f t="shared" si="95"/>
        <v>0</v>
      </c>
      <c r="IN31" s="235">
        <f t="shared" si="96"/>
        <v>0</v>
      </c>
      <c r="IO31" s="235">
        <f t="shared" si="97"/>
        <v>0</v>
      </c>
    </row>
    <row r="32" spans="1:249" ht="18" x14ac:dyDescent="0.25">
      <c r="A32" s="18">
        <v>1969</v>
      </c>
      <c r="B32" s="564"/>
      <c r="C32" s="529">
        <f>'POSF Inventory'!AD24*$D$5*'POSF Zone Def'!$M21</f>
        <v>1.0719513675000001</v>
      </c>
      <c r="D32" s="529">
        <f>'POSF Inventory'!AE24*$D$6*'POSF Zone Def'!$M21</f>
        <v>1.0744885305</v>
      </c>
      <c r="E32" s="529">
        <f>'POSF Inventory'!AF24*$D$5*'POSF Zone Def'!$M21</f>
        <v>0</v>
      </c>
      <c r="F32" s="529">
        <f>'POSF Inventory'!AG24*$D$6*'POSF Zone Def'!$M21</f>
        <v>0</v>
      </c>
      <c r="G32" s="529">
        <f>'POSF Inventory'!AH24*$D$5*'POSF Zone Def'!$M21</f>
        <v>0.79403805000000005</v>
      </c>
      <c r="H32" s="524">
        <f>'POSF Inventory'!AI24*$D$6*'POSF Zone Def'!$M21</f>
        <v>0.79591743000000004</v>
      </c>
      <c r="I32" s="474">
        <f>'POSF Inventory'!AD24*$D$5*'POSF Zone Def'!$N21</f>
        <v>1.0719513675000001</v>
      </c>
      <c r="J32" s="474">
        <f>'POSF Inventory'!AE24*$D$6*'POSF Zone Def'!$N21</f>
        <v>1.0744885305</v>
      </c>
      <c r="K32" s="474">
        <f>'POSF Inventory'!AF24*$D$5*'POSF Zone Def'!$N21</f>
        <v>0</v>
      </c>
      <c r="L32" s="474">
        <f>'POSF Inventory'!AG24*$D$6*'POSF Zone Def'!$N21</f>
        <v>0</v>
      </c>
      <c r="M32" s="474">
        <f>'POSF Inventory'!AH24*$D$5*'POSF Zone Def'!$N21</f>
        <v>0.79403805000000005</v>
      </c>
      <c r="N32" s="485">
        <f>'POSF Inventory'!AI24*$D$6*'POSF Zone Def'!$N21</f>
        <v>0.79591743000000004</v>
      </c>
      <c r="O32" s="529">
        <f>'POSF Inventory'!AJ24*$D$5*'POSF Zone Def'!$AP21</f>
        <v>0</v>
      </c>
      <c r="P32" s="529">
        <f>'POSF Inventory'!AK24*$D$6*'POSF Zone Def'!$AP21</f>
        <v>0</v>
      </c>
      <c r="Q32" s="529">
        <f>'POSF Inventory'!AL24*$D$5*'POSF Zone Def'!$AP21</f>
        <v>0</v>
      </c>
      <c r="R32" s="529">
        <f>'POSF Inventory'!AM24*$D$6*'POSF Zone Def'!$AP21</f>
        <v>0</v>
      </c>
      <c r="S32" s="529">
        <f>'POSF Inventory'!AN24*$D$5*'POSF Zone Def'!$AP21</f>
        <v>0</v>
      </c>
      <c r="T32" s="524">
        <f>'POSF Inventory'!AO24*$D$6*'POSF Zone Def'!$AP21</f>
        <v>0</v>
      </c>
      <c r="U32" s="474">
        <f>'POSF Inventory'!AJ24*$D$5*'POSF Zone Def'!$AQ21</f>
        <v>0</v>
      </c>
      <c r="V32" s="474">
        <f>'POSF Inventory'!AK24*$D$6*'POSF Zone Def'!$AQ21</f>
        <v>0</v>
      </c>
      <c r="W32" s="474">
        <f>'POSF Inventory'!AL24*$D$5*'POSF Zone Def'!$AQ21</f>
        <v>0</v>
      </c>
      <c r="X32" s="474">
        <f>'POSF Inventory'!AM24*$D$6*'POSF Zone Def'!$AQ21</f>
        <v>0</v>
      </c>
      <c r="Y32" s="474">
        <f>'POSF Inventory'!AN24*$D$5*'POSF Zone Def'!$AQ21</f>
        <v>0</v>
      </c>
      <c r="Z32" s="134">
        <f>'POSF Inventory'!AO24*$D$6*'POSF Zone Def'!$AQ21</f>
        <v>0</v>
      </c>
      <c r="AA32" s="529">
        <f>'POSF Inventory'!AV24*'POSF Emiss by Zone'!$D$5*'POSF Zone Def'!$M21</f>
        <v>0</v>
      </c>
      <c r="AB32" s="529">
        <f>'POSF Inventory'!AW24*'POSF Emiss by Zone'!$D$6*'POSF Zone Def'!$M21</f>
        <v>0</v>
      </c>
      <c r="AC32" s="529">
        <f>'POSF Inventory'!AX24*'POSF Emiss by Zone'!$D$5*'POSF Zone Def'!$M21</f>
        <v>0.71463424500000006</v>
      </c>
      <c r="AD32" s="529">
        <f>'POSF Inventory'!AY24*'POSF Emiss by Zone'!$D$6*'POSF Zone Def'!$M21</f>
        <v>0.71632568699999999</v>
      </c>
      <c r="AE32" s="529">
        <f>'POSF Inventory'!AZ24*'POSF Emiss by Zone'!$D$5*'POSF Zone Def'!$M21</f>
        <v>1.3233967500000001</v>
      </c>
      <c r="AF32" s="524">
        <f>'POSF Inventory'!BA24*'POSF Emiss by Zone'!$D$6*'POSF Zone Def'!$M21</f>
        <v>1.32652905</v>
      </c>
      <c r="AG32" s="474">
        <f>'POSF Inventory'!AV24*'POSF Emiss by Zone'!$D$5*'POSF Zone Def'!$N21</f>
        <v>0</v>
      </c>
      <c r="AH32" s="474">
        <f>'POSF Inventory'!AW24*'POSF Emiss by Zone'!$D$6*'POSF Zone Def'!$N21</f>
        <v>0</v>
      </c>
      <c r="AI32" s="474">
        <f>'POSF Inventory'!AX24*'POSF Emiss by Zone'!$D$5*'POSF Zone Def'!$N21</f>
        <v>0.71463424500000006</v>
      </c>
      <c r="AJ32" s="474">
        <f>'POSF Inventory'!AY24*'POSF Emiss by Zone'!$D$6*'POSF Zone Def'!$N21</f>
        <v>0.71632568699999999</v>
      </c>
      <c r="AK32" s="474">
        <f>'POSF Inventory'!AZ24*'POSF Emiss by Zone'!$D$5*'POSF Zone Def'!$N21</f>
        <v>1.3233967500000001</v>
      </c>
      <c r="AL32" s="549">
        <f>'POSF Inventory'!BA24*'POSF Emiss by Zone'!$D$6*'POSF Zone Def'!$N21</f>
        <v>1.32652905</v>
      </c>
      <c r="AM32" s="529">
        <f>'POSF Inventory'!BB24*'POSF Emiss by Zone'!$D$5*'POSF Zone Def'!$AP21</f>
        <v>0</v>
      </c>
      <c r="AN32" s="529">
        <f>'POSF Inventory'!BC24*'POSF Emiss by Zone'!$D$6*'POSF Zone Def'!$AP21</f>
        <v>0</v>
      </c>
      <c r="AO32" s="529">
        <f>'POSF Inventory'!BD24*'POSF Emiss by Zone'!$D$5*'POSF Zone Def'!$AP21</f>
        <v>0</v>
      </c>
      <c r="AP32" s="529">
        <f>'POSF Inventory'!BE24*'POSF Emiss by Zone'!$D$6*'POSF Zone Def'!$AP21</f>
        <v>0</v>
      </c>
      <c r="AQ32" s="529">
        <f>'POSF Inventory'!BF24*'POSF Emiss by Zone'!$D$5*'POSF Zone Def'!$AP21</f>
        <v>0</v>
      </c>
      <c r="AR32" s="524">
        <f>'POSF Inventory'!BG24*'POSF Emiss by Zone'!$D$6*'POSF Zone Def'!$AP21</f>
        <v>0</v>
      </c>
      <c r="AS32" s="474">
        <f>'POSF Inventory'!BB24*'POSF Emiss by Zone'!$D$5*'POSF Zone Def'!$AQ21</f>
        <v>0</v>
      </c>
      <c r="AT32" s="474">
        <f>'POSF Inventory'!BC24*'POSF Emiss by Zone'!$D$6*'POSF Zone Def'!$AQ21</f>
        <v>0</v>
      </c>
      <c r="AU32" s="474">
        <f>'POSF Inventory'!BD24*'POSF Emiss by Zone'!$D$5*'POSF Zone Def'!$AQ21</f>
        <v>0</v>
      </c>
      <c r="AV32" s="474">
        <f>'POSF Inventory'!BE24*'POSF Emiss by Zone'!$D$6*'POSF Zone Def'!$AQ21</f>
        <v>0</v>
      </c>
      <c r="AW32" s="474">
        <f>'POSF Inventory'!BF24*'POSF Emiss by Zone'!$D$5*'POSF Zone Def'!$AQ21</f>
        <v>0</v>
      </c>
      <c r="AX32" s="134">
        <f>'POSF Inventory'!BG24*'POSF Emiss by Zone'!$D$6*'POSF Zone Def'!$AQ21</f>
        <v>0</v>
      </c>
      <c r="AY32" s="529">
        <f>'POSF Inventory'!EA24*'POSF Emiss by Zone'!$D$5*'POSF Zone Def'!$Y21</f>
        <v>0</v>
      </c>
      <c r="AZ32" s="529">
        <f>'POSF Inventory'!EB24*'POSF Emiss by Zone'!$D$6*'POSF Zone Def'!$Y21</f>
        <v>0</v>
      </c>
      <c r="BA32" s="529">
        <f>'POSF Inventory'!EC24*'POSF Emiss by Zone'!$D$5*'POSF Zone Def'!$Y21</f>
        <v>1.0686422513812501</v>
      </c>
      <c r="BB32" s="529">
        <f>'POSF Inventory'!ED24*'POSF Emiss by Zone'!$D$6*'POSF Zone Def'!$Y21</f>
        <v>10.711715821537501</v>
      </c>
      <c r="BC32" s="529">
        <f>'POSF Inventory'!EE24*'POSF Emiss by Zone'!$D$5*'POSF Zone Def'!$Y21</f>
        <v>0</v>
      </c>
      <c r="BD32" s="524">
        <f>'POSF Inventory'!EF24*'POSF Emiss by Zone'!$D$6*'POSF Zone Def'!$Y21</f>
        <v>0</v>
      </c>
      <c r="BE32" s="474">
        <f>'POSF Inventory'!EA24*'POSF Emiss by Zone'!$D$5*'POSF Zone Def'!$Z21</f>
        <v>0</v>
      </c>
      <c r="BF32" s="474">
        <f>'POSF Inventory'!EB24*'POSF Emiss by Zone'!$D$6*'POSF Zone Def'!$Z21</f>
        <v>0</v>
      </c>
      <c r="BG32" s="474">
        <f>'POSF Inventory'!EC24*'POSF Emiss by Zone'!$D$5*'POSF Zone Def'!$Z21</f>
        <v>0.11873802793125002</v>
      </c>
      <c r="BH32" s="474">
        <f>'POSF Inventory'!ED24*'POSF Emiss by Zone'!$D$6*'POSF Zone Def'!$Z21</f>
        <v>1.1901906468375001</v>
      </c>
      <c r="BI32" s="474">
        <f>'POSF Inventory'!EE24*'POSF Emiss by Zone'!$D$5*'POSF Zone Def'!$Z21</f>
        <v>0</v>
      </c>
      <c r="BJ32" s="549">
        <f>'POSF Inventory'!EF24*'POSF Emiss by Zone'!$D$6*'POSF Zone Def'!$Z21</f>
        <v>0</v>
      </c>
      <c r="BK32" s="705">
        <f>'POSF Inventory'!$EA24*'POSF Emiss by Zone'!$D$5*'POSF Zone Def'!$AC21</f>
        <v>0</v>
      </c>
      <c r="BL32" s="705">
        <f>'POSF Inventory'!$EB24*'POSF Emiss by Zone'!$D$6*'POSF Zone Def'!$AC21</f>
        <v>0</v>
      </c>
      <c r="BM32" s="705">
        <f>'POSF Inventory'!$EC24*'POSF Emiss by Zone'!$D$5*'POSF Zone Def'!$AC21</f>
        <v>0</v>
      </c>
      <c r="BN32" s="705">
        <f>'POSF Inventory'!$ED24*'POSF Emiss by Zone'!$D$6*'POSF Zone Def'!$AC21</f>
        <v>0</v>
      </c>
      <c r="BO32" s="705">
        <f>'POSF Inventory'!$EE24*'POSF Emiss by Zone'!$D$5*'POSF Zone Def'!$AC21</f>
        <v>0</v>
      </c>
      <c r="BP32" s="708">
        <f>'POSF Inventory'!$EF24*'POSF Emiss by Zone'!$D$6*'POSF Zone Def'!$AC21</f>
        <v>0</v>
      </c>
      <c r="BQ32" s="529">
        <f>'POSF Inventory'!EG24*'POSF Emiss by Zone'!$D$5*'POSF Zone Def'!$BB21</f>
        <v>0</v>
      </c>
      <c r="BR32" s="529">
        <f>'POSF Inventory'!EH24*'POSF Emiss by Zone'!$D$6*'POSF Zone Def'!$BB21</f>
        <v>0</v>
      </c>
      <c r="BS32" s="529">
        <f>'POSF Inventory'!EI24*'POSF Emiss by Zone'!$D$5*'POSF Zone Def'!$BB21</f>
        <v>0</v>
      </c>
      <c r="BT32" s="529">
        <f>'POSF Inventory'!EJ24*'POSF Emiss by Zone'!$D$6*'POSF Zone Def'!$BB21</f>
        <v>0</v>
      </c>
      <c r="BU32" s="529">
        <f>'POSF Inventory'!EK24*'POSF Emiss by Zone'!$D$5*'POSF Zone Def'!$BB21</f>
        <v>0</v>
      </c>
      <c r="BV32" s="524">
        <f>'POSF Inventory'!EL24*'POSF Emiss by Zone'!$D$6*'POSF Zone Def'!$BB21</f>
        <v>0</v>
      </c>
      <c r="BW32" s="474">
        <f>'POSF Inventory'!EG24*'POSF Emiss by Zone'!$D$5*'POSF Zone Def'!$BC21</f>
        <v>0</v>
      </c>
      <c r="BX32" s="474">
        <f>'POSF Inventory'!EH24*'POSF Emiss by Zone'!$D$6*'POSF Zone Def'!$BC21</f>
        <v>0</v>
      </c>
      <c r="BY32" s="474">
        <f>'POSF Inventory'!EI24*'POSF Emiss by Zone'!$D$5*'POSF Zone Def'!$BC21</f>
        <v>0</v>
      </c>
      <c r="BZ32" s="474">
        <f>'POSF Inventory'!EJ24*'POSF Emiss by Zone'!$D$6*'POSF Zone Def'!$BC21</f>
        <v>0</v>
      </c>
      <c r="CA32" s="474">
        <f>'POSF Inventory'!EK24*'POSF Emiss by Zone'!$D$5*'POSF Zone Def'!$BC21</f>
        <v>0</v>
      </c>
      <c r="CB32" s="134">
        <f>'POSF Inventory'!EL24*'POSF Emiss by Zone'!$D$6*'POSF Zone Def'!$BC21</f>
        <v>0</v>
      </c>
      <c r="CC32" s="529">
        <f>'POSF Inventory'!GC24*'POSF Emiss by Zone'!$D$7*'POSF Zone Def'!$M21</f>
        <v>5.011680000000001E-3</v>
      </c>
      <c r="CD32" s="529">
        <f>'POSF Inventory'!GD24*'POSF Emiss by Zone'!$D$9*'POSF Zone Def'!$M21</f>
        <v>6.1956894000000018E-3</v>
      </c>
      <c r="CE32" s="529">
        <f>'POSF Inventory'!GE24*'POSF Emiss by Zone'!$D$7*'POSF Zone Def'!$M21</f>
        <v>7.5175199999999998E-2</v>
      </c>
      <c r="CF32" s="529">
        <f>'POSF Inventory'!GF24*'POSF Emiss by Zone'!$D$9*'POSF Zone Def'!$M21</f>
        <v>9.2935341000000005E-2</v>
      </c>
      <c r="CG32" s="529">
        <f>'POSF Inventory'!GG24*'POSF Emiss by Zone'!$D$7*'POSF Zone Def'!$M21</f>
        <v>0.27564240000000007</v>
      </c>
      <c r="CH32" s="524">
        <f>'POSF Inventory'!GH24*'POSF Emiss by Zone'!$D$9*'POSF Zone Def'!$M21</f>
        <v>1.3630516680000004</v>
      </c>
      <c r="CI32" s="474">
        <f>'POSF Inventory'!GC24*'POSF Emiss by Zone'!$D$7*'POSF Zone Def'!$N21</f>
        <v>5.011680000000001E-3</v>
      </c>
      <c r="CJ32" s="474">
        <f>'POSF Inventory'!GD24*'POSF Emiss by Zone'!$D$9*'POSF Zone Def'!$N21</f>
        <v>6.1956894000000018E-3</v>
      </c>
      <c r="CK32" s="474">
        <f>'POSF Inventory'!GE24*'POSF Emiss by Zone'!$D$7*'POSF Zone Def'!$N21</f>
        <v>7.5175199999999998E-2</v>
      </c>
      <c r="CL32" s="474">
        <f>'POSF Inventory'!GF24*'POSF Emiss by Zone'!$D$9*'POSF Zone Def'!$N21</f>
        <v>9.2935341000000005E-2</v>
      </c>
      <c r="CM32" s="474">
        <f>'POSF Inventory'!GG24*'POSF Emiss by Zone'!$D$7*'POSF Zone Def'!$N21</f>
        <v>0.27564240000000007</v>
      </c>
      <c r="CN32" s="485">
        <f>'POSF Inventory'!GH24*'POSF Emiss by Zone'!$D$9*'POSF Zone Def'!$N21</f>
        <v>1.3630516680000004</v>
      </c>
      <c r="CO32" s="529">
        <f>'POSF Inventory'!GI24*'POSF Emiss by Zone'!$D$7*'POSF Zone Def'!$AP21</f>
        <v>0</v>
      </c>
      <c r="CP32" s="529">
        <f>'POSF Inventory'!GJ24*'POSF Emiss by Zone'!$D$9*'POSF Zone Def'!$AP21</f>
        <v>0</v>
      </c>
      <c r="CQ32" s="529">
        <f>'POSF Inventory'!GK24*'POSF Emiss by Zone'!$D$7*'POSF Zone Def'!$AP21</f>
        <v>0</v>
      </c>
      <c r="CR32" s="529">
        <f>'POSF Inventory'!GL24*'POSF Emiss by Zone'!$D$9*'POSF Zone Def'!$AP21</f>
        <v>0</v>
      </c>
      <c r="CS32" s="529">
        <f>'POSF Inventory'!GM24*'POSF Emiss by Zone'!$D$7*'POSF Zone Def'!$AP21</f>
        <v>0</v>
      </c>
      <c r="CT32" s="524">
        <f>'POSF Inventory'!GN24*'POSF Emiss by Zone'!$D$9*'POSF Zone Def'!$AP21</f>
        <v>0</v>
      </c>
      <c r="CU32" s="474">
        <f>'POSF Inventory'!GI24*'POSF Emiss by Zone'!$D$7*'POSF Zone Def'!$AQ21</f>
        <v>0</v>
      </c>
      <c r="CV32" s="474">
        <f>'POSF Inventory'!GJ24*'POSF Emiss by Zone'!$D$9*'POSF Zone Def'!$AQ21</f>
        <v>0</v>
      </c>
      <c r="CW32" s="474">
        <f>'POSF Inventory'!GK24*'POSF Emiss by Zone'!$D$7*'POSF Zone Def'!$AQ21</f>
        <v>0</v>
      </c>
      <c r="CX32" s="474">
        <f>'POSF Inventory'!GL24*'POSF Emiss by Zone'!$D$9*'POSF Zone Def'!$AQ21</f>
        <v>0</v>
      </c>
      <c r="CY32" s="474">
        <f>'POSF Inventory'!GM24*'POSF Emiss by Zone'!$D$7*'POSF Zone Def'!$AQ21</f>
        <v>0</v>
      </c>
      <c r="CZ32" s="134">
        <f>'POSF Inventory'!GN24*'POSF Emiss by Zone'!$D$9*'POSF Zone Def'!$AQ21</f>
        <v>0</v>
      </c>
      <c r="DA32" s="529">
        <f>SUM('POSF Inventory'!GQ24,'POSF Inventory'!GS24)*'POSF Emiss by Zone'!$D$7*'POSF Zone Def'!$Y21</f>
        <v>0.64896150832738886</v>
      </c>
      <c r="DB32" s="529">
        <f>SUM('POSF Inventory'!GR24,'POSF Inventory'!GT24)*'POSF Emiss by Zone'!$D$9*'POSF Zone Def'!$Y21</f>
        <v>24.578713989260216</v>
      </c>
      <c r="DC32" s="529"/>
      <c r="DD32" s="529"/>
      <c r="DE32" s="529">
        <f>'POSF Inventory'!GU24*'POSF Emiss by Zone'!$D$7*'POSF Zone Def'!$Y21</f>
        <v>0</v>
      </c>
      <c r="DF32" s="524">
        <f>'POSF Inventory'!GV24*'POSF Emiss by Zone'!$D$9*'POSF Zone Def'!$Y21</f>
        <v>0</v>
      </c>
      <c r="DG32" s="474">
        <f>SUM('POSF Inventory'!GQ24,'POSF Inventory'!GS24)*'POSF Emiss by Zone'!$D$7*'POSF Zone Def'!$Z21</f>
        <v>7.2106834258598762E-2</v>
      </c>
      <c r="DH32" s="474">
        <f>SUM('POSF Inventory'!GR24,'POSF Inventory'!GT24)*'POSF Emiss by Zone'!$D$9*'POSF Zone Def'!$Z21</f>
        <v>2.7309682210289132</v>
      </c>
      <c r="DI32" s="474"/>
      <c r="DJ32" s="474"/>
      <c r="DK32" s="474">
        <f>'POSF Inventory'!GU24*'POSF Emiss by Zone'!$D$7*'POSF Zone Def'!$Z21</f>
        <v>0</v>
      </c>
      <c r="DL32" s="485">
        <f>'POSF Inventory'!GV24*'POSF Emiss by Zone'!$D$9*'POSF Zone Def'!$Z21</f>
        <v>0</v>
      </c>
      <c r="DM32" s="705">
        <f>SUM('POSF Inventory'!$GQ24,'POSF Inventory'!$GS24)*'POSF Emiss by Zone'!$D$7*'POSF Zone Def'!$AC21</f>
        <v>0</v>
      </c>
      <c r="DN32" s="705">
        <f>SUM('POSF Inventory'!$GR24,'POSF Inventory'!$GT24)*'POSF Emiss by Zone'!$D$9*'POSF Zone Def'!$AC21</f>
        <v>0</v>
      </c>
      <c r="DO32" s="705"/>
      <c r="DP32" s="705"/>
      <c r="DQ32" s="705">
        <f>'POSF Inventory'!$GU24*'POSF Emiss by Zone'!$D$7*'POSF Zone Def'!$AC21</f>
        <v>0</v>
      </c>
      <c r="DR32" s="708">
        <f>'POSF Inventory'!$GV24*'POSF Emiss by Zone'!$D$9*'POSF Zone Def'!$AC21</f>
        <v>0</v>
      </c>
      <c r="DS32" s="529">
        <f>SUM('POSF Inventory'!GW24,'POSF Inventory'!GY24)*$D$7*'POSF Zone Def'!$BB21</f>
        <v>0</v>
      </c>
      <c r="DT32" s="529">
        <f>SUM('POSF Inventory'!GX24,'POSF Inventory'!GZ24)*$D$9*'POSF Zone Def'!$BB21</f>
        <v>0</v>
      </c>
      <c r="DU32" s="529"/>
      <c r="DV32" s="529"/>
      <c r="DW32" s="529">
        <f>'POSF Inventory'!HA24*'POSF Emiss by Zone'!$D$7*'POSF Zone Def'!$BB21</f>
        <v>0</v>
      </c>
      <c r="DX32" s="524">
        <f>'POSF Inventory'!HB24*'POSF Emiss by Zone'!$D$9*'POSF Zone Def'!$BB21</f>
        <v>0</v>
      </c>
      <c r="DY32" s="474">
        <f>SUM('POSF Inventory'!GW24,'POSF Inventory'!GY24)*$D$7*'POSF Zone Def'!$BC21</f>
        <v>0</v>
      </c>
      <c r="DZ32" s="474">
        <f>SUM('POSF Inventory'!GX24,'POSF Inventory'!GZ24)*$D$9*'POSF Zone Def'!$BC21</f>
        <v>0</v>
      </c>
      <c r="EA32" s="474"/>
      <c r="EB32" s="474"/>
      <c r="EC32" s="474">
        <f>'POSF Inventory'!HA24*'POSF Emiss by Zone'!$D$7*'POSF Zone Def'!$BC21</f>
        <v>0</v>
      </c>
      <c r="ED32" s="134">
        <f>'POSF Inventory'!HB24*'POSF Emiss by Zone'!$D$9*'POSF Zone Def'!$BC21</f>
        <v>0</v>
      </c>
      <c r="EE32" s="235">
        <f>'POSF Inventory'!$CF24*'POSF Emiss by Zone'!$D$7*'POSF Zone Def'!$CE21</f>
        <v>0</v>
      </c>
      <c r="EF32" s="235">
        <f>'POSF Inventory'!$CG24*'POSF Emiss by Zone'!$D$9*'POSF Zone Def'!$CE21</f>
        <v>0</v>
      </c>
      <c r="EG32" s="235">
        <f>'POSF Inventory'!$CH24*'POSF Emiss by Zone'!$D$7*'POSF Zone Def'!$CE21</f>
        <v>0</v>
      </c>
      <c r="EH32" s="235">
        <f>'POSF Inventory'!$CI24*'POSF Emiss by Zone'!$D$9*'POSF Zone Def'!$CE21</f>
        <v>0</v>
      </c>
      <c r="EI32" s="235">
        <f>'POSF Inventory'!$CJ24*'POSF Emiss by Zone'!$D$7*'POSF Zone Def'!$CE21</f>
        <v>0</v>
      </c>
      <c r="EJ32" s="580">
        <f>'POSF Inventory'!$CK24*'POSF Emiss by Zone'!$D$9*'POSF Zone Def'!$CE21</f>
        <v>0</v>
      </c>
      <c r="EK32" s="235">
        <f>'POSF Inventory'!$CF24*'POSF Emiss by Zone'!$D$7*'POSF Zone Def'!$CF21</f>
        <v>0</v>
      </c>
      <c r="EL32" s="235">
        <f>'POSF Inventory'!$CG24*'POSF Emiss by Zone'!$D$9*'POSF Zone Def'!$CF21</f>
        <v>0</v>
      </c>
      <c r="EM32" s="235">
        <f>'POSF Inventory'!$CH24*'POSF Emiss by Zone'!$D$7*'POSF Zone Def'!$CF21</f>
        <v>0</v>
      </c>
      <c r="EN32" s="235">
        <f>'POSF Inventory'!$CI24*'POSF Emiss by Zone'!$D$9*'POSF Zone Def'!$CF21</f>
        <v>0</v>
      </c>
      <c r="EO32" s="235">
        <f>'POSF Inventory'!$CJ24*'POSF Emiss by Zone'!$D$7*'POSF Zone Def'!$CF21</f>
        <v>0</v>
      </c>
      <c r="EP32" s="580">
        <f>'POSF Inventory'!$CK24*'POSF Emiss by Zone'!$D$9*'POSF Zone Def'!$CF21</f>
        <v>0</v>
      </c>
      <c r="EQ32" s="235">
        <f>'POSF Inventory'!$CF24*'POSF Emiss by Zone'!$D$7*'POSF Zone Def'!$CG21</f>
        <v>0</v>
      </c>
      <c r="ER32" s="235">
        <f>'POSF Inventory'!$CG24*'POSF Emiss by Zone'!$D$9*'POSF Zone Def'!$CG21</f>
        <v>0</v>
      </c>
      <c r="ES32" s="235">
        <f>'POSF Inventory'!$CH24*'POSF Emiss by Zone'!$D$7*'POSF Zone Def'!$CG21</f>
        <v>0</v>
      </c>
      <c r="ET32" s="235">
        <f>'POSF Inventory'!$CI24*'POSF Emiss by Zone'!$D$9*'POSF Zone Def'!$CG21</f>
        <v>0</v>
      </c>
      <c r="EU32" s="235">
        <f>'POSF Inventory'!$CJ24*'POSF Emiss by Zone'!$D$7*'POSF Zone Def'!$CG21</f>
        <v>0</v>
      </c>
      <c r="EV32" s="580">
        <f>'POSF Inventory'!$CK24*'POSF Emiss by Zone'!$D$9*'POSF Zone Def'!$CG21</f>
        <v>0</v>
      </c>
      <c r="EW32" s="235">
        <f>'POSF Inventory'!$CF24*'POSF Emiss by Zone'!$D$7*'POSF Zone Def'!$CH21</f>
        <v>0</v>
      </c>
      <c r="EX32" s="235">
        <f>'POSF Inventory'!$CG24*'POSF Emiss by Zone'!$D$9*'POSF Zone Def'!$CH21</f>
        <v>0</v>
      </c>
      <c r="EY32" s="235">
        <f>'POSF Inventory'!$CH24*'POSF Emiss by Zone'!$D$7*'POSF Zone Def'!$CH21</f>
        <v>0</v>
      </c>
      <c r="EZ32" s="235">
        <f>'POSF Inventory'!$CI24*'POSF Emiss by Zone'!$D$9*'POSF Zone Def'!$CH21</f>
        <v>0</v>
      </c>
      <c r="FA32" s="235">
        <f>'POSF Inventory'!$CJ24*'POSF Emiss by Zone'!$D$7*'POSF Zone Def'!$CH21</f>
        <v>0</v>
      </c>
      <c r="FB32" s="580">
        <f>'POSF Inventory'!$CK24*'POSF Emiss by Zone'!$D$9*'POSF Zone Def'!$CH21</f>
        <v>0</v>
      </c>
      <c r="FC32" s="235">
        <f>'POSF Inventory'!$CF24*'POSF Emiss by Zone'!$D$7*'POSF Zone Def'!$CI21</f>
        <v>0</v>
      </c>
      <c r="FD32" s="235">
        <f>'POSF Inventory'!$CG24*'POSF Emiss by Zone'!$D$9*'POSF Zone Def'!$CI21</f>
        <v>0</v>
      </c>
      <c r="FE32" s="235">
        <f>'POSF Inventory'!$CH24*'POSF Emiss by Zone'!$D$7*'POSF Zone Def'!$CI21</f>
        <v>0</v>
      </c>
      <c r="FF32" s="235">
        <f>'POSF Inventory'!$CI24*'POSF Emiss by Zone'!$D$9*'POSF Zone Def'!$CI21</f>
        <v>0</v>
      </c>
      <c r="FG32" s="235">
        <f>'POSF Inventory'!$CJ24*'POSF Emiss by Zone'!$D$7*'POSF Zone Def'!$CI21</f>
        <v>0</v>
      </c>
      <c r="FH32" s="577">
        <f>'POSF Inventory'!$CK24*'POSF Emiss by Zone'!$D$9*'POSF Zone Def'!$CI21</f>
        <v>0</v>
      </c>
      <c r="FI32" s="595"/>
      <c r="FJ32" s="595"/>
      <c r="FM32" s="592">
        <v>15</v>
      </c>
      <c r="FN32" s="592">
        <f t="shared" si="0"/>
        <v>1969</v>
      </c>
      <c r="FO32" s="587">
        <v>12</v>
      </c>
      <c r="FP32" s="551">
        <f t="shared" si="20"/>
        <v>1.0719513675000001</v>
      </c>
      <c r="FQ32" s="529">
        <f t="shared" si="21"/>
        <v>1.0744885305</v>
      </c>
      <c r="FR32" s="529">
        <f t="shared" si="22"/>
        <v>0</v>
      </c>
      <c r="FS32" s="529">
        <f t="shared" si="23"/>
        <v>0</v>
      </c>
      <c r="FT32" s="529">
        <f t="shared" si="24"/>
        <v>0.79403805000000005</v>
      </c>
      <c r="FU32" s="524">
        <f t="shared" si="25"/>
        <v>0.79591743000000004</v>
      </c>
      <c r="FV32" s="474">
        <f t="shared" si="26"/>
        <v>1.0719513675000001</v>
      </c>
      <c r="FW32" s="474">
        <f t="shared" si="27"/>
        <v>1.0744885305</v>
      </c>
      <c r="FX32" s="474">
        <f t="shared" si="28"/>
        <v>0</v>
      </c>
      <c r="FY32" s="474">
        <f t="shared" si="29"/>
        <v>0</v>
      </c>
      <c r="FZ32" s="474">
        <f t="shared" si="30"/>
        <v>0.79403805000000005</v>
      </c>
      <c r="GA32" s="134">
        <f t="shared" si="31"/>
        <v>0.79591743000000004</v>
      </c>
      <c r="GB32" s="529">
        <f t="shared" si="32"/>
        <v>0</v>
      </c>
      <c r="GC32" s="529">
        <f t="shared" si="33"/>
        <v>0</v>
      </c>
      <c r="GD32" s="529">
        <f t="shared" si="34"/>
        <v>1.7761718091446714</v>
      </c>
      <c r="GE32" s="529">
        <f t="shared" si="35"/>
        <v>11.382511462686754</v>
      </c>
      <c r="GF32" s="529">
        <f t="shared" si="36"/>
        <v>1.3181242529880479</v>
      </c>
      <c r="GG32" s="524">
        <f t="shared" si="37"/>
        <v>1.3212440737051794</v>
      </c>
      <c r="GH32" s="474">
        <f t="shared" si="38"/>
        <v>0</v>
      </c>
      <c r="GI32" s="474">
        <f t="shared" si="39"/>
        <v>0</v>
      </c>
      <c r="GJ32" s="474">
        <f t="shared" si="40"/>
        <v>0.83005206467255976</v>
      </c>
      <c r="GK32" s="474">
        <f t="shared" si="41"/>
        <v>1.8989206512325698</v>
      </c>
      <c r="GL32" s="474">
        <f t="shared" si="42"/>
        <v>1.3181242529880479</v>
      </c>
      <c r="GM32" s="705">
        <f t="shared" si="43"/>
        <v>1.3212440737051794</v>
      </c>
      <c r="GN32" s="705">
        <f t="shared" si="44"/>
        <v>0</v>
      </c>
      <c r="GO32" s="705">
        <f t="shared" si="45"/>
        <v>0</v>
      </c>
      <c r="GP32" s="705">
        <f t="shared" si="46"/>
        <v>0</v>
      </c>
      <c r="GQ32" s="705">
        <f t="shared" si="47"/>
        <v>0</v>
      </c>
      <c r="GR32" s="705">
        <f t="shared" si="48"/>
        <v>0</v>
      </c>
      <c r="GS32" s="705">
        <f t="shared" si="49"/>
        <v>0</v>
      </c>
      <c r="GT32" s="551">
        <f t="shared" si="50"/>
        <v>1.3548448523117217E-2</v>
      </c>
      <c r="GU32" s="548">
        <f t="shared" si="51"/>
        <v>0.50932880609176545</v>
      </c>
      <c r="GV32" s="548">
        <f t="shared" si="52"/>
        <v>1.5574145019920317E-3</v>
      </c>
      <c r="GW32" s="548">
        <f t="shared" si="53"/>
        <v>1.9253536780876495E-3</v>
      </c>
      <c r="GX32" s="548">
        <f t="shared" si="54"/>
        <v>5.7105198406374518E-3</v>
      </c>
      <c r="GY32" s="524">
        <f t="shared" si="55"/>
        <v>2.82385206119522E-2</v>
      </c>
      <c r="GZ32" s="548">
        <f t="shared" si="56"/>
        <v>1.5976743989829228E-3</v>
      </c>
      <c r="HA32" s="548">
        <f t="shared" si="57"/>
        <v>5.6706184598527283E-2</v>
      </c>
      <c r="HB32" s="548">
        <f t="shared" si="58"/>
        <v>1.5574145019920317E-3</v>
      </c>
      <c r="HC32" s="548">
        <f t="shared" si="59"/>
        <v>1.9253536780876495E-3</v>
      </c>
      <c r="HD32" s="548">
        <f t="shared" si="60"/>
        <v>5.7105198406374518E-3</v>
      </c>
      <c r="HE32" s="549">
        <f t="shared" si="61"/>
        <v>2.82385206119522E-2</v>
      </c>
      <c r="HF32" s="235">
        <f t="shared" si="62"/>
        <v>0</v>
      </c>
      <c r="HG32" s="235">
        <f t="shared" si="63"/>
        <v>0</v>
      </c>
      <c r="HH32" s="235">
        <f t="shared" si="64"/>
        <v>0</v>
      </c>
      <c r="HI32" s="235">
        <f t="shared" si="65"/>
        <v>0</v>
      </c>
      <c r="HJ32" s="235">
        <f t="shared" si="66"/>
        <v>0</v>
      </c>
      <c r="HK32" s="580">
        <f t="shared" si="67"/>
        <v>0</v>
      </c>
      <c r="HL32" s="235">
        <f t="shared" si="68"/>
        <v>0</v>
      </c>
      <c r="HM32" s="235">
        <f t="shared" si="69"/>
        <v>0</v>
      </c>
      <c r="HN32" s="235">
        <f t="shared" si="70"/>
        <v>0</v>
      </c>
      <c r="HO32" s="235">
        <f t="shared" si="71"/>
        <v>0</v>
      </c>
      <c r="HP32" s="235">
        <f t="shared" si="72"/>
        <v>0</v>
      </c>
      <c r="HQ32" s="580">
        <f t="shared" si="73"/>
        <v>0</v>
      </c>
      <c r="HR32" s="235">
        <f t="shared" si="74"/>
        <v>0</v>
      </c>
      <c r="HS32" s="235">
        <f t="shared" si="75"/>
        <v>0</v>
      </c>
      <c r="HT32" s="235">
        <f t="shared" si="76"/>
        <v>0</v>
      </c>
      <c r="HU32" s="235">
        <f t="shared" si="77"/>
        <v>0</v>
      </c>
      <c r="HV32" s="235">
        <f t="shared" si="78"/>
        <v>0</v>
      </c>
      <c r="HW32" s="577">
        <f t="shared" si="79"/>
        <v>0</v>
      </c>
      <c r="HX32" s="235">
        <f t="shared" si="80"/>
        <v>0.7200479295862835</v>
      </c>
      <c r="HY32" s="235">
        <f t="shared" si="81"/>
        <v>27.068867086830821</v>
      </c>
      <c r="HZ32" s="235">
        <f t="shared" si="82"/>
        <v>8.2770590725099583E-2</v>
      </c>
      <c r="IA32" s="235">
        <f t="shared" si="83"/>
        <v>0.10232514278390438</v>
      </c>
      <c r="IB32" s="235">
        <f t="shared" si="84"/>
        <v>0.30349216599203188</v>
      </c>
      <c r="IC32" s="235">
        <f t="shared" si="85"/>
        <v>1.500768760830598</v>
      </c>
      <c r="ID32" s="235">
        <f t="shared" si="86"/>
        <v>8.4910249404407792E-2</v>
      </c>
      <c r="IE32" s="235">
        <f t="shared" si="87"/>
        <v>3.0137156107017304</v>
      </c>
      <c r="IF32" s="235">
        <f t="shared" si="88"/>
        <v>8.2770590725099583E-2</v>
      </c>
      <c r="IG32" s="235">
        <f t="shared" si="89"/>
        <v>0.10232514278390438</v>
      </c>
      <c r="IH32" s="235">
        <f t="shared" si="90"/>
        <v>0.30349216599203188</v>
      </c>
      <c r="II32" s="235">
        <f t="shared" si="91"/>
        <v>1.500768760830598</v>
      </c>
      <c r="IJ32" s="235">
        <f t="shared" si="92"/>
        <v>0</v>
      </c>
      <c r="IK32" s="235">
        <f t="shared" si="93"/>
        <v>0</v>
      </c>
      <c r="IL32" s="235">
        <f t="shared" si="94"/>
        <v>0</v>
      </c>
      <c r="IM32" s="235">
        <f t="shared" si="95"/>
        <v>0</v>
      </c>
      <c r="IN32" s="235">
        <f t="shared" si="96"/>
        <v>0</v>
      </c>
      <c r="IO32" s="235">
        <f t="shared" si="97"/>
        <v>0</v>
      </c>
    </row>
    <row r="33" spans="1:249" ht="18" x14ac:dyDescent="0.25">
      <c r="A33" s="18">
        <v>1970</v>
      </c>
      <c r="B33" s="564"/>
      <c r="C33" s="529">
        <f>'POSF Inventory'!AD25*$D$5*'POSF Zone Def'!$M22</f>
        <v>1.1595951899999999</v>
      </c>
      <c r="D33" s="529">
        <f>'POSF Inventory'!AE25*$D$6*'POSF Zone Def'!$M22</f>
        <v>1.162339794</v>
      </c>
      <c r="E33" s="529">
        <f>'POSF Inventory'!AF25*$D$5*'POSF Zone Def'!$M22</f>
        <v>0</v>
      </c>
      <c r="F33" s="529">
        <f>'POSF Inventory'!AG25*$D$6*'POSF Zone Def'!$M22</f>
        <v>0</v>
      </c>
      <c r="G33" s="529">
        <f>'POSF Inventory'!AH25*$D$5*'POSF Zone Def'!$M22</f>
        <v>0.85895939999999982</v>
      </c>
      <c r="H33" s="524">
        <f>'POSF Inventory'!AI25*$D$6*'POSF Zone Def'!$M22</f>
        <v>0.86099243999999986</v>
      </c>
      <c r="I33" s="474">
        <f>'POSF Inventory'!AD25*$D$5*'POSF Zone Def'!$N22</f>
        <v>1.1595951899999999</v>
      </c>
      <c r="J33" s="474">
        <f>'POSF Inventory'!AE25*$D$6*'POSF Zone Def'!$N22</f>
        <v>1.162339794</v>
      </c>
      <c r="K33" s="474">
        <f>'POSF Inventory'!AF25*$D$5*'POSF Zone Def'!$N22</f>
        <v>0</v>
      </c>
      <c r="L33" s="474">
        <f>'POSF Inventory'!AG25*$D$6*'POSF Zone Def'!$N22</f>
        <v>0</v>
      </c>
      <c r="M33" s="474">
        <f>'POSF Inventory'!AH25*$D$5*'POSF Zone Def'!$N22</f>
        <v>0.85895939999999982</v>
      </c>
      <c r="N33" s="485">
        <f>'POSF Inventory'!AI25*$D$6*'POSF Zone Def'!$N22</f>
        <v>0.86099243999999986</v>
      </c>
      <c r="O33" s="529">
        <f>'POSF Inventory'!AJ25*$D$5*'POSF Zone Def'!$AP22</f>
        <v>0</v>
      </c>
      <c r="P33" s="529">
        <f>'POSF Inventory'!AK25*$D$6*'POSF Zone Def'!$AP22</f>
        <v>0</v>
      </c>
      <c r="Q33" s="529">
        <f>'POSF Inventory'!AL25*$D$5*'POSF Zone Def'!$AP22</f>
        <v>0</v>
      </c>
      <c r="R33" s="529">
        <f>'POSF Inventory'!AM25*$D$6*'POSF Zone Def'!$AP22</f>
        <v>0</v>
      </c>
      <c r="S33" s="529">
        <f>'POSF Inventory'!AN25*$D$5*'POSF Zone Def'!$AP22</f>
        <v>0</v>
      </c>
      <c r="T33" s="524">
        <f>'POSF Inventory'!AO25*$D$6*'POSF Zone Def'!$AP22</f>
        <v>0</v>
      </c>
      <c r="U33" s="474">
        <f>'POSF Inventory'!AJ25*$D$5*'POSF Zone Def'!$AQ22</f>
        <v>0</v>
      </c>
      <c r="V33" s="474">
        <f>'POSF Inventory'!AK25*$D$6*'POSF Zone Def'!$AQ22</f>
        <v>0</v>
      </c>
      <c r="W33" s="474">
        <f>'POSF Inventory'!AL25*$D$5*'POSF Zone Def'!$AQ22</f>
        <v>0</v>
      </c>
      <c r="X33" s="474">
        <f>'POSF Inventory'!AM25*$D$6*'POSF Zone Def'!$AQ22</f>
        <v>0</v>
      </c>
      <c r="Y33" s="474">
        <f>'POSF Inventory'!AN25*$D$5*'POSF Zone Def'!$AQ22</f>
        <v>0</v>
      </c>
      <c r="Z33" s="134">
        <f>'POSF Inventory'!AO25*$D$6*'POSF Zone Def'!$AQ22</f>
        <v>0</v>
      </c>
      <c r="AA33" s="529">
        <f>'POSF Inventory'!AV25*'POSF Emiss by Zone'!$D$5*'POSF Zone Def'!$M22</f>
        <v>0</v>
      </c>
      <c r="AB33" s="529">
        <f>'POSF Inventory'!AW25*'POSF Emiss by Zone'!$D$6*'POSF Zone Def'!$M22</f>
        <v>0</v>
      </c>
      <c r="AC33" s="529">
        <f>'POSF Inventory'!AX25*'POSF Emiss by Zone'!$D$5*'POSF Zone Def'!$M22</f>
        <v>0.77306346000000004</v>
      </c>
      <c r="AD33" s="529">
        <f>'POSF Inventory'!AY25*'POSF Emiss by Zone'!$D$6*'POSF Zone Def'!$M22</f>
        <v>0.77489319599999995</v>
      </c>
      <c r="AE33" s="529">
        <f>'POSF Inventory'!AZ25*'POSF Emiss by Zone'!$D$5*'POSF Zone Def'!$M22</f>
        <v>1.4315989999999998</v>
      </c>
      <c r="AF33" s="524">
        <f>'POSF Inventory'!BA25*'POSF Emiss by Zone'!$D$6*'POSF Zone Def'!$M22</f>
        <v>1.4349873999999998</v>
      </c>
      <c r="AG33" s="474">
        <f>'POSF Inventory'!AV25*'POSF Emiss by Zone'!$D$5*'POSF Zone Def'!$N22</f>
        <v>0</v>
      </c>
      <c r="AH33" s="474">
        <f>'POSF Inventory'!AW25*'POSF Emiss by Zone'!$D$6*'POSF Zone Def'!$N22</f>
        <v>0</v>
      </c>
      <c r="AI33" s="474">
        <f>'POSF Inventory'!AX25*'POSF Emiss by Zone'!$D$5*'POSF Zone Def'!$N22</f>
        <v>0.77306346000000004</v>
      </c>
      <c r="AJ33" s="474">
        <f>'POSF Inventory'!AY25*'POSF Emiss by Zone'!$D$6*'POSF Zone Def'!$N22</f>
        <v>0.77489319599999995</v>
      </c>
      <c r="AK33" s="474">
        <f>'POSF Inventory'!AZ25*'POSF Emiss by Zone'!$D$5*'POSF Zone Def'!$N22</f>
        <v>1.4315989999999998</v>
      </c>
      <c r="AL33" s="549">
        <f>'POSF Inventory'!BA25*'POSF Emiss by Zone'!$D$6*'POSF Zone Def'!$N22</f>
        <v>1.4349873999999998</v>
      </c>
      <c r="AM33" s="529">
        <f>'POSF Inventory'!BB25*'POSF Emiss by Zone'!$D$5*'POSF Zone Def'!$AP22</f>
        <v>0</v>
      </c>
      <c r="AN33" s="529">
        <f>'POSF Inventory'!BC25*'POSF Emiss by Zone'!$D$6*'POSF Zone Def'!$AP22</f>
        <v>0</v>
      </c>
      <c r="AO33" s="529">
        <f>'POSF Inventory'!BD25*'POSF Emiss by Zone'!$D$5*'POSF Zone Def'!$AP22</f>
        <v>0</v>
      </c>
      <c r="AP33" s="529">
        <f>'POSF Inventory'!BE25*'POSF Emiss by Zone'!$D$6*'POSF Zone Def'!$AP22</f>
        <v>0</v>
      </c>
      <c r="AQ33" s="529">
        <f>'POSF Inventory'!BF25*'POSF Emiss by Zone'!$D$5*'POSF Zone Def'!$AP22</f>
        <v>0</v>
      </c>
      <c r="AR33" s="524">
        <f>'POSF Inventory'!BG25*'POSF Emiss by Zone'!$D$6*'POSF Zone Def'!$AP22</f>
        <v>0</v>
      </c>
      <c r="AS33" s="474">
        <f>'POSF Inventory'!BB25*'POSF Emiss by Zone'!$D$5*'POSF Zone Def'!$AQ22</f>
        <v>0</v>
      </c>
      <c r="AT33" s="474">
        <f>'POSF Inventory'!BC25*'POSF Emiss by Zone'!$D$6*'POSF Zone Def'!$AQ22</f>
        <v>0</v>
      </c>
      <c r="AU33" s="474">
        <f>'POSF Inventory'!BD25*'POSF Emiss by Zone'!$D$5*'POSF Zone Def'!$AQ22</f>
        <v>0</v>
      </c>
      <c r="AV33" s="474">
        <f>'POSF Inventory'!BE25*'POSF Emiss by Zone'!$D$6*'POSF Zone Def'!$AQ22</f>
        <v>0</v>
      </c>
      <c r="AW33" s="474">
        <f>'POSF Inventory'!BF25*'POSF Emiss by Zone'!$D$5*'POSF Zone Def'!$AQ22</f>
        <v>0</v>
      </c>
      <c r="AX33" s="134">
        <f>'POSF Inventory'!BG25*'POSF Emiss by Zone'!$D$6*'POSF Zone Def'!$AQ22</f>
        <v>0</v>
      </c>
      <c r="AY33" s="529">
        <f>'POSF Inventory'!EA25*'POSF Emiss by Zone'!$D$5*'POSF Zone Def'!$Y22</f>
        <v>0</v>
      </c>
      <c r="AZ33" s="529">
        <f>'POSF Inventory'!EB25*'POSF Emiss by Zone'!$D$6*'POSF Zone Def'!$Y22</f>
        <v>0</v>
      </c>
      <c r="BA33" s="529">
        <f>'POSF Inventory'!EC25*'POSF Emiss by Zone'!$D$5*'POSF Zone Def'!$Y22</f>
        <v>1.1616439579875002</v>
      </c>
      <c r="BB33" s="529">
        <f>'POSF Inventory'!ED25*'POSF Emiss by Zone'!$D$6*'POSF Zone Def'!$Y22</f>
        <v>11.643934111425001</v>
      </c>
      <c r="BC33" s="529">
        <f>'POSF Inventory'!EE25*'POSF Emiss by Zone'!$D$5*'POSF Zone Def'!$Y22</f>
        <v>0</v>
      </c>
      <c r="BD33" s="524">
        <f>'POSF Inventory'!EF25*'POSF Emiss by Zone'!$D$6*'POSF Zone Def'!$Y22</f>
        <v>0</v>
      </c>
      <c r="BE33" s="474">
        <f>'POSF Inventory'!EA25*'POSF Emiss by Zone'!$D$5*'POSF Zone Def'!$Z22</f>
        <v>0</v>
      </c>
      <c r="BF33" s="474">
        <f>'POSF Inventory'!EB25*'POSF Emiss by Zone'!$D$6*'POSF Zone Def'!$Z22</f>
        <v>0</v>
      </c>
      <c r="BG33" s="474">
        <f>'POSF Inventory'!EC25*'POSF Emiss by Zone'!$D$5*'POSF Zone Def'!$Z22</f>
        <v>0.12907155088750003</v>
      </c>
      <c r="BH33" s="474">
        <f>'POSF Inventory'!ED25*'POSF Emiss by Zone'!$D$6*'POSF Zone Def'!$Z22</f>
        <v>1.2937704568250001</v>
      </c>
      <c r="BI33" s="474">
        <f>'POSF Inventory'!EE25*'POSF Emiss by Zone'!$D$5*'POSF Zone Def'!$Z22</f>
        <v>0</v>
      </c>
      <c r="BJ33" s="549">
        <f>'POSF Inventory'!EF25*'POSF Emiss by Zone'!$D$6*'POSF Zone Def'!$Z22</f>
        <v>0</v>
      </c>
      <c r="BK33" s="705">
        <f>'POSF Inventory'!$EA25*'POSF Emiss by Zone'!$D$5*'POSF Zone Def'!$AC22</f>
        <v>0</v>
      </c>
      <c r="BL33" s="705">
        <f>'POSF Inventory'!$EB25*'POSF Emiss by Zone'!$D$6*'POSF Zone Def'!$AC22</f>
        <v>0</v>
      </c>
      <c r="BM33" s="705">
        <f>'POSF Inventory'!$EC25*'POSF Emiss by Zone'!$D$5*'POSF Zone Def'!$AC22</f>
        <v>0</v>
      </c>
      <c r="BN33" s="705">
        <f>'POSF Inventory'!$ED25*'POSF Emiss by Zone'!$D$6*'POSF Zone Def'!$AC22</f>
        <v>0</v>
      </c>
      <c r="BO33" s="705">
        <f>'POSF Inventory'!$EE25*'POSF Emiss by Zone'!$D$5*'POSF Zone Def'!$AC22</f>
        <v>0</v>
      </c>
      <c r="BP33" s="708">
        <f>'POSF Inventory'!$EF25*'POSF Emiss by Zone'!$D$6*'POSF Zone Def'!$AC22</f>
        <v>0</v>
      </c>
      <c r="BQ33" s="529">
        <f>'POSF Inventory'!EG25*'POSF Emiss by Zone'!$D$5*'POSF Zone Def'!$BB22</f>
        <v>0</v>
      </c>
      <c r="BR33" s="529">
        <f>'POSF Inventory'!EH25*'POSF Emiss by Zone'!$D$6*'POSF Zone Def'!$BB22</f>
        <v>0</v>
      </c>
      <c r="BS33" s="529">
        <f>'POSF Inventory'!EI25*'POSF Emiss by Zone'!$D$5*'POSF Zone Def'!$BB22</f>
        <v>0</v>
      </c>
      <c r="BT33" s="529">
        <f>'POSF Inventory'!EJ25*'POSF Emiss by Zone'!$D$6*'POSF Zone Def'!$BB22</f>
        <v>0</v>
      </c>
      <c r="BU33" s="529">
        <f>'POSF Inventory'!EK25*'POSF Emiss by Zone'!$D$5*'POSF Zone Def'!$BB22</f>
        <v>0</v>
      </c>
      <c r="BV33" s="524">
        <f>'POSF Inventory'!EL25*'POSF Emiss by Zone'!$D$6*'POSF Zone Def'!$BB22</f>
        <v>0</v>
      </c>
      <c r="BW33" s="474">
        <f>'POSF Inventory'!EG25*'POSF Emiss by Zone'!$D$5*'POSF Zone Def'!$BC22</f>
        <v>0</v>
      </c>
      <c r="BX33" s="474">
        <f>'POSF Inventory'!EH25*'POSF Emiss by Zone'!$D$6*'POSF Zone Def'!$BC22</f>
        <v>0</v>
      </c>
      <c r="BY33" s="474">
        <f>'POSF Inventory'!EI25*'POSF Emiss by Zone'!$D$5*'POSF Zone Def'!$BC22</f>
        <v>0</v>
      </c>
      <c r="BZ33" s="474">
        <f>'POSF Inventory'!EJ25*'POSF Emiss by Zone'!$D$6*'POSF Zone Def'!$BC22</f>
        <v>0</v>
      </c>
      <c r="CA33" s="474">
        <f>'POSF Inventory'!EK25*'POSF Emiss by Zone'!$D$5*'POSF Zone Def'!$BC22</f>
        <v>0</v>
      </c>
      <c r="CB33" s="134">
        <f>'POSF Inventory'!EL25*'POSF Emiss by Zone'!$D$6*'POSF Zone Def'!$BC22</f>
        <v>0</v>
      </c>
      <c r="CC33" s="529">
        <f>'POSF Inventory'!GC25*'POSF Emiss by Zone'!$D$7*'POSF Zone Def'!$M22</f>
        <v>5.4214400000000005E-3</v>
      </c>
      <c r="CD33" s="529">
        <f>'POSF Inventory'!GD25*'POSF Emiss by Zone'!$D$9*'POSF Zone Def'!$M22</f>
        <v>6.7022552000000008E-3</v>
      </c>
      <c r="CE33" s="529">
        <f>'POSF Inventory'!GE25*'POSF Emiss by Zone'!$D$7*'POSF Zone Def'!$M22</f>
        <v>8.1321599999999994E-2</v>
      </c>
      <c r="CF33" s="529">
        <f>'POSF Inventory'!GF25*'POSF Emiss by Zone'!$D$9*'POSF Zone Def'!$M22</f>
        <v>0.10053382799999999</v>
      </c>
      <c r="CG33" s="529">
        <f>'POSF Inventory'!GG25*'POSF Emiss by Zone'!$D$7*'POSF Zone Def'!$M22</f>
        <v>0.29817920000000003</v>
      </c>
      <c r="CH33" s="524">
        <f>'POSF Inventory'!GH25*'POSF Emiss by Zone'!$D$9*'POSF Zone Def'!$M22</f>
        <v>1.4744961440000002</v>
      </c>
      <c r="CI33" s="474">
        <f>'POSF Inventory'!GC25*'POSF Emiss by Zone'!$D$7*'POSF Zone Def'!$N22</f>
        <v>5.4214400000000005E-3</v>
      </c>
      <c r="CJ33" s="474">
        <f>'POSF Inventory'!GD25*'POSF Emiss by Zone'!$D$9*'POSF Zone Def'!$N22</f>
        <v>6.7022552000000008E-3</v>
      </c>
      <c r="CK33" s="474">
        <f>'POSF Inventory'!GE25*'POSF Emiss by Zone'!$D$7*'POSF Zone Def'!$N22</f>
        <v>8.1321599999999994E-2</v>
      </c>
      <c r="CL33" s="474">
        <f>'POSF Inventory'!GF25*'POSF Emiss by Zone'!$D$9*'POSF Zone Def'!$N22</f>
        <v>0.10053382799999999</v>
      </c>
      <c r="CM33" s="474">
        <f>'POSF Inventory'!GG25*'POSF Emiss by Zone'!$D$7*'POSF Zone Def'!$N22</f>
        <v>0.29817920000000003</v>
      </c>
      <c r="CN33" s="485">
        <f>'POSF Inventory'!GH25*'POSF Emiss by Zone'!$D$9*'POSF Zone Def'!$N22</f>
        <v>1.4744961440000002</v>
      </c>
      <c r="CO33" s="529">
        <f>'POSF Inventory'!GI25*'POSF Emiss by Zone'!$D$7*'POSF Zone Def'!$AP22</f>
        <v>0</v>
      </c>
      <c r="CP33" s="529">
        <f>'POSF Inventory'!GJ25*'POSF Emiss by Zone'!$D$9*'POSF Zone Def'!$AP22</f>
        <v>0</v>
      </c>
      <c r="CQ33" s="529">
        <f>'POSF Inventory'!GK25*'POSF Emiss by Zone'!$D$7*'POSF Zone Def'!$AP22</f>
        <v>0</v>
      </c>
      <c r="CR33" s="529">
        <f>'POSF Inventory'!GL25*'POSF Emiss by Zone'!$D$9*'POSF Zone Def'!$AP22</f>
        <v>0</v>
      </c>
      <c r="CS33" s="529">
        <f>'POSF Inventory'!GM25*'POSF Emiss by Zone'!$D$7*'POSF Zone Def'!$AP22</f>
        <v>0</v>
      </c>
      <c r="CT33" s="524">
        <f>'POSF Inventory'!GN25*'POSF Emiss by Zone'!$D$9*'POSF Zone Def'!$AP22</f>
        <v>0</v>
      </c>
      <c r="CU33" s="474">
        <f>'POSF Inventory'!GI25*'POSF Emiss by Zone'!$D$7*'POSF Zone Def'!$AQ22</f>
        <v>0</v>
      </c>
      <c r="CV33" s="474">
        <f>'POSF Inventory'!GJ25*'POSF Emiss by Zone'!$D$9*'POSF Zone Def'!$AQ22</f>
        <v>0</v>
      </c>
      <c r="CW33" s="474">
        <f>'POSF Inventory'!GK25*'POSF Emiss by Zone'!$D$7*'POSF Zone Def'!$AQ22</f>
        <v>0</v>
      </c>
      <c r="CX33" s="474">
        <f>'POSF Inventory'!GL25*'POSF Emiss by Zone'!$D$9*'POSF Zone Def'!$AQ22</f>
        <v>0</v>
      </c>
      <c r="CY33" s="474">
        <f>'POSF Inventory'!GM25*'POSF Emiss by Zone'!$D$7*'POSF Zone Def'!$AQ22</f>
        <v>0</v>
      </c>
      <c r="CZ33" s="134">
        <f>'POSF Inventory'!GN25*'POSF Emiss by Zone'!$D$9*'POSF Zone Def'!$AQ22</f>
        <v>0</v>
      </c>
      <c r="DA33" s="529">
        <f>SUM('POSF Inventory'!GQ25,'POSF Inventory'!GS25)*'POSF Emiss by Zone'!$D$7*'POSF Zone Def'!$Y22</f>
        <v>0.70575957662267252</v>
      </c>
      <c r="DB33" s="529">
        <f>SUM('POSF Inventory'!GR25,'POSF Inventory'!GT25)*'POSF Emiss by Zone'!$D$9*'POSF Zone Def'!$Y22</f>
        <v>26.915734613860202</v>
      </c>
      <c r="DC33" s="529"/>
      <c r="DD33" s="529"/>
      <c r="DE33" s="529">
        <f>'POSF Inventory'!GU25*'POSF Emiss by Zone'!$D$7*'POSF Zone Def'!$Y22</f>
        <v>0</v>
      </c>
      <c r="DF33" s="524">
        <f>'POSF Inventory'!GV25*'POSF Emiss by Zone'!$D$9*'POSF Zone Def'!$Y22</f>
        <v>0</v>
      </c>
      <c r="DG33" s="474">
        <f>SUM('POSF Inventory'!GQ25,'POSF Inventory'!GS25)*'POSF Emiss by Zone'!$D$7*'POSF Zone Def'!$Z22</f>
        <v>7.8417730735852509E-2</v>
      </c>
      <c r="DH33" s="474">
        <f>SUM('POSF Inventory'!GR25,'POSF Inventory'!GT25)*'POSF Emiss by Zone'!$D$9*'POSF Zone Def'!$Z22</f>
        <v>2.9906371793178006</v>
      </c>
      <c r="DI33" s="474"/>
      <c r="DJ33" s="474"/>
      <c r="DK33" s="474">
        <f>'POSF Inventory'!GU25*'POSF Emiss by Zone'!$D$7*'POSF Zone Def'!$Z22</f>
        <v>0</v>
      </c>
      <c r="DL33" s="485">
        <f>'POSF Inventory'!GV25*'POSF Emiss by Zone'!$D$9*'POSF Zone Def'!$Z22</f>
        <v>0</v>
      </c>
      <c r="DM33" s="705">
        <f>SUM('POSF Inventory'!$GQ25,'POSF Inventory'!$GS25)*'POSF Emiss by Zone'!$D$7*'POSF Zone Def'!$AC22</f>
        <v>0</v>
      </c>
      <c r="DN33" s="705">
        <f>SUM('POSF Inventory'!$GR25,'POSF Inventory'!$GT25)*'POSF Emiss by Zone'!$D$9*'POSF Zone Def'!$AC22</f>
        <v>0</v>
      </c>
      <c r="DO33" s="705"/>
      <c r="DP33" s="705"/>
      <c r="DQ33" s="705">
        <f>'POSF Inventory'!$GU25*'POSF Emiss by Zone'!$D$7*'POSF Zone Def'!$AC22</f>
        <v>0</v>
      </c>
      <c r="DR33" s="708">
        <f>'POSF Inventory'!$GV25*'POSF Emiss by Zone'!$D$9*'POSF Zone Def'!$AC22</f>
        <v>0</v>
      </c>
      <c r="DS33" s="529">
        <f>SUM('POSF Inventory'!GW25,'POSF Inventory'!GY25)*$D$7*'POSF Zone Def'!$BB22</f>
        <v>0</v>
      </c>
      <c r="DT33" s="529">
        <f>SUM('POSF Inventory'!GX25,'POSF Inventory'!GZ25)*$D$9*'POSF Zone Def'!$BB22</f>
        <v>0</v>
      </c>
      <c r="DU33" s="529"/>
      <c r="DV33" s="529"/>
      <c r="DW33" s="529">
        <f>'POSF Inventory'!HA25*'POSF Emiss by Zone'!$D$7*'POSF Zone Def'!$BB22</f>
        <v>0</v>
      </c>
      <c r="DX33" s="524">
        <f>'POSF Inventory'!HB25*'POSF Emiss by Zone'!$D$9*'POSF Zone Def'!$BB22</f>
        <v>0</v>
      </c>
      <c r="DY33" s="474">
        <f>SUM('POSF Inventory'!GW25,'POSF Inventory'!GY25)*$D$7*'POSF Zone Def'!$BC22</f>
        <v>0</v>
      </c>
      <c r="DZ33" s="474">
        <f>SUM('POSF Inventory'!GX25,'POSF Inventory'!GZ25)*$D$9*'POSF Zone Def'!$BC22</f>
        <v>0</v>
      </c>
      <c r="EA33" s="474"/>
      <c r="EB33" s="474"/>
      <c r="EC33" s="474">
        <f>'POSF Inventory'!HA25*'POSF Emiss by Zone'!$D$7*'POSF Zone Def'!$BC22</f>
        <v>0</v>
      </c>
      <c r="ED33" s="134">
        <f>'POSF Inventory'!HB25*'POSF Emiss by Zone'!$D$9*'POSF Zone Def'!$BC22</f>
        <v>0</v>
      </c>
      <c r="EE33" s="235">
        <f>'POSF Inventory'!$CF25*'POSF Emiss by Zone'!$D$7*'POSF Zone Def'!$CE22</f>
        <v>0</v>
      </c>
      <c r="EF33" s="235">
        <f>'POSF Inventory'!$CG25*'POSF Emiss by Zone'!$D$9*'POSF Zone Def'!$CE22</f>
        <v>0</v>
      </c>
      <c r="EG33" s="235">
        <f>'POSF Inventory'!$CH25*'POSF Emiss by Zone'!$D$7*'POSF Zone Def'!$CE22</f>
        <v>0</v>
      </c>
      <c r="EH33" s="235">
        <f>'POSF Inventory'!$CI25*'POSF Emiss by Zone'!$D$9*'POSF Zone Def'!$CE22</f>
        <v>0</v>
      </c>
      <c r="EI33" s="235">
        <f>'POSF Inventory'!$CJ25*'POSF Emiss by Zone'!$D$7*'POSF Zone Def'!$CE22</f>
        <v>0</v>
      </c>
      <c r="EJ33" s="580">
        <f>'POSF Inventory'!$CK25*'POSF Emiss by Zone'!$D$9*'POSF Zone Def'!$CE22</f>
        <v>0</v>
      </c>
      <c r="EK33" s="235">
        <f>'POSF Inventory'!$CF25*'POSF Emiss by Zone'!$D$7*'POSF Zone Def'!$CF22</f>
        <v>0</v>
      </c>
      <c r="EL33" s="235">
        <f>'POSF Inventory'!$CG25*'POSF Emiss by Zone'!$D$9*'POSF Zone Def'!$CF22</f>
        <v>0</v>
      </c>
      <c r="EM33" s="235">
        <f>'POSF Inventory'!$CH25*'POSF Emiss by Zone'!$D$7*'POSF Zone Def'!$CF22</f>
        <v>0</v>
      </c>
      <c r="EN33" s="235">
        <f>'POSF Inventory'!$CI25*'POSF Emiss by Zone'!$D$9*'POSF Zone Def'!$CF22</f>
        <v>0</v>
      </c>
      <c r="EO33" s="235">
        <f>'POSF Inventory'!$CJ25*'POSF Emiss by Zone'!$D$7*'POSF Zone Def'!$CF22</f>
        <v>0</v>
      </c>
      <c r="EP33" s="580">
        <f>'POSF Inventory'!$CK25*'POSF Emiss by Zone'!$D$9*'POSF Zone Def'!$CF22</f>
        <v>0</v>
      </c>
      <c r="EQ33" s="235">
        <f>'POSF Inventory'!$CF25*'POSF Emiss by Zone'!$D$7*'POSF Zone Def'!$CG22</f>
        <v>0</v>
      </c>
      <c r="ER33" s="235">
        <f>'POSF Inventory'!$CG25*'POSF Emiss by Zone'!$D$9*'POSF Zone Def'!$CG22</f>
        <v>0</v>
      </c>
      <c r="ES33" s="235">
        <f>'POSF Inventory'!$CH25*'POSF Emiss by Zone'!$D$7*'POSF Zone Def'!$CG22</f>
        <v>0</v>
      </c>
      <c r="ET33" s="235">
        <f>'POSF Inventory'!$CI25*'POSF Emiss by Zone'!$D$9*'POSF Zone Def'!$CG22</f>
        <v>0</v>
      </c>
      <c r="EU33" s="235">
        <f>'POSF Inventory'!$CJ25*'POSF Emiss by Zone'!$D$7*'POSF Zone Def'!$CG22</f>
        <v>0</v>
      </c>
      <c r="EV33" s="580">
        <f>'POSF Inventory'!$CK25*'POSF Emiss by Zone'!$D$9*'POSF Zone Def'!$CG22</f>
        <v>0</v>
      </c>
      <c r="EW33" s="235">
        <f>'POSF Inventory'!$CF25*'POSF Emiss by Zone'!$D$7*'POSF Zone Def'!$CH22</f>
        <v>0</v>
      </c>
      <c r="EX33" s="235">
        <f>'POSF Inventory'!$CG25*'POSF Emiss by Zone'!$D$9*'POSF Zone Def'!$CH22</f>
        <v>0</v>
      </c>
      <c r="EY33" s="235">
        <f>'POSF Inventory'!$CH25*'POSF Emiss by Zone'!$D$7*'POSF Zone Def'!$CH22</f>
        <v>0</v>
      </c>
      <c r="EZ33" s="235">
        <f>'POSF Inventory'!$CI25*'POSF Emiss by Zone'!$D$9*'POSF Zone Def'!$CH22</f>
        <v>0</v>
      </c>
      <c r="FA33" s="235">
        <f>'POSF Inventory'!$CJ25*'POSF Emiss by Zone'!$D$7*'POSF Zone Def'!$CH22</f>
        <v>0</v>
      </c>
      <c r="FB33" s="580">
        <f>'POSF Inventory'!$CK25*'POSF Emiss by Zone'!$D$9*'POSF Zone Def'!$CH22</f>
        <v>0</v>
      </c>
      <c r="FC33" s="235">
        <f>'POSF Inventory'!$CF25*'POSF Emiss by Zone'!$D$7*'POSF Zone Def'!$CI22</f>
        <v>0</v>
      </c>
      <c r="FD33" s="235">
        <f>'POSF Inventory'!$CG25*'POSF Emiss by Zone'!$D$9*'POSF Zone Def'!$CI22</f>
        <v>0</v>
      </c>
      <c r="FE33" s="235">
        <f>'POSF Inventory'!$CH25*'POSF Emiss by Zone'!$D$7*'POSF Zone Def'!$CI22</f>
        <v>0</v>
      </c>
      <c r="FF33" s="235">
        <f>'POSF Inventory'!$CI25*'POSF Emiss by Zone'!$D$9*'POSF Zone Def'!$CI22</f>
        <v>0</v>
      </c>
      <c r="FG33" s="235">
        <f>'POSF Inventory'!$CJ25*'POSF Emiss by Zone'!$D$7*'POSF Zone Def'!$CI22</f>
        <v>0</v>
      </c>
      <c r="FH33" s="577">
        <f>'POSF Inventory'!$CK25*'POSF Emiss by Zone'!$D$9*'POSF Zone Def'!$CI22</f>
        <v>0</v>
      </c>
      <c r="FI33" s="595"/>
      <c r="FJ33" s="595"/>
      <c r="FM33" s="592">
        <v>16</v>
      </c>
      <c r="FN33" s="592">
        <f t="shared" si="0"/>
        <v>1970</v>
      </c>
      <c r="FO33" s="587">
        <v>13</v>
      </c>
      <c r="FP33" s="551">
        <f t="shared" si="20"/>
        <v>1.1595951899999999</v>
      </c>
      <c r="FQ33" s="529">
        <f t="shared" si="21"/>
        <v>1.162339794</v>
      </c>
      <c r="FR33" s="529">
        <f t="shared" si="22"/>
        <v>0</v>
      </c>
      <c r="FS33" s="529">
        <f t="shared" si="23"/>
        <v>0</v>
      </c>
      <c r="FT33" s="529">
        <f t="shared" si="24"/>
        <v>0.85895939999999982</v>
      </c>
      <c r="FU33" s="524">
        <f t="shared" si="25"/>
        <v>0.86099243999999986</v>
      </c>
      <c r="FV33" s="474">
        <f t="shared" si="26"/>
        <v>1.1595951899999999</v>
      </c>
      <c r="FW33" s="474">
        <f t="shared" si="27"/>
        <v>1.162339794</v>
      </c>
      <c r="FX33" s="474">
        <f t="shared" si="28"/>
        <v>0</v>
      </c>
      <c r="FY33" s="474">
        <f t="shared" si="29"/>
        <v>0</v>
      </c>
      <c r="FZ33" s="474">
        <f t="shared" si="30"/>
        <v>0.85895939999999982</v>
      </c>
      <c r="GA33" s="134">
        <f t="shared" si="31"/>
        <v>0.86099243999999986</v>
      </c>
      <c r="GB33" s="529">
        <f t="shared" si="32"/>
        <v>0</v>
      </c>
      <c r="GC33" s="529">
        <f t="shared" si="33"/>
        <v>0</v>
      </c>
      <c r="GD33" s="529">
        <f t="shared" si="34"/>
        <v>1.926999420306275</v>
      </c>
      <c r="GE33" s="529">
        <f t="shared" si="35"/>
        <v>12.369349907793826</v>
      </c>
      <c r="GF33" s="529">
        <f t="shared" si="36"/>
        <v>1.425895418326693</v>
      </c>
      <c r="GG33" s="524">
        <f t="shared" si="37"/>
        <v>1.4292703187250995</v>
      </c>
      <c r="GH33" s="474">
        <f t="shared" si="38"/>
        <v>0</v>
      </c>
      <c r="GI33" s="474">
        <f t="shared" si="39"/>
        <v>0</v>
      </c>
      <c r="GJ33" s="474">
        <f t="shared" si="40"/>
        <v>0.89854084749750995</v>
      </c>
      <c r="GK33" s="474">
        <f t="shared" si="41"/>
        <v>2.0604219649651396</v>
      </c>
      <c r="GL33" s="474">
        <f t="shared" si="42"/>
        <v>1.425895418326693</v>
      </c>
      <c r="GM33" s="705">
        <f t="shared" si="43"/>
        <v>1.4292703187250995</v>
      </c>
      <c r="GN33" s="705">
        <f t="shared" si="44"/>
        <v>0</v>
      </c>
      <c r="GO33" s="705">
        <f t="shared" si="45"/>
        <v>0</v>
      </c>
      <c r="GP33" s="705">
        <f t="shared" si="46"/>
        <v>0</v>
      </c>
      <c r="GQ33" s="705">
        <f t="shared" si="47"/>
        <v>0</v>
      </c>
      <c r="GR33" s="705">
        <f t="shared" si="48"/>
        <v>0</v>
      </c>
      <c r="GS33" s="705">
        <f t="shared" si="49"/>
        <v>0</v>
      </c>
      <c r="GT33" s="551">
        <f t="shared" si="50"/>
        <v>1.4733630623258553E-2</v>
      </c>
      <c r="GU33" s="548">
        <f t="shared" si="51"/>
        <v>0.5577556642195739</v>
      </c>
      <c r="GV33" s="548">
        <f t="shared" si="52"/>
        <v>1.684750278884462E-3</v>
      </c>
      <c r="GW33" s="548">
        <f t="shared" si="53"/>
        <v>2.0827725322709162E-3</v>
      </c>
      <c r="GX33" s="548">
        <f t="shared" si="54"/>
        <v>6.1774176892430283E-3</v>
      </c>
      <c r="GY33" s="524">
        <f t="shared" si="55"/>
        <v>3.0547330473306777E-2</v>
      </c>
      <c r="GZ33" s="548">
        <f t="shared" si="56"/>
        <v>1.7369071228144743E-3</v>
      </c>
      <c r="HA33" s="548">
        <f t="shared" si="57"/>
        <v>6.2096275137420574E-2</v>
      </c>
      <c r="HB33" s="548">
        <f t="shared" si="58"/>
        <v>1.684750278884462E-3</v>
      </c>
      <c r="HC33" s="548">
        <f t="shared" si="59"/>
        <v>2.0827725322709162E-3</v>
      </c>
      <c r="HD33" s="548">
        <f t="shared" si="60"/>
        <v>6.1774176892430283E-3</v>
      </c>
      <c r="HE33" s="549">
        <f t="shared" si="61"/>
        <v>3.0547330473306777E-2</v>
      </c>
      <c r="HF33" s="235">
        <f t="shared" si="62"/>
        <v>0</v>
      </c>
      <c r="HG33" s="235">
        <f t="shared" si="63"/>
        <v>0</v>
      </c>
      <c r="HH33" s="235">
        <f t="shared" si="64"/>
        <v>0</v>
      </c>
      <c r="HI33" s="235">
        <f t="shared" si="65"/>
        <v>0</v>
      </c>
      <c r="HJ33" s="235">
        <f t="shared" si="66"/>
        <v>0</v>
      </c>
      <c r="HK33" s="580">
        <f t="shared" si="67"/>
        <v>0</v>
      </c>
      <c r="HL33" s="235">
        <f t="shared" si="68"/>
        <v>0</v>
      </c>
      <c r="HM33" s="235">
        <f t="shared" si="69"/>
        <v>0</v>
      </c>
      <c r="HN33" s="235">
        <f t="shared" si="70"/>
        <v>0</v>
      </c>
      <c r="HO33" s="235">
        <f t="shared" si="71"/>
        <v>0</v>
      </c>
      <c r="HP33" s="235">
        <f t="shared" si="72"/>
        <v>0</v>
      </c>
      <c r="HQ33" s="580">
        <f t="shared" si="73"/>
        <v>0</v>
      </c>
      <c r="HR33" s="235">
        <f t="shared" si="74"/>
        <v>0</v>
      </c>
      <c r="HS33" s="235">
        <f t="shared" si="75"/>
        <v>0</v>
      </c>
      <c r="HT33" s="235">
        <f t="shared" si="76"/>
        <v>0</v>
      </c>
      <c r="HU33" s="235">
        <f t="shared" si="77"/>
        <v>0</v>
      </c>
      <c r="HV33" s="235">
        <f t="shared" si="78"/>
        <v>0</v>
      </c>
      <c r="HW33" s="577">
        <f t="shared" si="79"/>
        <v>0</v>
      </c>
      <c r="HX33" s="235">
        <f t="shared" si="80"/>
        <v>0.78303579981610272</v>
      </c>
      <c r="HY33" s="235">
        <f t="shared" si="81"/>
        <v>29.642568339177195</v>
      </c>
      <c r="HZ33" s="235">
        <f t="shared" si="82"/>
        <v>8.9537997513944215E-2</v>
      </c>
      <c r="IA33" s="235">
        <f t="shared" si="83"/>
        <v>0.11069134942661352</v>
      </c>
      <c r="IB33" s="235">
        <f t="shared" si="84"/>
        <v>0.32830599088446211</v>
      </c>
      <c r="IC33" s="235">
        <f t="shared" si="85"/>
        <v>1.6234731249236654</v>
      </c>
      <c r="ID33" s="235">
        <f t="shared" si="86"/>
        <v>9.2309933165578464E-2</v>
      </c>
      <c r="IE33" s="235">
        <f t="shared" si="87"/>
        <v>3.300178191726451</v>
      </c>
      <c r="IF33" s="235">
        <f t="shared" si="88"/>
        <v>8.9537997513944215E-2</v>
      </c>
      <c r="IG33" s="235">
        <f t="shared" si="89"/>
        <v>0.11069134942661352</v>
      </c>
      <c r="IH33" s="235">
        <f t="shared" si="90"/>
        <v>0.32830599088446211</v>
      </c>
      <c r="II33" s="235">
        <f t="shared" si="91"/>
        <v>1.6234731249236654</v>
      </c>
      <c r="IJ33" s="235">
        <f t="shared" si="92"/>
        <v>0</v>
      </c>
      <c r="IK33" s="235">
        <f t="shared" si="93"/>
        <v>0</v>
      </c>
      <c r="IL33" s="235">
        <f t="shared" si="94"/>
        <v>0</v>
      </c>
      <c r="IM33" s="235">
        <f t="shared" si="95"/>
        <v>0</v>
      </c>
      <c r="IN33" s="235">
        <f t="shared" si="96"/>
        <v>0</v>
      </c>
      <c r="IO33" s="235">
        <f t="shared" si="97"/>
        <v>0</v>
      </c>
    </row>
    <row r="34" spans="1:249" ht="18" x14ac:dyDescent="0.25">
      <c r="A34" s="18">
        <v>1971</v>
      </c>
      <c r="B34" s="564"/>
      <c r="C34" s="529">
        <f>'POSF Inventory'!AD26*$D$5*'POSF Zone Def'!$M23</f>
        <v>1.2472390124999997</v>
      </c>
      <c r="D34" s="529">
        <f>'POSF Inventory'!AE26*$D$6*'POSF Zone Def'!$M23</f>
        <v>1.2501910574999997</v>
      </c>
      <c r="E34" s="529">
        <f>'POSF Inventory'!AF26*$D$5*'POSF Zone Def'!$M23</f>
        <v>0</v>
      </c>
      <c r="F34" s="529">
        <f>'POSF Inventory'!AG26*$D$6*'POSF Zone Def'!$M23</f>
        <v>0</v>
      </c>
      <c r="G34" s="529">
        <f>'POSF Inventory'!AH26*$D$5*'POSF Zone Def'!$M23</f>
        <v>0.92388075000000003</v>
      </c>
      <c r="H34" s="524">
        <f>'POSF Inventory'!AI26*$D$6*'POSF Zone Def'!$M23</f>
        <v>0.92606745000000001</v>
      </c>
      <c r="I34" s="474">
        <f>'POSF Inventory'!AD26*$D$5*'POSF Zone Def'!$N23</f>
        <v>1.2472390124999997</v>
      </c>
      <c r="J34" s="474">
        <f>'POSF Inventory'!AE26*$D$6*'POSF Zone Def'!$N23</f>
        <v>1.2501910574999997</v>
      </c>
      <c r="K34" s="474">
        <f>'POSF Inventory'!AF26*$D$5*'POSF Zone Def'!$N23</f>
        <v>0</v>
      </c>
      <c r="L34" s="474">
        <f>'POSF Inventory'!AG26*$D$6*'POSF Zone Def'!$N23</f>
        <v>0</v>
      </c>
      <c r="M34" s="474">
        <f>'POSF Inventory'!AH26*$D$5*'POSF Zone Def'!$N23</f>
        <v>0.92388075000000003</v>
      </c>
      <c r="N34" s="485">
        <f>'POSF Inventory'!AI26*$D$6*'POSF Zone Def'!$N23</f>
        <v>0.92606745000000001</v>
      </c>
      <c r="O34" s="529">
        <f>'POSF Inventory'!AJ26*$D$5*'POSF Zone Def'!$AP23</f>
        <v>0</v>
      </c>
      <c r="P34" s="529">
        <f>'POSF Inventory'!AK26*$D$6*'POSF Zone Def'!$AP23</f>
        <v>0</v>
      </c>
      <c r="Q34" s="529">
        <f>'POSF Inventory'!AL26*$D$5*'POSF Zone Def'!$AP23</f>
        <v>0</v>
      </c>
      <c r="R34" s="529">
        <f>'POSF Inventory'!AM26*$D$6*'POSF Zone Def'!$AP23</f>
        <v>0</v>
      </c>
      <c r="S34" s="529">
        <f>'POSF Inventory'!AN26*$D$5*'POSF Zone Def'!$AP23</f>
        <v>0</v>
      </c>
      <c r="T34" s="524">
        <f>'POSF Inventory'!AO26*$D$6*'POSF Zone Def'!$AP23</f>
        <v>0</v>
      </c>
      <c r="U34" s="474">
        <f>'POSF Inventory'!AJ26*$D$5*'POSF Zone Def'!$AQ23</f>
        <v>0</v>
      </c>
      <c r="V34" s="474">
        <f>'POSF Inventory'!AK26*$D$6*'POSF Zone Def'!$AQ23</f>
        <v>0</v>
      </c>
      <c r="W34" s="474">
        <f>'POSF Inventory'!AL26*$D$5*'POSF Zone Def'!$AQ23</f>
        <v>0</v>
      </c>
      <c r="X34" s="474">
        <f>'POSF Inventory'!AM26*$D$6*'POSF Zone Def'!$AQ23</f>
        <v>0</v>
      </c>
      <c r="Y34" s="474">
        <f>'POSF Inventory'!AN26*$D$5*'POSF Zone Def'!$AQ23</f>
        <v>0</v>
      </c>
      <c r="Z34" s="134">
        <f>'POSF Inventory'!AO26*$D$6*'POSF Zone Def'!$AQ23</f>
        <v>0</v>
      </c>
      <c r="AA34" s="529">
        <f>'POSF Inventory'!AV26*'POSF Emiss by Zone'!$D$5*'POSF Zone Def'!$M23</f>
        <v>0</v>
      </c>
      <c r="AB34" s="529">
        <f>'POSF Inventory'!AW26*'POSF Emiss by Zone'!$D$6*'POSF Zone Def'!$M23</f>
        <v>0</v>
      </c>
      <c r="AC34" s="529">
        <f>'POSF Inventory'!AX26*'POSF Emiss by Zone'!$D$5*'POSF Zone Def'!$M23</f>
        <v>0.8314926749999999</v>
      </c>
      <c r="AD34" s="529">
        <f>'POSF Inventory'!AY26*'POSF Emiss by Zone'!$D$6*'POSF Zone Def'!$M23</f>
        <v>0.83346070499999991</v>
      </c>
      <c r="AE34" s="529">
        <f>'POSF Inventory'!AZ26*'POSF Emiss by Zone'!$D$5*'POSF Zone Def'!$M23</f>
        <v>1.5398012499999998</v>
      </c>
      <c r="AF34" s="524">
        <f>'POSF Inventory'!BA26*'POSF Emiss by Zone'!$D$6*'POSF Zone Def'!$M23</f>
        <v>1.5434457499999998</v>
      </c>
      <c r="AG34" s="474">
        <f>'POSF Inventory'!AV26*'POSF Emiss by Zone'!$D$5*'POSF Zone Def'!$N23</f>
        <v>0</v>
      </c>
      <c r="AH34" s="474">
        <f>'POSF Inventory'!AW26*'POSF Emiss by Zone'!$D$6*'POSF Zone Def'!$N23</f>
        <v>0</v>
      </c>
      <c r="AI34" s="474">
        <f>'POSF Inventory'!AX26*'POSF Emiss by Zone'!$D$5*'POSF Zone Def'!$N23</f>
        <v>0.8314926749999999</v>
      </c>
      <c r="AJ34" s="474">
        <f>'POSF Inventory'!AY26*'POSF Emiss by Zone'!$D$6*'POSF Zone Def'!$N23</f>
        <v>0.83346070499999991</v>
      </c>
      <c r="AK34" s="474">
        <f>'POSF Inventory'!AZ26*'POSF Emiss by Zone'!$D$5*'POSF Zone Def'!$N23</f>
        <v>1.5398012499999998</v>
      </c>
      <c r="AL34" s="549">
        <f>'POSF Inventory'!BA26*'POSF Emiss by Zone'!$D$6*'POSF Zone Def'!$N23</f>
        <v>1.5434457499999998</v>
      </c>
      <c r="AM34" s="529">
        <f>'POSF Inventory'!BB26*'POSF Emiss by Zone'!$D$5*'POSF Zone Def'!$AP23</f>
        <v>0</v>
      </c>
      <c r="AN34" s="529">
        <f>'POSF Inventory'!BC26*'POSF Emiss by Zone'!$D$6*'POSF Zone Def'!$AP23</f>
        <v>0</v>
      </c>
      <c r="AO34" s="529">
        <f>'POSF Inventory'!BD26*'POSF Emiss by Zone'!$D$5*'POSF Zone Def'!$AP23</f>
        <v>0</v>
      </c>
      <c r="AP34" s="529">
        <f>'POSF Inventory'!BE26*'POSF Emiss by Zone'!$D$6*'POSF Zone Def'!$AP23</f>
        <v>0</v>
      </c>
      <c r="AQ34" s="529">
        <f>'POSF Inventory'!BF26*'POSF Emiss by Zone'!$D$5*'POSF Zone Def'!$AP23</f>
        <v>0</v>
      </c>
      <c r="AR34" s="524">
        <f>'POSF Inventory'!BG26*'POSF Emiss by Zone'!$D$6*'POSF Zone Def'!$AP23</f>
        <v>0</v>
      </c>
      <c r="AS34" s="474">
        <f>'POSF Inventory'!BB26*'POSF Emiss by Zone'!$D$5*'POSF Zone Def'!$AQ23</f>
        <v>0</v>
      </c>
      <c r="AT34" s="474">
        <f>'POSF Inventory'!BC26*'POSF Emiss by Zone'!$D$6*'POSF Zone Def'!$AQ23</f>
        <v>0</v>
      </c>
      <c r="AU34" s="474">
        <f>'POSF Inventory'!BD26*'POSF Emiss by Zone'!$D$5*'POSF Zone Def'!$AQ23</f>
        <v>0</v>
      </c>
      <c r="AV34" s="474">
        <f>'POSF Inventory'!BE26*'POSF Emiss by Zone'!$D$6*'POSF Zone Def'!$AQ23</f>
        <v>0</v>
      </c>
      <c r="AW34" s="474">
        <f>'POSF Inventory'!BF26*'POSF Emiss by Zone'!$D$5*'POSF Zone Def'!$AQ23</f>
        <v>0</v>
      </c>
      <c r="AX34" s="134">
        <f>'POSF Inventory'!BG26*'POSF Emiss by Zone'!$D$6*'POSF Zone Def'!$AQ23</f>
        <v>0</v>
      </c>
      <c r="AY34" s="529">
        <f>'POSF Inventory'!EA26*'POSF Emiss by Zone'!$D$5*'POSF Zone Def'!$Y23</f>
        <v>0</v>
      </c>
      <c r="AZ34" s="529">
        <f>'POSF Inventory'!EB26*'POSF Emiss by Zone'!$D$6*'POSF Zone Def'!$Y23</f>
        <v>0</v>
      </c>
      <c r="BA34" s="529">
        <f>'POSF Inventory'!EC26*'POSF Emiss by Zone'!$D$5*'POSF Zone Def'!$Y23</f>
        <v>1.2528909154124999</v>
      </c>
      <c r="BB34" s="529">
        <f>'POSF Inventory'!ED26*'POSF Emiss by Zone'!$D$6*'POSF Zone Def'!$Y23</f>
        <v>12.558563376974998</v>
      </c>
      <c r="BC34" s="529">
        <f>'POSF Inventory'!EE26*'POSF Emiss by Zone'!$D$5*'POSF Zone Def'!$Y23</f>
        <v>0</v>
      </c>
      <c r="BD34" s="524">
        <f>'POSF Inventory'!EF26*'POSF Emiss by Zone'!$D$6*'POSF Zone Def'!$Y23</f>
        <v>0</v>
      </c>
      <c r="BE34" s="474">
        <f>'POSF Inventory'!EA26*'POSF Emiss by Zone'!$D$5*'POSF Zone Def'!$Z23</f>
        <v>0</v>
      </c>
      <c r="BF34" s="474">
        <f>'POSF Inventory'!EB26*'POSF Emiss by Zone'!$D$6*'POSF Zone Def'!$Z23</f>
        <v>0</v>
      </c>
      <c r="BG34" s="474">
        <f>'POSF Inventory'!EC26*'POSF Emiss by Zone'!$D$5*'POSF Zone Def'!$Z23</f>
        <v>0.13921010171250001</v>
      </c>
      <c r="BH34" s="474">
        <f>'POSF Inventory'!ED26*'POSF Emiss by Zone'!$D$6*'POSF Zone Def'!$Z23</f>
        <v>1.3953959307749999</v>
      </c>
      <c r="BI34" s="474">
        <f>'POSF Inventory'!EE26*'POSF Emiss by Zone'!$D$5*'POSF Zone Def'!$Z23</f>
        <v>0</v>
      </c>
      <c r="BJ34" s="549">
        <f>'POSF Inventory'!EF26*'POSF Emiss by Zone'!$D$6*'POSF Zone Def'!$Z23</f>
        <v>0</v>
      </c>
      <c r="BK34" s="705">
        <f>'POSF Inventory'!$EA26*'POSF Emiss by Zone'!$D$5*'POSF Zone Def'!$AC23</f>
        <v>0</v>
      </c>
      <c r="BL34" s="705">
        <f>'POSF Inventory'!$EB26*'POSF Emiss by Zone'!$D$6*'POSF Zone Def'!$AC23</f>
        <v>0</v>
      </c>
      <c r="BM34" s="705">
        <f>'POSF Inventory'!$EC26*'POSF Emiss by Zone'!$D$5*'POSF Zone Def'!$AC23</f>
        <v>0</v>
      </c>
      <c r="BN34" s="705">
        <f>'POSF Inventory'!$ED26*'POSF Emiss by Zone'!$D$6*'POSF Zone Def'!$AC23</f>
        <v>0</v>
      </c>
      <c r="BO34" s="705">
        <f>'POSF Inventory'!$EE26*'POSF Emiss by Zone'!$D$5*'POSF Zone Def'!$AC23</f>
        <v>0</v>
      </c>
      <c r="BP34" s="708">
        <f>'POSF Inventory'!$EF26*'POSF Emiss by Zone'!$D$6*'POSF Zone Def'!$AC23</f>
        <v>0</v>
      </c>
      <c r="BQ34" s="529">
        <f>'POSF Inventory'!EG26*'POSF Emiss by Zone'!$D$5*'POSF Zone Def'!$BB23</f>
        <v>0</v>
      </c>
      <c r="BR34" s="529">
        <f>'POSF Inventory'!EH26*'POSF Emiss by Zone'!$D$6*'POSF Zone Def'!$BB23</f>
        <v>0</v>
      </c>
      <c r="BS34" s="529">
        <f>'POSF Inventory'!EI26*'POSF Emiss by Zone'!$D$5*'POSF Zone Def'!$BB23</f>
        <v>0</v>
      </c>
      <c r="BT34" s="529">
        <f>'POSF Inventory'!EJ26*'POSF Emiss by Zone'!$D$6*'POSF Zone Def'!$BB23</f>
        <v>0</v>
      </c>
      <c r="BU34" s="529">
        <f>'POSF Inventory'!EK26*'POSF Emiss by Zone'!$D$5*'POSF Zone Def'!$BB23</f>
        <v>0</v>
      </c>
      <c r="BV34" s="524">
        <f>'POSF Inventory'!EL26*'POSF Emiss by Zone'!$D$6*'POSF Zone Def'!$BB23</f>
        <v>0</v>
      </c>
      <c r="BW34" s="474">
        <f>'POSF Inventory'!EG26*'POSF Emiss by Zone'!$D$5*'POSF Zone Def'!$BC23</f>
        <v>0</v>
      </c>
      <c r="BX34" s="474">
        <f>'POSF Inventory'!EH26*'POSF Emiss by Zone'!$D$6*'POSF Zone Def'!$BC23</f>
        <v>0</v>
      </c>
      <c r="BY34" s="474">
        <f>'POSF Inventory'!EI26*'POSF Emiss by Zone'!$D$5*'POSF Zone Def'!$BC23</f>
        <v>0</v>
      </c>
      <c r="BZ34" s="474">
        <f>'POSF Inventory'!EJ26*'POSF Emiss by Zone'!$D$6*'POSF Zone Def'!$BC23</f>
        <v>0</v>
      </c>
      <c r="CA34" s="474">
        <f>'POSF Inventory'!EK26*'POSF Emiss by Zone'!$D$5*'POSF Zone Def'!$BC23</f>
        <v>0</v>
      </c>
      <c r="CB34" s="134">
        <f>'POSF Inventory'!EL26*'POSF Emiss by Zone'!$D$6*'POSF Zone Def'!$BC23</f>
        <v>0</v>
      </c>
      <c r="CC34" s="529">
        <f>'POSF Inventory'!GC26*'POSF Emiss by Zone'!$D$7*'POSF Zone Def'!$M23</f>
        <v>5.8312000000000008E-3</v>
      </c>
      <c r="CD34" s="529">
        <f>'POSF Inventory'!GD26*'POSF Emiss by Zone'!$D$9*'POSF Zone Def'!$M23</f>
        <v>7.2088210000000007E-3</v>
      </c>
      <c r="CE34" s="529">
        <f>'POSF Inventory'!GE26*'POSF Emiss by Zone'!$D$7*'POSF Zone Def'!$M23</f>
        <v>8.746799999999999E-2</v>
      </c>
      <c r="CF34" s="529">
        <f>'POSF Inventory'!GF26*'POSF Emiss by Zone'!$D$9*'POSF Zone Def'!$M23</f>
        <v>0.10813231499999999</v>
      </c>
      <c r="CG34" s="529">
        <f>'POSF Inventory'!GG26*'POSF Emiss by Zone'!$D$7*'POSF Zone Def'!$M23</f>
        <v>0.320716</v>
      </c>
      <c r="CH34" s="524">
        <f>'POSF Inventory'!GH26*'POSF Emiss by Zone'!$D$9*'POSF Zone Def'!$M23</f>
        <v>1.5859406200000001</v>
      </c>
      <c r="CI34" s="474">
        <f>'POSF Inventory'!GC26*'POSF Emiss by Zone'!$D$7*'POSF Zone Def'!$N23</f>
        <v>5.8312000000000008E-3</v>
      </c>
      <c r="CJ34" s="474">
        <f>'POSF Inventory'!GD26*'POSF Emiss by Zone'!$D$9*'POSF Zone Def'!$N23</f>
        <v>7.2088210000000007E-3</v>
      </c>
      <c r="CK34" s="474">
        <f>'POSF Inventory'!GE26*'POSF Emiss by Zone'!$D$7*'POSF Zone Def'!$N23</f>
        <v>8.746799999999999E-2</v>
      </c>
      <c r="CL34" s="474">
        <f>'POSF Inventory'!GF26*'POSF Emiss by Zone'!$D$9*'POSF Zone Def'!$N23</f>
        <v>0.10813231499999999</v>
      </c>
      <c r="CM34" s="474">
        <f>'POSF Inventory'!GG26*'POSF Emiss by Zone'!$D$7*'POSF Zone Def'!$N23</f>
        <v>0.320716</v>
      </c>
      <c r="CN34" s="485">
        <f>'POSF Inventory'!GH26*'POSF Emiss by Zone'!$D$9*'POSF Zone Def'!$N23</f>
        <v>1.5859406200000001</v>
      </c>
      <c r="CO34" s="529">
        <f>'POSF Inventory'!GI26*'POSF Emiss by Zone'!$D$7*'POSF Zone Def'!$AP23</f>
        <v>0</v>
      </c>
      <c r="CP34" s="529">
        <f>'POSF Inventory'!GJ26*'POSF Emiss by Zone'!$D$9*'POSF Zone Def'!$AP23</f>
        <v>0</v>
      </c>
      <c r="CQ34" s="529">
        <f>'POSF Inventory'!GK26*'POSF Emiss by Zone'!$D$7*'POSF Zone Def'!$AP23</f>
        <v>0</v>
      </c>
      <c r="CR34" s="529">
        <f>'POSF Inventory'!GL26*'POSF Emiss by Zone'!$D$9*'POSF Zone Def'!$AP23</f>
        <v>0</v>
      </c>
      <c r="CS34" s="529">
        <f>'POSF Inventory'!GM26*'POSF Emiss by Zone'!$D$7*'POSF Zone Def'!$AP23</f>
        <v>0</v>
      </c>
      <c r="CT34" s="524">
        <f>'POSF Inventory'!GN26*'POSF Emiss by Zone'!$D$9*'POSF Zone Def'!$AP23</f>
        <v>0</v>
      </c>
      <c r="CU34" s="474">
        <f>'POSF Inventory'!GI26*'POSF Emiss by Zone'!$D$7*'POSF Zone Def'!$AQ23</f>
        <v>0</v>
      </c>
      <c r="CV34" s="474">
        <f>'POSF Inventory'!GJ26*'POSF Emiss by Zone'!$D$9*'POSF Zone Def'!$AQ23</f>
        <v>0</v>
      </c>
      <c r="CW34" s="474">
        <f>'POSF Inventory'!GK26*'POSF Emiss by Zone'!$D$7*'POSF Zone Def'!$AQ23</f>
        <v>0</v>
      </c>
      <c r="CX34" s="474">
        <f>'POSF Inventory'!GL26*'POSF Emiss by Zone'!$D$9*'POSF Zone Def'!$AQ23</f>
        <v>0</v>
      </c>
      <c r="CY34" s="474">
        <f>'POSF Inventory'!GM26*'POSF Emiss by Zone'!$D$7*'POSF Zone Def'!$AQ23</f>
        <v>0</v>
      </c>
      <c r="CZ34" s="134">
        <f>'POSF Inventory'!GN26*'POSF Emiss by Zone'!$D$9*'POSF Zone Def'!$AQ23</f>
        <v>0</v>
      </c>
      <c r="DA34" s="529">
        <f>SUM('POSF Inventory'!GQ26,'POSF Inventory'!GS26)*'POSF Emiss by Zone'!$D$7*'POSF Zone Def'!$Y23</f>
        <v>0.76149987172836742</v>
      </c>
      <c r="DB34" s="529">
        <f>SUM('POSF Inventory'!GR26,'POSF Inventory'!GT26)*'POSF Emiss by Zone'!$D$9*'POSF Zone Def'!$Y23</f>
        <v>29.217245324144173</v>
      </c>
      <c r="DC34" s="529"/>
      <c r="DD34" s="529"/>
      <c r="DE34" s="529">
        <f>'POSF Inventory'!GU26*'POSF Emiss by Zone'!$D$7*'POSF Zone Def'!$Y23</f>
        <v>0</v>
      </c>
      <c r="DF34" s="524">
        <f>'POSF Inventory'!GV26*'POSF Emiss by Zone'!$D$9*'POSF Zone Def'!$Y23</f>
        <v>0</v>
      </c>
      <c r="DG34" s="474">
        <f>SUM('POSF Inventory'!GQ26,'POSF Inventory'!GS26)*'POSF Emiss by Zone'!$D$7*'POSF Zone Def'!$Z23</f>
        <v>8.4611096858707491E-2</v>
      </c>
      <c r="DH34" s="474">
        <f>SUM('POSF Inventory'!GR26,'POSF Inventory'!GT26)*'POSF Emiss by Zone'!$D$9*'POSF Zone Def'!$Z23</f>
        <v>3.246360591571575</v>
      </c>
      <c r="DI34" s="474"/>
      <c r="DJ34" s="474"/>
      <c r="DK34" s="474">
        <f>'POSF Inventory'!GU26*'POSF Emiss by Zone'!$D$7*'POSF Zone Def'!$Z23</f>
        <v>0</v>
      </c>
      <c r="DL34" s="485">
        <f>'POSF Inventory'!GV26*'POSF Emiss by Zone'!$D$9*'POSF Zone Def'!$Z23</f>
        <v>0</v>
      </c>
      <c r="DM34" s="705">
        <f>SUM('POSF Inventory'!$GQ26,'POSF Inventory'!$GS26)*'POSF Emiss by Zone'!$D$7*'POSF Zone Def'!$AC23</f>
        <v>0</v>
      </c>
      <c r="DN34" s="705">
        <f>SUM('POSF Inventory'!$GR26,'POSF Inventory'!$GT26)*'POSF Emiss by Zone'!$D$9*'POSF Zone Def'!$AC23</f>
        <v>0</v>
      </c>
      <c r="DO34" s="705"/>
      <c r="DP34" s="705"/>
      <c r="DQ34" s="705">
        <f>'POSF Inventory'!$GU26*'POSF Emiss by Zone'!$D$7*'POSF Zone Def'!$AC23</f>
        <v>0</v>
      </c>
      <c r="DR34" s="708">
        <f>'POSF Inventory'!$GV26*'POSF Emiss by Zone'!$D$9*'POSF Zone Def'!$AC23</f>
        <v>0</v>
      </c>
      <c r="DS34" s="529">
        <f>SUM('POSF Inventory'!GW26,'POSF Inventory'!GY26)*$D$7*'POSF Zone Def'!$BB23</f>
        <v>0</v>
      </c>
      <c r="DT34" s="529">
        <f>SUM('POSF Inventory'!GX26,'POSF Inventory'!GZ26)*$D$9*'POSF Zone Def'!$BB23</f>
        <v>0</v>
      </c>
      <c r="DU34" s="529"/>
      <c r="DV34" s="529"/>
      <c r="DW34" s="529">
        <f>'POSF Inventory'!HA26*'POSF Emiss by Zone'!$D$7*'POSF Zone Def'!$BB23</f>
        <v>0</v>
      </c>
      <c r="DX34" s="524">
        <f>'POSF Inventory'!HB26*'POSF Emiss by Zone'!$D$9*'POSF Zone Def'!$BB23</f>
        <v>0</v>
      </c>
      <c r="DY34" s="474">
        <f>SUM('POSF Inventory'!GW26,'POSF Inventory'!GY26)*$D$7*'POSF Zone Def'!$BC23</f>
        <v>0</v>
      </c>
      <c r="DZ34" s="474">
        <f>SUM('POSF Inventory'!GX26,'POSF Inventory'!GZ26)*$D$9*'POSF Zone Def'!$BC23</f>
        <v>0</v>
      </c>
      <c r="EA34" s="474"/>
      <c r="EB34" s="474"/>
      <c r="EC34" s="474">
        <f>'POSF Inventory'!HA26*'POSF Emiss by Zone'!$D$7*'POSF Zone Def'!$BC23</f>
        <v>0</v>
      </c>
      <c r="ED34" s="134">
        <f>'POSF Inventory'!HB26*'POSF Emiss by Zone'!$D$9*'POSF Zone Def'!$BC23</f>
        <v>0</v>
      </c>
      <c r="EE34" s="235">
        <f>'POSF Inventory'!$CF26*'POSF Emiss by Zone'!$D$7*'POSF Zone Def'!$CE23</f>
        <v>0</v>
      </c>
      <c r="EF34" s="235">
        <f>'POSF Inventory'!$CG26*'POSF Emiss by Zone'!$D$9*'POSF Zone Def'!$CE23</f>
        <v>0</v>
      </c>
      <c r="EG34" s="235">
        <f>'POSF Inventory'!$CH26*'POSF Emiss by Zone'!$D$7*'POSF Zone Def'!$CE23</f>
        <v>0</v>
      </c>
      <c r="EH34" s="235">
        <f>'POSF Inventory'!$CI26*'POSF Emiss by Zone'!$D$9*'POSF Zone Def'!$CE23</f>
        <v>0</v>
      </c>
      <c r="EI34" s="235">
        <f>'POSF Inventory'!$CJ26*'POSF Emiss by Zone'!$D$7*'POSF Zone Def'!$CE23</f>
        <v>0</v>
      </c>
      <c r="EJ34" s="580">
        <f>'POSF Inventory'!$CK26*'POSF Emiss by Zone'!$D$9*'POSF Zone Def'!$CE23</f>
        <v>0</v>
      </c>
      <c r="EK34" s="235">
        <f>'POSF Inventory'!$CF26*'POSF Emiss by Zone'!$D$7*'POSF Zone Def'!$CF23</f>
        <v>0</v>
      </c>
      <c r="EL34" s="235">
        <f>'POSF Inventory'!$CG26*'POSF Emiss by Zone'!$D$9*'POSF Zone Def'!$CF23</f>
        <v>0</v>
      </c>
      <c r="EM34" s="235">
        <f>'POSF Inventory'!$CH26*'POSF Emiss by Zone'!$D$7*'POSF Zone Def'!$CF23</f>
        <v>0</v>
      </c>
      <c r="EN34" s="235">
        <f>'POSF Inventory'!$CI26*'POSF Emiss by Zone'!$D$9*'POSF Zone Def'!$CF23</f>
        <v>0</v>
      </c>
      <c r="EO34" s="235">
        <f>'POSF Inventory'!$CJ26*'POSF Emiss by Zone'!$D$7*'POSF Zone Def'!$CF23</f>
        <v>0</v>
      </c>
      <c r="EP34" s="580">
        <f>'POSF Inventory'!$CK26*'POSF Emiss by Zone'!$D$9*'POSF Zone Def'!$CF23</f>
        <v>0</v>
      </c>
      <c r="EQ34" s="235">
        <f>'POSF Inventory'!$CF26*'POSF Emiss by Zone'!$D$7*'POSF Zone Def'!$CG23</f>
        <v>0</v>
      </c>
      <c r="ER34" s="235">
        <f>'POSF Inventory'!$CG26*'POSF Emiss by Zone'!$D$9*'POSF Zone Def'!$CG23</f>
        <v>0</v>
      </c>
      <c r="ES34" s="235">
        <f>'POSF Inventory'!$CH26*'POSF Emiss by Zone'!$D$7*'POSF Zone Def'!$CG23</f>
        <v>0</v>
      </c>
      <c r="ET34" s="235">
        <f>'POSF Inventory'!$CI26*'POSF Emiss by Zone'!$D$9*'POSF Zone Def'!$CG23</f>
        <v>0</v>
      </c>
      <c r="EU34" s="235">
        <f>'POSF Inventory'!$CJ26*'POSF Emiss by Zone'!$D$7*'POSF Zone Def'!$CG23</f>
        <v>0</v>
      </c>
      <c r="EV34" s="580">
        <f>'POSF Inventory'!$CK26*'POSF Emiss by Zone'!$D$9*'POSF Zone Def'!$CG23</f>
        <v>0</v>
      </c>
      <c r="EW34" s="235">
        <f>'POSF Inventory'!$CF26*'POSF Emiss by Zone'!$D$7*'POSF Zone Def'!$CH23</f>
        <v>0</v>
      </c>
      <c r="EX34" s="235">
        <f>'POSF Inventory'!$CG26*'POSF Emiss by Zone'!$D$9*'POSF Zone Def'!$CH23</f>
        <v>0</v>
      </c>
      <c r="EY34" s="235">
        <f>'POSF Inventory'!$CH26*'POSF Emiss by Zone'!$D$7*'POSF Zone Def'!$CH23</f>
        <v>0</v>
      </c>
      <c r="EZ34" s="235">
        <f>'POSF Inventory'!$CI26*'POSF Emiss by Zone'!$D$9*'POSF Zone Def'!$CH23</f>
        <v>0</v>
      </c>
      <c r="FA34" s="235">
        <f>'POSF Inventory'!$CJ26*'POSF Emiss by Zone'!$D$7*'POSF Zone Def'!$CH23</f>
        <v>0</v>
      </c>
      <c r="FB34" s="580">
        <f>'POSF Inventory'!$CK26*'POSF Emiss by Zone'!$D$9*'POSF Zone Def'!$CH23</f>
        <v>0</v>
      </c>
      <c r="FC34" s="235">
        <f>'POSF Inventory'!$CF26*'POSF Emiss by Zone'!$D$7*'POSF Zone Def'!$CI23</f>
        <v>0</v>
      </c>
      <c r="FD34" s="235">
        <f>'POSF Inventory'!$CG26*'POSF Emiss by Zone'!$D$9*'POSF Zone Def'!$CI23</f>
        <v>0</v>
      </c>
      <c r="FE34" s="235">
        <f>'POSF Inventory'!$CH26*'POSF Emiss by Zone'!$D$7*'POSF Zone Def'!$CI23</f>
        <v>0</v>
      </c>
      <c r="FF34" s="235">
        <f>'POSF Inventory'!$CI26*'POSF Emiss by Zone'!$D$9*'POSF Zone Def'!$CI23</f>
        <v>0</v>
      </c>
      <c r="FG34" s="235">
        <f>'POSF Inventory'!$CJ26*'POSF Emiss by Zone'!$D$7*'POSF Zone Def'!$CI23</f>
        <v>0</v>
      </c>
      <c r="FH34" s="577">
        <f>'POSF Inventory'!$CK26*'POSF Emiss by Zone'!$D$9*'POSF Zone Def'!$CI23</f>
        <v>0</v>
      </c>
      <c r="FI34" s="595"/>
      <c r="FJ34" s="595"/>
      <c r="FM34" s="592">
        <v>17</v>
      </c>
      <c r="FN34" s="592">
        <f t="shared" si="0"/>
        <v>1971</v>
      </c>
      <c r="FO34" s="587">
        <v>14</v>
      </c>
      <c r="FP34" s="551">
        <f t="shared" si="20"/>
        <v>1.2472390124999997</v>
      </c>
      <c r="FQ34" s="529">
        <f t="shared" si="21"/>
        <v>1.2501910574999997</v>
      </c>
      <c r="FR34" s="529">
        <f t="shared" si="22"/>
        <v>0</v>
      </c>
      <c r="FS34" s="529">
        <f t="shared" si="23"/>
        <v>0</v>
      </c>
      <c r="FT34" s="529">
        <f t="shared" si="24"/>
        <v>0.92388075000000003</v>
      </c>
      <c r="FU34" s="524">
        <f t="shared" si="25"/>
        <v>0.92606745000000001</v>
      </c>
      <c r="FV34" s="474">
        <f t="shared" si="26"/>
        <v>1.2472390124999997</v>
      </c>
      <c r="FW34" s="474">
        <f t="shared" si="27"/>
        <v>1.2501910574999997</v>
      </c>
      <c r="FX34" s="474">
        <f t="shared" si="28"/>
        <v>0</v>
      </c>
      <c r="FY34" s="474">
        <f t="shared" si="29"/>
        <v>0</v>
      </c>
      <c r="FZ34" s="474">
        <f t="shared" si="30"/>
        <v>0.92388075000000003</v>
      </c>
      <c r="GA34" s="134">
        <f t="shared" si="31"/>
        <v>0.92606745000000001</v>
      </c>
      <c r="GB34" s="529">
        <f t="shared" si="32"/>
        <v>0</v>
      </c>
      <c r="GC34" s="529">
        <f t="shared" si="33"/>
        <v>0</v>
      </c>
      <c r="GD34" s="529">
        <f t="shared" si="34"/>
        <v>2.0760792733192228</v>
      </c>
      <c r="GE34" s="529">
        <f t="shared" si="35"/>
        <v>13.338669404357569</v>
      </c>
      <c r="GF34" s="529">
        <f t="shared" si="36"/>
        <v>1.5336665836653385</v>
      </c>
      <c r="GG34" s="524">
        <f t="shared" si="37"/>
        <v>1.5372965637450198</v>
      </c>
      <c r="GH34" s="474">
        <f t="shared" si="38"/>
        <v>0</v>
      </c>
      <c r="GI34" s="474">
        <f t="shared" si="39"/>
        <v>0</v>
      </c>
      <c r="GJ34" s="474">
        <f t="shared" si="40"/>
        <v>0.96683543497260949</v>
      </c>
      <c r="GK34" s="474">
        <f t="shared" si="41"/>
        <v>2.2199767288595615</v>
      </c>
      <c r="GL34" s="474">
        <f t="shared" si="42"/>
        <v>1.5336665836653385</v>
      </c>
      <c r="GM34" s="705">
        <f t="shared" si="43"/>
        <v>1.5372965637450198</v>
      </c>
      <c r="GN34" s="705">
        <f t="shared" si="44"/>
        <v>0</v>
      </c>
      <c r="GO34" s="705">
        <f t="shared" si="45"/>
        <v>0</v>
      </c>
      <c r="GP34" s="705">
        <f t="shared" si="46"/>
        <v>0</v>
      </c>
      <c r="GQ34" s="705">
        <f t="shared" si="47"/>
        <v>0</v>
      </c>
      <c r="GR34" s="705">
        <f t="shared" si="48"/>
        <v>0</v>
      </c>
      <c r="GS34" s="705">
        <f t="shared" si="49"/>
        <v>0</v>
      </c>
      <c r="GT34" s="551">
        <f t="shared" si="50"/>
        <v>1.5896898697161398E-2</v>
      </c>
      <c r="GU34" s="548">
        <f t="shared" si="51"/>
        <v>0.6054468587838634</v>
      </c>
      <c r="GV34" s="548">
        <f t="shared" si="52"/>
        <v>1.8120860557768923E-3</v>
      </c>
      <c r="GW34" s="548">
        <f t="shared" si="53"/>
        <v>2.2401913864541832E-3</v>
      </c>
      <c r="GX34" s="548">
        <f t="shared" si="54"/>
        <v>6.6443155378486055E-3</v>
      </c>
      <c r="GY34" s="524">
        <f t="shared" si="55"/>
        <v>3.285614033466136E-2</v>
      </c>
      <c r="GZ34" s="548">
        <f t="shared" si="56"/>
        <v>1.8737049548417488E-3</v>
      </c>
      <c r="HA34" s="548">
        <f t="shared" si="57"/>
        <v>6.7404625280367295E-2</v>
      </c>
      <c r="HB34" s="548">
        <f t="shared" si="58"/>
        <v>1.8120860557768923E-3</v>
      </c>
      <c r="HC34" s="548">
        <f t="shared" si="59"/>
        <v>2.2401913864541832E-3</v>
      </c>
      <c r="HD34" s="548">
        <f t="shared" si="60"/>
        <v>6.6443155378486055E-3</v>
      </c>
      <c r="HE34" s="549">
        <f t="shared" si="61"/>
        <v>3.285614033466136E-2</v>
      </c>
      <c r="HF34" s="235">
        <f t="shared" si="62"/>
        <v>0</v>
      </c>
      <c r="HG34" s="235">
        <f t="shared" si="63"/>
        <v>0</v>
      </c>
      <c r="HH34" s="235">
        <f t="shared" si="64"/>
        <v>0</v>
      </c>
      <c r="HI34" s="235">
        <f t="shared" si="65"/>
        <v>0</v>
      </c>
      <c r="HJ34" s="235">
        <f t="shared" si="66"/>
        <v>0</v>
      </c>
      <c r="HK34" s="580">
        <f t="shared" si="67"/>
        <v>0</v>
      </c>
      <c r="HL34" s="235">
        <f t="shared" si="68"/>
        <v>0</v>
      </c>
      <c r="HM34" s="235">
        <f t="shared" si="69"/>
        <v>0</v>
      </c>
      <c r="HN34" s="235">
        <f t="shared" si="70"/>
        <v>0</v>
      </c>
      <c r="HO34" s="235">
        <f t="shared" si="71"/>
        <v>0</v>
      </c>
      <c r="HP34" s="235">
        <f t="shared" si="72"/>
        <v>0</v>
      </c>
      <c r="HQ34" s="580">
        <f t="shared" si="73"/>
        <v>0</v>
      </c>
      <c r="HR34" s="235">
        <f t="shared" si="74"/>
        <v>0</v>
      </c>
      <c r="HS34" s="235">
        <f t="shared" si="75"/>
        <v>0</v>
      </c>
      <c r="HT34" s="235">
        <f t="shared" si="76"/>
        <v>0</v>
      </c>
      <c r="HU34" s="235">
        <f t="shared" si="77"/>
        <v>0</v>
      </c>
      <c r="HV34" s="235">
        <f t="shared" si="78"/>
        <v>0</v>
      </c>
      <c r="HW34" s="577">
        <f t="shared" si="79"/>
        <v>0</v>
      </c>
      <c r="HX34" s="235">
        <f t="shared" si="80"/>
        <v>0.84485902383606215</v>
      </c>
      <c r="HY34" s="235">
        <f t="shared" si="81"/>
        <v>32.177171902597784</v>
      </c>
      <c r="HZ34" s="235">
        <f t="shared" si="82"/>
        <v>9.6305404302788819E-2</v>
      </c>
      <c r="IA34" s="235">
        <f t="shared" si="83"/>
        <v>0.11905755606932268</v>
      </c>
      <c r="IB34" s="235">
        <f t="shared" si="84"/>
        <v>0.35311981577689239</v>
      </c>
      <c r="IC34" s="235">
        <f t="shared" si="85"/>
        <v>1.746177489016733</v>
      </c>
      <c r="ID34" s="235">
        <f t="shared" si="86"/>
        <v>9.9580211792320308E-2</v>
      </c>
      <c r="IE34" s="235">
        <f t="shared" si="87"/>
        <v>3.5822965850927502</v>
      </c>
      <c r="IF34" s="235">
        <f t="shared" si="88"/>
        <v>9.6305404302788819E-2</v>
      </c>
      <c r="IG34" s="235">
        <f t="shared" si="89"/>
        <v>0.11905755606932268</v>
      </c>
      <c r="IH34" s="235">
        <f t="shared" si="90"/>
        <v>0.35311981577689239</v>
      </c>
      <c r="II34" s="235">
        <f t="shared" si="91"/>
        <v>1.746177489016733</v>
      </c>
      <c r="IJ34" s="235">
        <f t="shared" si="92"/>
        <v>0</v>
      </c>
      <c r="IK34" s="235">
        <f t="shared" si="93"/>
        <v>0</v>
      </c>
      <c r="IL34" s="235">
        <f t="shared" si="94"/>
        <v>0</v>
      </c>
      <c r="IM34" s="235">
        <f t="shared" si="95"/>
        <v>0</v>
      </c>
      <c r="IN34" s="235">
        <f t="shared" si="96"/>
        <v>0</v>
      </c>
      <c r="IO34" s="235">
        <f t="shared" si="97"/>
        <v>0</v>
      </c>
    </row>
    <row r="35" spans="1:249" ht="18" x14ac:dyDescent="0.25">
      <c r="A35" s="18">
        <v>1972</v>
      </c>
      <c r="B35" s="564"/>
      <c r="C35" s="529">
        <f>'POSF Inventory'!AD27*$D$5*'POSF Zone Def'!$M24</f>
        <v>1.3382537512499999</v>
      </c>
      <c r="D35" s="529">
        <f>'POSF Inventory'!AE27*$D$6*'POSF Zone Def'!$M24</f>
        <v>1.3414212157499998</v>
      </c>
      <c r="E35" s="529">
        <f>'POSF Inventory'!AF27*$D$5*'POSF Zone Def'!$M24</f>
        <v>0</v>
      </c>
      <c r="F35" s="529">
        <f>'POSF Inventory'!AG27*$D$6*'POSF Zone Def'!$M24</f>
        <v>0</v>
      </c>
      <c r="G35" s="529">
        <f>'POSF Inventory'!AH27*$D$5*'POSF Zone Def'!$M24</f>
        <v>0.99129907500000003</v>
      </c>
      <c r="H35" s="524">
        <f>'POSF Inventory'!AI27*$D$6*'POSF Zone Def'!$M24</f>
        <v>0.99364534500000001</v>
      </c>
      <c r="I35" s="474">
        <f>'POSF Inventory'!AD27*$D$5*'POSF Zone Def'!$N24</f>
        <v>1.3382537512499999</v>
      </c>
      <c r="J35" s="474">
        <f>'POSF Inventory'!AE27*$D$6*'POSF Zone Def'!$N24</f>
        <v>1.3414212157499998</v>
      </c>
      <c r="K35" s="474">
        <f>'POSF Inventory'!AF27*$D$5*'POSF Zone Def'!$N24</f>
        <v>0</v>
      </c>
      <c r="L35" s="474">
        <f>'POSF Inventory'!AG27*$D$6*'POSF Zone Def'!$N24</f>
        <v>0</v>
      </c>
      <c r="M35" s="474">
        <f>'POSF Inventory'!AH27*$D$5*'POSF Zone Def'!$N24</f>
        <v>0.99129907500000003</v>
      </c>
      <c r="N35" s="485">
        <f>'POSF Inventory'!AI27*$D$6*'POSF Zone Def'!$N24</f>
        <v>0.99364534500000001</v>
      </c>
      <c r="O35" s="529">
        <f>'POSF Inventory'!AJ27*$D$5*'POSF Zone Def'!$AP24</f>
        <v>0</v>
      </c>
      <c r="P35" s="529">
        <f>'POSF Inventory'!AK27*$D$6*'POSF Zone Def'!$AP24</f>
        <v>0</v>
      </c>
      <c r="Q35" s="529">
        <f>'POSF Inventory'!AL27*$D$5*'POSF Zone Def'!$AP24</f>
        <v>0</v>
      </c>
      <c r="R35" s="529">
        <f>'POSF Inventory'!AM27*$D$6*'POSF Zone Def'!$AP24</f>
        <v>0</v>
      </c>
      <c r="S35" s="529">
        <f>'POSF Inventory'!AN27*$D$5*'POSF Zone Def'!$AP24</f>
        <v>0</v>
      </c>
      <c r="T35" s="524">
        <f>'POSF Inventory'!AO27*$D$6*'POSF Zone Def'!$AP24</f>
        <v>0</v>
      </c>
      <c r="U35" s="474">
        <f>'POSF Inventory'!AJ27*$D$5*'POSF Zone Def'!$AQ24</f>
        <v>0</v>
      </c>
      <c r="V35" s="474">
        <f>'POSF Inventory'!AK27*$D$6*'POSF Zone Def'!$AQ24</f>
        <v>0</v>
      </c>
      <c r="W35" s="474">
        <f>'POSF Inventory'!AL27*$D$5*'POSF Zone Def'!$AQ24</f>
        <v>0</v>
      </c>
      <c r="X35" s="474">
        <f>'POSF Inventory'!AM27*$D$6*'POSF Zone Def'!$AQ24</f>
        <v>0</v>
      </c>
      <c r="Y35" s="474">
        <f>'POSF Inventory'!AN27*$D$5*'POSF Zone Def'!$AQ24</f>
        <v>0</v>
      </c>
      <c r="Z35" s="134">
        <f>'POSF Inventory'!AO27*$D$6*'POSF Zone Def'!$AQ24</f>
        <v>0</v>
      </c>
      <c r="AA35" s="529">
        <f>'POSF Inventory'!AV27*'POSF Emiss by Zone'!$D$5*'POSF Zone Def'!$M24</f>
        <v>0</v>
      </c>
      <c r="AB35" s="529">
        <f>'POSF Inventory'!AW27*'POSF Emiss by Zone'!$D$6*'POSF Zone Def'!$M24</f>
        <v>0</v>
      </c>
      <c r="AC35" s="529">
        <f>'POSF Inventory'!AX27*'POSF Emiss by Zone'!$D$5*'POSF Zone Def'!$M24</f>
        <v>0.89216916750000008</v>
      </c>
      <c r="AD35" s="529">
        <f>'POSF Inventory'!AY27*'POSF Emiss by Zone'!$D$6*'POSF Zone Def'!$M24</f>
        <v>0.89428081050000019</v>
      </c>
      <c r="AE35" s="529">
        <f>'POSF Inventory'!AZ27*'POSF Emiss by Zone'!$D$5*'POSF Zone Def'!$M24</f>
        <v>1.6521651250000002</v>
      </c>
      <c r="AF35" s="524">
        <f>'POSF Inventory'!BA27*'POSF Emiss by Zone'!$D$6*'POSF Zone Def'!$M24</f>
        <v>1.656075575</v>
      </c>
      <c r="AG35" s="474">
        <f>'POSF Inventory'!AV27*'POSF Emiss by Zone'!$D$5*'POSF Zone Def'!$N24</f>
        <v>0</v>
      </c>
      <c r="AH35" s="474">
        <f>'POSF Inventory'!AW27*'POSF Emiss by Zone'!$D$6*'POSF Zone Def'!$N24</f>
        <v>0</v>
      </c>
      <c r="AI35" s="474">
        <f>'POSF Inventory'!AX27*'POSF Emiss by Zone'!$D$5*'POSF Zone Def'!$N24</f>
        <v>0.89216916750000008</v>
      </c>
      <c r="AJ35" s="474">
        <f>'POSF Inventory'!AY27*'POSF Emiss by Zone'!$D$6*'POSF Zone Def'!$N24</f>
        <v>0.89428081050000019</v>
      </c>
      <c r="AK35" s="474">
        <f>'POSF Inventory'!AZ27*'POSF Emiss by Zone'!$D$5*'POSF Zone Def'!$N24</f>
        <v>1.6521651250000002</v>
      </c>
      <c r="AL35" s="549">
        <f>'POSF Inventory'!BA27*'POSF Emiss by Zone'!$D$6*'POSF Zone Def'!$N24</f>
        <v>1.656075575</v>
      </c>
      <c r="AM35" s="529">
        <f>'POSF Inventory'!BB27*'POSF Emiss by Zone'!$D$5*'POSF Zone Def'!$AP24</f>
        <v>0</v>
      </c>
      <c r="AN35" s="529">
        <f>'POSF Inventory'!BC27*'POSF Emiss by Zone'!$D$6*'POSF Zone Def'!$AP24</f>
        <v>0</v>
      </c>
      <c r="AO35" s="529">
        <f>'POSF Inventory'!BD27*'POSF Emiss by Zone'!$D$5*'POSF Zone Def'!$AP24</f>
        <v>0</v>
      </c>
      <c r="AP35" s="529">
        <f>'POSF Inventory'!BE27*'POSF Emiss by Zone'!$D$6*'POSF Zone Def'!$AP24</f>
        <v>0</v>
      </c>
      <c r="AQ35" s="529">
        <f>'POSF Inventory'!BF27*'POSF Emiss by Zone'!$D$5*'POSF Zone Def'!$AP24</f>
        <v>0</v>
      </c>
      <c r="AR35" s="524">
        <f>'POSF Inventory'!BG27*'POSF Emiss by Zone'!$D$6*'POSF Zone Def'!$AP24</f>
        <v>0</v>
      </c>
      <c r="AS35" s="474">
        <f>'POSF Inventory'!BB27*'POSF Emiss by Zone'!$D$5*'POSF Zone Def'!$AQ24</f>
        <v>0</v>
      </c>
      <c r="AT35" s="474">
        <f>'POSF Inventory'!BC27*'POSF Emiss by Zone'!$D$6*'POSF Zone Def'!$AQ24</f>
        <v>0</v>
      </c>
      <c r="AU35" s="474">
        <f>'POSF Inventory'!BD27*'POSF Emiss by Zone'!$D$5*'POSF Zone Def'!$AQ24</f>
        <v>0</v>
      </c>
      <c r="AV35" s="474">
        <f>'POSF Inventory'!BE27*'POSF Emiss by Zone'!$D$6*'POSF Zone Def'!$AQ24</f>
        <v>0</v>
      </c>
      <c r="AW35" s="474">
        <f>'POSF Inventory'!BF27*'POSF Emiss by Zone'!$D$5*'POSF Zone Def'!$AQ24</f>
        <v>0</v>
      </c>
      <c r="AX35" s="134">
        <f>'POSF Inventory'!BG27*'POSF Emiss by Zone'!$D$6*'POSF Zone Def'!$AQ24</f>
        <v>0</v>
      </c>
      <c r="AY35" s="529">
        <f>'POSF Inventory'!EA27*'POSF Emiss by Zone'!$D$5*'POSF Zone Def'!$Y24</f>
        <v>0</v>
      </c>
      <c r="AZ35" s="529">
        <f>'POSF Inventory'!EB27*'POSF Emiss by Zone'!$D$6*'POSF Zone Def'!$Y24</f>
        <v>0</v>
      </c>
      <c r="BA35" s="529">
        <f>'POSF Inventory'!EC27*'POSF Emiss by Zone'!$D$5*'POSF Zone Def'!$Y24</f>
        <v>1.3458926220187502</v>
      </c>
      <c r="BB35" s="529">
        <f>'POSF Inventory'!ED27*'POSF Emiss by Zone'!$D$6*'POSF Zone Def'!$Y24</f>
        <v>13.490781666862501</v>
      </c>
      <c r="BC35" s="529">
        <f>'POSF Inventory'!EE27*'POSF Emiss by Zone'!$D$5*'POSF Zone Def'!$Y24</f>
        <v>0</v>
      </c>
      <c r="BD35" s="524">
        <f>'POSF Inventory'!EF27*'POSF Emiss by Zone'!$D$6*'POSF Zone Def'!$Y24</f>
        <v>0</v>
      </c>
      <c r="BE35" s="474">
        <f>'POSF Inventory'!EA27*'POSF Emiss by Zone'!$D$5*'POSF Zone Def'!$Z24</f>
        <v>0</v>
      </c>
      <c r="BF35" s="474">
        <f>'POSF Inventory'!EB27*'POSF Emiss by Zone'!$D$6*'POSF Zone Def'!$Z24</f>
        <v>0</v>
      </c>
      <c r="BG35" s="474">
        <f>'POSF Inventory'!EC27*'POSF Emiss by Zone'!$D$5*'POSF Zone Def'!$Z24</f>
        <v>0.14954362466875001</v>
      </c>
      <c r="BH35" s="474">
        <f>'POSF Inventory'!ED27*'POSF Emiss by Zone'!$D$6*'POSF Zone Def'!$Z24</f>
        <v>1.4989757407625002</v>
      </c>
      <c r="BI35" s="474">
        <f>'POSF Inventory'!EE27*'POSF Emiss by Zone'!$D$5*'POSF Zone Def'!$Z24</f>
        <v>0</v>
      </c>
      <c r="BJ35" s="549">
        <f>'POSF Inventory'!EF27*'POSF Emiss by Zone'!$D$6*'POSF Zone Def'!$Z24</f>
        <v>0</v>
      </c>
      <c r="BK35" s="705">
        <f>'POSF Inventory'!$EA27*'POSF Emiss by Zone'!$D$5*'POSF Zone Def'!$AC24</f>
        <v>0</v>
      </c>
      <c r="BL35" s="705">
        <f>'POSF Inventory'!$EB27*'POSF Emiss by Zone'!$D$6*'POSF Zone Def'!$AC24</f>
        <v>0</v>
      </c>
      <c r="BM35" s="705">
        <f>'POSF Inventory'!$EC27*'POSF Emiss by Zone'!$D$5*'POSF Zone Def'!$AC24</f>
        <v>0</v>
      </c>
      <c r="BN35" s="705">
        <f>'POSF Inventory'!$ED27*'POSF Emiss by Zone'!$D$6*'POSF Zone Def'!$AC24</f>
        <v>0</v>
      </c>
      <c r="BO35" s="705">
        <f>'POSF Inventory'!$EE27*'POSF Emiss by Zone'!$D$5*'POSF Zone Def'!$AC24</f>
        <v>0</v>
      </c>
      <c r="BP35" s="708">
        <f>'POSF Inventory'!$EF27*'POSF Emiss by Zone'!$D$6*'POSF Zone Def'!$AC24</f>
        <v>0</v>
      </c>
      <c r="BQ35" s="529">
        <f>'POSF Inventory'!EG27*'POSF Emiss by Zone'!$D$5*'POSF Zone Def'!$BB24</f>
        <v>0</v>
      </c>
      <c r="BR35" s="529">
        <f>'POSF Inventory'!EH27*'POSF Emiss by Zone'!$D$6*'POSF Zone Def'!$BB24</f>
        <v>0</v>
      </c>
      <c r="BS35" s="529">
        <f>'POSF Inventory'!EI27*'POSF Emiss by Zone'!$D$5*'POSF Zone Def'!$BB24</f>
        <v>0</v>
      </c>
      <c r="BT35" s="529">
        <f>'POSF Inventory'!EJ27*'POSF Emiss by Zone'!$D$6*'POSF Zone Def'!$BB24</f>
        <v>0</v>
      </c>
      <c r="BU35" s="529">
        <f>'POSF Inventory'!EK27*'POSF Emiss by Zone'!$D$5*'POSF Zone Def'!$BB24</f>
        <v>0</v>
      </c>
      <c r="BV35" s="524">
        <f>'POSF Inventory'!EL27*'POSF Emiss by Zone'!$D$6*'POSF Zone Def'!$BB24</f>
        <v>0</v>
      </c>
      <c r="BW35" s="474">
        <f>'POSF Inventory'!EG27*'POSF Emiss by Zone'!$D$5*'POSF Zone Def'!$BC24</f>
        <v>0</v>
      </c>
      <c r="BX35" s="474">
        <f>'POSF Inventory'!EH27*'POSF Emiss by Zone'!$D$6*'POSF Zone Def'!$BC24</f>
        <v>0</v>
      </c>
      <c r="BY35" s="474">
        <f>'POSF Inventory'!EI27*'POSF Emiss by Zone'!$D$5*'POSF Zone Def'!$BC24</f>
        <v>0</v>
      </c>
      <c r="BZ35" s="474">
        <f>'POSF Inventory'!EJ27*'POSF Emiss by Zone'!$D$6*'POSF Zone Def'!$BC24</f>
        <v>0</v>
      </c>
      <c r="CA35" s="474">
        <f>'POSF Inventory'!EK27*'POSF Emiss by Zone'!$D$5*'POSF Zone Def'!$BC24</f>
        <v>0</v>
      </c>
      <c r="CB35" s="134">
        <f>'POSF Inventory'!EL27*'POSF Emiss by Zone'!$D$6*'POSF Zone Def'!$BC24</f>
        <v>0</v>
      </c>
      <c r="CC35" s="529">
        <f>'POSF Inventory'!GC27*'POSF Emiss by Zone'!$D$7*'POSF Zone Def'!$M24</f>
        <v>6.2567200000000003E-3</v>
      </c>
      <c r="CD35" s="529">
        <f>'POSF Inventory'!GD27*'POSF Emiss by Zone'!$D$9*'POSF Zone Def'!$M24</f>
        <v>7.7348701000000009E-3</v>
      </c>
      <c r="CE35" s="529">
        <f>'POSF Inventory'!GE27*'POSF Emiss by Zone'!$D$7*'POSF Zone Def'!$M24</f>
        <v>9.3850800000000012E-2</v>
      </c>
      <c r="CF35" s="529">
        <f>'POSF Inventory'!GF27*'POSF Emiss by Zone'!$D$9*'POSF Zone Def'!$M24</f>
        <v>0.11602305150000002</v>
      </c>
      <c r="CG35" s="529">
        <f>'POSF Inventory'!GG27*'POSF Emiss by Zone'!$D$7*'POSF Zone Def'!$M24</f>
        <v>0.34411960000000003</v>
      </c>
      <c r="CH35" s="524">
        <f>'POSF Inventory'!GH27*'POSF Emiss by Zone'!$D$9*'POSF Zone Def'!$M24</f>
        <v>1.7016714220000002</v>
      </c>
      <c r="CI35" s="474">
        <f>'POSF Inventory'!GC27*'POSF Emiss by Zone'!$D$7*'POSF Zone Def'!$N24</f>
        <v>6.2567200000000003E-3</v>
      </c>
      <c r="CJ35" s="474">
        <f>'POSF Inventory'!GD27*'POSF Emiss by Zone'!$D$9*'POSF Zone Def'!$N24</f>
        <v>7.7348701000000009E-3</v>
      </c>
      <c r="CK35" s="474">
        <f>'POSF Inventory'!GE27*'POSF Emiss by Zone'!$D$7*'POSF Zone Def'!$N24</f>
        <v>9.3850800000000012E-2</v>
      </c>
      <c r="CL35" s="474">
        <f>'POSF Inventory'!GF27*'POSF Emiss by Zone'!$D$9*'POSF Zone Def'!$N24</f>
        <v>0.11602305150000002</v>
      </c>
      <c r="CM35" s="474">
        <f>'POSF Inventory'!GG27*'POSF Emiss by Zone'!$D$7*'POSF Zone Def'!$N24</f>
        <v>0.34411960000000003</v>
      </c>
      <c r="CN35" s="485">
        <f>'POSF Inventory'!GH27*'POSF Emiss by Zone'!$D$9*'POSF Zone Def'!$N24</f>
        <v>1.7016714220000002</v>
      </c>
      <c r="CO35" s="529">
        <f>'POSF Inventory'!GI27*'POSF Emiss by Zone'!$D$7*'POSF Zone Def'!$AP24</f>
        <v>0</v>
      </c>
      <c r="CP35" s="529">
        <f>'POSF Inventory'!GJ27*'POSF Emiss by Zone'!$D$9*'POSF Zone Def'!$AP24</f>
        <v>0</v>
      </c>
      <c r="CQ35" s="529">
        <f>'POSF Inventory'!GK27*'POSF Emiss by Zone'!$D$7*'POSF Zone Def'!$AP24</f>
        <v>0</v>
      </c>
      <c r="CR35" s="529">
        <f>'POSF Inventory'!GL27*'POSF Emiss by Zone'!$D$9*'POSF Zone Def'!$AP24</f>
        <v>0</v>
      </c>
      <c r="CS35" s="529">
        <f>'POSF Inventory'!GM27*'POSF Emiss by Zone'!$D$7*'POSF Zone Def'!$AP24</f>
        <v>0</v>
      </c>
      <c r="CT35" s="524">
        <f>'POSF Inventory'!GN27*'POSF Emiss by Zone'!$D$9*'POSF Zone Def'!$AP24</f>
        <v>0</v>
      </c>
      <c r="CU35" s="474">
        <f>'POSF Inventory'!GI27*'POSF Emiss by Zone'!$D$7*'POSF Zone Def'!$AQ24</f>
        <v>0</v>
      </c>
      <c r="CV35" s="474">
        <f>'POSF Inventory'!GJ27*'POSF Emiss by Zone'!$D$9*'POSF Zone Def'!$AQ24</f>
        <v>0</v>
      </c>
      <c r="CW35" s="474">
        <f>'POSF Inventory'!GK27*'POSF Emiss by Zone'!$D$7*'POSF Zone Def'!$AQ24</f>
        <v>0</v>
      </c>
      <c r="CX35" s="474">
        <f>'POSF Inventory'!GL27*'POSF Emiss by Zone'!$D$9*'POSF Zone Def'!$AQ24</f>
        <v>0</v>
      </c>
      <c r="CY35" s="474">
        <f>'POSF Inventory'!GM27*'POSF Emiss by Zone'!$D$7*'POSF Zone Def'!$AQ24</f>
        <v>0</v>
      </c>
      <c r="CZ35" s="134">
        <f>'POSF Inventory'!GN27*'POSF Emiss by Zone'!$D$9*'POSF Zone Def'!$AQ24</f>
        <v>0</v>
      </c>
      <c r="DA35" s="529">
        <f>SUM('POSF Inventory'!GQ27,'POSF Inventory'!GS27)*'POSF Emiss by Zone'!$D$7*'POSF Zone Def'!$Y24</f>
        <v>0.8182979400236513</v>
      </c>
      <c r="DB35" s="529">
        <f>SUM('POSF Inventory'!GR27,'POSF Inventory'!GT27)*'POSF Emiss by Zone'!$D$9*'POSF Zone Def'!$Y24</f>
        <v>31.55426594874417</v>
      </c>
      <c r="DC35" s="529"/>
      <c r="DD35" s="529"/>
      <c r="DE35" s="529">
        <f>'POSF Inventory'!GU27*'POSF Emiss by Zone'!$D$7*'POSF Zone Def'!$Y24</f>
        <v>0</v>
      </c>
      <c r="DF35" s="524">
        <f>'POSF Inventory'!GV27*'POSF Emiss by Zone'!$D$9*'POSF Zone Def'!$Y24</f>
        <v>0</v>
      </c>
      <c r="DG35" s="474">
        <f>SUM('POSF Inventory'!GQ27,'POSF Inventory'!GS27)*'POSF Emiss by Zone'!$D$7*'POSF Zone Def'!$Z24</f>
        <v>9.0921993335961251E-2</v>
      </c>
      <c r="DH35" s="474">
        <f>SUM('POSF Inventory'!GR27,'POSF Inventory'!GT27)*'POSF Emiss by Zone'!$D$9*'POSF Zone Def'!$Z24</f>
        <v>3.5060295498604632</v>
      </c>
      <c r="DI35" s="474"/>
      <c r="DJ35" s="474"/>
      <c r="DK35" s="474">
        <f>'POSF Inventory'!GU27*'POSF Emiss by Zone'!$D$7*'POSF Zone Def'!$Z24</f>
        <v>0</v>
      </c>
      <c r="DL35" s="485">
        <f>'POSF Inventory'!GV27*'POSF Emiss by Zone'!$D$9*'POSF Zone Def'!$Z24</f>
        <v>0</v>
      </c>
      <c r="DM35" s="705">
        <f>SUM('POSF Inventory'!$GQ27,'POSF Inventory'!$GS27)*'POSF Emiss by Zone'!$D$7*'POSF Zone Def'!$AC24</f>
        <v>0</v>
      </c>
      <c r="DN35" s="705">
        <f>SUM('POSF Inventory'!$GR27,'POSF Inventory'!$GT27)*'POSF Emiss by Zone'!$D$9*'POSF Zone Def'!$AC24</f>
        <v>0</v>
      </c>
      <c r="DO35" s="705"/>
      <c r="DP35" s="705"/>
      <c r="DQ35" s="705">
        <f>'POSF Inventory'!$GU27*'POSF Emiss by Zone'!$D$7*'POSF Zone Def'!$AC24</f>
        <v>0</v>
      </c>
      <c r="DR35" s="708">
        <f>'POSF Inventory'!$GV27*'POSF Emiss by Zone'!$D$9*'POSF Zone Def'!$AC24</f>
        <v>0</v>
      </c>
      <c r="DS35" s="529">
        <f>SUM('POSF Inventory'!GW27,'POSF Inventory'!GY27)*$D$7*'POSF Zone Def'!$BB24</f>
        <v>0</v>
      </c>
      <c r="DT35" s="529">
        <f>SUM('POSF Inventory'!GX27,'POSF Inventory'!GZ27)*$D$9*'POSF Zone Def'!$BB24</f>
        <v>0</v>
      </c>
      <c r="DU35" s="529"/>
      <c r="DV35" s="529"/>
      <c r="DW35" s="529">
        <f>'POSF Inventory'!HA27*'POSF Emiss by Zone'!$D$7*'POSF Zone Def'!$BB24</f>
        <v>0</v>
      </c>
      <c r="DX35" s="524">
        <f>'POSF Inventory'!HB27*'POSF Emiss by Zone'!$D$9*'POSF Zone Def'!$BB24</f>
        <v>0</v>
      </c>
      <c r="DY35" s="474">
        <f>SUM('POSF Inventory'!GW27,'POSF Inventory'!GY27)*$D$7*'POSF Zone Def'!$BC24</f>
        <v>0</v>
      </c>
      <c r="DZ35" s="474">
        <f>SUM('POSF Inventory'!GX27,'POSF Inventory'!GZ27)*$D$9*'POSF Zone Def'!$BC24</f>
        <v>0</v>
      </c>
      <c r="EA35" s="474"/>
      <c r="EB35" s="474"/>
      <c r="EC35" s="474">
        <f>'POSF Inventory'!HA27*'POSF Emiss by Zone'!$D$7*'POSF Zone Def'!$BC24</f>
        <v>0</v>
      </c>
      <c r="ED35" s="134">
        <f>'POSF Inventory'!HB27*'POSF Emiss by Zone'!$D$9*'POSF Zone Def'!$BC24</f>
        <v>0</v>
      </c>
      <c r="EE35" s="235">
        <f>'POSF Inventory'!$CF27*'POSF Emiss by Zone'!$D$7*'POSF Zone Def'!$CE24</f>
        <v>0</v>
      </c>
      <c r="EF35" s="235">
        <f>'POSF Inventory'!$CG27*'POSF Emiss by Zone'!$D$9*'POSF Zone Def'!$CE24</f>
        <v>0</v>
      </c>
      <c r="EG35" s="235">
        <f>'POSF Inventory'!$CH27*'POSF Emiss by Zone'!$D$7*'POSF Zone Def'!$CE24</f>
        <v>0</v>
      </c>
      <c r="EH35" s="235">
        <f>'POSF Inventory'!$CI27*'POSF Emiss by Zone'!$D$9*'POSF Zone Def'!$CE24</f>
        <v>0</v>
      </c>
      <c r="EI35" s="235">
        <f>'POSF Inventory'!$CJ27*'POSF Emiss by Zone'!$D$7*'POSF Zone Def'!$CE24</f>
        <v>0</v>
      </c>
      <c r="EJ35" s="580">
        <f>'POSF Inventory'!$CK27*'POSF Emiss by Zone'!$D$9*'POSF Zone Def'!$CE24</f>
        <v>0</v>
      </c>
      <c r="EK35" s="235">
        <f>'POSF Inventory'!$CF27*'POSF Emiss by Zone'!$D$7*'POSF Zone Def'!$CF24</f>
        <v>0</v>
      </c>
      <c r="EL35" s="235">
        <f>'POSF Inventory'!$CG27*'POSF Emiss by Zone'!$D$9*'POSF Zone Def'!$CF24</f>
        <v>0</v>
      </c>
      <c r="EM35" s="235">
        <f>'POSF Inventory'!$CH27*'POSF Emiss by Zone'!$D$7*'POSF Zone Def'!$CF24</f>
        <v>0</v>
      </c>
      <c r="EN35" s="235">
        <f>'POSF Inventory'!$CI27*'POSF Emiss by Zone'!$D$9*'POSF Zone Def'!$CF24</f>
        <v>0</v>
      </c>
      <c r="EO35" s="235">
        <f>'POSF Inventory'!$CJ27*'POSF Emiss by Zone'!$D$7*'POSF Zone Def'!$CF24</f>
        <v>0</v>
      </c>
      <c r="EP35" s="580">
        <f>'POSF Inventory'!$CK27*'POSF Emiss by Zone'!$D$9*'POSF Zone Def'!$CF24</f>
        <v>0</v>
      </c>
      <c r="EQ35" s="235">
        <f>'POSF Inventory'!$CF27*'POSF Emiss by Zone'!$D$7*'POSF Zone Def'!$CG24</f>
        <v>0</v>
      </c>
      <c r="ER35" s="235">
        <f>'POSF Inventory'!$CG27*'POSF Emiss by Zone'!$D$9*'POSF Zone Def'!$CG24</f>
        <v>0</v>
      </c>
      <c r="ES35" s="235">
        <f>'POSF Inventory'!$CH27*'POSF Emiss by Zone'!$D$7*'POSF Zone Def'!$CG24</f>
        <v>0</v>
      </c>
      <c r="ET35" s="235">
        <f>'POSF Inventory'!$CI27*'POSF Emiss by Zone'!$D$9*'POSF Zone Def'!$CG24</f>
        <v>0</v>
      </c>
      <c r="EU35" s="235">
        <f>'POSF Inventory'!$CJ27*'POSF Emiss by Zone'!$D$7*'POSF Zone Def'!$CG24</f>
        <v>0</v>
      </c>
      <c r="EV35" s="580">
        <f>'POSF Inventory'!$CK27*'POSF Emiss by Zone'!$D$9*'POSF Zone Def'!$CG24</f>
        <v>0</v>
      </c>
      <c r="EW35" s="235">
        <f>'POSF Inventory'!$CF27*'POSF Emiss by Zone'!$D$7*'POSF Zone Def'!$CH24</f>
        <v>0</v>
      </c>
      <c r="EX35" s="235">
        <f>'POSF Inventory'!$CG27*'POSF Emiss by Zone'!$D$9*'POSF Zone Def'!$CH24</f>
        <v>0</v>
      </c>
      <c r="EY35" s="235">
        <f>'POSF Inventory'!$CH27*'POSF Emiss by Zone'!$D$7*'POSF Zone Def'!$CH24</f>
        <v>0</v>
      </c>
      <c r="EZ35" s="235">
        <f>'POSF Inventory'!$CI27*'POSF Emiss by Zone'!$D$9*'POSF Zone Def'!$CH24</f>
        <v>0</v>
      </c>
      <c r="FA35" s="235">
        <f>'POSF Inventory'!$CJ27*'POSF Emiss by Zone'!$D$7*'POSF Zone Def'!$CH24</f>
        <v>0</v>
      </c>
      <c r="FB35" s="580">
        <f>'POSF Inventory'!$CK27*'POSF Emiss by Zone'!$D$9*'POSF Zone Def'!$CH24</f>
        <v>0</v>
      </c>
      <c r="FC35" s="235">
        <f>'POSF Inventory'!$CF27*'POSF Emiss by Zone'!$D$7*'POSF Zone Def'!$CI24</f>
        <v>0</v>
      </c>
      <c r="FD35" s="235">
        <f>'POSF Inventory'!$CG27*'POSF Emiss by Zone'!$D$9*'POSF Zone Def'!$CI24</f>
        <v>0</v>
      </c>
      <c r="FE35" s="235">
        <f>'POSF Inventory'!$CH27*'POSF Emiss by Zone'!$D$7*'POSF Zone Def'!$CI24</f>
        <v>0</v>
      </c>
      <c r="FF35" s="235">
        <f>'POSF Inventory'!$CI27*'POSF Emiss by Zone'!$D$9*'POSF Zone Def'!$CI24</f>
        <v>0</v>
      </c>
      <c r="FG35" s="235">
        <f>'POSF Inventory'!$CJ27*'POSF Emiss by Zone'!$D$7*'POSF Zone Def'!$CI24</f>
        <v>0</v>
      </c>
      <c r="FH35" s="577">
        <f>'POSF Inventory'!$CK27*'POSF Emiss by Zone'!$D$9*'POSF Zone Def'!$CI24</f>
        <v>0</v>
      </c>
      <c r="FI35" s="595"/>
      <c r="FJ35" s="595"/>
      <c r="FM35" s="592">
        <v>18</v>
      </c>
      <c r="FN35" s="592">
        <f t="shared" si="0"/>
        <v>1972</v>
      </c>
      <c r="FO35" s="587">
        <v>15</v>
      </c>
      <c r="FP35" s="551">
        <f t="shared" si="20"/>
        <v>1.3382537512499999</v>
      </c>
      <c r="FQ35" s="529">
        <f t="shared" si="21"/>
        <v>1.3414212157499998</v>
      </c>
      <c r="FR35" s="529">
        <f t="shared" si="22"/>
        <v>0</v>
      </c>
      <c r="FS35" s="529">
        <f t="shared" si="23"/>
        <v>0</v>
      </c>
      <c r="FT35" s="529">
        <f t="shared" si="24"/>
        <v>0.99129907500000003</v>
      </c>
      <c r="FU35" s="524">
        <f t="shared" si="25"/>
        <v>0.99364534500000001</v>
      </c>
      <c r="FV35" s="474">
        <f t="shared" si="26"/>
        <v>1.3382537512499999</v>
      </c>
      <c r="FW35" s="474">
        <f t="shared" si="27"/>
        <v>1.3414212157499998</v>
      </c>
      <c r="FX35" s="474">
        <f t="shared" si="28"/>
        <v>0</v>
      </c>
      <c r="FY35" s="474">
        <f t="shared" si="29"/>
        <v>0</v>
      </c>
      <c r="FZ35" s="474">
        <f t="shared" si="30"/>
        <v>0.99129907500000003</v>
      </c>
      <c r="GA35" s="134">
        <f t="shared" si="31"/>
        <v>0.99364534500000001</v>
      </c>
      <c r="GB35" s="529">
        <f t="shared" si="32"/>
        <v>0</v>
      </c>
      <c r="GC35" s="529">
        <f t="shared" si="33"/>
        <v>0</v>
      </c>
      <c r="GD35" s="529">
        <f t="shared" si="34"/>
        <v>2.229145208684014</v>
      </c>
      <c r="GE35" s="529">
        <f t="shared" si="35"/>
        <v>14.327751471476594</v>
      </c>
      <c r="GF35" s="529">
        <f t="shared" si="36"/>
        <v>1.6455827938247014</v>
      </c>
      <c r="GG35" s="524">
        <f t="shared" si="37"/>
        <v>1.6494776643426294</v>
      </c>
      <c r="GH35" s="474">
        <f t="shared" si="38"/>
        <v>0</v>
      </c>
      <c r="GI35" s="474">
        <f t="shared" si="39"/>
        <v>0</v>
      </c>
      <c r="GJ35" s="474">
        <f t="shared" si="40"/>
        <v>1.037562542000747</v>
      </c>
      <c r="GK35" s="474">
        <f t="shared" si="41"/>
        <v>2.3837216646040842</v>
      </c>
      <c r="GL35" s="474">
        <f t="shared" si="42"/>
        <v>1.6455827938247014</v>
      </c>
      <c r="GM35" s="705">
        <f t="shared" si="43"/>
        <v>1.6494776643426294</v>
      </c>
      <c r="GN35" s="705">
        <f t="shared" si="44"/>
        <v>0</v>
      </c>
      <c r="GO35" s="705">
        <f t="shared" si="45"/>
        <v>0</v>
      </c>
      <c r="GP35" s="705">
        <f t="shared" si="46"/>
        <v>0</v>
      </c>
      <c r="GQ35" s="705">
        <f t="shared" si="47"/>
        <v>0</v>
      </c>
      <c r="GR35" s="705">
        <f t="shared" si="48"/>
        <v>0</v>
      </c>
      <c r="GS35" s="134">
        <f t="shared" si="49"/>
        <v>0</v>
      </c>
      <c r="GT35" s="529">
        <f t="shared" si="50"/>
        <v>1.708240729929477E-2</v>
      </c>
      <c r="GU35" s="529">
        <f t="shared" si="51"/>
        <v>0.65387412054975969</v>
      </c>
      <c r="GV35" s="529">
        <f t="shared" si="52"/>
        <v>1.9443193625498011E-3</v>
      </c>
      <c r="GW35" s="529">
        <f t="shared" si="53"/>
        <v>2.4036648119521919E-3</v>
      </c>
      <c r="GX35" s="529">
        <f t="shared" si="54"/>
        <v>7.129170996015937E-3</v>
      </c>
      <c r="GY35" s="524">
        <f t="shared" si="55"/>
        <v>3.5253750575298809E-2</v>
      </c>
      <c r="GZ35" s="474">
        <f t="shared" si="56"/>
        <v>2.0132641806653328E-3</v>
      </c>
      <c r="HA35" s="474">
        <f t="shared" si="57"/>
        <v>7.2795119457348248E-2</v>
      </c>
      <c r="HB35" s="474">
        <f t="shared" si="58"/>
        <v>1.9443193625498011E-3</v>
      </c>
      <c r="HC35" s="474">
        <f t="shared" si="59"/>
        <v>2.4036648119521919E-3</v>
      </c>
      <c r="HD35" s="474">
        <f t="shared" si="60"/>
        <v>7.129170996015937E-3</v>
      </c>
      <c r="HE35" s="549">
        <f t="shared" si="61"/>
        <v>3.5253750575298809E-2</v>
      </c>
      <c r="HF35" s="235">
        <f t="shared" si="62"/>
        <v>0</v>
      </c>
      <c r="HG35" s="235">
        <f t="shared" si="63"/>
        <v>0</v>
      </c>
      <c r="HH35" s="235">
        <f t="shared" si="64"/>
        <v>0</v>
      </c>
      <c r="HI35" s="235">
        <f t="shared" si="65"/>
        <v>0</v>
      </c>
      <c r="HJ35" s="235">
        <f t="shared" si="66"/>
        <v>0</v>
      </c>
      <c r="HK35" s="580">
        <f t="shared" si="67"/>
        <v>0</v>
      </c>
      <c r="HL35" s="235">
        <f t="shared" si="68"/>
        <v>0</v>
      </c>
      <c r="HM35" s="235">
        <f t="shared" si="69"/>
        <v>0</v>
      </c>
      <c r="HN35" s="235">
        <f t="shared" si="70"/>
        <v>0</v>
      </c>
      <c r="HO35" s="235">
        <f t="shared" si="71"/>
        <v>0</v>
      </c>
      <c r="HP35" s="235">
        <f t="shared" si="72"/>
        <v>0</v>
      </c>
      <c r="HQ35" s="580">
        <f t="shared" si="73"/>
        <v>0</v>
      </c>
      <c r="HR35" s="235">
        <f t="shared" si="74"/>
        <v>0</v>
      </c>
      <c r="HS35" s="235">
        <f t="shared" si="75"/>
        <v>0</v>
      </c>
      <c r="HT35" s="235">
        <f t="shared" si="76"/>
        <v>0</v>
      </c>
      <c r="HU35" s="235">
        <f t="shared" si="77"/>
        <v>0</v>
      </c>
      <c r="HV35" s="235">
        <f t="shared" si="78"/>
        <v>0</v>
      </c>
      <c r="HW35" s="577">
        <f t="shared" si="79"/>
        <v>0</v>
      </c>
      <c r="HX35" s="235">
        <f t="shared" si="80"/>
        <v>0.90786424639098107</v>
      </c>
      <c r="HY35" s="235">
        <f t="shared" si="81"/>
        <v>34.75089460675607</v>
      </c>
      <c r="HZ35" s="235">
        <f t="shared" si="82"/>
        <v>0.10333309596812749</v>
      </c>
      <c r="IA35" s="235">
        <f t="shared" si="83"/>
        <v>0.12774553989059761</v>
      </c>
      <c r="IB35" s="235">
        <f t="shared" si="84"/>
        <v>0.37888801854980075</v>
      </c>
      <c r="IC35" s="235">
        <f t="shared" si="85"/>
        <v>1.8736012517287648</v>
      </c>
      <c r="ID35" s="235">
        <f t="shared" si="86"/>
        <v>0.10699724787859063</v>
      </c>
      <c r="IE35" s="235">
        <f t="shared" si="87"/>
        <v>3.8687806179293767</v>
      </c>
      <c r="IF35" s="235">
        <f t="shared" si="88"/>
        <v>0.10333309596812749</v>
      </c>
      <c r="IG35" s="235">
        <f t="shared" si="89"/>
        <v>0.12774553989059761</v>
      </c>
      <c r="IH35" s="235">
        <f t="shared" si="90"/>
        <v>0.37888801854980075</v>
      </c>
      <c r="II35" s="235">
        <f t="shared" si="91"/>
        <v>1.8736012517287648</v>
      </c>
      <c r="IJ35" s="235">
        <f t="shared" si="92"/>
        <v>0</v>
      </c>
      <c r="IK35" s="235">
        <f t="shared" si="93"/>
        <v>0</v>
      </c>
      <c r="IL35" s="235">
        <f t="shared" si="94"/>
        <v>0</v>
      </c>
      <c r="IM35" s="235">
        <f t="shared" si="95"/>
        <v>0</v>
      </c>
      <c r="IN35" s="235">
        <f t="shared" si="96"/>
        <v>0</v>
      </c>
      <c r="IO35" s="235">
        <f t="shared" si="97"/>
        <v>0</v>
      </c>
    </row>
    <row r="36" spans="1:249" ht="18" x14ac:dyDescent="0.25">
      <c r="A36" s="18">
        <v>1973</v>
      </c>
      <c r="B36" s="564"/>
      <c r="C36" s="529">
        <f>'POSF Inventory'!AD28*$D$5*'POSF Zone Def'!$M25</f>
        <v>1.4258975737499999</v>
      </c>
      <c r="D36" s="529">
        <f>'POSF Inventory'!AE28*$D$6*'POSF Zone Def'!$M25</f>
        <v>1.4292724792499998</v>
      </c>
      <c r="E36" s="529">
        <f>'POSF Inventory'!AF28*$D$5*'POSF Zone Def'!$M25</f>
        <v>0</v>
      </c>
      <c r="F36" s="529">
        <f>'POSF Inventory'!AG28*$D$6*'POSF Zone Def'!$M25</f>
        <v>0</v>
      </c>
      <c r="G36" s="529">
        <f>'POSF Inventory'!AH28*$D$5*'POSF Zone Def'!$M25</f>
        <v>1.056220425</v>
      </c>
      <c r="H36" s="524">
        <f>'POSF Inventory'!AI28*$D$6*'POSF Zone Def'!$M25</f>
        <v>1.0587203549999999</v>
      </c>
      <c r="I36" s="474">
        <f>'POSF Inventory'!AD28*$D$5*'POSF Zone Def'!$N25</f>
        <v>1.4258975737499999</v>
      </c>
      <c r="J36" s="474">
        <f>'POSF Inventory'!AE28*$D$6*'POSF Zone Def'!$N25</f>
        <v>1.4292724792499998</v>
      </c>
      <c r="K36" s="474">
        <f>'POSF Inventory'!AF28*$D$5*'POSF Zone Def'!$N25</f>
        <v>0</v>
      </c>
      <c r="L36" s="474">
        <f>'POSF Inventory'!AG28*$D$6*'POSF Zone Def'!$N25</f>
        <v>0</v>
      </c>
      <c r="M36" s="474">
        <f>'POSF Inventory'!AH28*$D$5*'POSF Zone Def'!$N25</f>
        <v>1.056220425</v>
      </c>
      <c r="N36" s="485">
        <f>'POSF Inventory'!AI28*$D$6*'POSF Zone Def'!$N25</f>
        <v>1.0587203549999999</v>
      </c>
      <c r="O36" s="529">
        <f>'POSF Inventory'!AJ28*$D$5*'POSF Zone Def'!$AP25</f>
        <v>0</v>
      </c>
      <c r="P36" s="529">
        <f>'POSF Inventory'!AK28*$D$6*'POSF Zone Def'!$AP25</f>
        <v>0</v>
      </c>
      <c r="Q36" s="529">
        <f>'POSF Inventory'!AL28*$D$5*'POSF Zone Def'!$AP25</f>
        <v>0</v>
      </c>
      <c r="R36" s="529">
        <f>'POSF Inventory'!AM28*$D$6*'POSF Zone Def'!$AP25</f>
        <v>0</v>
      </c>
      <c r="S36" s="529">
        <f>'POSF Inventory'!AN28*$D$5*'POSF Zone Def'!$AP25</f>
        <v>0</v>
      </c>
      <c r="T36" s="524">
        <f>'POSF Inventory'!AO28*$D$6*'POSF Zone Def'!$AP25</f>
        <v>0</v>
      </c>
      <c r="U36" s="474">
        <f>'POSF Inventory'!AJ28*$D$5*'POSF Zone Def'!$AQ25</f>
        <v>0</v>
      </c>
      <c r="V36" s="474">
        <f>'POSF Inventory'!AK28*$D$6*'POSF Zone Def'!$AQ25</f>
        <v>0</v>
      </c>
      <c r="W36" s="474">
        <f>'POSF Inventory'!AL28*$D$5*'POSF Zone Def'!$AQ25</f>
        <v>0</v>
      </c>
      <c r="X36" s="474">
        <f>'POSF Inventory'!AM28*$D$6*'POSF Zone Def'!$AQ25</f>
        <v>0</v>
      </c>
      <c r="Y36" s="474">
        <f>'POSF Inventory'!AN28*$D$5*'POSF Zone Def'!$AQ25</f>
        <v>0</v>
      </c>
      <c r="Z36" s="134">
        <f>'POSF Inventory'!AO28*$D$6*'POSF Zone Def'!$AQ25</f>
        <v>0</v>
      </c>
      <c r="AA36" s="529">
        <f>'POSF Inventory'!AV28*'POSF Emiss by Zone'!$D$5*'POSF Zone Def'!$M25</f>
        <v>0</v>
      </c>
      <c r="AB36" s="529">
        <f>'POSF Inventory'!AW28*'POSF Emiss by Zone'!$D$6*'POSF Zone Def'!$M25</f>
        <v>0</v>
      </c>
      <c r="AC36" s="529">
        <f>'POSF Inventory'!AX28*'POSF Emiss by Zone'!$D$5*'POSF Zone Def'!$M25</f>
        <v>0.95059838249999995</v>
      </c>
      <c r="AD36" s="529">
        <f>'POSF Inventory'!AY28*'POSF Emiss by Zone'!$D$6*'POSF Zone Def'!$M25</f>
        <v>0.95284831950000004</v>
      </c>
      <c r="AE36" s="529">
        <f>'POSF Inventory'!AZ28*'POSF Emiss by Zone'!$D$5*'POSF Zone Def'!$M25</f>
        <v>1.760367375</v>
      </c>
      <c r="AF36" s="524">
        <f>'POSF Inventory'!BA28*'POSF Emiss by Zone'!$D$6*'POSF Zone Def'!$M25</f>
        <v>1.7645339249999998</v>
      </c>
      <c r="AG36" s="474">
        <f>'POSF Inventory'!AV28*'POSF Emiss by Zone'!$D$5*'POSF Zone Def'!$N25</f>
        <v>0</v>
      </c>
      <c r="AH36" s="474">
        <f>'POSF Inventory'!AW28*'POSF Emiss by Zone'!$D$6*'POSF Zone Def'!$N25</f>
        <v>0</v>
      </c>
      <c r="AI36" s="474">
        <f>'POSF Inventory'!AX28*'POSF Emiss by Zone'!$D$5*'POSF Zone Def'!$N25</f>
        <v>0.95059838249999995</v>
      </c>
      <c r="AJ36" s="474">
        <f>'POSF Inventory'!AY28*'POSF Emiss by Zone'!$D$6*'POSF Zone Def'!$N25</f>
        <v>0.95284831950000004</v>
      </c>
      <c r="AK36" s="474">
        <f>'POSF Inventory'!AZ28*'POSF Emiss by Zone'!$D$5*'POSF Zone Def'!$N25</f>
        <v>1.760367375</v>
      </c>
      <c r="AL36" s="549">
        <f>'POSF Inventory'!BA28*'POSF Emiss by Zone'!$D$6*'POSF Zone Def'!$N25</f>
        <v>1.7645339249999998</v>
      </c>
      <c r="AM36" s="529">
        <f>'POSF Inventory'!BB28*'POSF Emiss by Zone'!$D$5*'POSF Zone Def'!$AP25</f>
        <v>0</v>
      </c>
      <c r="AN36" s="529">
        <f>'POSF Inventory'!BC28*'POSF Emiss by Zone'!$D$6*'POSF Zone Def'!$AP25</f>
        <v>0</v>
      </c>
      <c r="AO36" s="529">
        <f>'POSF Inventory'!BD28*'POSF Emiss by Zone'!$D$5*'POSF Zone Def'!$AP25</f>
        <v>0</v>
      </c>
      <c r="AP36" s="529">
        <f>'POSF Inventory'!BE28*'POSF Emiss by Zone'!$D$6*'POSF Zone Def'!$AP25</f>
        <v>0</v>
      </c>
      <c r="AQ36" s="529">
        <f>'POSF Inventory'!BF28*'POSF Emiss by Zone'!$D$5*'POSF Zone Def'!$AP25</f>
        <v>0</v>
      </c>
      <c r="AR36" s="524">
        <f>'POSF Inventory'!BG28*'POSF Emiss by Zone'!$D$6*'POSF Zone Def'!$AP25</f>
        <v>0</v>
      </c>
      <c r="AS36" s="474">
        <f>'POSF Inventory'!BB28*'POSF Emiss by Zone'!$D$5*'POSF Zone Def'!$AQ25</f>
        <v>0</v>
      </c>
      <c r="AT36" s="474">
        <f>'POSF Inventory'!BC28*'POSF Emiss by Zone'!$D$6*'POSF Zone Def'!$AQ25</f>
        <v>0</v>
      </c>
      <c r="AU36" s="474">
        <f>'POSF Inventory'!BD28*'POSF Emiss by Zone'!$D$5*'POSF Zone Def'!$AQ25</f>
        <v>0</v>
      </c>
      <c r="AV36" s="474">
        <f>'POSF Inventory'!BE28*'POSF Emiss by Zone'!$D$6*'POSF Zone Def'!$AQ25</f>
        <v>0</v>
      </c>
      <c r="AW36" s="474">
        <f>'POSF Inventory'!BF28*'POSF Emiss by Zone'!$D$5*'POSF Zone Def'!$AQ25</f>
        <v>0</v>
      </c>
      <c r="AX36" s="134">
        <f>'POSF Inventory'!BG28*'POSF Emiss by Zone'!$D$6*'POSF Zone Def'!$AQ25</f>
        <v>0</v>
      </c>
      <c r="AY36" s="529">
        <f>'POSF Inventory'!EA28*'POSF Emiss by Zone'!$D$5*'POSF Zone Def'!$Y25</f>
        <v>0</v>
      </c>
      <c r="AZ36" s="529">
        <f>'POSF Inventory'!EB28*'POSF Emiss by Zone'!$D$6*'POSF Zone Def'!$Y25</f>
        <v>0</v>
      </c>
      <c r="BA36" s="529">
        <f>'POSF Inventory'!EC28*'POSF Emiss by Zone'!$D$5*'POSF Zone Def'!$Y25</f>
        <v>1.438894328625</v>
      </c>
      <c r="BB36" s="529">
        <f>'POSF Inventory'!ED28*'POSF Emiss by Zone'!$D$6*'POSF Zone Def'!$Y25</f>
        <v>14.422999956749999</v>
      </c>
      <c r="BC36" s="529">
        <f>'POSF Inventory'!EE28*'POSF Emiss by Zone'!$D$5*'POSF Zone Def'!$Y25</f>
        <v>0</v>
      </c>
      <c r="BD36" s="524">
        <f>'POSF Inventory'!EF28*'POSF Emiss by Zone'!$D$6*'POSF Zone Def'!$Y25</f>
        <v>0</v>
      </c>
      <c r="BE36" s="474">
        <f>'POSF Inventory'!EA28*'POSF Emiss by Zone'!$D$5*'POSF Zone Def'!$Z25</f>
        <v>0</v>
      </c>
      <c r="BF36" s="474">
        <f>'POSF Inventory'!EB28*'POSF Emiss by Zone'!$D$6*'POSF Zone Def'!$Z25</f>
        <v>0</v>
      </c>
      <c r="BG36" s="474">
        <f>'POSF Inventory'!EC28*'POSF Emiss by Zone'!$D$5*'POSF Zone Def'!$Z25</f>
        <v>0.15987714762500002</v>
      </c>
      <c r="BH36" s="474">
        <f>'POSF Inventory'!ED28*'POSF Emiss by Zone'!$D$6*'POSF Zone Def'!$Z25</f>
        <v>1.60255555075</v>
      </c>
      <c r="BI36" s="474">
        <f>'POSF Inventory'!EE28*'POSF Emiss by Zone'!$D$5*'POSF Zone Def'!$Z25</f>
        <v>0</v>
      </c>
      <c r="BJ36" s="549">
        <f>'POSF Inventory'!EF28*'POSF Emiss by Zone'!$D$6*'POSF Zone Def'!$Z25</f>
        <v>0</v>
      </c>
      <c r="BK36" s="705">
        <f>'POSF Inventory'!$EA28*'POSF Emiss by Zone'!$D$5*'POSF Zone Def'!$AC25</f>
        <v>0</v>
      </c>
      <c r="BL36" s="705">
        <f>'POSF Inventory'!$EB28*'POSF Emiss by Zone'!$D$6*'POSF Zone Def'!$AC25</f>
        <v>0</v>
      </c>
      <c r="BM36" s="705">
        <f>'POSF Inventory'!$EC28*'POSF Emiss by Zone'!$D$5*'POSF Zone Def'!$AC25</f>
        <v>0</v>
      </c>
      <c r="BN36" s="705">
        <f>'POSF Inventory'!$ED28*'POSF Emiss by Zone'!$D$6*'POSF Zone Def'!$AC25</f>
        <v>0</v>
      </c>
      <c r="BO36" s="705">
        <f>'POSF Inventory'!$EE28*'POSF Emiss by Zone'!$D$5*'POSF Zone Def'!$AC25</f>
        <v>0</v>
      </c>
      <c r="BP36" s="708">
        <f>'POSF Inventory'!$EF28*'POSF Emiss by Zone'!$D$6*'POSF Zone Def'!$AC25</f>
        <v>0</v>
      </c>
      <c r="BQ36" s="529">
        <f>'POSF Inventory'!EG28*'POSF Emiss by Zone'!$D$5*'POSF Zone Def'!$BB25</f>
        <v>0</v>
      </c>
      <c r="BR36" s="529">
        <f>'POSF Inventory'!EH28*'POSF Emiss by Zone'!$D$6*'POSF Zone Def'!$BB25</f>
        <v>0</v>
      </c>
      <c r="BS36" s="529">
        <f>'POSF Inventory'!EI28*'POSF Emiss by Zone'!$D$5*'POSF Zone Def'!$BB25</f>
        <v>0</v>
      </c>
      <c r="BT36" s="529">
        <f>'POSF Inventory'!EJ28*'POSF Emiss by Zone'!$D$6*'POSF Zone Def'!$BB25</f>
        <v>0</v>
      </c>
      <c r="BU36" s="529">
        <f>'POSF Inventory'!EK28*'POSF Emiss by Zone'!$D$5*'POSF Zone Def'!$BB25</f>
        <v>0</v>
      </c>
      <c r="BV36" s="524">
        <f>'POSF Inventory'!EL28*'POSF Emiss by Zone'!$D$6*'POSF Zone Def'!$BB25</f>
        <v>0</v>
      </c>
      <c r="BW36" s="474">
        <f>'POSF Inventory'!EG28*'POSF Emiss by Zone'!$D$5*'POSF Zone Def'!$BC25</f>
        <v>0</v>
      </c>
      <c r="BX36" s="474">
        <f>'POSF Inventory'!EH28*'POSF Emiss by Zone'!$D$6*'POSF Zone Def'!$BC25</f>
        <v>0</v>
      </c>
      <c r="BY36" s="474">
        <f>'POSF Inventory'!EI28*'POSF Emiss by Zone'!$D$5*'POSF Zone Def'!$BC25</f>
        <v>0</v>
      </c>
      <c r="BZ36" s="474">
        <f>'POSF Inventory'!EJ28*'POSF Emiss by Zone'!$D$6*'POSF Zone Def'!$BC25</f>
        <v>0</v>
      </c>
      <c r="CA36" s="474">
        <f>'POSF Inventory'!EK28*'POSF Emiss by Zone'!$D$5*'POSF Zone Def'!$BC25</f>
        <v>0</v>
      </c>
      <c r="CB36" s="134">
        <f>'POSF Inventory'!EL28*'POSF Emiss by Zone'!$D$6*'POSF Zone Def'!$BC25</f>
        <v>0</v>
      </c>
      <c r="CC36" s="529">
        <f>'POSF Inventory'!GC28*'POSF Emiss by Zone'!$D$7*'POSF Zone Def'!$M25</f>
        <v>6.6664799999999998E-3</v>
      </c>
      <c r="CD36" s="529">
        <f>'POSF Inventory'!GD28*'POSF Emiss by Zone'!$D$9*'POSF Zone Def'!$M25</f>
        <v>8.2414359E-3</v>
      </c>
      <c r="CE36" s="529">
        <f>'POSF Inventory'!GE28*'POSF Emiss by Zone'!$D$7*'POSF Zone Def'!$M25</f>
        <v>9.9997199999999994E-2</v>
      </c>
      <c r="CF36" s="529">
        <f>'POSF Inventory'!GF28*'POSF Emiss by Zone'!$D$9*'POSF Zone Def'!$M25</f>
        <v>0.12362153849999999</v>
      </c>
      <c r="CG36" s="529">
        <f>'POSF Inventory'!GG28*'POSF Emiss by Zone'!$D$7*'POSF Zone Def'!$M25</f>
        <v>0.36665639999999999</v>
      </c>
      <c r="CH36" s="524">
        <f>'POSF Inventory'!GH28*'POSF Emiss by Zone'!$D$9*'POSF Zone Def'!$M25</f>
        <v>1.8131158979999999</v>
      </c>
      <c r="CI36" s="474">
        <f>'POSF Inventory'!GC28*'POSF Emiss by Zone'!$D$7*'POSF Zone Def'!$N25</f>
        <v>6.6664799999999998E-3</v>
      </c>
      <c r="CJ36" s="474">
        <f>'POSF Inventory'!GD28*'POSF Emiss by Zone'!$D$9*'POSF Zone Def'!$N25</f>
        <v>8.2414359E-3</v>
      </c>
      <c r="CK36" s="474">
        <f>'POSF Inventory'!GE28*'POSF Emiss by Zone'!$D$7*'POSF Zone Def'!$N25</f>
        <v>9.9997199999999994E-2</v>
      </c>
      <c r="CL36" s="474">
        <f>'POSF Inventory'!GF28*'POSF Emiss by Zone'!$D$9*'POSF Zone Def'!$N25</f>
        <v>0.12362153849999999</v>
      </c>
      <c r="CM36" s="474">
        <f>'POSF Inventory'!GG28*'POSF Emiss by Zone'!$D$7*'POSF Zone Def'!$N25</f>
        <v>0.36665639999999999</v>
      </c>
      <c r="CN36" s="485">
        <f>'POSF Inventory'!GH28*'POSF Emiss by Zone'!$D$9*'POSF Zone Def'!$N25</f>
        <v>1.8131158979999999</v>
      </c>
      <c r="CO36" s="529">
        <f>'POSF Inventory'!GI28*'POSF Emiss by Zone'!$D$7*'POSF Zone Def'!$AP25</f>
        <v>0</v>
      </c>
      <c r="CP36" s="529">
        <f>'POSF Inventory'!GJ28*'POSF Emiss by Zone'!$D$9*'POSF Zone Def'!$AP25</f>
        <v>0</v>
      </c>
      <c r="CQ36" s="529">
        <f>'POSF Inventory'!GK28*'POSF Emiss by Zone'!$D$7*'POSF Zone Def'!$AP25</f>
        <v>0</v>
      </c>
      <c r="CR36" s="529">
        <f>'POSF Inventory'!GL28*'POSF Emiss by Zone'!$D$9*'POSF Zone Def'!$AP25</f>
        <v>0</v>
      </c>
      <c r="CS36" s="529">
        <f>'POSF Inventory'!GM28*'POSF Emiss by Zone'!$D$7*'POSF Zone Def'!$AP25</f>
        <v>0</v>
      </c>
      <c r="CT36" s="524">
        <f>'POSF Inventory'!GN28*'POSF Emiss by Zone'!$D$9*'POSF Zone Def'!$AP25</f>
        <v>0</v>
      </c>
      <c r="CU36" s="474">
        <f>'POSF Inventory'!GI28*'POSF Emiss by Zone'!$D$7*'POSF Zone Def'!$AQ25</f>
        <v>0</v>
      </c>
      <c r="CV36" s="474">
        <f>'POSF Inventory'!GJ28*'POSF Emiss by Zone'!$D$9*'POSF Zone Def'!$AQ25</f>
        <v>0</v>
      </c>
      <c r="CW36" s="474">
        <f>'POSF Inventory'!GK28*'POSF Emiss by Zone'!$D$7*'POSF Zone Def'!$AQ25</f>
        <v>0</v>
      </c>
      <c r="CX36" s="474">
        <f>'POSF Inventory'!GL28*'POSF Emiss by Zone'!$D$9*'POSF Zone Def'!$AQ25</f>
        <v>0</v>
      </c>
      <c r="CY36" s="474">
        <f>'POSF Inventory'!GM28*'POSF Emiss by Zone'!$D$7*'POSF Zone Def'!$AQ25</f>
        <v>0</v>
      </c>
      <c r="CZ36" s="134">
        <f>'POSF Inventory'!GN28*'POSF Emiss by Zone'!$D$9*'POSF Zone Def'!$AQ25</f>
        <v>0</v>
      </c>
      <c r="DA36" s="529">
        <f>SUM('POSF Inventory'!GQ28,'POSF Inventory'!GS28)*'POSF Emiss by Zone'!$D$7*'POSF Zone Def'!$Y25</f>
        <v>0.87509253619984517</v>
      </c>
      <c r="DB36" s="529">
        <f>SUM('POSF Inventory'!GR28,'POSF Inventory'!GT28)*'POSF Emiss by Zone'!$D$9*'POSF Zone Def'!$Y25</f>
        <v>33.889140369731656</v>
      </c>
      <c r="DC36" s="529"/>
      <c r="DD36" s="529"/>
      <c r="DE36" s="529">
        <f>'POSF Inventory'!GU28*'POSF Emiss by Zone'!$D$7*'POSF Zone Def'!$Y25</f>
        <v>0</v>
      </c>
      <c r="DF36" s="524">
        <f>'POSF Inventory'!GV28*'POSF Emiss by Zone'!$D$9*'POSF Zone Def'!$Y25</f>
        <v>0</v>
      </c>
      <c r="DG36" s="474">
        <f>SUM('POSF Inventory'!GQ28,'POSF Inventory'!GS28)*'POSF Emiss by Zone'!$D$7*'POSF Zone Def'!$Z25</f>
        <v>9.7232504022205013E-2</v>
      </c>
      <c r="DH36" s="474">
        <f>SUM('POSF Inventory'!GR28,'POSF Inventory'!GT28)*'POSF Emiss by Zone'!$D$9*'POSF Zone Def'!$Z25</f>
        <v>3.7654600410812948</v>
      </c>
      <c r="DI36" s="474"/>
      <c r="DJ36" s="474"/>
      <c r="DK36" s="474">
        <f>'POSF Inventory'!GU28*'POSF Emiss by Zone'!$D$7*'POSF Zone Def'!$Z25</f>
        <v>0</v>
      </c>
      <c r="DL36" s="485">
        <f>'POSF Inventory'!GV28*'POSF Emiss by Zone'!$D$9*'POSF Zone Def'!$Z25</f>
        <v>0</v>
      </c>
      <c r="DM36" s="705">
        <f>SUM('POSF Inventory'!$GQ28,'POSF Inventory'!$GS28)*'POSF Emiss by Zone'!$D$7*'POSF Zone Def'!$AC25</f>
        <v>0</v>
      </c>
      <c r="DN36" s="705">
        <f>SUM('POSF Inventory'!$GR28,'POSF Inventory'!$GT28)*'POSF Emiss by Zone'!$D$9*'POSF Zone Def'!$AC25</f>
        <v>0</v>
      </c>
      <c r="DO36" s="705"/>
      <c r="DP36" s="705"/>
      <c r="DQ36" s="705">
        <f>'POSF Inventory'!$GU28*'POSF Emiss by Zone'!$D$7*'POSF Zone Def'!$AC25</f>
        <v>0</v>
      </c>
      <c r="DR36" s="708">
        <f>'POSF Inventory'!$GV28*'POSF Emiss by Zone'!$D$9*'POSF Zone Def'!$AC25</f>
        <v>0</v>
      </c>
      <c r="DS36" s="529">
        <f>SUM('POSF Inventory'!GW28,'POSF Inventory'!GY28)*$D$7*'POSF Zone Def'!$BB25</f>
        <v>0</v>
      </c>
      <c r="DT36" s="529">
        <f>SUM('POSF Inventory'!GX28,'POSF Inventory'!GZ28)*$D$9*'POSF Zone Def'!$BB25</f>
        <v>0</v>
      </c>
      <c r="DU36" s="529"/>
      <c r="DV36" s="529"/>
      <c r="DW36" s="529">
        <f>'POSF Inventory'!HA28*'POSF Emiss by Zone'!$D$7*'POSF Zone Def'!$BB25</f>
        <v>0</v>
      </c>
      <c r="DX36" s="524">
        <f>'POSF Inventory'!HB28*'POSF Emiss by Zone'!$D$9*'POSF Zone Def'!$BB25</f>
        <v>0</v>
      </c>
      <c r="DY36" s="474">
        <f>SUM('POSF Inventory'!GW28,'POSF Inventory'!GY28)*$D$7*'POSF Zone Def'!$BC25</f>
        <v>0</v>
      </c>
      <c r="DZ36" s="474">
        <f>SUM('POSF Inventory'!GX28,'POSF Inventory'!GZ28)*$D$9*'POSF Zone Def'!$BC25</f>
        <v>0</v>
      </c>
      <c r="EA36" s="474"/>
      <c r="EB36" s="474"/>
      <c r="EC36" s="474">
        <f>'POSF Inventory'!HA28*'POSF Emiss by Zone'!$D$7*'POSF Zone Def'!$BC25</f>
        <v>0</v>
      </c>
      <c r="ED36" s="134">
        <f>'POSF Inventory'!HB28*'POSF Emiss by Zone'!$D$9*'POSF Zone Def'!$BC25</f>
        <v>0</v>
      </c>
      <c r="EE36" s="235">
        <f>'POSF Inventory'!$CF28*'POSF Emiss by Zone'!$D$7*'POSF Zone Def'!$CE25</f>
        <v>0</v>
      </c>
      <c r="EF36" s="235">
        <f>'POSF Inventory'!$CG28*'POSF Emiss by Zone'!$D$9*'POSF Zone Def'!$CE25</f>
        <v>0</v>
      </c>
      <c r="EG36" s="235">
        <f>'POSF Inventory'!$CH28*'POSF Emiss by Zone'!$D$7*'POSF Zone Def'!$CE25</f>
        <v>0</v>
      </c>
      <c r="EH36" s="235">
        <f>'POSF Inventory'!$CI28*'POSF Emiss by Zone'!$D$9*'POSF Zone Def'!$CE25</f>
        <v>0</v>
      </c>
      <c r="EI36" s="235">
        <f>'POSF Inventory'!$CJ28*'POSF Emiss by Zone'!$D$7*'POSF Zone Def'!$CE25</f>
        <v>0</v>
      </c>
      <c r="EJ36" s="580">
        <f>'POSF Inventory'!$CK28*'POSF Emiss by Zone'!$D$9*'POSF Zone Def'!$CE25</f>
        <v>0</v>
      </c>
      <c r="EK36" s="235">
        <f>'POSF Inventory'!$CF28*'POSF Emiss by Zone'!$D$7*'POSF Zone Def'!$CF25</f>
        <v>0</v>
      </c>
      <c r="EL36" s="235">
        <f>'POSF Inventory'!$CG28*'POSF Emiss by Zone'!$D$9*'POSF Zone Def'!$CF25</f>
        <v>0</v>
      </c>
      <c r="EM36" s="235">
        <f>'POSF Inventory'!$CH28*'POSF Emiss by Zone'!$D$7*'POSF Zone Def'!$CF25</f>
        <v>0</v>
      </c>
      <c r="EN36" s="235">
        <f>'POSF Inventory'!$CI28*'POSF Emiss by Zone'!$D$9*'POSF Zone Def'!$CF25</f>
        <v>0</v>
      </c>
      <c r="EO36" s="235">
        <f>'POSF Inventory'!$CJ28*'POSF Emiss by Zone'!$D$7*'POSF Zone Def'!$CF25</f>
        <v>0</v>
      </c>
      <c r="EP36" s="580">
        <f>'POSF Inventory'!$CK28*'POSF Emiss by Zone'!$D$9*'POSF Zone Def'!$CF25</f>
        <v>0</v>
      </c>
      <c r="EQ36" s="235">
        <f>'POSF Inventory'!$CF28*'POSF Emiss by Zone'!$D$7*'POSF Zone Def'!$CG25</f>
        <v>0</v>
      </c>
      <c r="ER36" s="235">
        <f>'POSF Inventory'!$CG28*'POSF Emiss by Zone'!$D$9*'POSF Zone Def'!$CG25</f>
        <v>0</v>
      </c>
      <c r="ES36" s="235">
        <f>'POSF Inventory'!$CH28*'POSF Emiss by Zone'!$D$7*'POSF Zone Def'!$CG25</f>
        <v>0</v>
      </c>
      <c r="ET36" s="235">
        <f>'POSF Inventory'!$CI28*'POSF Emiss by Zone'!$D$9*'POSF Zone Def'!$CG25</f>
        <v>0</v>
      </c>
      <c r="EU36" s="235">
        <f>'POSF Inventory'!$CJ28*'POSF Emiss by Zone'!$D$7*'POSF Zone Def'!$CG25</f>
        <v>0</v>
      </c>
      <c r="EV36" s="580">
        <f>'POSF Inventory'!$CK28*'POSF Emiss by Zone'!$D$9*'POSF Zone Def'!$CG25</f>
        <v>0</v>
      </c>
      <c r="EW36" s="235">
        <f>'POSF Inventory'!$CF28*'POSF Emiss by Zone'!$D$7*'POSF Zone Def'!$CH25</f>
        <v>0</v>
      </c>
      <c r="EX36" s="235">
        <f>'POSF Inventory'!$CG28*'POSF Emiss by Zone'!$D$9*'POSF Zone Def'!$CH25</f>
        <v>0</v>
      </c>
      <c r="EY36" s="235">
        <f>'POSF Inventory'!$CH28*'POSF Emiss by Zone'!$D$7*'POSF Zone Def'!$CH25</f>
        <v>0</v>
      </c>
      <c r="EZ36" s="235">
        <f>'POSF Inventory'!$CI28*'POSF Emiss by Zone'!$D$9*'POSF Zone Def'!$CH25</f>
        <v>0</v>
      </c>
      <c r="FA36" s="235">
        <f>'POSF Inventory'!$CJ28*'POSF Emiss by Zone'!$D$7*'POSF Zone Def'!$CH25</f>
        <v>0</v>
      </c>
      <c r="FB36" s="580">
        <f>'POSF Inventory'!$CK28*'POSF Emiss by Zone'!$D$9*'POSF Zone Def'!$CH25</f>
        <v>0</v>
      </c>
      <c r="FC36" s="235">
        <f>'POSF Inventory'!$CF28*'POSF Emiss by Zone'!$D$7*'POSF Zone Def'!$CI25</f>
        <v>0</v>
      </c>
      <c r="FD36" s="235">
        <f>'POSF Inventory'!$CG28*'POSF Emiss by Zone'!$D$9*'POSF Zone Def'!$CI25</f>
        <v>0</v>
      </c>
      <c r="FE36" s="235">
        <f>'POSF Inventory'!$CH28*'POSF Emiss by Zone'!$D$7*'POSF Zone Def'!$CI25</f>
        <v>0</v>
      </c>
      <c r="FF36" s="235">
        <f>'POSF Inventory'!$CI28*'POSF Emiss by Zone'!$D$9*'POSF Zone Def'!$CI25</f>
        <v>0</v>
      </c>
      <c r="FG36" s="235">
        <f>'POSF Inventory'!$CJ28*'POSF Emiss by Zone'!$D$7*'POSF Zone Def'!$CI25</f>
        <v>0</v>
      </c>
      <c r="FH36" s="577">
        <f>'POSF Inventory'!$CK28*'POSF Emiss by Zone'!$D$9*'POSF Zone Def'!$CI25</f>
        <v>0</v>
      </c>
      <c r="FI36" s="595"/>
      <c r="FJ36" s="595"/>
      <c r="FM36" s="592">
        <v>19</v>
      </c>
      <c r="FN36" s="592">
        <f t="shared" si="0"/>
        <v>1973</v>
      </c>
      <c r="FO36" s="587">
        <v>16</v>
      </c>
      <c r="FP36" s="551">
        <f t="shared" si="20"/>
        <v>1.4258975737499999</v>
      </c>
      <c r="FQ36" s="529">
        <f t="shared" si="21"/>
        <v>1.4292724792499998</v>
      </c>
      <c r="FR36" s="529">
        <f t="shared" si="22"/>
        <v>0</v>
      </c>
      <c r="FS36" s="529">
        <f t="shared" si="23"/>
        <v>0</v>
      </c>
      <c r="FT36" s="529">
        <f t="shared" si="24"/>
        <v>1.056220425</v>
      </c>
      <c r="FU36" s="524">
        <f t="shared" si="25"/>
        <v>1.0587203549999999</v>
      </c>
      <c r="FV36" s="474">
        <f t="shared" si="26"/>
        <v>1.4258975737499999</v>
      </c>
      <c r="FW36" s="474">
        <f t="shared" si="27"/>
        <v>1.4292724792499998</v>
      </c>
      <c r="FX36" s="474">
        <f t="shared" si="28"/>
        <v>0</v>
      </c>
      <c r="FY36" s="474">
        <f t="shared" si="29"/>
        <v>0</v>
      </c>
      <c r="FZ36" s="474">
        <f t="shared" si="30"/>
        <v>1.056220425</v>
      </c>
      <c r="GA36" s="134">
        <f t="shared" si="31"/>
        <v>1.0587203549999999</v>
      </c>
      <c r="GB36" s="529">
        <f t="shared" si="32"/>
        <v>0</v>
      </c>
      <c r="GC36" s="529">
        <f t="shared" si="33"/>
        <v>0</v>
      </c>
      <c r="GD36" s="529">
        <f t="shared" si="34"/>
        <v>2.3799728198456176</v>
      </c>
      <c r="GE36" s="529">
        <f t="shared" si="35"/>
        <v>15.314589916583664</v>
      </c>
      <c r="GF36" s="529">
        <f t="shared" si="36"/>
        <v>1.7533539591633467</v>
      </c>
      <c r="GG36" s="524">
        <f t="shared" si="37"/>
        <v>1.7575039093625497</v>
      </c>
      <c r="GH36" s="474">
        <f t="shared" si="38"/>
        <v>0</v>
      </c>
      <c r="GI36" s="474">
        <f t="shared" si="39"/>
        <v>0</v>
      </c>
      <c r="GJ36" s="474">
        <f t="shared" si="40"/>
        <v>1.1060513248256971</v>
      </c>
      <c r="GK36" s="474">
        <f t="shared" si="41"/>
        <v>2.5452229783366533</v>
      </c>
      <c r="GL36" s="474">
        <f t="shared" si="42"/>
        <v>1.7533539591633467</v>
      </c>
      <c r="GM36" s="705">
        <f t="shared" si="43"/>
        <v>1.7575039093625497</v>
      </c>
      <c r="GN36" s="705">
        <f t="shared" si="44"/>
        <v>0</v>
      </c>
      <c r="GO36" s="705">
        <f t="shared" si="45"/>
        <v>0</v>
      </c>
      <c r="GP36" s="705">
        <f t="shared" si="46"/>
        <v>0</v>
      </c>
      <c r="GQ36" s="705">
        <f t="shared" si="47"/>
        <v>0</v>
      </c>
      <c r="GR36" s="705">
        <f t="shared" si="48"/>
        <v>0</v>
      </c>
      <c r="GS36" s="134">
        <f t="shared" si="49"/>
        <v>0</v>
      </c>
      <c r="GT36" s="529">
        <f t="shared" si="50"/>
        <v>1.8267517467088424E-2</v>
      </c>
      <c r="GU36" s="529">
        <f t="shared" si="51"/>
        <v>0.70225651549515788</v>
      </c>
      <c r="GV36" s="529">
        <f t="shared" si="52"/>
        <v>2.0716551394422311E-3</v>
      </c>
      <c r="GW36" s="529">
        <f t="shared" si="53"/>
        <v>2.561083666135458E-3</v>
      </c>
      <c r="GX36" s="529">
        <f t="shared" si="54"/>
        <v>7.5960688446215143E-3</v>
      </c>
      <c r="GY36" s="524">
        <f t="shared" si="55"/>
        <v>3.7562560436653382E-2</v>
      </c>
      <c r="GZ36" s="474">
        <f t="shared" si="56"/>
        <v>2.1524889120138092E-3</v>
      </c>
      <c r="HA36" s="474">
        <f t="shared" si="57"/>
        <v>7.8180269642640368E-2</v>
      </c>
      <c r="HB36" s="474">
        <f t="shared" si="58"/>
        <v>2.0716551394422311E-3</v>
      </c>
      <c r="HC36" s="474">
        <f t="shared" si="59"/>
        <v>2.561083666135458E-3</v>
      </c>
      <c r="HD36" s="474">
        <f t="shared" si="60"/>
        <v>7.5960688446215143E-3</v>
      </c>
      <c r="HE36" s="549">
        <f t="shared" si="61"/>
        <v>3.7562560436653382E-2</v>
      </c>
      <c r="HF36" s="235">
        <f t="shared" si="62"/>
        <v>0</v>
      </c>
      <c r="HG36" s="235">
        <f t="shared" si="63"/>
        <v>0</v>
      </c>
      <c r="HH36" s="235">
        <f t="shared" si="64"/>
        <v>0</v>
      </c>
      <c r="HI36" s="235">
        <f t="shared" si="65"/>
        <v>0</v>
      </c>
      <c r="HJ36" s="235">
        <f t="shared" si="66"/>
        <v>0</v>
      </c>
      <c r="HK36" s="580">
        <f t="shared" si="67"/>
        <v>0</v>
      </c>
      <c r="HL36" s="235">
        <f t="shared" si="68"/>
        <v>0</v>
      </c>
      <c r="HM36" s="235">
        <f t="shared" si="69"/>
        <v>0</v>
      </c>
      <c r="HN36" s="235">
        <f t="shared" si="70"/>
        <v>0</v>
      </c>
      <c r="HO36" s="235">
        <f t="shared" si="71"/>
        <v>0</v>
      </c>
      <c r="HP36" s="235">
        <f t="shared" si="72"/>
        <v>0</v>
      </c>
      <c r="HQ36" s="580">
        <f t="shared" si="73"/>
        <v>0</v>
      </c>
      <c r="HR36" s="235">
        <f t="shared" si="74"/>
        <v>0</v>
      </c>
      <c r="HS36" s="235">
        <f t="shared" si="75"/>
        <v>0</v>
      </c>
      <c r="HT36" s="235">
        <f t="shared" si="76"/>
        <v>0</v>
      </c>
      <c r="HU36" s="235">
        <f t="shared" si="77"/>
        <v>0</v>
      </c>
      <c r="HV36" s="235">
        <f t="shared" si="78"/>
        <v>0</v>
      </c>
      <c r="HW36" s="577">
        <f t="shared" si="79"/>
        <v>0</v>
      </c>
      <c r="HX36" s="235">
        <f t="shared" si="80"/>
        <v>0.97084829369318404</v>
      </c>
      <c r="HY36" s="235">
        <f t="shared" si="81"/>
        <v>37.32223281196957</v>
      </c>
      <c r="HZ36" s="235">
        <f t="shared" si="82"/>
        <v>0.11010050275697209</v>
      </c>
      <c r="IA36" s="235">
        <f t="shared" si="83"/>
        <v>0.13611174653330674</v>
      </c>
      <c r="IB36" s="235">
        <f t="shared" si="84"/>
        <v>0.40370184344223098</v>
      </c>
      <c r="IC36" s="235">
        <f t="shared" si="85"/>
        <v>1.9963056158218322</v>
      </c>
      <c r="ID36" s="235">
        <f t="shared" si="86"/>
        <v>0.1143965068700262</v>
      </c>
      <c r="IE36" s="235">
        <f t="shared" si="87"/>
        <v>4.1549806381615566</v>
      </c>
      <c r="IF36" s="235">
        <f t="shared" si="88"/>
        <v>0.11010050275697209</v>
      </c>
      <c r="IG36" s="235">
        <f t="shared" si="89"/>
        <v>0.13611174653330674</v>
      </c>
      <c r="IH36" s="235">
        <f t="shared" si="90"/>
        <v>0.40370184344223098</v>
      </c>
      <c r="II36" s="235">
        <f t="shared" si="91"/>
        <v>1.9963056158218322</v>
      </c>
      <c r="IJ36" s="235">
        <f t="shared" si="92"/>
        <v>0</v>
      </c>
      <c r="IK36" s="235">
        <f t="shared" si="93"/>
        <v>0</v>
      </c>
      <c r="IL36" s="235">
        <f t="shared" si="94"/>
        <v>0</v>
      </c>
      <c r="IM36" s="235">
        <f t="shared" si="95"/>
        <v>0</v>
      </c>
      <c r="IN36" s="235">
        <f t="shared" si="96"/>
        <v>0</v>
      </c>
      <c r="IO36" s="235">
        <f t="shared" si="97"/>
        <v>0</v>
      </c>
    </row>
    <row r="37" spans="1:249" ht="18" x14ac:dyDescent="0.25">
      <c r="A37" s="18">
        <v>1974</v>
      </c>
      <c r="B37" s="564"/>
      <c r="C37" s="529">
        <f>'POSF Inventory'!AD29*$D$5*'POSF Zone Def'!$M26</f>
        <v>1.5169123124999999</v>
      </c>
      <c r="D37" s="529">
        <f>'POSF Inventory'!AE29*$D$6*'POSF Zone Def'!$M26</f>
        <v>1.5205026374999999</v>
      </c>
      <c r="E37" s="529">
        <f>'POSF Inventory'!AF29*$D$5*'POSF Zone Def'!$M26</f>
        <v>0</v>
      </c>
      <c r="F37" s="529">
        <f>'POSF Inventory'!AG29*$D$6*'POSF Zone Def'!$M26</f>
        <v>0</v>
      </c>
      <c r="G37" s="529">
        <f>'POSF Inventory'!AH29*$D$5*'POSF Zone Def'!$M26</f>
        <v>1.12363875</v>
      </c>
      <c r="H37" s="524">
        <f>'POSF Inventory'!AI29*$D$6*'POSF Zone Def'!$M26</f>
        <v>1.1262982500000001</v>
      </c>
      <c r="I37" s="474">
        <f>'POSF Inventory'!AD29*$D$5*'POSF Zone Def'!$N26</f>
        <v>1.5169123124999999</v>
      </c>
      <c r="J37" s="474">
        <f>'POSF Inventory'!AE29*$D$6*'POSF Zone Def'!$N26</f>
        <v>1.5205026374999999</v>
      </c>
      <c r="K37" s="474">
        <f>'POSF Inventory'!AF29*$D$5*'POSF Zone Def'!$N26</f>
        <v>0</v>
      </c>
      <c r="L37" s="474">
        <f>'POSF Inventory'!AG29*$D$6*'POSF Zone Def'!$N26</f>
        <v>0</v>
      </c>
      <c r="M37" s="474">
        <f>'POSF Inventory'!AH29*$D$5*'POSF Zone Def'!$N26</f>
        <v>1.12363875</v>
      </c>
      <c r="N37" s="485">
        <f>'POSF Inventory'!AI29*$D$6*'POSF Zone Def'!$N26</f>
        <v>1.1262982500000001</v>
      </c>
      <c r="O37" s="529">
        <f>'POSF Inventory'!AJ29*$D$5*'POSF Zone Def'!$AP26</f>
        <v>0</v>
      </c>
      <c r="P37" s="529">
        <f>'POSF Inventory'!AK29*$D$6*'POSF Zone Def'!$AP26</f>
        <v>0</v>
      </c>
      <c r="Q37" s="529">
        <f>'POSF Inventory'!AL29*$D$5*'POSF Zone Def'!$AP26</f>
        <v>0</v>
      </c>
      <c r="R37" s="529">
        <f>'POSF Inventory'!AM29*$D$6*'POSF Zone Def'!$AP26</f>
        <v>0</v>
      </c>
      <c r="S37" s="529">
        <f>'POSF Inventory'!AN29*$D$5*'POSF Zone Def'!$AP26</f>
        <v>0</v>
      </c>
      <c r="T37" s="524">
        <f>'POSF Inventory'!AO29*$D$6*'POSF Zone Def'!$AP26</f>
        <v>0</v>
      </c>
      <c r="U37" s="474">
        <f>'POSF Inventory'!AJ29*$D$5*'POSF Zone Def'!$AQ26</f>
        <v>0</v>
      </c>
      <c r="V37" s="474">
        <f>'POSF Inventory'!AK29*$D$6*'POSF Zone Def'!$AQ26</f>
        <v>0</v>
      </c>
      <c r="W37" s="474">
        <f>'POSF Inventory'!AL29*$D$5*'POSF Zone Def'!$AQ26</f>
        <v>0</v>
      </c>
      <c r="X37" s="474">
        <f>'POSF Inventory'!AM29*$D$6*'POSF Zone Def'!$AQ26</f>
        <v>0</v>
      </c>
      <c r="Y37" s="474">
        <f>'POSF Inventory'!AN29*$D$5*'POSF Zone Def'!$AQ26</f>
        <v>0</v>
      </c>
      <c r="Z37" s="134">
        <f>'POSF Inventory'!AO29*$D$6*'POSF Zone Def'!$AQ26</f>
        <v>0</v>
      </c>
      <c r="AA37" s="529">
        <f>'POSF Inventory'!AV29*'POSF Emiss by Zone'!$D$5*'POSF Zone Def'!$M26</f>
        <v>0</v>
      </c>
      <c r="AB37" s="529">
        <f>'POSF Inventory'!AW29*'POSF Emiss by Zone'!$D$6*'POSF Zone Def'!$M26</f>
        <v>0</v>
      </c>
      <c r="AC37" s="529">
        <f>'POSF Inventory'!AX29*'POSF Emiss by Zone'!$D$5*'POSF Zone Def'!$M26</f>
        <v>1.011274875</v>
      </c>
      <c r="AD37" s="529">
        <f>'POSF Inventory'!AY29*'POSF Emiss by Zone'!$D$6*'POSF Zone Def'!$M26</f>
        <v>1.0136684250000001</v>
      </c>
      <c r="AE37" s="529">
        <f>'POSF Inventory'!AZ29*'POSF Emiss by Zone'!$D$5*'POSF Zone Def'!$M26</f>
        <v>1.87273125</v>
      </c>
      <c r="AF37" s="524">
        <f>'POSF Inventory'!BA29*'POSF Emiss by Zone'!$D$6*'POSF Zone Def'!$M26</f>
        <v>1.87716375</v>
      </c>
      <c r="AG37" s="474">
        <f>'POSF Inventory'!AV29*'POSF Emiss by Zone'!$D$5*'POSF Zone Def'!$N26</f>
        <v>0</v>
      </c>
      <c r="AH37" s="474">
        <f>'POSF Inventory'!AW29*'POSF Emiss by Zone'!$D$6*'POSF Zone Def'!$N26</f>
        <v>0</v>
      </c>
      <c r="AI37" s="474">
        <f>'POSF Inventory'!AX29*'POSF Emiss by Zone'!$D$5*'POSF Zone Def'!$N26</f>
        <v>1.011274875</v>
      </c>
      <c r="AJ37" s="474">
        <f>'POSF Inventory'!AY29*'POSF Emiss by Zone'!$D$6*'POSF Zone Def'!$N26</f>
        <v>1.0136684250000001</v>
      </c>
      <c r="AK37" s="474">
        <f>'POSF Inventory'!AZ29*'POSF Emiss by Zone'!$D$5*'POSF Zone Def'!$N26</f>
        <v>1.87273125</v>
      </c>
      <c r="AL37" s="549">
        <f>'POSF Inventory'!BA29*'POSF Emiss by Zone'!$D$6*'POSF Zone Def'!$N26</f>
        <v>1.87716375</v>
      </c>
      <c r="AM37" s="529">
        <f>'POSF Inventory'!BB29*'POSF Emiss by Zone'!$D$5*'POSF Zone Def'!$AP26</f>
        <v>0</v>
      </c>
      <c r="AN37" s="529">
        <f>'POSF Inventory'!BC29*'POSF Emiss by Zone'!$D$6*'POSF Zone Def'!$AP26</f>
        <v>0</v>
      </c>
      <c r="AO37" s="529">
        <f>'POSF Inventory'!BD29*'POSF Emiss by Zone'!$D$5*'POSF Zone Def'!$AP26</f>
        <v>0</v>
      </c>
      <c r="AP37" s="529">
        <f>'POSF Inventory'!BE29*'POSF Emiss by Zone'!$D$6*'POSF Zone Def'!$AP26</f>
        <v>0</v>
      </c>
      <c r="AQ37" s="529">
        <f>'POSF Inventory'!BF29*'POSF Emiss by Zone'!$D$5*'POSF Zone Def'!$AP26</f>
        <v>0</v>
      </c>
      <c r="AR37" s="524">
        <f>'POSF Inventory'!BG29*'POSF Emiss by Zone'!$D$6*'POSF Zone Def'!$AP26</f>
        <v>0</v>
      </c>
      <c r="AS37" s="474">
        <f>'POSF Inventory'!BB29*'POSF Emiss by Zone'!$D$5*'POSF Zone Def'!$AQ26</f>
        <v>0</v>
      </c>
      <c r="AT37" s="474">
        <f>'POSF Inventory'!BC29*'POSF Emiss by Zone'!$D$6*'POSF Zone Def'!$AQ26</f>
        <v>0</v>
      </c>
      <c r="AU37" s="474">
        <f>'POSF Inventory'!BD29*'POSF Emiss by Zone'!$D$5*'POSF Zone Def'!$AQ26</f>
        <v>0</v>
      </c>
      <c r="AV37" s="474">
        <f>'POSF Inventory'!BE29*'POSF Emiss by Zone'!$D$6*'POSF Zone Def'!$AQ26</f>
        <v>0</v>
      </c>
      <c r="AW37" s="474">
        <f>'POSF Inventory'!BF29*'POSF Emiss by Zone'!$D$5*'POSF Zone Def'!$AQ26</f>
        <v>0</v>
      </c>
      <c r="AX37" s="134">
        <f>'POSF Inventory'!BG29*'POSF Emiss by Zone'!$D$6*'POSF Zone Def'!$AQ26</f>
        <v>0</v>
      </c>
      <c r="AY37" s="529">
        <f>'POSF Inventory'!EA29*'POSF Emiss by Zone'!$D$5*'POSF Zone Def'!$Y26</f>
        <v>0</v>
      </c>
      <c r="AZ37" s="529">
        <f>'POSF Inventory'!EB29*'POSF Emiss by Zone'!$D$6*'POSF Zone Def'!$Y26</f>
        <v>0</v>
      </c>
      <c r="BA37" s="529">
        <f>'POSF Inventory'!EC29*'POSF Emiss by Zone'!$D$5*'POSF Zone Def'!$Y26</f>
        <v>1.5318960352312498</v>
      </c>
      <c r="BB37" s="529">
        <f>'POSF Inventory'!ED29*'POSF Emiss by Zone'!$D$6*'POSF Zone Def'!$Y26</f>
        <v>15.3552182466375</v>
      </c>
      <c r="BC37" s="529">
        <f>'POSF Inventory'!EE29*'POSF Emiss by Zone'!$D$5*'POSF Zone Def'!$Y26</f>
        <v>0</v>
      </c>
      <c r="BD37" s="524">
        <f>'POSF Inventory'!EF29*'POSF Emiss by Zone'!$D$6*'POSF Zone Def'!$Y26</f>
        <v>0</v>
      </c>
      <c r="BE37" s="474">
        <f>'POSF Inventory'!EA29*'POSF Emiss by Zone'!$D$5*'POSF Zone Def'!$Z26</f>
        <v>0</v>
      </c>
      <c r="BF37" s="474">
        <f>'POSF Inventory'!EB29*'POSF Emiss by Zone'!$D$6*'POSF Zone Def'!$Z26</f>
        <v>0</v>
      </c>
      <c r="BG37" s="474">
        <f>'POSF Inventory'!EC29*'POSF Emiss by Zone'!$D$5*'POSF Zone Def'!$Z26</f>
        <v>0.17021067058125</v>
      </c>
      <c r="BH37" s="474">
        <f>'POSF Inventory'!ED29*'POSF Emiss by Zone'!$D$6*'POSF Zone Def'!$Z26</f>
        <v>1.7061353607375001</v>
      </c>
      <c r="BI37" s="474">
        <f>'POSF Inventory'!EE29*'POSF Emiss by Zone'!$D$5*'POSF Zone Def'!$Z26</f>
        <v>0</v>
      </c>
      <c r="BJ37" s="549">
        <f>'POSF Inventory'!EF29*'POSF Emiss by Zone'!$D$6*'POSF Zone Def'!$Z26</f>
        <v>0</v>
      </c>
      <c r="BK37" s="705">
        <f>'POSF Inventory'!$EA29*'POSF Emiss by Zone'!$D$5*'POSF Zone Def'!$AC26</f>
        <v>0</v>
      </c>
      <c r="BL37" s="705">
        <f>'POSF Inventory'!$EB29*'POSF Emiss by Zone'!$D$6*'POSF Zone Def'!$AC26</f>
        <v>0</v>
      </c>
      <c r="BM37" s="705">
        <f>'POSF Inventory'!$EC29*'POSF Emiss by Zone'!$D$5*'POSF Zone Def'!$AC26</f>
        <v>0</v>
      </c>
      <c r="BN37" s="705">
        <f>'POSF Inventory'!$ED29*'POSF Emiss by Zone'!$D$6*'POSF Zone Def'!$AC26</f>
        <v>0</v>
      </c>
      <c r="BO37" s="705">
        <f>'POSF Inventory'!$EE29*'POSF Emiss by Zone'!$D$5*'POSF Zone Def'!$AC26</f>
        <v>0</v>
      </c>
      <c r="BP37" s="708">
        <f>'POSF Inventory'!$EF29*'POSF Emiss by Zone'!$D$6*'POSF Zone Def'!$AC26</f>
        <v>0</v>
      </c>
      <c r="BQ37" s="529">
        <f>'POSF Inventory'!EG29*'POSF Emiss by Zone'!$D$5*'POSF Zone Def'!$BB26</f>
        <v>0</v>
      </c>
      <c r="BR37" s="529">
        <f>'POSF Inventory'!EH29*'POSF Emiss by Zone'!$D$6*'POSF Zone Def'!$BB26</f>
        <v>0</v>
      </c>
      <c r="BS37" s="529">
        <f>'POSF Inventory'!EI29*'POSF Emiss by Zone'!$D$5*'POSF Zone Def'!$BB26</f>
        <v>0</v>
      </c>
      <c r="BT37" s="529">
        <f>'POSF Inventory'!EJ29*'POSF Emiss by Zone'!$D$6*'POSF Zone Def'!$BB26</f>
        <v>0</v>
      </c>
      <c r="BU37" s="529">
        <f>'POSF Inventory'!EK29*'POSF Emiss by Zone'!$D$5*'POSF Zone Def'!$BB26</f>
        <v>0</v>
      </c>
      <c r="BV37" s="524">
        <f>'POSF Inventory'!EL29*'POSF Emiss by Zone'!$D$6*'POSF Zone Def'!$BB26</f>
        <v>0</v>
      </c>
      <c r="BW37" s="474">
        <f>'POSF Inventory'!EG29*'POSF Emiss by Zone'!$D$5*'POSF Zone Def'!$BC26</f>
        <v>0</v>
      </c>
      <c r="BX37" s="474">
        <f>'POSF Inventory'!EH29*'POSF Emiss by Zone'!$D$6*'POSF Zone Def'!$BC26</f>
        <v>0</v>
      </c>
      <c r="BY37" s="474">
        <f>'POSF Inventory'!EI29*'POSF Emiss by Zone'!$D$5*'POSF Zone Def'!$BC26</f>
        <v>0</v>
      </c>
      <c r="BZ37" s="474">
        <f>'POSF Inventory'!EJ29*'POSF Emiss by Zone'!$D$6*'POSF Zone Def'!$BC26</f>
        <v>0</v>
      </c>
      <c r="CA37" s="474">
        <f>'POSF Inventory'!EK29*'POSF Emiss by Zone'!$D$5*'POSF Zone Def'!$BC26</f>
        <v>0</v>
      </c>
      <c r="CB37" s="134">
        <f>'POSF Inventory'!EL29*'POSF Emiss by Zone'!$D$6*'POSF Zone Def'!$BC26</f>
        <v>0</v>
      </c>
      <c r="CC37" s="529">
        <f>'POSF Inventory'!GC29*'POSF Emiss by Zone'!$D$7*'POSF Zone Def'!$M26</f>
        <v>7.0920000000000011E-3</v>
      </c>
      <c r="CD37" s="529">
        <f>'POSF Inventory'!GD29*'POSF Emiss by Zone'!$D$9*'POSF Zone Def'!$M26</f>
        <v>8.7674850000000019E-3</v>
      </c>
      <c r="CE37" s="529">
        <f>'POSF Inventory'!GE29*'POSF Emiss by Zone'!$D$7*'POSF Zone Def'!$M26</f>
        <v>0.10637999999999999</v>
      </c>
      <c r="CF37" s="529">
        <f>'POSF Inventory'!GF29*'POSF Emiss by Zone'!$D$9*'POSF Zone Def'!$M26</f>
        <v>0.13151227499999998</v>
      </c>
      <c r="CG37" s="529">
        <f>'POSF Inventory'!GG29*'POSF Emiss by Zone'!$D$7*'POSF Zone Def'!$M26</f>
        <v>0.39006000000000007</v>
      </c>
      <c r="CH37" s="524">
        <f>'POSF Inventory'!GH29*'POSF Emiss by Zone'!$D$9*'POSF Zone Def'!$M26</f>
        <v>1.9288467000000002</v>
      </c>
      <c r="CI37" s="474">
        <f>'POSF Inventory'!GC29*'POSF Emiss by Zone'!$D$7*'POSF Zone Def'!$N26</f>
        <v>7.0920000000000011E-3</v>
      </c>
      <c r="CJ37" s="474">
        <f>'POSF Inventory'!GD29*'POSF Emiss by Zone'!$D$9*'POSF Zone Def'!$N26</f>
        <v>8.7674850000000019E-3</v>
      </c>
      <c r="CK37" s="474">
        <f>'POSF Inventory'!GE29*'POSF Emiss by Zone'!$D$7*'POSF Zone Def'!$N26</f>
        <v>0.10637999999999999</v>
      </c>
      <c r="CL37" s="474">
        <f>'POSF Inventory'!GF29*'POSF Emiss by Zone'!$D$9*'POSF Zone Def'!$N26</f>
        <v>0.13151227499999998</v>
      </c>
      <c r="CM37" s="474">
        <f>'POSF Inventory'!GG29*'POSF Emiss by Zone'!$D$7*'POSF Zone Def'!$N26</f>
        <v>0.39006000000000007</v>
      </c>
      <c r="CN37" s="485">
        <f>'POSF Inventory'!GH29*'POSF Emiss by Zone'!$D$9*'POSF Zone Def'!$N26</f>
        <v>1.9288467000000002</v>
      </c>
      <c r="CO37" s="529">
        <f>'POSF Inventory'!GI29*'POSF Emiss by Zone'!$D$7*'POSF Zone Def'!$AP26</f>
        <v>0</v>
      </c>
      <c r="CP37" s="529">
        <f>'POSF Inventory'!GJ29*'POSF Emiss by Zone'!$D$9*'POSF Zone Def'!$AP26</f>
        <v>0</v>
      </c>
      <c r="CQ37" s="529">
        <f>'POSF Inventory'!GK29*'POSF Emiss by Zone'!$D$7*'POSF Zone Def'!$AP26</f>
        <v>0</v>
      </c>
      <c r="CR37" s="529">
        <f>'POSF Inventory'!GL29*'POSF Emiss by Zone'!$D$9*'POSF Zone Def'!$AP26</f>
        <v>0</v>
      </c>
      <c r="CS37" s="529">
        <f>'POSF Inventory'!GM29*'POSF Emiss by Zone'!$D$7*'POSF Zone Def'!$AP26</f>
        <v>0</v>
      </c>
      <c r="CT37" s="524">
        <f>'POSF Inventory'!GN29*'POSF Emiss by Zone'!$D$9*'POSF Zone Def'!$AP26</f>
        <v>0</v>
      </c>
      <c r="CU37" s="474">
        <f>'POSF Inventory'!GI29*'POSF Emiss by Zone'!$D$7*'POSF Zone Def'!$AQ26</f>
        <v>0</v>
      </c>
      <c r="CV37" s="474">
        <f>'POSF Inventory'!GJ29*'POSF Emiss by Zone'!$D$9*'POSF Zone Def'!$AQ26</f>
        <v>0</v>
      </c>
      <c r="CW37" s="474">
        <f>'POSF Inventory'!GK29*'POSF Emiss by Zone'!$D$7*'POSF Zone Def'!$AQ26</f>
        <v>0</v>
      </c>
      <c r="CX37" s="474">
        <f>'POSF Inventory'!GL29*'POSF Emiss by Zone'!$D$9*'POSF Zone Def'!$AQ26</f>
        <v>0</v>
      </c>
      <c r="CY37" s="474">
        <f>'POSF Inventory'!GM29*'POSF Emiss by Zone'!$D$7*'POSF Zone Def'!$AQ26</f>
        <v>0</v>
      </c>
      <c r="CZ37" s="134">
        <f>'POSF Inventory'!GN29*'POSF Emiss by Zone'!$D$9*'POSF Zone Def'!$AQ26</f>
        <v>0</v>
      </c>
      <c r="DA37" s="529">
        <f>SUM('POSF Inventory'!GQ29,'POSF Inventory'!GS29)*'POSF Emiss by Zone'!$D$7*'POSF Zone Def'!$Y26</f>
        <v>0.93189060449512884</v>
      </c>
      <c r="DB37" s="529">
        <f>SUM('POSF Inventory'!GR29,'POSF Inventory'!GT29)*'POSF Emiss by Zone'!$D$9*'POSF Zone Def'!$Y26</f>
        <v>36.226160994331636</v>
      </c>
      <c r="DC37" s="529"/>
      <c r="DD37" s="529"/>
      <c r="DE37" s="529">
        <f>'POSF Inventory'!GU29*'POSF Emiss by Zone'!$D$7*'POSF Zone Def'!$Y26</f>
        <v>0</v>
      </c>
      <c r="DF37" s="524">
        <f>'POSF Inventory'!GV29*'POSF Emiss by Zone'!$D$9*'POSF Zone Def'!$Y26</f>
        <v>0</v>
      </c>
      <c r="DG37" s="474">
        <f>SUM('POSF Inventory'!GQ29,'POSF Inventory'!GS29)*'POSF Emiss by Zone'!$D$7*'POSF Zone Def'!$Z26</f>
        <v>0.10354340049945876</v>
      </c>
      <c r="DH37" s="474">
        <f>SUM('POSF Inventory'!GR29,'POSF Inventory'!GT29)*'POSF Emiss by Zone'!$D$9*'POSF Zone Def'!$Z26</f>
        <v>4.0251289993701818</v>
      </c>
      <c r="DI37" s="474"/>
      <c r="DJ37" s="474"/>
      <c r="DK37" s="474">
        <f>'POSF Inventory'!GU29*'POSF Emiss by Zone'!$D$7*'POSF Zone Def'!$Z26</f>
        <v>0</v>
      </c>
      <c r="DL37" s="485">
        <f>'POSF Inventory'!GV29*'POSF Emiss by Zone'!$D$9*'POSF Zone Def'!$Z26</f>
        <v>0</v>
      </c>
      <c r="DM37" s="705">
        <f>SUM('POSF Inventory'!$GQ29,'POSF Inventory'!$GS29)*'POSF Emiss by Zone'!$D$7*'POSF Zone Def'!$AC26</f>
        <v>0</v>
      </c>
      <c r="DN37" s="705">
        <f>SUM('POSF Inventory'!$GR29,'POSF Inventory'!$GT29)*'POSF Emiss by Zone'!$D$9*'POSF Zone Def'!$AC26</f>
        <v>0</v>
      </c>
      <c r="DO37" s="705"/>
      <c r="DP37" s="705"/>
      <c r="DQ37" s="705">
        <f>'POSF Inventory'!$GU29*'POSF Emiss by Zone'!$D$7*'POSF Zone Def'!$AC26</f>
        <v>0</v>
      </c>
      <c r="DR37" s="708">
        <f>'POSF Inventory'!$GV29*'POSF Emiss by Zone'!$D$9*'POSF Zone Def'!$AC26</f>
        <v>0</v>
      </c>
      <c r="DS37" s="529">
        <f>SUM('POSF Inventory'!GW29,'POSF Inventory'!GY29)*$D$7*'POSF Zone Def'!$BB26</f>
        <v>0</v>
      </c>
      <c r="DT37" s="529">
        <f>SUM('POSF Inventory'!GX29,'POSF Inventory'!GZ29)*$D$9*'POSF Zone Def'!$BB26</f>
        <v>0</v>
      </c>
      <c r="DU37" s="529"/>
      <c r="DV37" s="529"/>
      <c r="DW37" s="529">
        <f>'POSF Inventory'!HA29*'POSF Emiss by Zone'!$D$7*'POSF Zone Def'!$BB26</f>
        <v>0</v>
      </c>
      <c r="DX37" s="524">
        <f>'POSF Inventory'!HB29*'POSF Emiss by Zone'!$D$9*'POSF Zone Def'!$BB26</f>
        <v>0</v>
      </c>
      <c r="DY37" s="474">
        <f>SUM('POSF Inventory'!GW29,'POSF Inventory'!GY29)*$D$7*'POSF Zone Def'!$BC26</f>
        <v>0</v>
      </c>
      <c r="DZ37" s="474">
        <f>SUM('POSF Inventory'!GX29,'POSF Inventory'!GZ29)*$D$9*'POSF Zone Def'!$BC26</f>
        <v>0</v>
      </c>
      <c r="EA37" s="474"/>
      <c r="EB37" s="474"/>
      <c r="EC37" s="474">
        <f>'POSF Inventory'!HA29*'POSF Emiss by Zone'!$D$7*'POSF Zone Def'!$BC26</f>
        <v>0</v>
      </c>
      <c r="ED37" s="134">
        <f>'POSF Inventory'!HB29*'POSF Emiss by Zone'!$D$9*'POSF Zone Def'!$BC26</f>
        <v>0</v>
      </c>
      <c r="EE37" s="235">
        <f>'POSF Inventory'!$CF29*'POSF Emiss by Zone'!$D$7*'POSF Zone Def'!$CE26</f>
        <v>0</v>
      </c>
      <c r="EF37" s="235">
        <f>'POSF Inventory'!$CG29*'POSF Emiss by Zone'!$D$9*'POSF Zone Def'!$CE26</f>
        <v>0</v>
      </c>
      <c r="EG37" s="235">
        <f>'POSF Inventory'!$CH29*'POSF Emiss by Zone'!$D$7*'POSF Zone Def'!$CE26</f>
        <v>0</v>
      </c>
      <c r="EH37" s="235">
        <f>'POSF Inventory'!$CI29*'POSF Emiss by Zone'!$D$9*'POSF Zone Def'!$CE26</f>
        <v>0</v>
      </c>
      <c r="EI37" s="235">
        <f>'POSF Inventory'!$CJ29*'POSF Emiss by Zone'!$D$7*'POSF Zone Def'!$CE26</f>
        <v>0</v>
      </c>
      <c r="EJ37" s="580">
        <f>'POSF Inventory'!$CK29*'POSF Emiss by Zone'!$D$9*'POSF Zone Def'!$CE26</f>
        <v>0</v>
      </c>
      <c r="EK37" s="235">
        <f>'POSF Inventory'!$CF29*'POSF Emiss by Zone'!$D$7*'POSF Zone Def'!$CF26</f>
        <v>0</v>
      </c>
      <c r="EL37" s="235">
        <f>'POSF Inventory'!$CG29*'POSF Emiss by Zone'!$D$9*'POSF Zone Def'!$CF26</f>
        <v>0</v>
      </c>
      <c r="EM37" s="235">
        <f>'POSF Inventory'!$CH29*'POSF Emiss by Zone'!$D$7*'POSF Zone Def'!$CF26</f>
        <v>0</v>
      </c>
      <c r="EN37" s="235">
        <f>'POSF Inventory'!$CI29*'POSF Emiss by Zone'!$D$9*'POSF Zone Def'!$CF26</f>
        <v>0</v>
      </c>
      <c r="EO37" s="235">
        <f>'POSF Inventory'!$CJ29*'POSF Emiss by Zone'!$D$7*'POSF Zone Def'!$CF26</f>
        <v>0</v>
      </c>
      <c r="EP37" s="580">
        <f>'POSF Inventory'!$CK29*'POSF Emiss by Zone'!$D$9*'POSF Zone Def'!$CF26</f>
        <v>0</v>
      </c>
      <c r="EQ37" s="235">
        <f>'POSF Inventory'!$CF29*'POSF Emiss by Zone'!$D$7*'POSF Zone Def'!$CG26</f>
        <v>0</v>
      </c>
      <c r="ER37" s="235">
        <f>'POSF Inventory'!$CG29*'POSF Emiss by Zone'!$D$9*'POSF Zone Def'!$CG26</f>
        <v>0</v>
      </c>
      <c r="ES37" s="235">
        <f>'POSF Inventory'!$CH29*'POSF Emiss by Zone'!$D$7*'POSF Zone Def'!$CG26</f>
        <v>0</v>
      </c>
      <c r="ET37" s="235">
        <f>'POSF Inventory'!$CI29*'POSF Emiss by Zone'!$D$9*'POSF Zone Def'!$CG26</f>
        <v>0</v>
      </c>
      <c r="EU37" s="235">
        <f>'POSF Inventory'!$CJ29*'POSF Emiss by Zone'!$D$7*'POSF Zone Def'!$CG26</f>
        <v>0</v>
      </c>
      <c r="EV37" s="580">
        <f>'POSF Inventory'!$CK29*'POSF Emiss by Zone'!$D$9*'POSF Zone Def'!$CG26</f>
        <v>0</v>
      </c>
      <c r="EW37" s="235">
        <f>'POSF Inventory'!$CF29*'POSF Emiss by Zone'!$D$7*'POSF Zone Def'!$CH26</f>
        <v>0</v>
      </c>
      <c r="EX37" s="235">
        <f>'POSF Inventory'!$CG29*'POSF Emiss by Zone'!$D$9*'POSF Zone Def'!$CH26</f>
        <v>0</v>
      </c>
      <c r="EY37" s="235">
        <f>'POSF Inventory'!$CH29*'POSF Emiss by Zone'!$D$7*'POSF Zone Def'!$CH26</f>
        <v>0</v>
      </c>
      <c r="EZ37" s="235">
        <f>'POSF Inventory'!$CI29*'POSF Emiss by Zone'!$D$9*'POSF Zone Def'!$CH26</f>
        <v>0</v>
      </c>
      <c r="FA37" s="235">
        <f>'POSF Inventory'!$CJ29*'POSF Emiss by Zone'!$D$7*'POSF Zone Def'!$CH26</f>
        <v>0</v>
      </c>
      <c r="FB37" s="580">
        <f>'POSF Inventory'!$CK29*'POSF Emiss by Zone'!$D$9*'POSF Zone Def'!$CH26</f>
        <v>0</v>
      </c>
      <c r="FC37" s="235">
        <f>'POSF Inventory'!$CF29*'POSF Emiss by Zone'!$D$7*'POSF Zone Def'!$CI26</f>
        <v>0</v>
      </c>
      <c r="FD37" s="235">
        <f>'POSF Inventory'!$CG29*'POSF Emiss by Zone'!$D$9*'POSF Zone Def'!$CI26</f>
        <v>0</v>
      </c>
      <c r="FE37" s="235">
        <f>'POSF Inventory'!$CH29*'POSF Emiss by Zone'!$D$7*'POSF Zone Def'!$CI26</f>
        <v>0</v>
      </c>
      <c r="FF37" s="235">
        <f>'POSF Inventory'!$CI29*'POSF Emiss by Zone'!$D$9*'POSF Zone Def'!$CI26</f>
        <v>0</v>
      </c>
      <c r="FG37" s="235">
        <f>'POSF Inventory'!$CJ29*'POSF Emiss by Zone'!$D$7*'POSF Zone Def'!$CI26</f>
        <v>0</v>
      </c>
      <c r="FH37" s="577">
        <f>'POSF Inventory'!$CK29*'POSF Emiss by Zone'!$D$9*'POSF Zone Def'!$CI26</f>
        <v>0</v>
      </c>
      <c r="FI37" s="595"/>
      <c r="FJ37" s="595"/>
      <c r="FM37" s="592">
        <v>20</v>
      </c>
      <c r="FN37" s="592">
        <f t="shared" si="0"/>
        <v>1974</v>
      </c>
      <c r="FO37" s="587">
        <v>17</v>
      </c>
      <c r="FP37" s="551">
        <f t="shared" si="20"/>
        <v>1.5169123124999999</v>
      </c>
      <c r="FQ37" s="529">
        <f t="shared" si="21"/>
        <v>1.5205026374999999</v>
      </c>
      <c r="FR37" s="529">
        <f t="shared" si="22"/>
        <v>0</v>
      </c>
      <c r="FS37" s="529">
        <f t="shared" si="23"/>
        <v>0</v>
      </c>
      <c r="FT37" s="529">
        <f t="shared" si="24"/>
        <v>1.12363875</v>
      </c>
      <c r="FU37" s="524">
        <f t="shared" si="25"/>
        <v>1.1262982500000001</v>
      </c>
      <c r="FV37" s="474">
        <f t="shared" si="26"/>
        <v>1.5169123124999999</v>
      </c>
      <c r="FW37" s="474">
        <f t="shared" si="27"/>
        <v>1.5205026374999999</v>
      </c>
      <c r="FX37" s="474">
        <f t="shared" si="28"/>
        <v>0</v>
      </c>
      <c r="FY37" s="474">
        <f t="shared" si="29"/>
        <v>0</v>
      </c>
      <c r="FZ37" s="474">
        <f t="shared" si="30"/>
        <v>1.12363875</v>
      </c>
      <c r="GA37" s="134">
        <f t="shared" si="31"/>
        <v>1.1262982500000001</v>
      </c>
      <c r="GB37" s="529">
        <f t="shared" si="32"/>
        <v>0</v>
      </c>
      <c r="GC37" s="529">
        <f t="shared" si="33"/>
        <v>0</v>
      </c>
      <c r="GD37" s="529">
        <f t="shared" si="34"/>
        <v>2.5330387552104083</v>
      </c>
      <c r="GE37" s="529">
        <f t="shared" si="35"/>
        <v>16.303671983702689</v>
      </c>
      <c r="GF37" s="529">
        <f t="shared" si="36"/>
        <v>1.8652701693227092</v>
      </c>
      <c r="GG37" s="524">
        <f t="shared" si="37"/>
        <v>1.8696850099601594</v>
      </c>
      <c r="GH37" s="474">
        <f t="shared" si="38"/>
        <v>0</v>
      </c>
      <c r="GI37" s="474">
        <f t="shared" si="39"/>
        <v>0</v>
      </c>
      <c r="GJ37" s="474">
        <f t="shared" si="40"/>
        <v>1.1767784318538348</v>
      </c>
      <c r="GK37" s="474">
        <f t="shared" si="41"/>
        <v>2.7089679140811755</v>
      </c>
      <c r="GL37" s="474">
        <f t="shared" si="42"/>
        <v>1.8652701693227092</v>
      </c>
      <c r="GM37" s="705">
        <f t="shared" si="43"/>
        <v>1.8696850099601594</v>
      </c>
      <c r="GN37" s="705">
        <f t="shared" si="44"/>
        <v>0</v>
      </c>
      <c r="GO37" s="705">
        <f t="shared" si="45"/>
        <v>0</v>
      </c>
      <c r="GP37" s="705">
        <f t="shared" si="46"/>
        <v>0</v>
      </c>
      <c r="GQ37" s="705">
        <f t="shared" si="47"/>
        <v>0</v>
      </c>
      <c r="GR37" s="705">
        <f t="shared" si="48"/>
        <v>0</v>
      </c>
      <c r="GS37" s="134">
        <f t="shared" si="49"/>
        <v>0</v>
      </c>
      <c r="GT37" s="529">
        <f t="shared" si="50"/>
        <v>1.9453026069221793E-2</v>
      </c>
      <c r="GU37" s="529">
        <f t="shared" si="51"/>
        <v>0.75068377726105373</v>
      </c>
      <c r="GV37" s="529">
        <f t="shared" si="52"/>
        <v>2.2038884462151393E-3</v>
      </c>
      <c r="GW37" s="529">
        <f t="shared" si="53"/>
        <v>2.7245570916334654E-3</v>
      </c>
      <c r="GX37" s="529">
        <f t="shared" si="54"/>
        <v>8.0809243027888458E-3</v>
      </c>
      <c r="GY37" s="524">
        <f t="shared" si="55"/>
        <v>3.9960170677290845E-2</v>
      </c>
      <c r="GZ37" s="474">
        <f t="shared" si="56"/>
        <v>2.2920481378373926E-3</v>
      </c>
      <c r="HA37" s="474">
        <f t="shared" si="57"/>
        <v>8.3570763819621294E-2</v>
      </c>
      <c r="HB37" s="474">
        <f t="shared" si="58"/>
        <v>2.2038884462151393E-3</v>
      </c>
      <c r="HC37" s="474">
        <f t="shared" si="59"/>
        <v>2.7245570916334654E-3</v>
      </c>
      <c r="HD37" s="474">
        <f t="shared" si="60"/>
        <v>8.0809243027888458E-3</v>
      </c>
      <c r="HE37" s="549">
        <f t="shared" si="61"/>
        <v>3.9960170677290845E-2</v>
      </c>
      <c r="HF37" s="235">
        <f t="shared" si="62"/>
        <v>0</v>
      </c>
      <c r="HG37" s="235">
        <f t="shared" si="63"/>
        <v>0</v>
      </c>
      <c r="HH37" s="235">
        <f t="shared" si="64"/>
        <v>0</v>
      </c>
      <c r="HI37" s="235">
        <f t="shared" si="65"/>
        <v>0</v>
      </c>
      <c r="HJ37" s="235">
        <f t="shared" si="66"/>
        <v>0</v>
      </c>
      <c r="HK37" s="580">
        <f t="shared" si="67"/>
        <v>0</v>
      </c>
      <c r="HL37" s="235">
        <f t="shared" si="68"/>
        <v>0</v>
      </c>
      <c r="HM37" s="235">
        <f t="shared" si="69"/>
        <v>0</v>
      </c>
      <c r="HN37" s="235">
        <f t="shared" si="70"/>
        <v>0</v>
      </c>
      <c r="HO37" s="235">
        <f t="shared" si="71"/>
        <v>0</v>
      </c>
      <c r="HP37" s="235">
        <f t="shared" si="72"/>
        <v>0</v>
      </c>
      <c r="HQ37" s="580">
        <f t="shared" si="73"/>
        <v>0</v>
      </c>
      <c r="HR37" s="235">
        <f t="shared" si="74"/>
        <v>0</v>
      </c>
      <c r="HS37" s="235">
        <f t="shared" si="75"/>
        <v>0</v>
      </c>
      <c r="HT37" s="235">
        <f t="shared" si="76"/>
        <v>0</v>
      </c>
      <c r="HU37" s="235">
        <f t="shared" si="77"/>
        <v>0</v>
      </c>
      <c r="HV37" s="235">
        <f t="shared" si="78"/>
        <v>0</v>
      </c>
      <c r="HW37" s="577">
        <f t="shared" si="79"/>
        <v>0</v>
      </c>
      <c r="HX37" s="235">
        <f t="shared" si="80"/>
        <v>1.0338535162481028</v>
      </c>
      <c r="HY37" s="235">
        <f t="shared" si="81"/>
        <v>39.895955516127842</v>
      </c>
      <c r="HZ37" s="235">
        <f t="shared" si="82"/>
        <v>0.11712819442231072</v>
      </c>
      <c r="IA37" s="235">
        <f t="shared" si="83"/>
        <v>0.14479973035458166</v>
      </c>
      <c r="IB37" s="235">
        <f t="shared" si="84"/>
        <v>0.42947004621513946</v>
      </c>
      <c r="IC37" s="235">
        <f t="shared" si="85"/>
        <v>2.1237293785338647</v>
      </c>
      <c r="ID37" s="235">
        <f t="shared" si="86"/>
        <v>0.12181354295629648</v>
      </c>
      <c r="IE37" s="235">
        <f t="shared" si="87"/>
        <v>4.4414646709981804</v>
      </c>
      <c r="IF37" s="235">
        <f t="shared" si="88"/>
        <v>0.11712819442231072</v>
      </c>
      <c r="IG37" s="235">
        <f t="shared" si="89"/>
        <v>0.14479973035458166</v>
      </c>
      <c r="IH37" s="235">
        <f t="shared" si="90"/>
        <v>0.42947004621513946</v>
      </c>
      <c r="II37" s="235">
        <f t="shared" si="91"/>
        <v>2.1237293785338647</v>
      </c>
      <c r="IJ37" s="235">
        <f t="shared" si="92"/>
        <v>0</v>
      </c>
      <c r="IK37" s="235">
        <f t="shared" si="93"/>
        <v>0</v>
      </c>
      <c r="IL37" s="235">
        <f t="shared" si="94"/>
        <v>0</v>
      </c>
      <c r="IM37" s="235">
        <f t="shared" si="95"/>
        <v>0</v>
      </c>
      <c r="IN37" s="235">
        <f t="shared" si="96"/>
        <v>0</v>
      </c>
      <c r="IO37" s="235">
        <f t="shared" si="97"/>
        <v>0</v>
      </c>
    </row>
    <row r="38" spans="1:249" ht="18" x14ac:dyDescent="0.25">
      <c r="A38" s="18">
        <v>1975</v>
      </c>
      <c r="B38" s="564"/>
      <c r="C38" s="529">
        <f>'POSF Inventory'!AD30*$D$5*'POSF Zone Def'!$M27</f>
        <v>1.6045561349999999</v>
      </c>
      <c r="D38" s="529">
        <f>'POSF Inventory'!AE30*$D$6*'POSF Zone Def'!$M27</f>
        <v>1.6083539009999999</v>
      </c>
      <c r="E38" s="529">
        <f>'POSF Inventory'!AF30*$D$5*'POSF Zone Def'!$M27</f>
        <v>0</v>
      </c>
      <c r="F38" s="529">
        <f>'POSF Inventory'!AG30*$D$6*'POSF Zone Def'!$M27</f>
        <v>0</v>
      </c>
      <c r="G38" s="529">
        <f>'POSF Inventory'!AH30*$D$5*'POSF Zone Def'!$M27</f>
        <v>1.1885601000000001</v>
      </c>
      <c r="H38" s="524">
        <f>'POSF Inventory'!AI30*$D$6*'POSF Zone Def'!$M27</f>
        <v>1.1913732600000002</v>
      </c>
      <c r="I38" s="474">
        <f>'POSF Inventory'!AD30*$D$5*'POSF Zone Def'!$N27</f>
        <v>1.6045561349999999</v>
      </c>
      <c r="J38" s="474">
        <f>'POSF Inventory'!AE30*$D$6*'POSF Zone Def'!$N27</f>
        <v>1.6083539009999999</v>
      </c>
      <c r="K38" s="474">
        <f>'POSF Inventory'!AF30*$D$5*'POSF Zone Def'!$N27</f>
        <v>0</v>
      </c>
      <c r="L38" s="474">
        <f>'POSF Inventory'!AG30*$D$6*'POSF Zone Def'!$N27</f>
        <v>0</v>
      </c>
      <c r="M38" s="474">
        <f>'POSF Inventory'!AH30*$D$5*'POSF Zone Def'!$N27</f>
        <v>1.1885601000000001</v>
      </c>
      <c r="N38" s="485">
        <f>'POSF Inventory'!AI30*$D$6*'POSF Zone Def'!$N27</f>
        <v>1.1913732600000002</v>
      </c>
      <c r="O38" s="529">
        <f>'POSF Inventory'!AJ30*$D$5*'POSF Zone Def'!$AP27</f>
        <v>0</v>
      </c>
      <c r="P38" s="529">
        <f>'POSF Inventory'!AK30*$D$6*'POSF Zone Def'!$AP27</f>
        <v>0</v>
      </c>
      <c r="Q38" s="529">
        <f>'POSF Inventory'!AL30*$D$5*'POSF Zone Def'!$AP27</f>
        <v>0</v>
      </c>
      <c r="R38" s="529">
        <f>'POSF Inventory'!AM30*$D$6*'POSF Zone Def'!$AP27</f>
        <v>0</v>
      </c>
      <c r="S38" s="529">
        <f>'POSF Inventory'!AN30*$D$5*'POSF Zone Def'!$AP27</f>
        <v>0</v>
      </c>
      <c r="T38" s="524">
        <f>'POSF Inventory'!AO30*$D$6*'POSF Zone Def'!$AP27</f>
        <v>0</v>
      </c>
      <c r="U38" s="474">
        <f>'POSF Inventory'!AJ30*$D$5*'POSF Zone Def'!$AQ27</f>
        <v>0</v>
      </c>
      <c r="V38" s="474">
        <f>'POSF Inventory'!AK30*$D$6*'POSF Zone Def'!$AQ27</f>
        <v>0</v>
      </c>
      <c r="W38" s="474">
        <f>'POSF Inventory'!AL30*$D$5*'POSF Zone Def'!$AQ27</f>
        <v>0</v>
      </c>
      <c r="X38" s="474">
        <f>'POSF Inventory'!AM30*$D$6*'POSF Zone Def'!$AQ27</f>
        <v>0</v>
      </c>
      <c r="Y38" s="474">
        <f>'POSF Inventory'!AN30*$D$5*'POSF Zone Def'!$AQ27</f>
        <v>0</v>
      </c>
      <c r="Z38" s="134">
        <f>'POSF Inventory'!AO30*$D$6*'POSF Zone Def'!$AQ27</f>
        <v>0</v>
      </c>
      <c r="AA38" s="529">
        <f>'POSF Inventory'!AV30*'POSF Emiss by Zone'!$D$5*'POSF Zone Def'!$M27</f>
        <v>0</v>
      </c>
      <c r="AB38" s="529">
        <f>'POSF Inventory'!AW30*'POSF Emiss by Zone'!$D$6*'POSF Zone Def'!$M27</f>
        <v>0</v>
      </c>
      <c r="AC38" s="529">
        <f>'POSF Inventory'!AX30*'POSF Emiss by Zone'!$D$5*'POSF Zone Def'!$M27</f>
        <v>1.0697040900000001</v>
      </c>
      <c r="AD38" s="529">
        <f>'POSF Inventory'!AY30*'POSF Emiss by Zone'!$D$6*'POSF Zone Def'!$M27</f>
        <v>1.0722359340000001</v>
      </c>
      <c r="AE38" s="529">
        <f>'POSF Inventory'!AZ30*'POSF Emiss by Zone'!$D$5*'POSF Zone Def'!$M27</f>
        <v>1.9809334999999999</v>
      </c>
      <c r="AF38" s="524">
        <f>'POSF Inventory'!BA30*'POSF Emiss by Zone'!$D$6*'POSF Zone Def'!$M27</f>
        <v>1.9856221000000001</v>
      </c>
      <c r="AG38" s="474">
        <f>'POSF Inventory'!AV30*'POSF Emiss by Zone'!$D$5*'POSF Zone Def'!$N27</f>
        <v>0</v>
      </c>
      <c r="AH38" s="474">
        <f>'POSF Inventory'!AW30*'POSF Emiss by Zone'!$D$6*'POSF Zone Def'!$N27</f>
        <v>0</v>
      </c>
      <c r="AI38" s="474">
        <f>'POSF Inventory'!AX30*'POSF Emiss by Zone'!$D$5*'POSF Zone Def'!$N27</f>
        <v>1.0697040900000001</v>
      </c>
      <c r="AJ38" s="474">
        <f>'POSF Inventory'!AY30*'POSF Emiss by Zone'!$D$6*'POSF Zone Def'!$N27</f>
        <v>1.0722359340000001</v>
      </c>
      <c r="AK38" s="474">
        <f>'POSF Inventory'!AZ30*'POSF Emiss by Zone'!$D$5*'POSF Zone Def'!$N27</f>
        <v>1.9809334999999999</v>
      </c>
      <c r="AL38" s="549">
        <f>'POSF Inventory'!BA30*'POSF Emiss by Zone'!$D$6*'POSF Zone Def'!$N27</f>
        <v>1.9856221000000001</v>
      </c>
      <c r="AM38" s="529">
        <f>'POSF Inventory'!BB30*'POSF Emiss by Zone'!$D$5*'POSF Zone Def'!$AP27</f>
        <v>0</v>
      </c>
      <c r="AN38" s="529">
        <f>'POSF Inventory'!BC30*'POSF Emiss by Zone'!$D$6*'POSF Zone Def'!$AP27</f>
        <v>0</v>
      </c>
      <c r="AO38" s="529">
        <f>'POSF Inventory'!BD30*'POSF Emiss by Zone'!$D$5*'POSF Zone Def'!$AP27</f>
        <v>0</v>
      </c>
      <c r="AP38" s="529">
        <f>'POSF Inventory'!BE30*'POSF Emiss by Zone'!$D$6*'POSF Zone Def'!$AP27</f>
        <v>0</v>
      </c>
      <c r="AQ38" s="529">
        <f>'POSF Inventory'!BF30*'POSF Emiss by Zone'!$D$5*'POSF Zone Def'!$AP27</f>
        <v>0</v>
      </c>
      <c r="AR38" s="524">
        <f>'POSF Inventory'!BG30*'POSF Emiss by Zone'!$D$6*'POSF Zone Def'!$AP27</f>
        <v>0</v>
      </c>
      <c r="AS38" s="474">
        <f>'POSF Inventory'!BB30*'POSF Emiss by Zone'!$D$5*'POSF Zone Def'!$AQ27</f>
        <v>0</v>
      </c>
      <c r="AT38" s="474">
        <f>'POSF Inventory'!BC30*'POSF Emiss by Zone'!$D$6*'POSF Zone Def'!$AQ27</f>
        <v>0</v>
      </c>
      <c r="AU38" s="474">
        <f>'POSF Inventory'!BD30*'POSF Emiss by Zone'!$D$5*'POSF Zone Def'!$AQ27</f>
        <v>0</v>
      </c>
      <c r="AV38" s="474">
        <f>'POSF Inventory'!BE30*'POSF Emiss by Zone'!$D$6*'POSF Zone Def'!$AQ27</f>
        <v>0</v>
      </c>
      <c r="AW38" s="474">
        <f>'POSF Inventory'!BF30*'POSF Emiss by Zone'!$D$5*'POSF Zone Def'!$AQ27</f>
        <v>0</v>
      </c>
      <c r="AX38" s="134">
        <f>'POSF Inventory'!BG30*'POSF Emiss by Zone'!$D$6*'POSF Zone Def'!$AQ27</f>
        <v>0</v>
      </c>
      <c r="AY38" s="529">
        <f>'POSF Inventory'!EA30*'POSF Emiss by Zone'!$D$5*'POSF Zone Def'!$Y27</f>
        <v>0</v>
      </c>
      <c r="AZ38" s="529">
        <f>'POSF Inventory'!EB30*'POSF Emiss by Zone'!$D$6*'POSF Zone Def'!$Y27</f>
        <v>0</v>
      </c>
      <c r="BA38" s="529">
        <f>'POSF Inventory'!EC30*'POSF Emiss by Zone'!$D$5*'POSF Zone Def'!$Y27</f>
        <v>1.6248977418374999</v>
      </c>
      <c r="BB38" s="529">
        <f>'POSF Inventory'!ED30*'POSF Emiss by Zone'!$D$6*'POSF Zone Def'!$Y27</f>
        <v>16.287436536525</v>
      </c>
      <c r="BC38" s="529">
        <f>'POSF Inventory'!EE30*'POSF Emiss by Zone'!$D$5*'POSF Zone Def'!$Y27</f>
        <v>0</v>
      </c>
      <c r="BD38" s="524">
        <f>'POSF Inventory'!EF30*'POSF Emiss by Zone'!$D$6*'POSF Zone Def'!$Y27</f>
        <v>0</v>
      </c>
      <c r="BE38" s="474">
        <f>'POSF Inventory'!EA30*'POSF Emiss by Zone'!$D$5*'POSF Zone Def'!$Z27</f>
        <v>0</v>
      </c>
      <c r="BF38" s="474">
        <f>'POSF Inventory'!EB30*'POSF Emiss by Zone'!$D$6*'POSF Zone Def'!$Z27</f>
        <v>0</v>
      </c>
      <c r="BG38" s="474">
        <f>'POSF Inventory'!EC30*'POSF Emiss by Zone'!$D$5*'POSF Zone Def'!$Z27</f>
        <v>0.18054419353750001</v>
      </c>
      <c r="BH38" s="474">
        <f>'POSF Inventory'!ED30*'POSF Emiss by Zone'!$D$6*'POSF Zone Def'!$Z27</f>
        <v>1.8097151707250001</v>
      </c>
      <c r="BI38" s="474">
        <f>'POSF Inventory'!EE30*'POSF Emiss by Zone'!$D$5*'POSF Zone Def'!$Z27</f>
        <v>0</v>
      </c>
      <c r="BJ38" s="549">
        <f>'POSF Inventory'!EF30*'POSF Emiss by Zone'!$D$6*'POSF Zone Def'!$Z27</f>
        <v>0</v>
      </c>
      <c r="BK38" s="705">
        <f>'POSF Inventory'!$EA30*'POSF Emiss by Zone'!$D$5*'POSF Zone Def'!$AC27</f>
        <v>0</v>
      </c>
      <c r="BL38" s="705">
        <f>'POSF Inventory'!$EB30*'POSF Emiss by Zone'!$D$6*'POSF Zone Def'!$AC27</f>
        <v>0</v>
      </c>
      <c r="BM38" s="705">
        <f>'POSF Inventory'!$EC30*'POSF Emiss by Zone'!$D$5*'POSF Zone Def'!$AC27</f>
        <v>0</v>
      </c>
      <c r="BN38" s="705">
        <f>'POSF Inventory'!$ED30*'POSF Emiss by Zone'!$D$6*'POSF Zone Def'!$AC27</f>
        <v>0</v>
      </c>
      <c r="BO38" s="705">
        <f>'POSF Inventory'!$EE30*'POSF Emiss by Zone'!$D$5*'POSF Zone Def'!$AC27</f>
        <v>0</v>
      </c>
      <c r="BP38" s="708">
        <f>'POSF Inventory'!$EF30*'POSF Emiss by Zone'!$D$6*'POSF Zone Def'!$AC27</f>
        <v>0</v>
      </c>
      <c r="BQ38" s="529">
        <f>'POSF Inventory'!EG30*'POSF Emiss by Zone'!$D$5*'POSF Zone Def'!$BB27</f>
        <v>0</v>
      </c>
      <c r="BR38" s="529">
        <f>'POSF Inventory'!EH30*'POSF Emiss by Zone'!$D$6*'POSF Zone Def'!$BB27</f>
        <v>0</v>
      </c>
      <c r="BS38" s="529">
        <f>'POSF Inventory'!EI30*'POSF Emiss by Zone'!$D$5*'POSF Zone Def'!$BB27</f>
        <v>0</v>
      </c>
      <c r="BT38" s="529">
        <f>'POSF Inventory'!EJ30*'POSF Emiss by Zone'!$D$6*'POSF Zone Def'!$BB27</f>
        <v>0</v>
      </c>
      <c r="BU38" s="529">
        <f>'POSF Inventory'!EK30*'POSF Emiss by Zone'!$D$5*'POSF Zone Def'!$BB27</f>
        <v>0</v>
      </c>
      <c r="BV38" s="524">
        <f>'POSF Inventory'!EL30*'POSF Emiss by Zone'!$D$6*'POSF Zone Def'!$BB27</f>
        <v>0</v>
      </c>
      <c r="BW38" s="474">
        <f>'POSF Inventory'!EG30*'POSF Emiss by Zone'!$D$5*'POSF Zone Def'!$BC27</f>
        <v>0</v>
      </c>
      <c r="BX38" s="474">
        <f>'POSF Inventory'!EH30*'POSF Emiss by Zone'!$D$6*'POSF Zone Def'!$BC27</f>
        <v>0</v>
      </c>
      <c r="BY38" s="474">
        <f>'POSF Inventory'!EI30*'POSF Emiss by Zone'!$D$5*'POSF Zone Def'!$BC27</f>
        <v>0</v>
      </c>
      <c r="BZ38" s="474">
        <f>'POSF Inventory'!EJ30*'POSF Emiss by Zone'!$D$6*'POSF Zone Def'!$BC27</f>
        <v>0</v>
      </c>
      <c r="CA38" s="474">
        <f>'POSF Inventory'!EK30*'POSF Emiss by Zone'!$D$5*'POSF Zone Def'!$BC27</f>
        <v>0</v>
      </c>
      <c r="CB38" s="134">
        <f>'POSF Inventory'!EL30*'POSF Emiss by Zone'!$D$6*'POSF Zone Def'!$BC27</f>
        <v>0</v>
      </c>
      <c r="CC38" s="529">
        <f>'POSF Inventory'!GC30*'POSF Emiss by Zone'!$D$7*'POSF Zone Def'!$M27</f>
        <v>7.5017600000000005E-3</v>
      </c>
      <c r="CD38" s="529">
        <f>'POSF Inventory'!GD30*'POSF Emiss by Zone'!$D$9*'POSF Zone Def'!$M27</f>
        <v>9.274050800000001E-3</v>
      </c>
      <c r="CE38" s="529">
        <f>'POSF Inventory'!GE30*'POSF Emiss by Zone'!$D$7*'POSF Zone Def'!$M27</f>
        <v>0.11252640000000001</v>
      </c>
      <c r="CF38" s="529">
        <f>'POSF Inventory'!GF30*'POSF Emiss by Zone'!$D$9*'POSF Zone Def'!$M27</f>
        <v>0.13911076200000003</v>
      </c>
      <c r="CG38" s="529">
        <f>'POSF Inventory'!GG30*'POSF Emiss by Zone'!$D$7*'POSF Zone Def'!$M27</f>
        <v>0.41259679999999999</v>
      </c>
      <c r="CH38" s="524">
        <f>'POSF Inventory'!GH30*'POSF Emiss by Zone'!$D$9*'POSF Zone Def'!$M27</f>
        <v>2.0402911759999998</v>
      </c>
      <c r="CI38" s="474">
        <f>'POSF Inventory'!GC30*'POSF Emiss by Zone'!$D$7*'POSF Zone Def'!$N27</f>
        <v>7.5017600000000005E-3</v>
      </c>
      <c r="CJ38" s="474">
        <f>'POSF Inventory'!GD30*'POSF Emiss by Zone'!$D$9*'POSF Zone Def'!$N27</f>
        <v>9.274050800000001E-3</v>
      </c>
      <c r="CK38" s="474">
        <f>'POSF Inventory'!GE30*'POSF Emiss by Zone'!$D$7*'POSF Zone Def'!$N27</f>
        <v>0.11252640000000001</v>
      </c>
      <c r="CL38" s="474">
        <f>'POSF Inventory'!GF30*'POSF Emiss by Zone'!$D$9*'POSF Zone Def'!$N27</f>
        <v>0.13911076200000003</v>
      </c>
      <c r="CM38" s="474">
        <f>'POSF Inventory'!GG30*'POSF Emiss by Zone'!$D$7*'POSF Zone Def'!$N27</f>
        <v>0.41259679999999999</v>
      </c>
      <c r="CN38" s="485">
        <f>'POSF Inventory'!GH30*'POSF Emiss by Zone'!$D$9*'POSF Zone Def'!$N27</f>
        <v>2.0402911759999998</v>
      </c>
      <c r="CO38" s="529">
        <f>'POSF Inventory'!GI30*'POSF Emiss by Zone'!$D$7*'POSF Zone Def'!$AP27</f>
        <v>0</v>
      </c>
      <c r="CP38" s="529">
        <f>'POSF Inventory'!GJ30*'POSF Emiss by Zone'!$D$9*'POSF Zone Def'!$AP27</f>
        <v>0</v>
      </c>
      <c r="CQ38" s="529">
        <f>'POSF Inventory'!GK30*'POSF Emiss by Zone'!$D$7*'POSF Zone Def'!$AP27</f>
        <v>0</v>
      </c>
      <c r="CR38" s="529">
        <f>'POSF Inventory'!GL30*'POSF Emiss by Zone'!$D$9*'POSF Zone Def'!$AP27</f>
        <v>0</v>
      </c>
      <c r="CS38" s="529">
        <f>'POSF Inventory'!GM30*'POSF Emiss by Zone'!$D$7*'POSF Zone Def'!$AP27</f>
        <v>0</v>
      </c>
      <c r="CT38" s="524">
        <f>'POSF Inventory'!GN30*'POSF Emiss by Zone'!$D$9*'POSF Zone Def'!$AP27</f>
        <v>0</v>
      </c>
      <c r="CU38" s="474">
        <f>'POSF Inventory'!GI30*'POSF Emiss by Zone'!$D$7*'POSF Zone Def'!$AQ27</f>
        <v>0</v>
      </c>
      <c r="CV38" s="474">
        <f>'POSF Inventory'!GJ30*'POSF Emiss by Zone'!$D$9*'POSF Zone Def'!$AQ27</f>
        <v>0</v>
      </c>
      <c r="CW38" s="474">
        <f>'POSF Inventory'!GK30*'POSF Emiss by Zone'!$D$7*'POSF Zone Def'!$AQ27</f>
        <v>0</v>
      </c>
      <c r="CX38" s="474">
        <f>'POSF Inventory'!GL30*'POSF Emiss by Zone'!$D$9*'POSF Zone Def'!$AQ27</f>
        <v>0</v>
      </c>
      <c r="CY38" s="474">
        <f>'POSF Inventory'!GM30*'POSF Emiss by Zone'!$D$7*'POSF Zone Def'!$AQ27</f>
        <v>0</v>
      </c>
      <c r="CZ38" s="134">
        <f>'POSF Inventory'!GN30*'POSF Emiss by Zone'!$D$9*'POSF Zone Def'!$AQ27</f>
        <v>0</v>
      </c>
      <c r="DA38" s="529">
        <f>SUM('POSF Inventory'!GQ30,'POSF Inventory'!GS30)*'POSF Emiss by Zone'!$D$7*'POSF Zone Def'!$Y27</f>
        <v>0.98868520067132248</v>
      </c>
      <c r="DB38" s="529">
        <f>SUM('POSF Inventory'!GR30,'POSF Inventory'!GT30)*'POSF Emiss by Zone'!$D$9*'POSF Zone Def'!$Y27</f>
        <v>38.561035415319118</v>
      </c>
      <c r="DC38" s="529"/>
      <c r="DD38" s="529"/>
      <c r="DE38" s="529">
        <f>'POSF Inventory'!GU30*'POSF Emiss by Zone'!$D$7*'POSF Zone Def'!$Y27</f>
        <v>0</v>
      </c>
      <c r="DF38" s="524">
        <f>'POSF Inventory'!GV30*'POSF Emiss by Zone'!$D$9*'POSF Zone Def'!$Y27</f>
        <v>0</v>
      </c>
      <c r="DG38" s="474">
        <f>SUM('POSF Inventory'!GQ30,'POSF Inventory'!GS30)*'POSF Emiss by Zone'!$D$7*'POSF Zone Def'!$Z27</f>
        <v>0.10985391118570249</v>
      </c>
      <c r="DH38" s="474">
        <f>SUM('POSF Inventory'!GR30,'POSF Inventory'!GT30)*'POSF Emiss by Zone'!$D$9*'POSF Zone Def'!$Z27</f>
        <v>4.2845594905910138</v>
      </c>
      <c r="DI38" s="474"/>
      <c r="DJ38" s="474"/>
      <c r="DK38" s="474">
        <f>'POSF Inventory'!GU30*'POSF Emiss by Zone'!$D$7*'POSF Zone Def'!$Z27</f>
        <v>0</v>
      </c>
      <c r="DL38" s="485">
        <f>'POSF Inventory'!GV30*'POSF Emiss by Zone'!$D$9*'POSF Zone Def'!$Z27</f>
        <v>0</v>
      </c>
      <c r="DM38" s="705">
        <f>SUM('POSF Inventory'!$GQ30,'POSF Inventory'!$GS30)*'POSF Emiss by Zone'!$D$7*'POSF Zone Def'!$AC27</f>
        <v>0</v>
      </c>
      <c r="DN38" s="705">
        <f>SUM('POSF Inventory'!$GR30,'POSF Inventory'!$GT30)*'POSF Emiss by Zone'!$D$9*'POSF Zone Def'!$AC27</f>
        <v>0</v>
      </c>
      <c r="DO38" s="705"/>
      <c r="DP38" s="705"/>
      <c r="DQ38" s="705">
        <f>'POSF Inventory'!$GU30*'POSF Emiss by Zone'!$D$7*'POSF Zone Def'!$AC27</f>
        <v>0</v>
      </c>
      <c r="DR38" s="708">
        <f>'POSF Inventory'!$GV30*'POSF Emiss by Zone'!$D$9*'POSF Zone Def'!$AC27</f>
        <v>0</v>
      </c>
      <c r="DS38" s="529">
        <f>SUM('POSF Inventory'!GW30,'POSF Inventory'!GY30)*$D$7*'POSF Zone Def'!$BB27</f>
        <v>0</v>
      </c>
      <c r="DT38" s="529">
        <f>SUM('POSF Inventory'!GX30,'POSF Inventory'!GZ30)*$D$9*'POSF Zone Def'!$BB27</f>
        <v>0</v>
      </c>
      <c r="DU38" s="529"/>
      <c r="DV38" s="529"/>
      <c r="DW38" s="529">
        <f>'POSF Inventory'!HA30*'POSF Emiss by Zone'!$D$7*'POSF Zone Def'!$BB27</f>
        <v>0</v>
      </c>
      <c r="DX38" s="524">
        <f>'POSF Inventory'!HB30*'POSF Emiss by Zone'!$D$9*'POSF Zone Def'!$BB27</f>
        <v>0</v>
      </c>
      <c r="DY38" s="474">
        <f>SUM('POSF Inventory'!GW30,'POSF Inventory'!GY30)*$D$7*'POSF Zone Def'!$BC27</f>
        <v>0</v>
      </c>
      <c r="DZ38" s="474">
        <f>SUM('POSF Inventory'!GX30,'POSF Inventory'!GZ30)*$D$9*'POSF Zone Def'!$BC27</f>
        <v>0</v>
      </c>
      <c r="EA38" s="474"/>
      <c r="EB38" s="474"/>
      <c r="EC38" s="474">
        <f>'POSF Inventory'!HA30*'POSF Emiss by Zone'!$D$7*'POSF Zone Def'!$BC27</f>
        <v>0</v>
      </c>
      <c r="ED38" s="134">
        <f>'POSF Inventory'!HB30*'POSF Emiss by Zone'!$D$9*'POSF Zone Def'!$BC27</f>
        <v>0</v>
      </c>
      <c r="EE38" s="235">
        <f>'POSF Inventory'!$CF30*'POSF Emiss by Zone'!$D$7*'POSF Zone Def'!$CE27</f>
        <v>0</v>
      </c>
      <c r="EF38" s="235">
        <f>'POSF Inventory'!$CG30*'POSF Emiss by Zone'!$D$9*'POSF Zone Def'!$CE27</f>
        <v>0</v>
      </c>
      <c r="EG38" s="235">
        <f>'POSF Inventory'!$CH30*'POSF Emiss by Zone'!$D$7*'POSF Zone Def'!$CE27</f>
        <v>0</v>
      </c>
      <c r="EH38" s="235">
        <f>'POSF Inventory'!$CI30*'POSF Emiss by Zone'!$D$9*'POSF Zone Def'!$CE27</f>
        <v>0</v>
      </c>
      <c r="EI38" s="235">
        <f>'POSF Inventory'!$CJ30*'POSF Emiss by Zone'!$D$7*'POSF Zone Def'!$CE27</f>
        <v>0</v>
      </c>
      <c r="EJ38" s="580">
        <f>'POSF Inventory'!$CK30*'POSF Emiss by Zone'!$D$9*'POSF Zone Def'!$CE27</f>
        <v>0</v>
      </c>
      <c r="EK38" s="235">
        <f>'POSF Inventory'!$CF30*'POSF Emiss by Zone'!$D$7*'POSF Zone Def'!$CF27</f>
        <v>0</v>
      </c>
      <c r="EL38" s="235">
        <f>'POSF Inventory'!$CG30*'POSF Emiss by Zone'!$D$9*'POSF Zone Def'!$CF27</f>
        <v>0</v>
      </c>
      <c r="EM38" s="235">
        <f>'POSF Inventory'!$CH30*'POSF Emiss by Zone'!$D$7*'POSF Zone Def'!$CF27</f>
        <v>0</v>
      </c>
      <c r="EN38" s="235">
        <f>'POSF Inventory'!$CI30*'POSF Emiss by Zone'!$D$9*'POSF Zone Def'!$CF27</f>
        <v>0</v>
      </c>
      <c r="EO38" s="235">
        <f>'POSF Inventory'!$CJ30*'POSF Emiss by Zone'!$D$7*'POSF Zone Def'!$CF27</f>
        <v>0</v>
      </c>
      <c r="EP38" s="580">
        <f>'POSF Inventory'!$CK30*'POSF Emiss by Zone'!$D$9*'POSF Zone Def'!$CF27</f>
        <v>0</v>
      </c>
      <c r="EQ38" s="235">
        <f>'POSF Inventory'!$CF30*'POSF Emiss by Zone'!$D$7*'POSF Zone Def'!$CG27</f>
        <v>0</v>
      </c>
      <c r="ER38" s="235">
        <f>'POSF Inventory'!$CG30*'POSF Emiss by Zone'!$D$9*'POSF Zone Def'!$CG27</f>
        <v>0</v>
      </c>
      <c r="ES38" s="235">
        <f>'POSF Inventory'!$CH30*'POSF Emiss by Zone'!$D$7*'POSF Zone Def'!$CG27</f>
        <v>0</v>
      </c>
      <c r="ET38" s="235">
        <f>'POSF Inventory'!$CI30*'POSF Emiss by Zone'!$D$9*'POSF Zone Def'!$CG27</f>
        <v>0</v>
      </c>
      <c r="EU38" s="235">
        <f>'POSF Inventory'!$CJ30*'POSF Emiss by Zone'!$D$7*'POSF Zone Def'!$CG27</f>
        <v>0</v>
      </c>
      <c r="EV38" s="580">
        <f>'POSF Inventory'!$CK30*'POSF Emiss by Zone'!$D$9*'POSF Zone Def'!$CG27</f>
        <v>0</v>
      </c>
      <c r="EW38" s="235">
        <f>'POSF Inventory'!$CF30*'POSF Emiss by Zone'!$D$7*'POSF Zone Def'!$CH27</f>
        <v>0</v>
      </c>
      <c r="EX38" s="235">
        <f>'POSF Inventory'!$CG30*'POSF Emiss by Zone'!$D$9*'POSF Zone Def'!$CH27</f>
        <v>0</v>
      </c>
      <c r="EY38" s="235">
        <f>'POSF Inventory'!$CH30*'POSF Emiss by Zone'!$D$7*'POSF Zone Def'!$CH27</f>
        <v>0</v>
      </c>
      <c r="EZ38" s="235">
        <f>'POSF Inventory'!$CI30*'POSF Emiss by Zone'!$D$9*'POSF Zone Def'!$CH27</f>
        <v>0</v>
      </c>
      <c r="FA38" s="235">
        <f>'POSF Inventory'!$CJ30*'POSF Emiss by Zone'!$D$7*'POSF Zone Def'!$CH27</f>
        <v>0</v>
      </c>
      <c r="FB38" s="580">
        <f>'POSF Inventory'!$CK30*'POSF Emiss by Zone'!$D$9*'POSF Zone Def'!$CH27</f>
        <v>0</v>
      </c>
      <c r="FC38" s="235">
        <f>'POSF Inventory'!$CF30*'POSF Emiss by Zone'!$D$7*'POSF Zone Def'!$CI27</f>
        <v>0</v>
      </c>
      <c r="FD38" s="235">
        <f>'POSF Inventory'!$CG30*'POSF Emiss by Zone'!$D$9*'POSF Zone Def'!$CI27</f>
        <v>0</v>
      </c>
      <c r="FE38" s="235">
        <f>'POSF Inventory'!$CH30*'POSF Emiss by Zone'!$D$7*'POSF Zone Def'!$CI27</f>
        <v>0</v>
      </c>
      <c r="FF38" s="235">
        <f>'POSF Inventory'!$CI30*'POSF Emiss by Zone'!$D$9*'POSF Zone Def'!$CI27</f>
        <v>0</v>
      </c>
      <c r="FG38" s="235">
        <f>'POSF Inventory'!$CJ30*'POSF Emiss by Zone'!$D$7*'POSF Zone Def'!$CI27</f>
        <v>0</v>
      </c>
      <c r="FH38" s="577">
        <f>'POSF Inventory'!$CK30*'POSF Emiss by Zone'!$D$9*'POSF Zone Def'!$CI27</f>
        <v>0</v>
      </c>
      <c r="FI38" s="595"/>
      <c r="FJ38" s="595"/>
      <c r="FM38" s="592">
        <v>21</v>
      </c>
      <c r="FN38" s="592">
        <f t="shared" si="0"/>
        <v>1975</v>
      </c>
      <c r="FO38" s="587">
        <v>18</v>
      </c>
      <c r="FP38" s="551">
        <f t="shared" si="20"/>
        <v>1.6045561349999999</v>
      </c>
      <c r="FQ38" s="529">
        <f t="shared" si="21"/>
        <v>1.6083539009999999</v>
      </c>
      <c r="FR38" s="529">
        <f t="shared" si="22"/>
        <v>0</v>
      </c>
      <c r="FS38" s="529">
        <f t="shared" si="23"/>
        <v>0</v>
      </c>
      <c r="FT38" s="529">
        <f t="shared" si="24"/>
        <v>1.1885601000000001</v>
      </c>
      <c r="FU38" s="524">
        <f t="shared" si="25"/>
        <v>1.1913732600000002</v>
      </c>
      <c r="FV38" s="474">
        <f t="shared" si="26"/>
        <v>1.6045561349999999</v>
      </c>
      <c r="FW38" s="474">
        <f t="shared" si="27"/>
        <v>1.6083539009999999</v>
      </c>
      <c r="FX38" s="474">
        <f t="shared" si="28"/>
        <v>0</v>
      </c>
      <c r="FY38" s="474">
        <f t="shared" si="29"/>
        <v>0</v>
      </c>
      <c r="FZ38" s="474">
        <f t="shared" si="30"/>
        <v>1.1885601000000001</v>
      </c>
      <c r="GA38" s="134">
        <f t="shared" si="31"/>
        <v>1.1913732600000002</v>
      </c>
      <c r="GB38" s="529">
        <f t="shared" si="32"/>
        <v>0</v>
      </c>
      <c r="GC38" s="529">
        <f t="shared" si="33"/>
        <v>0</v>
      </c>
      <c r="GD38" s="529">
        <f t="shared" si="34"/>
        <v>2.6838663663720119</v>
      </c>
      <c r="GE38" s="529">
        <f t="shared" si="35"/>
        <v>17.29051042880976</v>
      </c>
      <c r="GF38" s="529">
        <f t="shared" si="36"/>
        <v>1.9730413346613545</v>
      </c>
      <c r="GG38" s="524">
        <f t="shared" si="37"/>
        <v>1.9777112549800797</v>
      </c>
      <c r="GH38" s="474">
        <f t="shared" si="38"/>
        <v>0</v>
      </c>
      <c r="GI38" s="474">
        <f t="shared" si="39"/>
        <v>0</v>
      </c>
      <c r="GJ38" s="474">
        <f t="shared" si="40"/>
        <v>1.2452672146787851</v>
      </c>
      <c r="GK38" s="474">
        <f t="shared" si="41"/>
        <v>2.8704692278137451</v>
      </c>
      <c r="GL38" s="474">
        <f t="shared" si="42"/>
        <v>1.9730413346613545</v>
      </c>
      <c r="GM38" s="705">
        <f t="shared" si="43"/>
        <v>1.9777112549800797</v>
      </c>
      <c r="GN38" s="705">
        <f t="shared" si="44"/>
        <v>0</v>
      </c>
      <c r="GO38" s="705">
        <f t="shared" si="45"/>
        <v>0</v>
      </c>
      <c r="GP38" s="705">
        <f t="shared" si="46"/>
        <v>0</v>
      </c>
      <c r="GQ38" s="705">
        <f t="shared" si="47"/>
        <v>0</v>
      </c>
      <c r="GR38" s="705">
        <f t="shared" si="48"/>
        <v>0</v>
      </c>
      <c r="GS38" s="134">
        <f t="shared" si="49"/>
        <v>0</v>
      </c>
      <c r="GT38" s="529">
        <f t="shared" si="50"/>
        <v>2.0638136237015443E-2</v>
      </c>
      <c r="GU38" s="529">
        <f t="shared" si="51"/>
        <v>0.79906617220645182</v>
      </c>
      <c r="GV38" s="529">
        <f t="shared" si="52"/>
        <v>2.33122422310757E-3</v>
      </c>
      <c r="GW38" s="529">
        <f t="shared" si="53"/>
        <v>2.8819759458167337E-3</v>
      </c>
      <c r="GX38" s="529">
        <f t="shared" si="54"/>
        <v>8.5478221513944214E-3</v>
      </c>
      <c r="GY38" s="524">
        <f t="shared" si="55"/>
        <v>4.2268980538645418E-2</v>
      </c>
      <c r="GZ38" s="474">
        <f t="shared" si="56"/>
        <v>2.4312728691858682E-3</v>
      </c>
      <c r="HA38" s="474">
        <f t="shared" si="57"/>
        <v>8.8955914004913428E-2</v>
      </c>
      <c r="HB38" s="474">
        <f t="shared" si="58"/>
        <v>2.33122422310757E-3</v>
      </c>
      <c r="HC38" s="474">
        <f t="shared" si="59"/>
        <v>2.8819759458167337E-3</v>
      </c>
      <c r="HD38" s="474">
        <f t="shared" si="60"/>
        <v>8.5478221513944214E-3</v>
      </c>
      <c r="HE38" s="549">
        <f t="shared" si="61"/>
        <v>4.2268980538645418E-2</v>
      </c>
      <c r="HF38" s="235">
        <f t="shared" si="62"/>
        <v>0</v>
      </c>
      <c r="HG38" s="235">
        <f t="shared" si="63"/>
        <v>0</v>
      </c>
      <c r="HH38" s="235">
        <f t="shared" si="64"/>
        <v>0</v>
      </c>
      <c r="HI38" s="235">
        <f t="shared" si="65"/>
        <v>0</v>
      </c>
      <c r="HJ38" s="235">
        <f t="shared" si="66"/>
        <v>0</v>
      </c>
      <c r="HK38" s="580">
        <f t="shared" si="67"/>
        <v>0</v>
      </c>
      <c r="HL38" s="235">
        <f t="shared" si="68"/>
        <v>0</v>
      </c>
      <c r="HM38" s="235">
        <f t="shared" si="69"/>
        <v>0</v>
      </c>
      <c r="HN38" s="235">
        <f t="shared" si="70"/>
        <v>0</v>
      </c>
      <c r="HO38" s="235">
        <f t="shared" si="71"/>
        <v>0</v>
      </c>
      <c r="HP38" s="235">
        <f t="shared" si="72"/>
        <v>0</v>
      </c>
      <c r="HQ38" s="580">
        <f t="shared" si="73"/>
        <v>0</v>
      </c>
      <c r="HR38" s="235">
        <f t="shared" si="74"/>
        <v>0</v>
      </c>
      <c r="HS38" s="235">
        <f t="shared" si="75"/>
        <v>0</v>
      </c>
      <c r="HT38" s="235">
        <f t="shared" si="76"/>
        <v>0</v>
      </c>
      <c r="HU38" s="235">
        <f t="shared" si="77"/>
        <v>0</v>
      </c>
      <c r="HV38" s="235">
        <f t="shared" si="78"/>
        <v>0</v>
      </c>
      <c r="HW38" s="577">
        <f t="shared" si="79"/>
        <v>0</v>
      </c>
      <c r="HX38" s="235">
        <f t="shared" si="80"/>
        <v>1.0968375635503054</v>
      </c>
      <c r="HY38" s="235">
        <f t="shared" si="81"/>
        <v>42.467293721341349</v>
      </c>
      <c r="HZ38" s="235">
        <f t="shared" si="82"/>
        <v>0.12389560121115538</v>
      </c>
      <c r="IA38" s="235">
        <f t="shared" si="83"/>
        <v>0.15316593699729086</v>
      </c>
      <c r="IB38" s="235">
        <f t="shared" si="84"/>
        <v>0.45428387110756963</v>
      </c>
      <c r="IC38" s="235">
        <f t="shared" si="85"/>
        <v>2.2464337426269316</v>
      </c>
      <c r="ID38" s="235">
        <f t="shared" si="86"/>
        <v>0.12921280194773202</v>
      </c>
      <c r="IE38" s="235">
        <f t="shared" si="87"/>
        <v>4.7276646912303599</v>
      </c>
      <c r="IF38" s="235">
        <f t="shared" si="88"/>
        <v>0.12389560121115538</v>
      </c>
      <c r="IG38" s="235">
        <f t="shared" si="89"/>
        <v>0.15316593699729086</v>
      </c>
      <c r="IH38" s="235">
        <f t="shared" si="90"/>
        <v>0.45428387110756963</v>
      </c>
      <c r="II38" s="235">
        <f t="shared" si="91"/>
        <v>2.2464337426269316</v>
      </c>
      <c r="IJ38" s="235">
        <f t="shared" si="92"/>
        <v>0</v>
      </c>
      <c r="IK38" s="235">
        <f t="shared" si="93"/>
        <v>0</v>
      </c>
      <c r="IL38" s="235">
        <f t="shared" si="94"/>
        <v>0</v>
      </c>
      <c r="IM38" s="235">
        <f t="shared" si="95"/>
        <v>0</v>
      </c>
      <c r="IN38" s="235">
        <f t="shared" si="96"/>
        <v>0</v>
      </c>
      <c r="IO38" s="235">
        <f t="shared" si="97"/>
        <v>0</v>
      </c>
    </row>
    <row r="39" spans="1:249" ht="18" x14ac:dyDescent="0.25">
      <c r="A39" s="18">
        <v>1976</v>
      </c>
      <c r="B39" s="564"/>
      <c r="C39" s="529">
        <f>'POSF Inventory'!AD31*$D$5*'POSF Zone Def'!$M28</f>
        <v>2.2484011387499998</v>
      </c>
      <c r="D39" s="529">
        <f>'POSF Inventory'!AE31*$D$6*'POSF Zone Def'!$M28</f>
        <v>2.2537227982500001</v>
      </c>
      <c r="E39" s="529">
        <f>'POSF Inventory'!AF31*$D$5*'POSF Zone Def'!$M28</f>
        <v>0</v>
      </c>
      <c r="F39" s="529">
        <f>'POSF Inventory'!AG31*$D$6*'POSF Zone Def'!$M28</f>
        <v>0</v>
      </c>
      <c r="G39" s="529">
        <f>'POSF Inventory'!AH31*$D$5*'POSF Zone Def'!$M28</f>
        <v>1.6654823249999999</v>
      </c>
      <c r="H39" s="524">
        <f>'POSF Inventory'!AI31*$D$6*'POSF Zone Def'!$M28</f>
        <v>1.669424295</v>
      </c>
      <c r="I39" s="474">
        <f>'POSF Inventory'!AD31*$D$5*'POSF Zone Def'!$N28</f>
        <v>2.2484011387499998</v>
      </c>
      <c r="J39" s="474">
        <f>'POSF Inventory'!AE31*$D$6*'POSF Zone Def'!$N28</f>
        <v>2.2537227982500001</v>
      </c>
      <c r="K39" s="474">
        <f>'POSF Inventory'!AF31*$D$5*'POSF Zone Def'!$N28</f>
        <v>0</v>
      </c>
      <c r="L39" s="474">
        <f>'POSF Inventory'!AG31*$D$6*'POSF Zone Def'!$N28</f>
        <v>0</v>
      </c>
      <c r="M39" s="474">
        <f>'POSF Inventory'!AH31*$D$5*'POSF Zone Def'!$N28</f>
        <v>1.6654823249999999</v>
      </c>
      <c r="N39" s="485">
        <f>'POSF Inventory'!AI31*$D$6*'POSF Zone Def'!$N28</f>
        <v>1.669424295</v>
      </c>
      <c r="O39" s="529">
        <f>'POSF Inventory'!AJ31*$D$5*'POSF Zone Def'!$AP28</f>
        <v>0</v>
      </c>
      <c r="P39" s="529">
        <f>'POSF Inventory'!AK31*$D$6*'POSF Zone Def'!$AP28</f>
        <v>0</v>
      </c>
      <c r="Q39" s="529">
        <f>'POSF Inventory'!AL31*$D$5*'POSF Zone Def'!$AP28</f>
        <v>0</v>
      </c>
      <c r="R39" s="529">
        <f>'POSF Inventory'!AM31*$D$6*'POSF Zone Def'!$AP28</f>
        <v>0</v>
      </c>
      <c r="S39" s="529">
        <f>'POSF Inventory'!AN31*$D$5*'POSF Zone Def'!$AP28</f>
        <v>0</v>
      </c>
      <c r="T39" s="524">
        <f>'POSF Inventory'!AO31*$D$6*'POSF Zone Def'!$AP28</f>
        <v>0</v>
      </c>
      <c r="U39" s="474">
        <f>'POSF Inventory'!AJ31*$D$5*'POSF Zone Def'!$AQ28</f>
        <v>0</v>
      </c>
      <c r="V39" s="474">
        <f>'POSF Inventory'!AK31*$D$6*'POSF Zone Def'!$AQ28</f>
        <v>0</v>
      </c>
      <c r="W39" s="474">
        <f>'POSF Inventory'!AL31*$D$5*'POSF Zone Def'!$AQ28</f>
        <v>0</v>
      </c>
      <c r="X39" s="474">
        <f>'POSF Inventory'!AM31*$D$6*'POSF Zone Def'!$AQ28</f>
        <v>0</v>
      </c>
      <c r="Y39" s="474">
        <f>'POSF Inventory'!AN31*$D$5*'POSF Zone Def'!$AQ28</f>
        <v>0</v>
      </c>
      <c r="Z39" s="134">
        <f>'POSF Inventory'!AO31*$D$6*'POSF Zone Def'!$AQ28</f>
        <v>0</v>
      </c>
      <c r="AA39" s="529">
        <f>'POSF Inventory'!AV31*'POSF Emiss by Zone'!$D$5*'POSF Zone Def'!$M28</f>
        <v>0</v>
      </c>
      <c r="AB39" s="529">
        <f>'POSF Inventory'!AW31*'POSF Emiss by Zone'!$D$6*'POSF Zone Def'!$M28</f>
        <v>0</v>
      </c>
      <c r="AC39" s="529">
        <f>'POSF Inventory'!AX31*'POSF Emiss by Zone'!$D$5*'POSF Zone Def'!$M28</f>
        <v>1.4989340925000001</v>
      </c>
      <c r="AD39" s="529">
        <f>'POSF Inventory'!AY31*'POSF Emiss by Zone'!$D$6*'POSF Zone Def'!$M28</f>
        <v>1.5024818655000001</v>
      </c>
      <c r="AE39" s="529">
        <f>'POSF Inventory'!AZ31*'POSF Emiss by Zone'!$D$5*'POSF Zone Def'!$M28</f>
        <v>2.7758038750000003</v>
      </c>
      <c r="AF39" s="524">
        <f>'POSF Inventory'!BA31*'POSF Emiss by Zone'!$D$6*'POSF Zone Def'!$M28</f>
        <v>2.7823738250000001</v>
      </c>
      <c r="AG39" s="474">
        <f>'POSF Inventory'!AV31*'POSF Emiss by Zone'!$D$5*'POSF Zone Def'!$N28</f>
        <v>0</v>
      </c>
      <c r="AH39" s="474">
        <f>'POSF Inventory'!AW31*'POSF Emiss by Zone'!$D$6*'POSF Zone Def'!$N28</f>
        <v>0</v>
      </c>
      <c r="AI39" s="474">
        <f>'POSF Inventory'!AX31*'POSF Emiss by Zone'!$D$5*'POSF Zone Def'!$N28</f>
        <v>1.4989340925000001</v>
      </c>
      <c r="AJ39" s="474">
        <f>'POSF Inventory'!AY31*'POSF Emiss by Zone'!$D$6*'POSF Zone Def'!$N28</f>
        <v>1.5024818655000001</v>
      </c>
      <c r="AK39" s="474">
        <f>'POSF Inventory'!AZ31*'POSF Emiss by Zone'!$D$5*'POSF Zone Def'!$N28</f>
        <v>2.7758038750000003</v>
      </c>
      <c r="AL39" s="549">
        <f>'POSF Inventory'!BA31*'POSF Emiss by Zone'!$D$6*'POSF Zone Def'!$N28</f>
        <v>2.7823738250000001</v>
      </c>
      <c r="AM39" s="529">
        <f>'POSF Inventory'!BB31*'POSF Emiss by Zone'!$D$5*'POSF Zone Def'!$AP28</f>
        <v>0</v>
      </c>
      <c r="AN39" s="529">
        <f>'POSF Inventory'!BC31*'POSF Emiss by Zone'!$D$6*'POSF Zone Def'!$AP28</f>
        <v>0</v>
      </c>
      <c r="AO39" s="529">
        <f>'POSF Inventory'!BD31*'POSF Emiss by Zone'!$D$5*'POSF Zone Def'!$AP28</f>
        <v>0</v>
      </c>
      <c r="AP39" s="529">
        <f>'POSF Inventory'!BE31*'POSF Emiss by Zone'!$D$6*'POSF Zone Def'!$AP28</f>
        <v>0</v>
      </c>
      <c r="AQ39" s="529">
        <f>'POSF Inventory'!BF31*'POSF Emiss by Zone'!$D$5*'POSF Zone Def'!$AP28</f>
        <v>0</v>
      </c>
      <c r="AR39" s="524">
        <f>'POSF Inventory'!BG31*'POSF Emiss by Zone'!$D$6*'POSF Zone Def'!$AP28</f>
        <v>0</v>
      </c>
      <c r="AS39" s="474">
        <f>'POSF Inventory'!BB31*'POSF Emiss by Zone'!$D$5*'POSF Zone Def'!$AQ28</f>
        <v>0</v>
      </c>
      <c r="AT39" s="474">
        <f>'POSF Inventory'!BC31*'POSF Emiss by Zone'!$D$6*'POSF Zone Def'!$AQ28</f>
        <v>0</v>
      </c>
      <c r="AU39" s="474">
        <f>'POSF Inventory'!BD31*'POSF Emiss by Zone'!$D$5*'POSF Zone Def'!$AQ28</f>
        <v>0</v>
      </c>
      <c r="AV39" s="474">
        <f>'POSF Inventory'!BE31*'POSF Emiss by Zone'!$D$6*'POSF Zone Def'!$AQ28</f>
        <v>0</v>
      </c>
      <c r="AW39" s="474">
        <f>'POSF Inventory'!BF31*'POSF Emiss by Zone'!$D$5*'POSF Zone Def'!$AQ28</f>
        <v>0</v>
      </c>
      <c r="AX39" s="134">
        <f>'POSF Inventory'!BG31*'POSF Emiss by Zone'!$D$6*'POSF Zone Def'!$AQ28</f>
        <v>0</v>
      </c>
      <c r="AY39" s="529">
        <f>'POSF Inventory'!EA31*'POSF Emiss by Zone'!$D$5*'POSF Zone Def'!$Y28</f>
        <v>0</v>
      </c>
      <c r="AZ39" s="529">
        <f>'POSF Inventory'!EB31*'POSF Emiss by Zone'!$D$6*'POSF Zone Def'!$Y28</f>
        <v>0</v>
      </c>
      <c r="BA39" s="529">
        <f>'POSF Inventory'!EC31*'POSF Emiss by Zone'!$D$5*'POSF Zone Def'!$Y28</f>
        <v>2.0056783141687502</v>
      </c>
      <c r="BB39" s="529">
        <f>'POSF Inventory'!ED31*'POSF Emiss by Zone'!$D$6*'POSF Zone Def'!$Y28</f>
        <v>20.104254817762499</v>
      </c>
      <c r="BC39" s="529">
        <f>'POSF Inventory'!EE31*'POSF Emiss by Zone'!$D$5*'POSF Zone Def'!$Y28</f>
        <v>0</v>
      </c>
      <c r="BD39" s="524">
        <f>'POSF Inventory'!EF31*'POSF Emiss by Zone'!$D$6*'POSF Zone Def'!$Y28</f>
        <v>0</v>
      </c>
      <c r="BE39" s="474">
        <f>'POSF Inventory'!EA31*'POSF Emiss by Zone'!$D$5*'POSF Zone Def'!$Z28</f>
        <v>0</v>
      </c>
      <c r="BF39" s="474">
        <f>'POSF Inventory'!EB31*'POSF Emiss by Zone'!$D$6*'POSF Zone Def'!$Z28</f>
        <v>0</v>
      </c>
      <c r="BG39" s="474">
        <f>'POSF Inventory'!EC31*'POSF Emiss by Zone'!$D$5*'POSF Zone Def'!$Z28</f>
        <v>0.22285314601875006</v>
      </c>
      <c r="BH39" s="474">
        <f>'POSF Inventory'!ED31*'POSF Emiss by Zone'!$D$6*'POSF Zone Def'!$Z28</f>
        <v>2.2338060908625001</v>
      </c>
      <c r="BI39" s="474">
        <f>'POSF Inventory'!EE31*'POSF Emiss by Zone'!$D$5*'POSF Zone Def'!$Z28</f>
        <v>0</v>
      </c>
      <c r="BJ39" s="549">
        <f>'POSF Inventory'!EF31*'POSF Emiss by Zone'!$D$6*'POSF Zone Def'!$Z28</f>
        <v>0</v>
      </c>
      <c r="BK39" s="705">
        <f>'POSF Inventory'!$EA31*'POSF Emiss by Zone'!$D$5*'POSF Zone Def'!$AC28</f>
        <v>0</v>
      </c>
      <c r="BL39" s="705">
        <f>'POSF Inventory'!$EB31*'POSF Emiss by Zone'!$D$6*'POSF Zone Def'!$AC28</f>
        <v>0</v>
      </c>
      <c r="BM39" s="705">
        <f>'POSF Inventory'!$EC31*'POSF Emiss by Zone'!$D$5*'POSF Zone Def'!$AC28</f>
        <v>0</v>
      </c>
      <c r="BN39" s="705">
        <f>'POSF Inventory'!$ED31*'POSF Emiss by Zone'!$D$6*'POSF Zone Def'!$AC28</f>
        <v>0</v>
      </c>
      <c r="BO39" s="705">
        <f>'POSF Inventory'!$EE31*'POSF Emiss by Zone'!$D$5*'POSF Zone Def'!$AC28</f>
        <v>0</v>
      </c>
      <c r="BP39" s="708">
        <f>'POSF Inventory'!$EF31*'POSF Emiss by Zone'!$D$6*'POSF Zone Def'!$AC28</f>
        <v>0</v>
      </c>
      <c r="BQ39" s="529">
        <f>'POSF Inventory'!EG31*'POSF Emiss by Zone'!$D$5*'POSF Zone Def'!$BB28</f>
        <v>0</v>
      </c>
      <c r="BR39" s="529">
        <f>'POSF Inventory'!EH31*'POSF Emiss by Zone'!$D$6*'POSF Zone Def'!$BB28</f>
        <v>0</v>
      </c>
      <c r="BS39" s="529">
        <f>'POSF Inventory'!EI31*'POSF Emiss by Zone'!$D$5*'POSF Zone Def'!$BB28</f>
        <v>0</v>
      </c>
      <c r="BT39" s="529">
        <f>'POSF Inventory'!EJ31*'POSF Emiss by Zone'!$D$6*'POSF Zone Def'!$BB28</f>
        <v>0</v>
      </c>
      <c r="BU39" s="529">
        <f>'POSF Inventory'!EK31*'POSF Emiss by Zone'!$D$5*'POSF Zone Def'!$BB28</f>
        <v>0</v>
      </c>
      <c r="BV39" s="524">
        <f>'POSF Inventory'!EL31*'POSF Emiss by Zone'!$D$6*'POSF Zone Def'!$BB28</f>
        <v>0</v>
      </c>
      <c r="BW39" s="474">
        <f>'POSF Inventory'!EG31*'POSF Emiss by Zone'!$D$5*'POSF Zone Def'!$BC28</f>
        <v>0</v>
      </c>
      <c r="BX39" s="474">
        <f>'POSF Inventory'!EH31*'POSF Emiss by Zone'!$D$6*'POSF Zone Def'!$BC28</f>
        <v>0</v>
      </c>
      <c r="BY39" s="474">
        <f>'POSF Inventory'!EI31*'POSF Emiss by Zone'!$D$5*'POSF Zone Def'!$BC28</f>
        <v>0</v>
      </c>
      <c r="BZ39" s="474">
        <f>'POSF Inventory'!EJ31*'POSF Emiss by Zone'!$D$6*'POSF Zone Def'!$BC28</f>
        <v>0</v>
      </c>
      <c r="CA39" s="474">
        <f>'POSF Inventory'!EK31*'POSF Emiss by Zone'!$D$5*'POSF Zone Def'!$BC28</f>
        <v>0</v>
      </c>
      <c r="CB39" s="134">
        <f>'POSF Inventory'!EL31*'POSF Emiss by Zone'!$D$6*'POSF Zone Def'!$BC28</f>
        <v>0</v>
      </c>
      <c r="CC39" s="529">
        <f>'POSF Inventory'!GC31*'POSF Emiss by Zone'!$D$7*'POSF Zone Def'!$M28</f>
        <v>1.0511920000000001E-2</v>
      </c>
      <c r="CD39" s="529">
        <f>'POSF Inventory'!GD31*'POSF Emiss by Zone'!$D$9*'POSF Zone Def'!$M28</f>
        <v>1.2995361100000002E-2</v>
      </c>
      <c r="CE39" s="529">
        <f>'POSF Inventory'!GE31*'POSF Emiss by Zone'!$D$7*'POSF Zone Def'!$M28</f>
        <v>0.15767880000000001</v>
      </c>
      <c r="CF39" s="529">
        <f>'POSF Inventory'!GF31*'POSF Emiss by Zone'!$D$9*'POSF Zone Def'!$M28</f>
        <v>0.19493041650000001</v>
      </c>
      <c r="CG39" s="529">
        <f>'POSF Inventory'!GG31*'POSF Emiss by Zone'!$D$7*'POSF Zone Def'!$M28</f>
        <v>0.57815559999999999</v>
      </c>
      <c r="CH39" s="524">
        <f>'POSF Inventory'!GH31*'POSF Emiss by Zone'!$D$9*'POSF Zone Def'!$M28</f>
        <v>2.8589794420000003</v>
      </c>
      <c r="CI39" s="474">
        <f>'POSF Inventory'!GC31*'POSF Emiss by Zone'!$D$7*'POSF Zone Def'!$N28</f>
        <v>1.0511920000000001E-2</v>
      </c>
      <c r="CJ39" s="474">
        <f>'POSF Inventory'!GD31*'POSF Emiss by Zone'!$D$9*'POSF Zone Def'!$N28</f>
        <v>1.2995361100000002E-2</v>
      </c>
      <c r="CK39" s="474">
        <f>'POSF Inventory'!GE31*'POSF Emiss by Zone'!$D$7*'POSF Zone Def'!$N28</f>
        <v>0.15767880000000001</v>
      </c>
      <c r="CL39" s="474">
        <f>'POSF Inventory'!GF31*'POSF Emiss by Zone'!$D$9*'POSF Zone Def'!$N28</f>
        <v>0.19493041650000001</v>
      </c>
      <c r="CM39" s="474">
        <f>'POSF Inventory'!GG31*'POSF Emiss by Zone'!$D$7*'POSF Zone Def'!$N28</f>
        <v>0.57815559999999999</v>
      </c>
      <c r="CN39" s="485">
        <f>'POSF Inventory'!GH31*'POSF Emiss by Zone'!$D$9*'POSF Zone Def'!$N28</f>
        <v>2.8589794420000003</v>
      </c>
      <c r="CO39" s="529">
        <f>'POSF Inventory'!GI31*'POSF Emiss by Zone'!$D$7*'POSF Zone Def'!$AP28</f>
        <v>0</v>
      </c>
      <c r="CP39" s="529">
        <f>'POSF Inventory'!GJ31*'POSF Emiss by Zone'!$D$9*'POSF Zone Def'!$AP28</f>
        <v>0</v>
      </c>
      <c r="CQ39" s="529">
        <f>'POSF Inventory'!GK31*'POSF Emiss by Zone'!$D$7*'POSF Zone Def'!$AP28</f>
        <v>0</v>
      </c>
      <c r="CR39" s="529">
        <f>'POSF Inventory'!GL31*'POSF Emiss by Zone'!$D$9*'POSF Zone Def'!$AP28</f>
        <v>0</v>
      </c>
      <c r="CS39" s="529">
        <f>'POSF Inventory'!GM31*'POSF Emiss by Zone'!$D$7*'POSF Zone Def'!$AP28</f>
        <v>0</v>
      </c>
      <c r="CT39" s="524">
        <f>'POSF Inventory'!GN31*'POSF Emiss by Zone'!$D$9*'POSF Zone Def'!$AP28</f>
        <v>0</v>
      </c>
      <c r="CU39" s="474">
        <f>'POSF Inventory'!GI31*'POSF Emiss by Zone'!$D$7*'POSF Zone Def'!$AQ28</f>
        <v>0</v>
      </c>
      <c r="CV39" s="474">
        <f>'POSF Inventory'!GJ31*'POSF Emiss by Zone'!$D$9*'POSF Zone Def'!$AQ28</f>
        <v>0</v>
      </c>
      <c r="CW39" s="474">
        <f>'POSF Inventory'!GK31*'POSF Emiss by Zone'!$D$7*'POSF Zone Def'!$AQ28</f>
        <v>0</v>
      </c>
      <c r="CX39" s="474">
        <f>'POSF Inventory'!GL31*'POSF Emiss by Zone'!$D$9*'POSF Zone Def'!$AQ28</f>
        <v>0</v>
      </c>
      <c r="CY39" s="474">
        <f>'POSF Inventory'!GM31*'POSF Emiss by Zone'!$D$7*'POSF Zone Def'!$AQ28</f>
        <v>0</v>
      </c>
      <c r="CZ39" s="134">
        <f>'POSF Inventory'!GN31*'POSF Emiss by Zone'!$D$9*'POSF Zone Def'!$AQ28</f>
        <v>0</v>
      </c>
      <c r="DA39" s="529">
        <f>SUM('POSF Inventory'!GQ31,'POSF Inventory'!GS31)*'POSF Emiss by Zone'!$D$7*'POSF Zone Def'!$Y28</f>
        <v>1.2189580720591613</v>
      </c>
      <c r="DB39" s="529">
        <f>SUM('POSF Inventory'!GR31,'POSF Inventory'!GT31)*'POSF Emiss by Zone'!$D$9*'POSF Zone Def'!$Y28</f>
        <v>46.721681987745164</v>
      </c>
      <c r="DC39" s="529"/>
      <c r="DD39" s="529"/>
      <c r="DE39" s="529">
        <f>'POSF Inventory'!GU31*'POSF Emiss by Zone'!$D$7*'POSF Zone Def'!$Y28</f>
        <v>0</v>
      </c>
      <c r="DF39" s="524">
        <f>'POSF Inventory'!GV31*'POSF Emiss by Zone'!$D$9*'POSF Zone Def'!$Y28</f>
        <v>0</v>
      </c>
      <c r="DG39" s="474">
        <f>SUM('POSF Inventory'!GQ31,'POSF Inventory'!GS31)*'POSF Emiss by Zone'!$D$7*'POSF Zone Def'!$Z28</f>
        <v>0.13543978578435126</v>
      </c>
      <c r="DH39" s="474">
        <f>SUM('POSF Inventory'!GR31,'POSF Inventory'!GT31)*'POSF Emiss by Zone'!$D$9*'POSF Zone Def'!$Z28</f>
        <v>5.1912979986383512</v>
      </c>
      <c r="DI39" s="474"/>
      <c r="DJ39" s="474"/>
      <c r="DK39" s="474">
        <f>'POSF Inventory'!GU31*'POSF Emiss by Zone'!$D$7*'POSF Zone Def'!$Z28</f>
        <v>0</v>
      </c>
      <c r="DL39" s="485">
        <f>'POSF Inventory'!GV31*'POSF Emiss by Zone'!$D$9*'POSF Zone Def'!$Z28</f>
        <v>0</v>
      </c>
      <c r="DM39" s="705">
        <f>SUM('POSF Inventory'!$GQ31,'POSF Inventory'!$GS31)*'POSF Emiss by Zone'!$D$7*'POSF Zone Def'!$AC28</f>
        <v>0</v>
      </c>
      <c r="DN39" s="705">
        <f>SUM('POSF Inventory'!$GR31,'POSF Inventory'!$GT31)*'POSF Emiss by Zone'!$D$9*'POSF Zone Def'!$AC28</f>
        <v>0</v>
      </c>
      <c r="DO39" s="705"/>
      <c r="DP39" s="705"/>
      <c r="DQ39" s="705">
        <f>'POSF Inventory'!$GU31*'POSF Emiss by Zone'!$D$7*'POSF Zone Def'!$AC28</f>
        <v>0</v>
      </c>
      <c r="DR39" s="708">
        <f>'POSF Inventory'!$GV31*'POSF Emiss by Zone'!$D$9*'POSF Zone Def'!$AC28</f>
        <v>0</v>
      </c>
      <c r="DS39" s="529">
        <f>SUM('POSF Inventory'!GW31,'POSF Inventory'!GY31)*$D$7*'POSF Zone Def'!$BB28</f>
        <v>0</v>
      </c>
      <c r="DT39" s="529">
        <f>SUM('POSF Inventory'!GX31,'POSF Inventory'!GZ31)*$D$9*'POSF Zone Def'!$BB28</f>
        <v>0</v>
      </c>
      <c r="DU39" s="529"/>
      <c r="DV39" s="529"/>
      <c r="DW39" s="529">
        <f>'POSF Inventory'!HA31*'POSF Emiss by Zone'!$D$7*'POSF Zone Def'!$BB28</f>
        <v>0</v>
      </c>
      <c r="DX39" s="524">
        <f>'POSF Inventory'!HB31*'POSF Emiss by Zone'!$D$9*'POSF Zone Def'!$BB28</f>
        <v>0</v>
      </c>
      <c r="DY39" s="474">
        <f>SUM('POSF Inventory'!GW31,'POSF Inventory'!GY31)*$D$7*'POSF Zone Def'!$BC28</f>
        <v>0</v>
      </c>
      <c r="DZ39" s="474">
        <f>SUM('POSF Inventory'!GX31,'POSF Inventory'!GZ31)*$D$9*'POSF Zone Def'!$BC28</f>
        <v>0</v>
      </c>
      <c r="EA39" s="474"/>
      <c r="EB39" s="474"/>
      <c r="EC39" s="474">
        <f>'POSF Inventory'!HA31*'POSF Emiss by Zone'!$D$7*'POSF Zone Def'!$BC28</f>
        <v>0</v>
      </c>
      <c r="ED39" s="134">
        <f>'POSF Inventory'!HB31*'POSF Emiss by Zone'!$D$9*'POSF Zone Def'!$BC28</f>
        <v>0</v>
      </c>
      <c r="EE39" s="235">
        <f>'POSF Inventory'!$CF31*'POSF Emiss by Zone'!$D$7*'POSF Zone Def'!$CE28</f>
        <v>0</v>
      </c>
      <c r="EF39" s="235">
        <f>'POSF Inventory'!$CG31*'POSF Emiss by Zone'!$D$9*'POSF Zone Def'!$CE28</f>
        <v>0</v>
      </c>
      <c r="EG39" s="235">
        <f>'POSF Inventory'!$CH31*'POSF Emiss by Zone'!$D$7*'POSF Zone Def'!$CE28</f>
        <v>0</v>
      </c>
      <c r="EH39" s="235">
        <f>'POSF Inventory'!$CI31*'POSF Emiss by Zone'!$D$9*'POSF Zone Def'!$CE28</f>
        <v>0</v>
      </c>
      <c r="EI39" s="235">
        <f>'POSF Inventory'!$CJ31*'POSF Emiss by Zone'!$D$7*'POSF Zone Def'!$CE28</f>
        <v>0</v>
      </c>
      <c r="EJ39" s="580">
        <f>'POSF Inventory'!$CK31*'POSF Emiss by Zone'!$D$9*'POSF Zone Def'!$CE28</f>
        <v>0</v>
      </c>
      <c r="EK39" s="235">
        <f>'POSF Inventory'!$CF31*'POSF Emiss by Zone'!$D$7*'POSF Zone Def'!$CF28</f>
        <v>0</v>
      </c>
      <c r="EL39" s="235">
        <f>'POSF Inventory'!$CG31*'POSF Emiss by Zone'!$D$9*'POSF Zone Def'!$CF28</f>
        <v>0</v>
      </c>
      <c r="EM39" s="235">
        <f>'POSF Inventory'!$CH31*'POSF Emiss by Zone'!$D$7*'POSF Zone Def'!$CF28</f>
        <v>0</v>
      </c>
      <c r="EN39" s="235">
        <f>'POSF Inventory'!$CI31*'POSF Emiss by Zone'!$D$9*'POSF Zone Def'!$CF28</f>
        <v>0</v>
      </c>
      <c r="EO39" s="235">
        <f>'POSF Inventory'!$CJ31*'POSF Emiss by Zone'!$D$7*'POSF Zone Def'!$CF28</f>
        <v>0</v>
      </c>
      <c r="EP39" s="580">
        <f>'POSF Inventory'!$CK31*'POSF Emiss by Zone'!$D$9*'POSF Zone Def'!$CF28</f>
        <v>0</v>
      </c>
      <c r="EQ39" s="235">
        <f>'POSF Inventory'!$CF31*'POSF Emiss by Zone'!$D$7*'POSF Zone Def'!$CG28</f>
        <v>0</v>
      </c>
      <c r="ER39" s="235">
        <f>'POSF Inventory'!$CG31*'POSF Emiss by Zone'!$D$9*'POSF Zone Def'!$CG28</f>
        <v>0</v>
      </c>
      <c r="ES39" s="235">
        <f>'POSF Inventory'!$CH31*'POSF Emiss by Zone'!$D$7*'POSF Zone Def'!$CG28</f>
        <v>0</v>
      </c>
      <c r="ET39" s="235">
        <f>'POSF Inventory'!$CI31*'POSF Emiss by Zone'!$D$9*'POSF Zone Def'!$CG28</f>
        <v>0</v>
      </c>
      <c r="EU39" s="235">
        <f>'POSF Inventory'!$CJ31*'POSF Emiss by Zone'!$D$7*'POSF Zone Def'!$CG28</f>
        <v>0</v>
      </c>
      <c r="EV39" s="580">
        <f>'POSF Inventory'!$CK31*'POSF Emiss by Zone'!$D$9*'POSF Zone Def'!$CG28</f>
        <v>0</v>
      </c>
      <c r="EW39" s="235">
        <f>'POSF Inventory'!$CF31*'POSF Emiss by Zone'!$D$7*'POSF Zone Def'!$CH28</f>
        <v>0</v>
      </c>
      <c r="EX39" s="235">
        <f>'POSF Inventory'!$CG31*'POSF Emiss by Zone'!$D$9*'POSF Zone Def'!$CH28</f>
        <v>0</v>
      </c>
      <c r="EY39" s="235">
        <f>'POSF Inventory'!$CH31*'POSF Emiss by Zone'!$D$7*'POSF Zone Def'!$CH28</f>
        <v>0</v>
      </c>
      <c r="EZ39" s="235">
        <f>'POSF Inventory'!$CI31*'POSF Emiss by Zone'!$D$9*'POSF Zone Def'!$CH28</f>
        <v>0</v>
      </c>
      <c r="FA39" s="235">
        <f>'POSF Inventory'!$CJ31*'POSF Emiss by Zone'!$D$7*'POSF Zone Def'!$CH28</f>
        <v>0</v>
      </c>
      <c r="FB39" s="580">
        <f>'POSF Inventory'!$CK31*'POSF Emiss by Zone'!$D$9*'POSF Zone Def'!$CH28</f>
        <v>0</v>
      </c>
      <c r="FC39" s="235">
        <f>'POSF Inventory'!$CF31*'POSF Emiss by Zone'!$D$7*'POSF Zone Def'!$CI28</f>
        <v>0</v>
      </c>
      <c r="FD39" s="235">
        <f>'POSF Inventory'!$CG31*'POSF Emiss by Zone'!$D$9*'POSF Zone Def'!$CI28</f>
        <v>0</v>
      </c>
      <c r="FE39" s="235">
        <f>'POSF Inventory'!$CH31*'POSF Emiss by Zone'!$D$7*'POSF Zone Def'!$CI28</f>
        <v>0</v>
      </c>
      <c r="FF39" s="235">
        <f>'POSF Inventory'!$CI31*'POSF Emiss by Zone'!$D$9*'POSF Zone Def'!$CI28</f>
        <v>0</v>
      </c>
      <c r="FG39" s="235">
        <f>'POSF Inventory'!$CJ31*'POSF Emiss by Zone'!$D$7*'POSF Zone Def'!$CI28</f>
        <v>0</v>
      </c>
      <c r="FH39" s="577">
        <f>'POSF Inventory'!$CK31*'POSF Emiss by Zone'!$D$9*'POSF Zone Def'!$CI28</f>
        <v>0</v>
      </c>
      <c r="FI39" s="595"/>
      <c r="FJ39" s="595"/>
      <c r="FM39" s="592">
        <v>22</v>
      </c>
      <c r="FN39" s="592">
        <f t="shared" si="0"/>
        <v>1976</v>
      </c>
      <c r="FO39" s="587">
        <v>19</v>
      </c>
      <c r="FP39" s="551">
        <f t="shared" si="20"/>
        <v>2.2484011387499998</v>
      </c>
      <c r="FQ39" s="529">
        <f t="shared" si="21"/>
        <v>2.2537227982500001</v>
      </c>
      <c r="FR39" s="529">
        <f t="shared" si="22"/>
        <v>0</v>
      </c>
      <c r="FS39" s="529">
        <f t="shared" si="23"/>
        <v>0</v>
      </c>
      <c r="FT39" s="529">
        <f t="shared" si="24"/>
        <v>1.6654823249999999</v>
      </c>
      <c r="FU39" s="524">
        <f t="shared" si="25"/>
        <v>1.669424295</v>
      </c>
      <c r="FV39" s="474">
        <f t="shared" si="26"/>
        <v>2.2484011387499998</v>
      </c>
      <c r="FW39" s="474">
        <f t="shared" si="27"/>
        <v>2.2537227982500001</v>
      </c>
      <c r="FX39" s="474">
        <f t="shared" si="28"/>
        <v>0</v>
      </c>
      <c r="FY39" s="474">
        <f t="shared" si="29"/>
        <v>0</v>
      </c>
      <c r="FZ39" s="474">
        <f t="shared" si="30"/>
        <v>1.6654823249999999</v>
      </c>
      <c r="GA39" s="134">
        <f t="shared" si="31"/>
        <v>1.669424295</v>
      </c>
      <c r="GB39" s="529">
        <f t="shared" si="32"/>
        <v>0</v>
      </c>
      <c r="GC39" s="529">
        <f t="shared" si="33"/>
        <v>0</v>
      </c>
      <c r="GD39" s="529">
        <f t="shared" si="34"/>
        <v>3.4906498074389942</v>
      </c>
      <c r="GE39" s="529">
        <f t="shared" si="35"/>
        <v>21.520654066994521</v>
      </c>
      <c r="GF39" s="529">
        <f t="shared" si="36"/>
        <v>2.7647448954183269</v>
      </c>
      <c r="GG39" s="524">
        <f t="shared" si="37"/>
        <v>2.7712886703187252</v>
      </c>
      <c r="GH39" s="474">
        <f t="shared" si="38"/>
        <v>0</v>
      </c>
      <c r="GI39" s="474">
        <f t="shared" si="39"/>
        <v>0</v>
      </c>
      <c r="GJ39" s="474">
        <f t="shared" si="40"/>
        <v>1.7149275284051295</v>
      </c>
      <c r="GK39" s="474">
        <f t="shared" si="41"/>
        <v>3.7214023469746018</v>
      </c>
      <c r="GL39" s="474">
        <f t="shared" si="42"/>
        <v>2.7647448954183269</v>
      </c>
      <c r="GM39" s="705">
        <f t="shared" si="43"/>
        <v>2.7712886703187252</v>
      </c>
      <c r="GN39" s="705">
        <f t="shared" si="44"/>
        <v>0</v>
      </c>
      <c r="GO39" s="705">
        <f t="shared" si="45"/>
        <v>0</v>
      </c>
      <c r="GP39" s="705">
        <f t="shared" si="46"/>
        <v>0</v>
      </c>
      <c r="GQ39" s="705">
        <f t="shared" si="47"/>
        <v>0</v>
      </c>
      <c r="GR39" s="705">
        <f t="shared" si="48"/>
        <v>0</v>
      </c>
      <c r="GS39" s="134">
        <f t="shared" si="49"/>
        <v>0</v>
      </c>
      <c r="GT39" s="529">
        <f t="shared" si="50"/>
        <v>2.5471091468954734E-2</v>
      </c>
      <c r="GU39" s="529">
        <f t="shared" si="51"/>
        <v>0.96820845503583608</v>
      </c>
      <c r="GV39" s="529">
        <f t="shared" si="52"/>
        <v>3.2666524302788847E-3</v>
      </c>
      <c r="GW39" s="529">
        <f t="shared" si="53"/>
        <v>4.0383990669322712E-3</v>
      </c>
      <c r="GX39" s="529">
        <f t="shared" si="54"/>
        <v>1.1977725577689243E-2</v>
      </c>
      <c r="GY39" s="524">
        <f t="shared" si="55"/>
        <v>5.9229852981673319E-2</v>
      </c>
      <c r="GZ39" s="474">
        <f t="shared" si="56"/>
        <v>3.0237006776040899E-3</v>
      </c>
      <c r="HA39" s="474">
        <f t="shared" si="57"/>
        <v>0.1078180297635037</v>
      </c>
      <c r="HB39" s="474">
        <f t="shared" si="58"/>
        <v>3.2666524302788847E-3</v>
      </c>
      <c r="HC39" s="474">
        <f t="shared" si="59"/>
        <v>4.0383990669322712E-3</v>
      </c>
      <c r="HD39" s="474">
        <f t="shared" si="60"/>
        <v>1.1977725577689243E-2</v>
      </c>
      <c r="HE39" s="549">
        <f t="shared" si="61"/>
        <v>5.9229852981673319E-2</v>
      </c>
      <c r="HF39" s="235">
        <f t="shared" si="62"/>
        <v>0</v>
      </c>
      <c r="HG39" s="235">
        <f t="shared" si="63"/>
        <v>0</v>
      </c>
      <c r="HH39" s="235">
        <f t="shared" si="64"/>
        <v>0</v>
      </c>
      <c r="HI39" s="235">
        <f t="shared" si="65"/>
        <v>0</v>
      </c>
      <c r="HJ39" s="235">
        <f t="shared" si="66"/>
        <v>0</v>
      </c>
      <c r="HK39" s="580">
        <f t="shared" si="67"/>
        <v>0</v>
      </c>
      <c r="HL39" s="235">
        <f t="shared" si="68"/>
        <v>0</v>
      </c>
      <c r="HM39" s="235">
        <f t="shared" si="69"/>
        <v>0</v>
      </c>
      <c r="HN39" s="235">
        <f t="shared" si="70"/>
        <v>0</v>
      </c>
      <c r="HO39" s="235">
        <f t="shared" si="71"/>
        <v>0</v>
      </c>
      <c r="HP39" s="235">
        <f t="shared" si="72"/>
        <v>0</v>
      </c>
      <c r="HQ39" s="580">
        <f t="shared" si="73"/>
        <v>0</v>
      </c>
      <c r="HR39" s="235">
        <f t="shared" si="74"/>
        <v>0</v>
      </c>
      <c r="HS39" s="235">
        <f t="shared" si="75"/>
        <v>0</v>
      </c>
      <c r="HT39" s="235">
        <f t="shared" si="76"/>
        <v>0</v>
      </c>
      <c r="HU39" s="235">
        <f t="shared" si="77"/>
        <v>0</v>
      </c>
      <c r="HV39" s="235">
        <f t="shared" si="78"/>
        <v>0</v>
      </c>
      <c r="HW39" s="577">
        <f t="shared" si="79"/>
        <v>0</v>
      </c>
      <c r="HX39" s="235">
        <f t="shared" si="80"/>
        <v>1.3536905458385249</v>
      </c>
      <c r="HY39" s="235">
        <f t="shared" si="81"/>
        <v>51.456555506481465</v>
      </c>
      <c r="HZ39" s="235">
        <f t="shared" si="82"/>
        <v>0.17361001262151396</v>
      </c>
      <c r="IA39" s="235">
        <f t="shared" si="83"/>
        <v>0.21462537810334661</v>
      </c>
      <c r="IB39" s="235">
        <f t="shared" si="84"/>
        <v>0.63657004627888436</v>
      </c>
      <c r="IC39" s="235">
        <f t="shared" si="85"/>
        <v>3.1478388788490839</v>
      </c>
      <c r="ID39" s="235">
        <f t="shared" si="86"/>
        <v>0.16069806139666656</v>
      </c>
      <c r="IE39" s="235">
        <f t="shared" si="87"/>
        <v>5.7301135972003605</v>
      </c>
      <c r="IF39" s="235">
        <f t="shared" si="88"/>
        <v>0.17361001262151396</v>
      </c>
      <c r="IG39" s="235">
        <f t="shared" si="89"/>
        <v>0.21462537810334661</v>
      </c>
      <c r="IH39" s="235">
        <f t="shared" si="90"/>
        <v>0.63657004627888436</v>
      </c>
      <c r="II39" s="235">
        <f t="shared" si="91"/>
        <v>3.1478388788490839</v>
      </c>
      <c r="IJ39" s="235">
        <f t="shared" si="92"/>
        <v>0</v>
      </c>
      <c r="IK39" s="235">
        <f t="shared" si="93"/>
        <v>0</v>
      </c>
      <c r="IL39" s="235">
        <f t="shared" si="94"/>
        <v>0</v>
      </c>
      <c r="IM39" s="235">
        <f t="shared" si="95"/>
        <v>0</v>
      </c>
      <c r="IN39" s="235">
        <f t="shared" si="96"/>
        <v>0</v>
      </c>
      <c r="IO39" s="235">
        <f t="shared" si="97"/>
        <v>0</v>
      </c>
    </row>
    <row r="40" spans="1:249" ht="18" x14ac:dyDescent="0.25">
      <c r="A40" s="18">
        <v>1977</v>
      </c>
      <c r="B40" s="564"/>
      <c r="C40" s="529">
        <f>'POSF Inventory'!AD32*$D$5*'POSF Zone Def'!$M29</f>
        <v>2.8888752262499997</v>
      </c>
      <c r="D40" s="529">
        <f>'POSF Inventory'!AE32*$D$6*'POSF Zone Def'!$M29</f>
        <v>2.8957128007499997</v>
      </c>
      <c r="E40" s="529">
        <f>'POSF Inventory'!AF32*$D$5*'POSF Zone Def'!$M29</f>
        <v>0</v>
      </c>
      <c r="F40" s="529">
        <f>'POSF Inventory'!AG32*$D$6*'POSF Zone Def'!$M29</f>
        <v>0</v>
      </c>
      <c r="G40" s="529">
        <f>'POSF Inventory'!AH32*$D$5*'POSF Zone Def'!$M29</f>
        <v>2.1399075750000001</v>
      </c>
      <c r="H40" s="524">
        <f>'POSF Inventory'!AI32*$D$6*'POSF Zone Def'!$M29</f>
        <v>2.1449724450000001</v>
      </c>
      <c r="I40" s="474">
        <f>'POSF Inventory'!AD32*$D$5*'POSF Zone Def'!$N29</f>
        <v>2.8888752262499997</v>
      </c>
      <c r="J40" s="474">
        <f>'POSF Inventory'!AE32*$D$6*'POSF Zone Def'!$N29</f>
        <v>2.8957128007499997</v>
      </c>
      <c r="K40" s="474">
        <f>'POSF Inventory'!AF32*$D$5*'POSF Zone Def'!$N29</f>
        <v>0</v>
      </c>
      <c r="L40" s="474">
        <f>'POSF Inventory'!AG32*$D$6*'POSF Zone Def'!$N29</f>
        <v>0</v>
      </c>
      <c r="M40" s="474">
        <f>'POSF Inventory'!AH32*$D$5*'POSF Zone Def'!$N29</f>
        <v>2.1399075750000001</v>
      </c>
      <c r="N40" s="485">
        <f>'POSF Inventory'!AI32*$D$6*'POSF Zone Def'!$N29</f>
        <v>2.1449724450000001</v>
      </c>
      <c r="O40" s="529">
        <f>'POSF Inventory'!AJ32*$D$5*'POSF Zone Def'!$AP29</f>
        <v>0</v>
      </c>
      <c r="P40" s="529">
        <f>'POSF Inventory'!AK32*$D$6*'POSF Zone Def'!$AP29</f>
        <v>0</v>
      </c>
      <c r="Q40" s="529">
        <f>'POSF Inventory'!AL32*$D$5*'POSF Zone Def'!$AP29</f>
        <v>0</v>
      </c>
      <c r="R40" s="529">
        <f>'POSF Inventory'!AM32*$D$6*'POSF Zone Def'!$AP29</f>
        <v>0</v>
      </c>
      <c r="S40" s="529">
        <f>'POSF Inventory'!AN32*$D$5*'POSF Zone Def'!$AP29</f>
        <v>0</v>
      </c>
      <c r="T40" s="524">
        <f>'POSF Inventory'!AO32*$D$6*'POSF Zone Def'!$AP29</f>
        <v>0</v>
      </c>
      <c r="U40" s="474">
        <f>'POSF Inventory'!AJ32*$D$5*'POSF Zone Def'!$AQ29</f>
        <v>0</v>
      </c>
      <c r="V40" s="474">
        <f>'POSF Inventory'!AK32*$D$6*'POSF Zone Def'!$AQ29</f>
        <v>0</v>
      </c>
      <c r="W40" s="474">
        <f>'POSF Inventory'!AL32*$D$5*'POSF Zone Def'!$AQ29</f>
        <v>0</v>
      </c>
      <c r="X40" s="474">
        <f>'POSF Inventory'!AM32*$D$6*'POSF Zone Def'!$AQ29</f>
        <v>0</v>
      </c>
      <c r="Y40" s="474">
        <f>'POSF Inventory'!AN32*$D$5*'POSF Zone Def'!$AQ29</f>
        <v>0</v>
      </c>
      <c r="Z40" s="134">
        <f>'POSF Inventory'!AO32*$D$6*'POSF Zone Def'!$AQ29</f>
        <v>0</v>
      </c>
      <c r="AA40" s="529">
        <f>'POSF Inventory'!AV32*'POSF Emiss by Zone'!$D$5*'POSF Zone Def'!$M29</f>
        <v>0</v>
      </c>
      <c r="AB40" s="529">
        <f>'POSF Inventory'!AW32*'POSF Emiss by Zone'!$D$6*'POSF Zone Def'!$M29</f>
        <v>0</v>
      </c>
      <c r="AC40" s="529">
        <f>'POSF Inventory'!AX32*'POSF Emiss by Zone'!$D$5*'POSF Zone Def'!$M29</f>
        <v>1.9259168174999999</v>
      </c>
      <c r="AD40" s="529">
        <f>'POSF Inventory'!AY32*'POSF Emiss by Zone'!$D$6*'POSF Zone Def'!$M29</f>
        <v>1.9304752004999999</v>
      </c>
      <c r="AE40" s="529">
        <f>'POSF Inventory'!AZ32*'POSF Emiss by Zone'!$D$5*'POSF Zone Def'!$M29</f>
        <v>3.5665126249999997</v>
      </c>
      <c r="AF40" s="524">
        <f>'POSF Inventory'!BA32*'POSF Emiss by Zone'!$D$6*'POSF Zone Def'!$M29</f>
        <v>3.574954075</v>
      </c>
      <c r="AG40" s="474">
        <f>'POSF Inventory'!AV32*'POSF Emiss by Zone'!$D$5*'POSF Zone Def'!$N29</f>
        <v>0</v>
      </c>
      <c r="AH40" s="474">
        <f>'POSF Inventory'!AW32*'POSF Emiss by Zone'!$D$6*'POSF Zone Def'!$N29</f>
        <v>0</v>
      </c>
      <c r="AI40" s="474">
        <f>'POSF Inventory'!AX32*'POSF Emiss by Zone'!$D$5*'POSF Zone Def'!$N29</f>
        <v>1.9259168174999999</v>
      </c>
      <c r="AJ40" s="474">
        <f>'POSF Inventory'!AY32*'POSF Emiss by Zone'!$D$6*'POSF Zone Def'!$N29</f>
        <v>1.9304752004999999</v>
      </c>
      <c r="AK40" s="474">
        <f>'POSF Inventory'!AZ32*'POSF Emiss by Zone'!$D$5*'POSF Zone Def'!$N29</f>
        <v>3.5665126249999997</v>
      </c>
      <c r="AL40" s="549">
        <f>'POSF Inventory'!BA32*'POSF Emiss by Zone'!$D$6*'POSF Zone Def'!$N29</f>
        <v>3.574954075</v>
      </c>
      <c r="AM40" s="529">
        <f>'POSF Inventory'!BB32*'POSF Emiss by Zone'!$D$5*'POSF Zone Def'!$AP29</f>
        <v>0</v>
      </c>
      <c r="AN40" s="529">
        <f>'POSF Inventory'!BC32*'POSF Emiss by Zone'!$D$6*'POSF Zone Def'!$AP29</f>
        <v>0</v>
      </c>
      <c r="AO40" s="529">
        <f>'POSF Inventory'!BD32*'POSF Emiss by Zone'!$D$5*'POSF Zone Def'!$AP29</f>
        <v>0</v>
      </c>
      <c r="AP40" s="529">
        <f>'POSF Inventory'!BE32*'POSF Emiss by Zone'!$D$6*'POSF Zone Def'!$AP29</f>
        <v>0</v>
      </c>
      <c r="AQ40" s="529">
        <f>'POSF Inventory'!BF32*'POSF Emiss by Zone'!$D$5*'POSF Zone Def'!$AP29</f>
        <v>0</v>
      </c>
      <c r="AR40" s="524">
        <f>'POSF Inventory'!BG32*'POSF Emiss by Zone'!$D$6*'POSF Zone Def'!$AP29</f>
        <v>0</v>
      </c>
      <c r="AS40" s="474">
        <f>'POSF Inventory'!BB32*'POSF Emiss by Zone'!$D$5*'POSF Zone Def'!$AQ29</f>
        <v>0</v>
      </c>
      <c r="AT40" s="474">
        <f>'POSF Inventory'!BC32*'POSF Emiss by Zone'!$D$6*'POSF Zone Def'!$AQ29</f>
        <v>0</v>
      </c>
      <c r="AU40" s="474">
        <f>'POSF Inventory'!BD32*'POSF Emiss by Zone'!$D$5*'POSF Zone Def'!$AQ29</f>
        <v>0</v>
      </c>
      <c r="AV40" s="474">
        <f>'POSF Inventory'!BE32*'POSF Emiss by Zone'!$D$6*'POSF Zone Def'!$AQ29</f>
        <v>0</v>
      </c>
      <c r="AW40" s="474">
        <f>'POSF Inventory'!BF32*'POSF Emiss by Zone'!$D$5*'POSF Zone Def'!$AQ29</f>
        <v>0</v>
      </c>
      <c r="AX40" s="134">
        <f>'POSF Inventory'!BG32*'POSF Emiss by Zone'!$D$6*'POSF Zone Def'!$AQ29</f>
        <v>0</v>
      </c>
      <c r="AY40" s="529">
        <f>'POSF Inventory'!EA32*'POSF Emiss by Zone'!$D$5*'POSF Zone Def'!$Y29</f>
        <v>0</v>
      </c>
      <c r="AZ40" s="529">
        <f>'POSF Inventory'!EB32*'POSF Emiss by Zone'!$D$6*'POSF Zone Def'!$Y29</f>
        <v>0</v>
      </c>
      <c r="BA40" s="529">
        <f>'POSF Inventory'!EC32*'POSF Emiss by Zone'!$D$5*'POSF Zone Def'!$Y29</f>
        <v>2.6742377522249998</v>
      </c>
      <c r="BB40" s="529">
        <f>'POSF Inventory'!ED32*'POSF Emiss by Zone'!$D$6*'POSF Zone Def'!$Y29</f>
        <v>26.805673090349995</v>
      </c>
      <c r="BC40" s="529">
        <f>'POSF Inventory'!EE32*'POSF Emiss by Zone'!$D$5*'POSF Zone Def'!$Y29</f>
        <v>0</v>
      </c>
      <c r="BD40" s="524">
        <f>'POSF Inventory'!EF32*'POSF Emiss by Zone'!$D$6*'POSF Zone Def'!$Y29</f>
        <v>0</v>
      </c>
      <c r="BE40" s="474">
        <f>'POSF Inventory'!EA32*'POSF Emiss by Zone'!$D$5*'POSF Zone Def'!$Z29</f>
        <v>0</v>
      </c>
      <c r="BF40" s="474">
        <f>'POSF Inventory'!EB32*'POSF Emiss by Zone'!$D$6*'POSF Zone Def'!$Z29</f>
        <v>0</v>
      </c>
      <c r="BG40" s="474">
        <f>'POSF Inventory'!EC32*'POSF Emiss by Zone'!$D$5*'POSF Zone Def'!$Z29</f>
        <v>0.29713752802499999</v>
      </c>
      <c r="BH40" s="474">
        <f>'POSF Inventory'!ED32*'POSF Emiss by Zone'!$D$6*'POSF Zone Def'!$Z29</f>
        <v>2.9784081211499998</v>
      </c>
      <c r="BI40" s="474">
        <f>'POSF Inventory'!EE32*'POSF Emiss by Zone'!$D$5*'POSF Zone Def'!$Z29</f>
        <v>0</v>
      </c>
      <c r="BJ40" s="549">
        <f>'POSF Inventory'!EF32*'POSF Emiss by Zone'!$D$6*'POSF Zone Def'!$Z29</f>
        <v>0</v>
      </c>
      <c r="BK40" s="705">
        <f>'POSF Inventory'!$EA32*'POSF Emiss by Zone'!$D$5*'POSF Zone Def'!$AC29</f>
        <v>0</v>
      </c>
      <c r="BL40" s="705">
        <f>'POSF Inventory'!$EB32*'POSF Emiss by Zone'!$D$6*'POSF Zone Def'!$AC29</f>
        <v>0</v>
      </c>
      <c r="BM40" s="705">
        <f>'POSF Inventory'!$EC32*'POSF Emiss by Zone'!$D$5*'POSF Zone Def'!$AC29</f>
        <v>0</v>
      </c>
      <c r="BN40" s="705">
        <f>'POSF Inventory'!$ED32*'POSF Emiss by Zone'!$D$6*'POSF Zone Def'!$AC29</f>
        <v>0</v>
      </c>
      <c r="BO40" s="705">
        <f>'POSF Inventory'!$EE32*'POSF Emiss by Zone'!$D$5*'POSF Zone Def'!$AC29</f>
        <v>0</v>
      </c>
      <c r="BP40" s="708">
        <f>'POSF Inventory'!$EF32*'POSF Emiss by Zone'!$D$6*'POSF Zone Def'!$AC29</f>
        <v>0</v>
      </c>
      <c r="BQ40" s="529">
        <f>'POSF Inventory'!EG32*'POSF Emiss by Zone'!$D$5*'POSF Zone Def'!$BB29</f>
        <v>0</v>
      </c>
      <c r="BR40" s="529">
        <f>'POSF Inventory'!EH32*'POSF Emiss by Zone'!$D$6*'POSF Zone Def'!$BB29</f>
        <v>0</v>
      </c>
      <c r="BS40" s="529">
        <f>'POSF Inventory'!EI32*'POSF Emiss by Zone'!$D$5*'POSF Zone Def'!$BB29</f>
        <v>0</v>
      </c>
      <c r="BT40" s="529">
        <f>'POSF Inventory'!EJ32*'POSF Emiss by Zone'!$D$6*'POSF Zone Def'!$BB29</f>
        <v>0</v>
      </c>
      <c r="BU40" s="529">
        <f>'POSF Inventory'!EK32*'POSF Emiss by Zone'!$D$5*'POSF Zone Def'!$BB29</f>
        <v>0</v>
      </c>
      <c r="BV40" s="524">
        <f>'POSF Inventory'!EL32*'POSF Emiss by Zone'!$D$6*'POSF Zone Def'!$BB29</f>
        <v>0</v>
      </c>
      <c r="BW40" s="474">
        <f>'POSF Inventory'!EG32*'POSF Emiss by Zone'!$D$5*'POSF Zone Def'!$BC29</f>
        <v>0</v>
      </c>
      <c r="BX40" s="474">
        <f>'POSF Inventory'!EH32*'POSF Emiss by Zone'!$D$6*'POSF Zone Def'!$BC29</f>
        <v>0</v>
      </c>
      <c r="BY40" s="474">
        <f>'POSF Inventory'!EI32*'POSF Emiss by Zone'!$D$5*'POSF Zone Def'!$BC29</f>
        <v>0</v>
      </c>
      <c r="BZ40" s="474">
        <f>'POSF Inventory'!EJ32*'POSF Emiss by Zone'!$D$6*'POSF Zone Def'!$BC29</f>
        <v>0</v>
      </c>
      <c r="CA40" s="474">
        <f>'POSF Inventory'!EK32*'POSF Emiss by Zone'!$D$5*'POSF Zone Def'!$BC29</f>
        <v>0</v>
      </c>
      <c r="CB40" s="134">
        <f>'POSF Inventory'!EL32*'POSF Emiss by Zone'!$D$6*'POSF Zone Def'!$BC29</f>
        <v>0</v>
      </c>
      <c r="CC40" s="529">
        <f>'POSF Inventory'!GC32*'POSF Emiss by Zone'!$D$7*'POSF Zone Def'!$M29</f>
        <v>1.350632E-2</v>
      </c>
      <c r="CD40" s="529">
        <f>'POSF Inventory'!GD32*'POSF Emiss by Zone'!$D$9*'POSF Zone Def'!$M29</f>
        <v>1.66971881E-2</v>
      </c>
      <c r="CE40" s="529">
        <f>'POSF Inventory'!GE32*'POSF Emiss by Zone'!$D$7*'POSF Zone Def'!$M29</f>
        <v>0.20259479999999996</v>
      </c>
      <c r="CF40" s="529">
        <f>'POSF Inventory'!GF32*'POSF Emiss by Zone'!$D$9*'POSF Zone Def'!$M29</f>
        <v>0.25045782149999996</v>
      </c>
      <c r="CG40" s="529">
        <f>'POSF Inventory'!GG32*'POSF Emiss by Zone'!$D$7*'POSF Zone Def'!$M29</f>
        <v>0.74284760000000005</v>
      </c>
      <c r="CH40" s="524">
        <f>'POSF Inventory'!GH32*'POSF Emiss by Zone'!$D$9*'POSF Zone Def'!$M29</f>
        <v>3.6733813820000001</v>
      </c>
      <c r="CI40" s="474">
        <f>'POSF Inventory'!GC32*'POSF Emiss by Zone'!$D$7*'POSF Zone Def'!$N29</f>
        <v>1.350632E-2</v>
      </c>
      <c r="CJ40" s="474">
        <f>'POSF Inventory'!GD32*'POSF Emiss by Zone'!$D$9*'POSF Zone Def'!$N29</f>
        <v>1.66971881E-2</v>
      </c>
      <c r="CK40" s="474">
        <f>'POSF Inventory'!GE32*'POSF Emiss by Zone'!$D$7*'POSF Zone Def'!$N29</f>
        <v>0.20259479999999996</v>
      </c>
      <c r="CL40" s="474">
        <f>'POSF Inventory'!GF32*'POSF Emiss by Zone'!$D$9*'POSF Zone Def'!$N29</f>
        <v>0.25045782149999996</v>
      </c>
      <c r="CM40" s="474">
        <f>'POSF Inventory'!GG32*'POSF Emiss by Zone'!$D$7*'POSF Zone Def'!$N29</f>
        <v>0.74284760000000005</v>
      </c>
      <c r="CN40" s="485">
        <f>'POSF Inventory'!GH32*'POSF Emiss by Zone'!$D$9*'POSF Zone Def'!$N29</f>
        <v>3.6733813820000001</v>
      </c>
      <c r="CO40" s="529">
        <f>'POSF Inventory'!GI32*'POSF Emiss by Zone'!$D$7*'POSF Zone Def'!$AP29</f>
        <v>0</v>
      </c>
      <c r="CP40" s="529">
        <f>'POSF Inventory'!GJ32*'POSF Emiss by Zone'!$D$9*'POSF Zone Def'!$AP29</f>
        <v>0</v>
      </c>
      <c r="CQ40" s="529">
        <f>'POSF Inventory'!GK32*'POSF Emiss by Zone'!$D$7*'POSF Zone Def'!$AP29</f>
        <v>0</v>
      </c>
      <c r="CR40" s="529">
        <f>'POSF Inventory'!GL32*'POSF Emiss by Zone'!$D$9*'POSF Zone Def'!$AP29</f>
        <v>0</v>
      </c>
      <c r="CS40" s="529">
        <f>'POSF Inventory'!GM32*'POSF Emiss by Zone'!$D$7*'POSF Zone Def'!$AP29</f>
        <v>0</v>
      </c>
      <c r="CT40" s="524">
        <f>'POSF Inventory'!GN32*'POSF Emiss by Zone'!$D$9*'POSF Zone Def'!$AP29</f>
        <v>0</v>
      </c>
      <c r="CU40" s="474">
        <f>'POSF Inventory'!GI32*'POSF Emiss by Zone'!$D$7*'POSF Zone Def'!$AQ29</f>
        <v>0</v>
      </c>
      <c r="CV40" s="474">
        <f>'POSF Inventory'!GJ32*'POSF Emiss by Zone'!$D$9*'POSF Zone Def'!$AQ29</f>
        <v>0</v>
      </c>
      <c r="CW40" s="474">
        <f>'POSF Inventory'!GK32*'POSF Emiss by Zone'!$D$7*'POSF Zone Def'!$AQ29</f>
        <v>0</v>
      </c>
      <c r="CX40" s="474">
        <f>'POSF Inventory'!GL32*'POSF Emiss by Zone'!$D$9*'POSF Zone Def'!$AQ29</f>
        <v>0</v>
      </c>
      <c r="CY40" s="474">
        <f>'POSF Inventory'!GM32*'POSF Emiss by Zone'!$D$7*'POSF Zone Def'!$AQ29</f>
        <v>0</v>
      </c>
      <c r="CZ40" s="134">
        <f>'POSF Inventory'!GN32*'POSF Emiss by Zone'!$D$9*'POSF Zone Def'!$AQ29</f>
        <v>0</v>
      </c>
      <c r="DA40" s="529">
        <f>SUM('POSF Inventory'!GQ32,'POSF Inventory'!GS32)*'POSF Emiss by Zone'!$D$7*'POSF Zone Def'!$Y29</f>
        <v>1.6227022744204653</v>
      </c>
      <c r="DB40" s="529">
        <f>SUM('POSF Inventory'!GR32,'POSF Inventory'!GT32)*'POSF Emiss by Zone'!$D$9*'POSF Zone Def'!$Y29</f>
        <v>60.703808304384744</v>
      </c>
      <c r="DC40" s="529"/>
      <c r="DD40" s="529"/>
      <c r="DE40" s="529">
        <f>'POSF Inventory'!GU32*'POSF Emiss by Zone'!$D$7*'POSF Zone Def'!$Y29</f>
        <v>0</v>
      </c>
      <c r="DF40" s="524">
        <f>'POSF Inventory'!GV32*'POSF Emiss by Zone'!$D$9*'POSF Zone Def'!$Y29</f>
        <v>0</v>
      </c>
      <c r="DG40" s="474">
        <f>SUM('POSF Inventory'!GQ32,'POSF Inventory'!GS32)*'POSF Emiss by Zone'!$D$7*'POSF Zone Def'!$Z29</f>
        <v>0.18030025271338504</v>
      </c>
      <c r="DH40" s="474">
        <f>SUM('POSF Inventory'!GR32,'POSF Inventory'!GT32)*'POSF Emiss by Zone'!$D$9*'POSF Zone Def'!$Z29</f>
        <v>6.7448675893760823</v>
      </c>
      <c r="DI40" s="474"/>
      <c r="DJ40" s="474"/>
      <c r="DK40" s="474">
        <f>'POSF Inventory'!GU32*'POSF Emiss by Zone'!$D$7*'POSF Zone Def'!$Z29</f>
        <v>0</v>
      </c>
      <c r="DL40" s="485">
        <f>'POSF Inventory'!GV32*'POSF Emiss by Zone'!$D$9*'POSF Zone Def'!$Z29</f>
        <v>0</v>
      </c>
      <c r="DM40" s="705">
        <f>SUM('POSF Inventory'!$GQ32,'POSF Inventory'!$GS32)*'POSF Emiss by Zone'!$D$7*'POSF Zone Def'!$AC29</f>
        <v>0</v>
      </c>
      <c r="DN40" s="705">
        <f>SUM('POSF Inventory'!$GR32,'POSF Inventory'!$GT32)*'POSF Emiss by Zone'!$D$9*'POSF Zone Def'!$AC29</f>
        <v>0</v>
      </c>
      <c r="DO40" s="705"/>
      <c r="DP40" s="705"/>
      <c r="DQ40" s="705">
        <f>'POSF Inventory'!$GU32*'POSF Emiss by Zone'!$D$7*'POSF Zone Def'!$AC29</f>
        <v>0</v>
      </c>
      <c r="DR40" s="708">
        <f>'POSF Inventory'!$GV32*'POSF Emiss by Zone'!$D$9*'POSF Zone Def'!$AC29</f>
        <v>0</v>
      </c>
      <c r="DS40" s="529">
        <f>SUM('POSF Inventory'!GW32,'POSF Inventory'!GY32)*$D$7*'POSF Zone Def'!$BB29</f>
        <v>0</v>
      </c>
      <c r="DT40" s="529">
        <f>SUM('POSF Inventory'!GX32,'POSF Inventory'!GZ32)*$D$9*'POSF Zone Def'!$BB29</f>
        <v>0</v>
      </c>
      <c r="DU40" s="529"/>
      <c r="DV40" s="529"/>
      <c r="DW40" s="529">
        <f>'POSF Inventory'!HA32*'POSF Emiss by Zone'!$D$7*'POSF Zone Def'!$BB29</f>
        <v>0</v>
      </c>
      <c r="DX40" s="524">
        <f>'POSF Inventory'!HB32*'POSF Emiss by Zone'!$D$9*'POSF Zone Def'!$BB29</f>
        <v>0</v>
      </c>
      <c r="DY40" s="474">
        <f>SUM('POSF Inventory'!GW32,'POSF Inventory'!GY32)*$D$7*'POSF Zone Def'!$BC29</f>
        <v>0</v>
      </c>
      <c r="DZ40" s="474">
        <f>SUM('POSF Inventory'!GX32,'POSF Inventory'!GZ32)*$D$9*'POSF Zone Def'!$BC29</f>
        <v>0</v>
      </c>
      <c r="EA40" s="474"/>
      <c r="EB40" s="474"/>
      <c r="EC40" s="474">
        <f>'POSF Inventory'!HA32*'POSF Emiss by Zone'!$D$7*'POSF Zone Def'!$BC29</f>
        <v>0</v>
      </c>
      <c r="ED40" s="134">
        <f>'POSF Inventory'!HB32*'POSF Emiss by Zone'!$D$9*'POSF Zone Def'!$BC29</f>
        <v>0</v>
      </c>
      <c r="EE40" s="235">
        <f>'POSF Inventory'!$CF32*'POSF Emiss by Zone'!$D$7*'POSF Zone Def'!$CE29</f>
        <v>0</v>
      </c>
      <c r="EF40" s="235">
        <f>'POSF Inventory'!$CG32*'POSF Emiss by Zone'!$D$9*'POSF Zone Def'!$CE29</f>
        <v>0</v>
      </c>
      <c r="EG40" s="235">
        <f>'POSF Inventory'!$CH32*'POSF Emiss by Zone'!$D$7*'POSF Zone Def'!$CE29</f>
        <v>0</v>
      </c>
      <c r="EH40" s="235">
        <f>'POSF Inventory'!$CI32*'POSF Emiss by Zone'!$D$9*'POSF Zone Def'!$CE29</f>
        <v>0</v>
      </c>
      <c r="EI40" s="235">
        <f>'POSF Inventory'!$CJ32*'POSF Emiss by Zone'!$D$7*'POSF Zone Def'!$CE29</f>
        <v>0</v>
      </c>
      <c r="EJ40" s="580">
        <f>'POSF Inventory'!$CK32*'POSF Emiss by Zone'!$D$9*'POSF Zone Def'!$CE29</f>
        <v>0</v>
      </c>
      <c r="EK40" s="235">
        <f>'POSF Inventory'!$CF32*'POSF Emiss by Zone'!$D$7*'POSF Zone Def'!$CF29</f>
        <v>0</v>
      </c>
      <c r="EL40" s="235">
        <f>'POSF Inventory'!$CG32*'POSF Emiss by Zone'!$D$9*'POSF Zone Def'!$CF29</f>
        <v>0</v>
      </c>
      <c r="EM40" s="235">
        <f>'POSF Inventory'!$CH32*'POSF Emiss by Zone'!$D$7*'POSF Zone Def'!$CF29</f>
        <v>0</v>
      </c>
      <c r="EN40" s="235">
        <f>'POSF Inventory'!$CI32*'POSF Emiss by Zone'!$D$9*'POSF Zone Def'!$CF29</f>
        <v>0</v>
      </c>
      <c r="EO40" s="235">
        <f>'POSF Inventory'!$CJ32*'POSF Emiss by Zone'!$D$7*'POSF Zone Def'!$CF29</f>
        <v>0</v>
      </c>
      <c r="EP40" s="580">
        <f>'POSF Inventory'!$CK32*'POSF Emiss by Zone'!$D$9*'POSF Zone Def'!$CF29</f>
        <v>0</v>
      </c>
      <c r="EQ40" s="235">
        <f>'POSF Inventory'!$CF32*'POSF Emiss by Zone'!$D$7*'POSF Zone Def'!$CG29</f>
        <v>0</v>
      </c>
      <c r="ER40" s="235">
        <f>'POSF Inventory'!$CG32*'POSF Emiss by Zone'!$D$9*'POSF Zone Def'!$CG29</f>
        <v>0</v>
      </c>
      <c r="ES40" s="235">
        <f>'POSF Inventory'!$CH32*'POSF Emiss by Zone'!$D$7*'POSF Zone Def'!$CG29</f>
        <v>0</v>
      </c>
      <c r="ET40" s="235">
        <f>'POSF Inventory'!$CI32*'POSF Emiss by Zone'!$D$9*'POSF Zone Def'!$CG29</f>
        <v>0</v>
      </c>
      <c r="EU40" s="235">
        <f>'POSF Inventory'!$CJ32*'POSF Emiss by Zone'!$D$7*'POSF Zone Def'!$CG29</f>
        <v>0</v>
      </c>
      <c r="EV40" s="580">
        <f>'POSF Inventory'!$CK32*'POSF Emiss by Zone'!$D$9*'POSF Zone Def'!$CG29</f>
        <v>0</v>
      </c>
      <c r="EW40" s="235">
        <f>'POSF Inventory'!$CF32*'POSF Emiss by Zone'!$D$7*'POSF Zone Def'!$CH29</f>
        <v>0</v>
      </c>
      <c r="EX40" s="235">
        <f>'POSF Inventory'!$CG32*'POSF Emiss by Zone'!$D$9*'POSF Zone Def'!$CH29</f>
        <v>0</v>
      </c>
      <c r="EY40" s="235">
        <f>'POSF Inventory'!$CH32*'POSF Emiss by Zone'!$D$7*'POSF Zone Def'!$CH29</f>
        <v>0</v>
      </c>
      <c r="EZ40" s="235">
        <f>'POSF Inventory'!$CI32*'POSF Emiss by Zone'!$D$9*'POSF Zone Def'!$CH29</f>
        <v>0</v>
      </c>
      <c r="FA40" s="235">
        <f>'POSF Inventory'!$CJ32*'POSF Emiss by Zone'!$D$7*'POSF Zone Def'!$CH29</f>
        <v>0</v>
      </c>
      <c r="FB40" s="580">
        <f>'POSF Inventory'!$CK32*'POSF Emiss by Zone'!$D$9*'POSF Zone Def'!$CH29</f>
        <v>0</v>
      </c>
      <c r="FC40" s="235">
        <f>'POSF Inventory'!$CF32*'POSF Emiss by Zone'!$D$7*'POSF Zone Def'!$CI29</f>
        <v>0</v>
      </c>
      <c r="FD40" s="235">
        <f>'POSF Inventory'!$CG32*'POSF Emiss by Zone'!$D$9*'POSF Zone Def'!$CI29</f>
        <v>0</v>
      </c>
      <c r="FE40" s="235">
        <f>'POSF Inventory'!$CH32*'POSF Emiss by Zone'!$D$7*'POSF Zone Def'!$CI29</f>
        <v>0</v>
      </c>
      <c r="FF40" s="235">
        <f>'POSF Inventory'!$CI32*'POSF Emiss by Zone'!$D$9*'POSF Zone Def'!$CI29</f>
        <v>0</v>
      </c>
      <c r="FG40" s="235">
        <f>'POSF Inventory'!$CJ32*'POSF Emiss by Zone'!$D$7*'POSF Zone Def'!$CI29</f>
        <v>0</v>
      </c>
      <c r="FH40" s="577">
        <f>'POSF Inventory'!$CK32*'POSF Emiss by Zone'!$D$9*'POSF Zone Def'!$CI29</f>
        <v>0</v>
      </c>
      <c r="FI40" s="595"/>
      <c r="FJ40" s="595"/>
      <c r="FM40" s="592">
        <v>23</v>
      </c>
      <c r="FN40" s="592">
        <f t="shared" si="0"/>
        <v>1977</v>
      </c>
      <c r="FO40" s="587">
        <v>20</v>
      </c>
      <c r="FP40" s="551">
        <f t="shared" si="20"/>
        <v>2.8888752262499997</v>
      </c>
      <c r="FQ40" s="529">
        <f t="shared" si="21"/>
        <v>2.8957128007499997</v>
      </c>
      <c r="FR40" s="529">
        <f t="shared" si="22"/>
        <v>0</v>
      </c>
      <c r="FS40" s="529">
        <f t="shared" si="23"/>
        <v>0</v>
      </c>
      <c r="FT40" s="529">
        <f t="shared" si="24"/>
        <v>2.1399075750000001</v>
      </c>
      <c r="FU40" s="524">
        <f t="shared" si="25"/>
        <v>2.1449724450000001</v>
      </c>
      <c r="FV40" s="474">
        <f t="shared" si="26"/>
        <v>2.8888752262499997</v>
      </c>
      <c r="FW40" s="474">
        <f t="shared" si="27"/>
        <v>2.8957128007499997</v>
      </c>
      <c r="FX40" s="474">
        <f t="shared" si="28"/>
        <v>0</v>
      </c>
      <c r="FY40" s="474">
        <f t="shared" si="29"/>
        <v>0</v>
      </c>
      <c r="FZ40" s="474">
        <f t="shared" si="30"/>
        <v>2.1399075750000001</v>
      </c>
      <c r="GA40" s="134">
        <f t="shared" si="31"/>
        <v>2.1449724450000001</v>
      </c>
      <c r="GB40" s="529">
        <f t="shared" si="32"/>
        <v>0</v>
      </c>
      <c r="GC40" s="529">
        <f t="shared" si="33"/>
        <v>0</v>
      </c>
      <c r="GD40" s="529">
        <f t="shared" si="34"/>
        <v>4.5818272606822701</v>
      </c>
      <c r="GE40" s="529">
        <f t="shared" si="35"/>
        <v>28.621661644272901</v>
      </c>
      <c r="GF40" s="529">
        <f t="shared" si="36"/>
        <v>3.5523034113545813</v>
      </c>
      <c r="GG40" s="524">
        <f t="shared" si="37"/>
        <v>3.560711230079681</v>
      </c>
      <c r="GH40" s="474">
        <f t="shared" si="38"/>
        <v>0</v>
      </c>
      <c r="GI40" s="474">
        <f t="shared" si="39"/>
        <v>0</v>
      </c>
      <c r="GJ40" s="474">
        <f t="shared" si="40"/>
        <v>2.2141975553037847</v>
      </c>
      <c r="GK40" s="474">
        <f t="shared" si="41"/>
        <v>4.8893260175796804</v>
      </c>
      <c r="GL40" s="474">
        <f t="shared" si="42"/>
        <v>3.5523034113545813</v>
      </c>
      <c r="GM40" s="705">
        <f t="shared" si="43"/>
        <v>3.560711230079681</v>
      </c>
      <c r="GN40" s="705">
        <f t="shared" si="44"/>
        <v>0</v>
      </c>
      <c r="GO40" s="705">
        <f t="shared" si="45"/>
        <v>0</v>
      </c>
      <c r="GP40" s="705">
        <f t="shared" si="46"/>
        <v>0</v>
      </c>
      <c r="GQ40" s="705">
        <f t="shared" si="47"/>
        <v>0</v>
      </c>
      <c r="GR40" s="705">
        <f t="shared" si="48"/>
        <v>0</v>
      </c>
      <c r="GS40" s="134">
        <f t="shared" si="49"/>
        <v>0</v>
      </c>
      <c r="GT40" s="529">
        <f t="shared" si="50"/>
        <v>3.3897548569667008E-2</v>
      </c>
      <c r="GU40" s="529">
        <f t="shared" si="51"/>
        <v>1.2579546954618352</v>
      </c>
      <c r="GV40" s="529">
        <f t="shared" si="52"/>
        <v>4.1971831075697207E-3</v>
      </c>
      <c r="GW40" s="529">
        <f t="shared" si="53"/>
        <v>5.1887676167330669E-3</v>
      </c>
      <c r="GX40" s="529">
        <f t="shared" si="54"/>
        <v>1.5389671394422311E-2</v>
      </c>
      <c r="GY40" s="524">
        <f t="shared" si="55"/>
        <v>7.6101925045418323E-2</v>
      </c>
      <c r="GZ40" s="474">
        <f t="shared" si="56"/>
        <v>4.0151162474486145E-3</v>
      </c>
      <c r="HA40" s="474">
        <f t="shared" si="57"/>
        <v>0.14008022646563995</v>
      </c>
      <c r="HB40" s="474">
        <f t="shared" si="58"/>
        <v>4.1971831075697207E-3</v>
      </c>
      <c r="HC40" s="474">
        <f t="shared" si="59"/>
        <v>5.1887676167330669E-3</v>
      </c>
      <c r="HD40" s="474">
        <f t="shared" si="60"/>
        <v>1.5389671394422311E-2</v>
      </c>
      <c r="HE40" s="549">
        <f t="shared" si="61"/>
        <v>7.6101925045418323E-2</v>
      </c>
      <c r="HF40" s="235">
        <f t="shared" si="62"/>
        <v>0</v>
      </c>
      <c r="HG40" s="235">
        <f t="shared" si="63"/>
        <v>0</v>
      </c>
      <c r="HH40" s="235">
        <f t="shared" si="64"/>
        <v>0</v>
      </c>
      <c r="HI40" s="235">
        <f t="shared" si="65"/>
        <v>0</v>
      </c>
      <c r="HJ40" s="235">
        <f t="shared" si="66"/>
        <v>0</v>
      </c>
      <c r="HK40" s="580">
        <f t="shared" si="67"/>
        <v>0</v>
      </c>
      <c r="HL40" s="235">
        <f t="shared" si="68"/>
        <v>0</v>
      </c>
      <c r="HM40" s="235">
        <f t="shared" si="69"/>
        <v>0</v>
      </c>
      <c r="HN40" s="235">
        <f t="shared" si="70"/>
        <v>0</v>
      </c>
      <c r="HO40" s="235">
        <f t="shared" si="71"/>
        <v>0</v>
      </c>
      <c r="HP40" s="235">
        <f t="shared" si="72"/>
        <v>0</v>
      </c>
      <c r="HQ40" s="580">
        <f t="shared" si="73"/>
        <v>0</v>
      </c>
      <c r="HR40" s="235">
        <f t="shared" si="74"/>
        <v>0</v>
      </c>
      <c r="HS40" s="235">
        <f t="shared" si="75"/>
        <v>0</v>
      </c>
      <c r="HT40" s="235">
        <f t="shared" si="76"/>
        <v>0</v>
      </c>
      <c r="HU40" s="235">
        <f t="shared" si="77"/>
        <v>0</v>
      </c>
      <c r="HV40" s="235">
        <f t="shared" si="78"/>
        <v>0</v>
      </c>
      <c r="HW40" s="577">
        <f t="shared" si="79"/>
        <v>0</v>
      </c>
      <c r="HX40" s="235">
        <f t="shared" si="80"/>
        <v>1.8015243312909952</v>
      </c>
      <c r="HY40" s="235">
        <f t="shared" si="81"/>
        <v>66.855453776506309</v>
      </c>
      <c r="HZ40" s="235">
        <f t="shared" si="82"/>
        <v>0.22306413915537843</v>
      </c>
      <c r="IA40" s="235">
        <f t="shared" si="83"/>
        <v>0.27576304203083657</v>
      </c>
      <c r="IB40" s="235">
        <f t="shared" si="84"/>
        <v>0.81790184356972107</v>
      </c>
      <c r="IC40" s="235">
        <f t="shared" si="85"/>
        <v>4.0445246164522706</v>
      </c>
      <c r="ID40" s="235">
        <f t="shared" si="86"/>
        <v>0.21338798579709595</v>
      </c>
      <c r="IE40" s="235">
        <f t="shared" si="87"/>
        <v>7.4447252665469721</v>
      </c>
      <c r="IF40" s="235">
        <f t="shared" si="88"/>
        <v>0.22306413915537843</v>
      </c>
      <c r="IG40" s="235">
        <f t="shared" si="89"/>
        <v>0.27576304203083657</v>
      </c>
      <c r="IH40" s="235">
        <f t="shared" si="90"/>
        <v>0.81790184356972107</v>
      </c>
      <c r="II40" s="235">
        <f t="shared" si="91"/>
        <v>4.0445246164522706</v>
      </c>
      <c r="IJ40" s="235">
        <f t="shared" si="92"/>
        <v>0</v>
      </c>
      <c r="IK40" s="235">
        <f t="shared" si="93"/>
        <v>0</v>
      </c>
      <c r="IL40" s="235">
        <f t="shared" si="94"/>
        <v>0</v>
      </c>
      <c r="IM40" s="235">
        <f t="shared" si="95"/>
        <v>0</v>
      </c>
      <c r="IN40" s="235">
        <f t="shared" si="96"/>
        <v>0</v>
      </c>
      <c r="IO40" s="235">
        <f t="shared" si="97"/>
        <v>0</v>
      </c>
    </row>
    <row r="41" spans="1:249" ht="18" x14ac:dyDescent="0.25">
      <c r="A41" s="18">
        <v>1978</v>
      </c>
      <c r="B41" s="564"/>
      <c r="C41" s="529">
        <f>'POSF Inventory'!AD33*$D$5*'POSF Zone Def'!$M30</f>
        <v>3.5327202299999994</v>
      </c>
      <c r="D41" s="529">
        <f>'POSF Inventory'!AE33*$D$6*'POSF Zone Def'!$M30</f>
        <v>3.5410816979999993</v>
      </c>
      <c r="E41" s="529">
        <f>'POSF Inventory'!AF33*$D$5*'POSF Zone Def'!$M30</f>
        <v>0</v>
      </c>
      <c r="F41" s="529">
        <f>'POSF Inventory'!AG33*$D$6*'POSF Zone Def'!$M30</f>
        <v>0</v>
      </c>
      <c r="G41" s="529">
        <f>'POSF Inventory'!AH33*$D$5*'POSF Zone Def'!$M30</f>
        <v>2.6168297999999997</v>
      </c>
      <c r="H41" s="524">
        <f>'POSF Inventory'!AI33*$D$6*'POSF Zone Def'!$M30</f>
        <v>2.6230234799999996</v>
      </c>
      <c r="I41" s="474">
        <f>'POSF Inventory'!AD33*$D$5*'POSF Zone Def'!$N30</f>
        <v>3.5327202299999994</v>
      </c>
      <c r="J41" s="474">
        <f>'POSF Inventory'!AE33*$D$6*'POSF Zone Def'!$N30</f>
        <v>3.5410816979999993</v>
      </c>
      <c r="K41" s="474">
        <f>'POSF Inventory'!AF33*$D$5*'POSF Zone Def'!$N30</f>
        <v>0</v>
      </c>
      <c r="L41" s="474">
        <f>'POSF Inventory'!AG33*$D$6*'POSF Zone Def'!$N30</f>
        <v>0</v>
      </c>
      <c r="M41" s="474">
        <f>'POSF Inventory'!AH33*$D$5*'POSF Zone Def'!$N30</f>
        <v>2.6168297999999997</v>
      </c>
      <c r="N41" s="485">
        <f>'POSF Inventory'!AI33*$D$6*'POSF Zone Def'!$N30</f>
        <v>2.6230234799999996</v>
      </c>
      <c r="O41" s="529">
        <f>'POSF Inventory'!AJ33*$D$5*'POSF Zone Def'!$AP30</f>
        <v>0</v>
      </c>
      <c r="P41" s="529">
        <f>'POSF Inventory'!AK33*$D$6*'POSF Zone Def'!$AP30</f>
        <v>0</v>
      </c>
      <c r="Q41" s="529">
        <f>'POSF Inventory'!AL33*$D$5*'POSF Zone Def'!$AP30</f>
        <v>0</v>
      </c>
      <c r="R41" s="529">
        <f>'POSF Inventory'!AM33*$D$6*'POSF Zone Def'!$AP30</f>
        <v>0</v>
      </c>
      <c r="S41" s="529">
        <f>'POSF Inventory'!AN33*$D$5*'POSF Zone Def'!$AP30</f>
        <v>0</v>
      </c>
      <c r="T41" s="524">
        <f>'POSF Inventory'!AO33*$D$6*'POSF Zone Def'!$AP30</f>
        <v>0</v>
      </c>
      <c r="U41" s="474">
        <f>'POSF Inventory'!AJ33*$D$5*'POSF Zone Def'!$AQ30</f>
        <v>0</v>
      </c>
      <c r="V41" s="474">
        <f>'POSF Inventory'!AK33*$D$6*'POSF Zone Def'!$AQ30</f>
        <v>0</v>
      </c>
      <c r="W41" s="474">
        <f>'POSF Inventory'!AL33*$D$5*'POSF Zone Def'!$AQ30</f>
        <v>0</v>
      </c>
      <c r="X41" s="474">
        <f>'POSF Inventory'!AM33*$D$6*'POSF Zone Def'!$AQ30</f>
        <v>0</v>
      </c>
      <c r="Y41" s="474">
        <f>'POSF Inventory'!AN33*$D$5*'POSF Zone Def'!$AQ30</f>
        <v>0</v>
      </c>
      <c r="Z41" s="134">
        <f>'POSF Inventory'!AO33*$D$6*'POSF Zone Def'!$AQ30</f>
        <v>0</v>
      </c>
      <c r="AA41" s="529">
        <f>'POSF Inventory'!AV33*'POSF Emiss by Zone'!$D$5*'POSF Zone Def'!$M30</f>
        <v>0</v>
      </c>
      <c r="AB41" s="529">
        <f>'POSF Inventory'!AW33*'POSF Emiss by Zone'!$D$6*'POSF Zone Def'!$M30</f>
        <v>0</v>
      </c>
      <c r="AC41" s="529">
        <f>'POSF Inventory'!AX33*'POSF Emiss by Zone'!$D$5*'POSF Zone Def'!$M30</f>
        <v>2.3551468199999999</v>
      </c>
      <c r="AD41" s="529">
        <f>'POSF Inventory'!AY33*'POSF Emiss by Zone'!$D$6*'POSF Zone Def'!$M30</f>
        <v>2.3607211320000001</v>
      </c>
      <c r="AE41" s="529">
        <f>'POSF Inventory'!AZ33*'POSF Emiss by Zone'!$D$5*'POSF Zone Def'!$M30</f>
        <v>4.3613829999999991</v>
      </c>
      <c r="AF41" s="524">
        <f>'POSF Inventory'!BA33*'POSF Emiss by Zone'!$D$6*'POSF Zone Def'!$M30</f>
        <v>4.3717057999999991</v>
      </c>
      <c r="AG41" s="474">
        <f>'POSF Inventory'!AV33*'POSF Emiss by Zone'!$D$5*'POSF Zone Def'!$N30</f>
        <v>0</v>
      </c>
      <c r="AH41" s="474">
        <f>'POSF Inventory'!AW33*'POSF Emiss by Zone'!$D$6*'POSF Zone Def'!$N30</f>
        <v>0</v>
      </c>
      <c r="AI41" s="474">
        <f>'POSF Inventory'!AX33*'POSF Emiss by Zone'!$D$5*'POSF Zone Def'!$N30</f>
        <v>2.3551468199999999</v>
      </c>
      <c r="AJ41" s="474">
        <f>'POSF Inventory'!AY33*'POSF Emiss by Zone'!$D$6*'POSF Zone Def'!$N30</f>
        <v>2.3607211320000001</v>
      </c>
      <c r="AK41" s="474">
        <f>'POSF Inventory'!AZ33*'POSF Emiss by Zone'!$D$5*'POSF Zone Def'!$N30</f>
        <v>4.3613829999999991</v>
      </c>
      <c r="AL41" s="549">
        <f>'POSF Inventory'!BA33*'POSF Emiss by Zone'!$D$6*'POSF Zone Def'!$N30</f>
        <v>4.3717057999999991</v>
      </c>
      <c r="AM41" s="529">
        <f>'POSF Inventory'!BB33*'POSF Emiss by Zone'!$D$5*'POSF Zone Def'!$AP30</f>
        <v>0</v>
      </c>
      <c r="AN41" s="529">
        <f>'POSF Inventory'!BC33*'POSF Emiss by Zone'!$D$6*'POSF Zone Def'!$AP30</f>
        <v>0</v>
      </c>
      <c r="AO41" s="529">
        <f>'POSF Inventory'!BD33*'POSF Emiss by Zone'!$D$5*'POSF Zone Def'!$AP30</f>
        <v>0</v>
      </c>
      <c r="AP41" s="529">
        <f>'POSF Inventory'!BE33*'POSF Emiss by Zone'!$D$6*'POSF Zone Def'!$AP30</f>
        <v>0</v>
      </c>
      <c r="AQ41" s="529">
        <f>'POSF Inventory'!BF33*'POSF Emiss by Zone'!$D$5*'POSF Zone Def'!$AP30</f>
        <v>0</v>
      </c>
      <c r="AR41" s="524">
        <f>'POSF Inventory'!BG33*'POSF Emiss by Zone'!$D$6*'POSF Zone Def'!$AP30</f>
        <v>0</v>
      </c>
      <c r="AS41" s="474">
        <f>'POSF Inventory'!BB33*'POSF Emiss by Zone'!$D$5*'POSF Zone Def'!$AQ30</f>
        <v>0</v>
      </c>
      <c r="AT41" s="474">
        <f>'POSF Inventory'!BC33*'POSF Emiss by Zone'!$D$6*'POSF Zone Def'!$AQ30</f>
        <v>0</v>
      </c>
      <c r="AU41" s="474">
        <f>'POSF Inventory'!BD33*'POSF Emiss by Zone'!$D$5*'POSF Zone Def'!$AQ30</f>
        <v>0</v>
      </c>
      <c r="AV41" s="474">
        <f>'POSF Inventory'!BE33*'POSF Emiss by Zone'!$D$6*'POSF Zone Def'!$AQ30</f>
        <v>0</v>
      </c>
      <c r="AW41" s="474">
        <f>'POSF Inventory'!BF33*'POSF Emiss by Zone'!$D$5*'POSF Zone Def'!$AQ30</f>
        <v>0</v>
      </c>
      <c r="AX41" s="134">
        <f>'POSF Inventory'!BG33*'POSF Emiss by Zone'!$D$6*'POSF Zone Def'!$AQ30</f>
        <v>0</v>
      </c>
      <c r="AY41" s="529">
        <f>'POSF Inventory'!EA33*'POSF Emiss by Zone'!$D$5*'POSF Zone Def'!$Y30</f>
        <v>0</v>
      </c>
      <c r="AZ41" s="529">
        <f>'POSF Inventory'!EB33*'POSF Emiss by Zone'!$D$6*'POSF Zone Def'!$Y30</f>
        <v>0</v>
      </c>
      <c r="BA41" s="529">
        <f>'POSF Inventory'!EC33*'POSF Emiss by Zone'!$D$5*'POSF Zone Def'!$Y30</f>
        <v>3.3427971902812499</v>
      </c>
      <c r="BB41" s="529">
        <f>'POSF Inventory'!ED33*'POSF Emiss by Zone'!$D$6*'POSF Zone Def'!$Y30</f>
        <v>33.507091362937501</v>
      </c>
      <c r="BC41" s="529">
        <f>'POSF Inventory'!EE33*'POSF Emiss by Zone'!$D$5*'POSF Zone Def'!$Y30</f>
        <v>0</v>
      </c>
      <c r="BD41" s="524">
        <f>'POSF Inventory'!EF33*'POSF Emiss by Zone'!$D$6*'POSF Zone Def'!$Y30</f>
        <v>0</v>
      </c>
      <c r="BE41" s="474">
        <f>'POSF Inventory'!EA33*'POSF Emiss by Zone'!$D$5*'POSF Zone Def'!$Z30</f>
        <v>0</v>
      </c>
      <c r="BF41" s="474">
        <f>'POSF Inventory'!EB33*'POSF Emiss by Zone'!$D$6*'POSF Zone Def'!$Z30</f>
        <v>0</v>
      </c>
      <c r="BG41" s="474">
        <f>'POSF Inventory'!EC33*'POSF Emiss by Zone'!$D$5*'POSF Zone Def'!$Z30</f>
        <v>0.37142191003124997</v>
      </c>
      <c r="BH41" s="474">
        <f>'POSF Inventory'!ED33*'POSF Emiss by Zone'!$D$6*'POSF Zone Def'!$Z30</f>
        <v>3.7230101514375002</v>
      </c>
      <c r="BI41" s="474">
        <f>'POSF Inventory'!EE33*'POSF Emiss by Zone'!$D$5*'POSF Zone Def'!$Z30</f>
        <v>0</v>
      </c>
      <c r="BJ41" s="549">
        <f>'POSF Inventory'!EF33*'POSF Emiss by Zone'!$D$6*'POSF Zone Def'!$Z30</f>
        <v>0</v>
      </c>
      <c r="BK41" s="705">
        <f>'POSF Inventory'!$EA33*'POSF Emiss by Zone'!$D$5*'POSF Zone Def'!$AC30</f>
        <v>0</v>
      </c>
      <c r="BL41" s="705">
        <f>'POSF Inventory'!$EB33*'POSF Emiss by Zone'!$D$6*'POSF Zone Def'!$AC30</f>
        <v>0</v>
      </c>
      <c r="BM41" s="705">
        <f>'POSF Inventory'!$EC33*'POSF Emiss by Zone'!$D$5*'POSF Zone Def'!$AC30</f>
        <v>0</v>
      </c>
      <c r="BN41" s="705">
        <f>'POSF Inventory'!$ED33*'POSF Emiss by Zone'!$D$6*'POSF Zone Def'!$AC30</f>
        <v>0</v>
      </c>
      <c r="BO41" s="705">
        <f>'POSF Inventory'!$EE33*'POSF Emiss by Zone'!$D$5*'POSF Zone Def'!$AC30</f>
        <v>0</v>
      </c>
      <c r="BP41" s="708">
        <f>'POSF Inventory'!$EF33*'POSF Emiss by Zone'!$D$6*'POSF Zone Def'!$AC30</f>
        <v>0</v>
      </c>
      <c r="BQ41" s="529">
        <f>'POSF Inventory'!EG33*'POSF Emiss by Zone'!$D$5*'POSF Zone Def'!$BB30</f>
        <v>0</v>
      </c>
      <c r="BR41" s="529">
        <f>'POSF Inventory'!EH33*'POSF Emiss by Zone'!$D$6*'POSF Zone Def'!$BB30</f>
        <v>0</v>
      </c>
      <c r="BS41" s="529">
        <f>'POSF Inventory'!EI33*'POSF Emiss by Zone'!$D$5*'POSF Zone Def'!$BB30</f>
        <v>0</v>
      </c>
      <c r="BT41" s="529">
        <f>'POSF Inventory'!EJ33*'POSF Emiss by Zone'!$D$6*'POSF Zone Def'!$BB30</f>
        <v>0</v>
      </c>
      <c r="BU41" s="529">
        <f>'POSF Inventory'!EK33*'POSF Emiss by Zone'!$D$5*'POSF Zone Def'!$BB30</f>
        <v>0</v>
      </c>
      <c r="BV41" s="524">
        <f>'POSF Inventory'!EL33*'POSF Emiss by Zone'!$D$6*'POSF Zone Def'!$BB30</f>
        <v>0</v>
      </c>
      <c r="BW41" s="474">
        <f>'POSF Inventory'!EG33*'POSF Emiss by Zone'!$D$5*'POSF Zone Def'!$BC30</f>
        <v>0</v>
      </c>
      <c r="BX41" s="474">
        <f>'POSF Inventory'!EH33*'POSF Emiss by Zone'!$D$6*'POSF Zone Def'!$BC30</f>
        <v>0</v>
      </c>
      <c r="BY41" s="474">
        <f>'POSF Inventory'!EI33*'POSF Emiss by Zone'!$D$5*'POSF Zone Def'!$BC30</f>
        <v>0</v>
      </c>
      <c r="BZ41" s="474">
        <f>'POSF Inventory'!EJ33*'POSF Emiss by Zone'!$D$6*'POSF Zone Def'!$BC30</f>
        <v>0</v>
      </c>
      <c r="CA41" s="474">
        <f>'POSF Inventory'!EK33*'POSF Emiss by Zone'!$D$5*'POSF Zone Def'!$BC30</f>
        <v>0</v>
      </c>
      <c r="CB41" s="134">
        <f>'POSF Inventory'!EL33*'POSF Emiss by Zone'!$D$6*'POSF Zone Def'!$BC30</f>
        <v>0</v>
      </c>
      <c r="CC41" s="529">
        <f>'POSF Inventory'!GC33*'POSF Emiss by Zone'!$D$7*'POSF Zone Def'!$M30</f>
        <v>1.651648E-2</v>
      </c>
      <c r="CD41" s="529">
        <f>'POSF Inventory'!GD33*'POSF Emiss by Zone'!$D$9*'POSF Zone Def'!$M30</f>
        <v>2.0418498400000002E-2</v>
      </c>
      <c r="CE41" s="529">
        <f>'POSF Inventory'!GE33*'POSF Emiss by Zone'!$D$7*'POSF Zone Def'!$M30</f>
        <v>0.24774719999999997</v>
      </c>
      <c r="CF41" s="529">
        <f>'POSF Inventory'!GF33*'POSF Emiss by Zone'!$D$9*'POSF Zone Def'!$M30</f>
        <v>0.30627747599999999</v>
      </c>
      <c r="CG41" s="529">
        <f>'POSF Inventory'!GG33*'POSF Emiss by Zone'!$D$7*'POSF Zone Def'!$M30</f>
        <v>0.90840640000000006</v>
      </c>
      <c r="CH41" s="524">
        <f>'POSF Inventory'!GH33*'POSF Emiss by Zone'!$D$9*'POSF Zone Def'!$M30</f>
        <v>4.4920696480000002</v>
      </c>
      <c r="CI41" s="474">
        <f>'POSF Inventory'!GC33*'POSF Emiss by Zone'!$D$7*'POSF Zone Def'!$N30</f>
        <v>1.651648E-2</v>
      </c>
      <c r="CJ41" s="474">
        <f>'POSF Inventory'!GD33*'POSF Emiss by Zone'!$D$9*'POSF Zone Def'!$N30</f>
        <v>2.0418498400000002E-2</v>
      </c>
      <c r="CK41" s="474">
        <f>'POSF Inventory'!GE33*'POSF Emiss by Zone'!$D$7*'POSF Zone Def'!$N30</f>
        <v>0.24774719999999997</v>
      </c>
      <c r="CL41" s="474">
        <f>'POSF Inventory'!GF33*'POSF Emiss by Zone'!$D$9*'POSF Zone Def'!$N30</f>
        <v>0.30627747599999999</v>
      </c>
      <c r="CM41" s="474">
        <f>'POSF Inventory'!GG33*'POSF Emiss by Zone'!$D$7*'POSF Zone Def'!$N30</f>
        <v>0.90840640000000006</v>
      </c>
      <c r="CN41" s="485">
        <f>'POSF Inventory'!GH33*'POSF Emiss by Zone'!$D$9*'POSF Zone Def'!$N30</f>
        <v>4.4920696480000002</v>
      </c>
      <c r="CO41" s="529">
        <f>'POSF Inventory'!GI33*'POSF Emiss by Zone'!$D$7*'POSF Zone Def'!$AP30</f>
        <v>0</v>
      </c>
      <c r="CP41" s="529">
        <f>'POSF Inventory'!GJ33*'POSF Emiss by Zone'!$D$9*'POSF Zone Def'!$AP30</f>
        <v>0</v>
      </c>
      <c r="CQ41" s="529">
        <f>'POSF Inventory'!GK33*'POSF Emiss by Zone'!$D$7*'POSF Zone Def'!$AP30</f>
        <v>0</v>
      </c>
      <c r="CR41" s="529">
        <f>'POSF Inventory'!GL33*'POSF Emiss by Zone'!$D$9*'POSF Zone Def'!$AP30</f>
        <v>0</v>
      </c>
      <c r="CS41" s="529">
        <f>'POSF Inventory'!GM33*'POSF Emiss by Zone'!$D$7*'POSF Zone Def'!$AP30</f>
        <v>0</v>
      </c>
      <c r="CT41" s="524">
        <f>'POSF Inventory'!GN33*'POSF Emiss by Zone'!$D$9*'POSF Zone Def'!$AP30</f>
        <v>0</v>
      </c>
      <c r="CU41" s="474">
        <f>'POSF Inventory'!GI33*'POSF Emiss by Zone'!$D$7*'POSF Zone Def'!$AQ30</f>
        <v>0</v>
      </c>
      <c r="CV41" s="474">
        <f>'POSF Inventory'!GJ33*'POSF Emiss by Zone'!$D$9*'POSF Zone Def'!$AQ30</f>
        <v>0</v>
      </c>
      <c r="CW41" s="474">
        <f>'POSF Inventory'!GK33*'POSF Emiss by Zone'!$D$7*'POSF Zone Def'!$AQ30</f>
        <v>0</v>
      </c>
      <c r="CX41" s="474">
        <f>'POSF Inventory'!GL33*'POSF Emiss by Zone'!$D$9*'POSF Zone Def'!$AQ30</f>
        <v>0</v>
      </c>
      <c r="CY41" s="474">
        <f>'POSF Inventory'!GM33*'POSF Emiss by Zone'!$D$7*'POSF Zone Def'!$AQ30</f>
        <v>0</v>
      </c>
      <c r="CZ41" s="134">
        <f>'POSF Inventory'!GN33*'POSF Emiss by Zone'!$D$9*'POSF Zone Def'!$AQ30</f>
        <v>0</v>
      </c>
      <c r="DA41" s="529">
        <f>SUM('POSF Inventory'!GQ33,'POSF Inventory'!GS33)*'POSF Emiss by Zone'!$D$7*'POSF Zone Def'!$Y30</f>
        <v>2.0270193764316189</v>
      </c>
      <c r="DB41" s="529">
        <f>SUM('POSF Inventory'!GR33,'POSF Inventory'!GT33)*'POSF Emiss by Zone'!$D$9*'POSF Zone Def'!$Y30</f>
        <v>75.040058217087847</v>
      </c>
      <c r="DC41" s="529"/>
      <c r="DD41" s="529"/>
      <c r="DE41" s="529">
        <f>'POSF Inventory'!GU33*'POSF Emiss by Zone'!$D$7*'POSF Zone Def'!$Y30</f>
        <v>0</v>
      </c>
      <c r="DF41" s="524">
        <f>'POSF Inventory'!GV33*'POSF Emiss by Zone'!$D$9*'POSF Zone Def'!$Y30</f>
        <v>0</v>
      </c>
      <c r="DG41" s="474">
        <f>SUM('POSF Inventory'!GQ33,'POSF Inventory'!GS33)*'POSF Emiss by Zone'!$D$7*'POSF Zone Def'!$Z30</f>
        <v>0.22522437515906876</v>
      </c>
      <c r="DH41" s="474">
        <f>SUM('POSF Inventory'!GR33,'POSF Inventory'!GT33)*'POSF Emiss by Zone'!$D$9*'POSF Zone Def'!$Z30</f>
        <v>8.3377842463430945</v>
      </c>
      <c r="DI41" s="474"/>
      <c r="DJ41" s="474"/>
      <c r="DK41" s="474">
        <f>'POSF Inventory'!GU33*'POSF Emiss by Zone'!$D$7*'POSF Zone Def'!$Z30</f>
        <v>0</v>
      </c>
      <c r="DL41" s="485">
        <f>'POSF Inventory'!GV33*'POSF Emiss by Zone'!$D$9*'POSF Zone Def'!$Z30</f>
        <v>0</v>
      </c>
      <c r="DM41" s="705">
        <f>SUM('POSF Inventory'!$GQ33,'POSF Inventory'!$GS33)*'POSF Emiss by Zone'!$D$7*'POSF Zone Def'!$AC30</f>
        <v>0</v>
      </c>
      <c r="DN41" s="705">
        <f>SUM('POSF Inventory'!$GR33,'POSF Inventory'!$GT33)*'POSF Emiss by Zone'!$D$9*'POSF Zone Def'!$AC30</f>
        <v>0</v>
      </c>
      <c r="DO41" s="705"/>
      <c r="DP41" s="705"/>
      <c r="DQ41" s="705">
        <f>'POSF Inventory'!$GU33*'POSF Emiss by Zone'!$D$7*'POSF Zone Def'!$AC30</f>
        <v>0</v>
      </c>
      <c r="DR41" s="708">
        <f>'POSF Inventory'!$GV33*'POSF Emiss by Zone'!$D$9*'POSF Zone Def'!$AC30</f>
        <v>0</v>
      </c>
      <c r="DS41" s="529">
        <f>SUM('POSF Inventory'!GW33,'POSF Inventory'!GY33)*$D$7*'POSF Zone Def'!$BB30</f>
        <v>0</v>
      </c>
      <c r="DT41" s="529">
        <f>SUM('POSF Inventory'!GX33,'POSF Inventory'!GZ33)*$D$9*'POSF Zone Def'!$BB30</f>
        <v>0</v>
      </c>
      <c r="DU41" s="529"/>
      <c r="DV41" s="529"/>
      <c r="DW41" s="529">
        <f>'POSF Inventory'!HA33*'POSF Emiss by Zone'!$D$7*'POSF Zone Def'!$BB30</f>
        <v>0</v>
      </c>
      <c r="DX41" s="524">
        <f>'POSF Inventory'!HB33*'POSF Emiss by Zone'!$D$9*'POSF Zone Def'!$BB30</f>
        <v>0</v>
      </c>
      <c r="DY41" s="474">
        <f>SUM('POSF Inventory'!GW33,'POSF Inventory'!GY33)*$D$7*'POSF Zone Def'!$BC30</f>
        <v>0</v>
      </c>
      <c r="DZ41" s="474">
        <f>SUM('POSF Inventory'!GX33,'POSF Inventory'!GZ33)*$D$9*'POSF Zone Def'!$BC30</f>
        <v>0</v>
      </c>
      <c r="EA41" s="474"/>
      <c r="EB41" s="474"/>
      <c r="EC41" s="474">
        <f>'POSF Inventory'!HA33*'POSF Emiss by Zone'!$D$7*'POSF Zone Def'!$BC30</f>
        <v>0</v>
      </c>
      <c r="ED41" s="134">
        <f>'POSF Inventory'!HB33*'POSF Emiss by Zone'!$D$9*'POSF Zone Def'!$BC30</f>
        <v>0</v>
      </c>
      <c r="EE41" s="235">
        <f>'POSF Inventory'!$CF33*'POSF Emiss by Zone'!$D$7*'POSF Zone Def'!$CE30</f>
        <v>0</v>
      </c>
      <c r="EF41" s="235">
        <f>'POSF Inventory'!$CG33*'POSF Emiss by Zone'!$D$9*'POSF Zone Def'!$CE30</f>
        <v>0</v>
      </c>
      <c r="EG41" s="235">
        <f>'POSF Inventory'!$CH33*'POSF Emiss by Zone'!$D$7*'POSF Zone Def'!$CE30</f>
        <v>0</v>
      </c>
      <c r="EH41" s="235">
        <f>'POSF Inventory'!$CI33*'POSF Emiss by Zone'!$D$9*'POSF Zone Def'!$CE30</f>
        <v>0</v>
      </c>
      <c r="EI41" s="235">
        <f>'POSF Inventory'!$CJ33*'POSF Emiss by Zone'!$D$7*'POSF Zone Def'!$CE30</f>
        <v>0</v>
      </c>
      <c r="EJ41" s="580">
        <f>'POSF Inventory'!$CK33*'POSF Emiss by Zone'!$D$9*'POSF Zone Def'!$CE30</f>
        <v>0</v>
      </c>
      <c r="EK41" s="235">
        <f>'POSF Inventory'!$CF33*'POSF Emiss by Zone'!$D$7*'POSF Zone Def'!$CF30</f>
        <v>0</v>
      </c>
      <c r="EL41" s="235">
        <f>'POSF Inventory'!$CG33*'POSF Emiss by Zone'!$D$9*'POSF Zone Def'!$CF30</f>
        <v>0</v>
      </c>
      <c r="EM41" s="235">
        <f>'POSF Inventory'!$CH33*'POSF Emiss by Zone'!$D$7*'POSF Zone Def'!$CF30</f>
        <v>0</v>
      </c>
      <c r="EN41" s="235">
        <f>'POSF Inventory'!$CI33*'POSF Emiss by Zone'!$D$9*'POSF Zone Def'!$CF30</f>
        <v>0</v>
      </c>
      <c r="EO41" s="235">
        <f>'POSF Inventory'!$CJ33*'POSF Emiss by Zone'!$D$7*'POSF Zone Def'!$CF30</f>
        <v>0</v>
      </c>
      <c r="EP41" s="580">
        <f>'POSF Inventory'!$CK33*'POSF Emiss by Zone'!$D$9*'POSF Zone Def'!$CF30</f>
        <v>0</v>
      </c>
      <c r="EQ41" s="235">
        <f>'POSF Inventory'!$CF33*'POSF Emiss by Zone'!$D$7*'POSF Zone Def'!$CG30</f>
        <v>0</v>
      </c>
      <c r="ER41" s="235">
        <f>'POSF Inventory'!$CG33*'POSF Emiss by Zone'!$D$9*'POSF Zone Def'!$CG30</f>
        <v>0</v>
      </c>
      <c r="ES41" s="235">
        <f>'POSF Inventory'!$CH33*'POSF Emiss by Zone'!$D$7*'POSF Zone Def'!$CG30</f>
        <v>0</v>
      </c>
      <c r="ET41" s="235">
        <f>'POSF Inventory'!$CI33*'POSF Emiss by Zone'!$D$9*'POSF Zone Def'!$CG30</f>
        <v>0</v>
      </c>
      <c r="EU41" s="235">
        <f>'POSF Inventory'!$CJ33*'POSF Emiss by Zone'!$D$7*'POSF Zone Def'!$CG30</f>
        <v>0</v>
      </c>
      <c r="EV41" s="580">
        <f>'POSF Inventory'!$CK33*'POSF Emiss by Zone'!$D$9*'POSF Zone Def'!$CG30</f>
        <v>0</v>
      </c>
      <c r="EW41" s="235">
        <f>'POSF Inventory'!$CF33*'POSF Emiss by Zone'!$D$7*'POSF Zone Def'!$CH30</f>
        <v>0</v>
      </c>
      <c r="EX41" s="235">
        <f>'POSF Inventory'!$CG33*'POSF Emiss by Zone'!$D$9*'POSF Zone Def'!$CH30</f>
        <v>0</v>
      </c>
      <c r="EY41" s="235">
        <f>'POSF Inventory'!$CH33*'POSF Emiss by Zone'!$D$7*'POSF Zone Def'!$CH30</f>
        <v>0</v>
      </c>
      <c r="EZ41" s="235">
        <f>'POSF Inventory'!$CI33*'POSF Emiss by Zone'!$D$9*'POSF Zone Def'!$CH30</f>
        <v>0</v>
      </c>
      <c r="FA41" s="235">
        <f>'POSF Inventory'!$CJ33*'POSF Emiss by Zone'!$D$7*'POSF Zone Def'!$CH30</f>
        <v>0</v>
      </c>
      <c r="FB41" s="580">
        <f>'POSF Inventory'!$CK33*'POSF Emiss by Zone'!$D$9*'POSF Zone Def'!$CH30</f>
        <v>0</v>
      </c>
      <c r="FC41" s="235">
        <f>'POSF Inventory'!$CF33*'POSF Emiss by Zone'!$D$7*'POSF Zone Def'!$CI30</f>
        <v>0</v>
      </c>
      <c r="FD41" s="235">
        <f>'POSF Inventory'!$CG33*'POSF Emiss by Zone'!$D$9*'POSF Zone Def'!$CI30</f>
        <v>0</v>
      </c>
      <c r="FE41" s="235">
        <f>'POSF Inventory'!$CH33*'POSF Emiss by Zone'!$D$7*'POSF Zone Def'!$CI30</f>
        <v>0</v>
      </c>
      <c r="FF41" s="235">
        <f>'POSF Inventory'!$CI33*'POSF Emiss by Zone'!$D$9*'POSF Zone Def'!$CI30</f>
        <v>0</v>
      </c>
      <c r="FG41" s="235">
        <f>'POSF Inventory'!$CJ33*'POSF Emiss by Zone'!$D$7*'POSF Zone Def'!$CI30</f>
        <v>0</v>
      </c>
      <c r="FH41" s="577">
        <f>'POSF Inventory'!$CK33*'POSF Emiss by Zone'!$D$9*'POSF Zone Def'!$CI30</f>
        <v>0</v>
      </c>
      <c r="FI41" s="595"/>
      <c r="FJ41" s="595"/>
      <c r="FM41" s="592">
        <v>24</v>
      </c>
      <c r="FN41" s="592">
        <f t="shared" si="0"/>
        <v>1978</v>
      </c>
      <c r="FO41" s="587">
        <v>21</v>
      </c>
      <c r="FP41" s="551">
        <f t="shared" si="20"/>
        <v>3.5327202299999994</v>
      </c>
      <c r="FQ41" s="529">
        <f t="shared" si="21"/>
        <v>3.5410816979999993</v>
      </c>
      <c r="FR41" s="529">
        <f t="shared" si="22"/>
        <v>0</v>
      </c>
      <c r="FS41" s="529">
        <f t="shared" si="23"/>
        <v>0</v>
      </c>
      <c r="FT41" s="529">
        <f t="shared" si="24"/>
        <v>2.6168297999999997</v>
      </c>
      <c r="FU41" s="524">
        <f t="shared" si="25"/>
        <v>2.6230234799999996</v>
      </c>
      <c r="FV41" s="474">
        <f t="shared" si="26"/>
        <v>3.5327202299999994</v>
      </c>
      <c r="FW41" s="474">
        <f t="shared" si="27"/>
        <v>3.5410816979999993</v>
      </c>
      <c r="FX41" s="474">
        <f t="shared" si="28"/>
        <v>0</v>
      </c>
      <c r="FY41" s="474">
        <f t="shared" si="29"/>
        <v>0</v>
      </c>
      <c r="FZ41" s="474">
        <f t="shared" si="30"/>
        <v>2.6168297999999997</v>
      </c>
      <c r="GA41" s="134">
        <f t="shared" si="31"/>
        <v>2.6230234799999996</v>
      </c>
      <c r="GB41" s="529">
        <f t="shared" si="32"/>
        <v>0</v>
      </c>
      <c r="GC41" s="529">
        <f t="shared" si="33"/>
        <v>0</v>
      </c>
      <c r="GD41" s="529">
        <f t="shared" si="34"/>
        <v>5.675243038128734</v>
      </c>
      <c r="GE41" s="529">
        <f t="shared" si="35"/>
        <v>35.724912843563253</v>
      </c>
      <c r="GF41" s="529">
        <f t="shared" si="36"/>
        <v>4.3440069721115533</v>
      </c>
      <c r="GG41" s="524">
        <f t="shared" si="37"/>
        <v>4.3542886454183254</v>
      </c>
      <c r="GH41" s="474">
        <f t="shared" si="38"/>
        <v>0</v>
      </c>
      <c r="GI41" s="474">
        <f t="shared" si="39"/>
        <v>0</v>
      </c>
      <c r="GJ41" s="474">
        <f t="shared" si="40"/>
        <v>2.7157059064056277</v>
      </c>
      <c r="GK41" s="474">
        <f t="shared" si="41"/>
        <v>6.0594933101967134</v>
      </c>
      <c r="GL41" s="474">
        <f t="shared" si="42"/>
        <v>4.3440069721115533</v>
      </c>
      <c r="GM41" s="705">
        <f t="shared" si="43"/>
        <v>4.3542886454183254</v>
      </c>
      <c r="GN41" s="705">
        <f t="shared" si="44"/>
        <v>0</v>
      </c>
      <c r="GO41" s="705">
        <f t="shared" si="45"/>
        <v>0</v>
      </c>
      <c r="GP41" s="705">
        <f t="shared" si="46"/>
        <v>0</v>
      </c>
      <c r="GQ41" s="705">
        <f t="shared" si="47"/>
        <v>0</v>
      </c>
      <c r="GR41" s="705">
        <f t="shared" si="48"/>
        <v>0</v>
      </c>
      <c r="GS41" s="134">
        <f t="shared" si="49"/>
        <v>0</v>
      </c>
      <c r="GT41" s="529">
        <f t="shared" si="50"/>
        <v>4.2336201009738714E-2</v>
      </c>
      <c r="GU41" s="529">
        <f t="shared" si="51"/>
        <v>1.5550377646236526</v>
      </c>
      <c r="GV41" s="529">
        <f t="shared" si="52"/>
        <v>5.1326113147410349E-3</v>
      </c>
      <c r="GW41" s="529">
        <f t="shared" si="53"/>
        <v>6.3451907378486048E-3</v>
      </c>
      <c r="GX41" s="529">
        <f t="shared" si="54"/>
        <v>1.8819574820717132E-2</v>
      </c>
      <c r="GY41" s="524">
        <f t="shared" si="55"/>
        <v>9.3062797488446217E-2</v>
      </c>
      <c r="GZ41" s="474">
        <f t="shared" si="56"/>
        <v>5.0081770789926596E-3</v>
      </c>
      <c r="HA41" s="474">
        <f t="shared" si="57"/>
        <v>0.17315798515005612</v>
      </c>
      <c r="HB41" s="474">
        <f t="shared" si="58"/>
        <v>5.1326113147410349E-3</v>
      </c>
      <c r="HC41" s="474">
        <f t="shared" si="59"/>
        <v>6.3451907378486048E-3</v>
      </c>
      <c r="HD41" s="474">
        <f t="shared" si="60"/>
        <v>1.8819574820717132E-2</v>
      </c>
      <c r="HE41" s="549">
        <f t="shared" si="61"/>
        <v>9.3062797488446217E-2</v>
      </c>
      <c r="HF41" s="235">
        <f t="shared" si="62"/>
        <v>0</v>
      </c>
      <c r="HG41" s="235">
        <f t="shared" si="63"/>
        <v>0</v>
      </c>
      <c r="HH41" s="235">
        <f t="shared" si="64"/>
        <v>0</v>
      </c>
      <c r="HI41" s="235">
        <f t="shared" si="65"/>
        <v>0</v>
      </c>
      <c r="HJ41" s="235">
        <f t="shared" si="66"/>
        <v>0</v>
      </c>
      <c r="HK41" s="580">
        <f t="shared" si="67"/>
        <v>0</v>
      </c>
      <c r="HL41" s="235">
        <f t="shared" si="68"/>
        <v>0</v>
      </c>
      <c r="HM41" s="235">
        <f t="shared" si="69"/>
        <v>0</v>
      </c>
      <c r="HN41" s="235">
        <f t="shared" si="70"/>
        <v>0</v>
      </c>
      <c r="HO41" s="235">
        <f t="shared" si="71"/>
        <v>0</v>
      </c>
      <c r="HP41" s="235">
        <f t="shared" si="72"/>
        <v>0</v>
      </c>
      <c r="HQ41" s="580">
        <f t="shared" si="73"/>
        <v>0</v>
      </c>
      <c r="HR41" s="235">
        <f t="shared" si="74"/>
        <v>0</v>
      </c>
      <c r="HS41" s="235">
        <f t="shared" si="75"/>
        <v>0</v>
      </c>
      <c r="HT41" s="235">
        <f t="shared" si="76"/>
        <v>0</v>
      </c>
      <c r="HU41" s="235">
        <f t="shared" si="77"/>
        <v>0</v>
      </c>
      <c r="HV41" s="235">
        <f t="shared" si="78"/>
        <v>0</v>
      </c>
      <c r="HW41" s="577">
        <f t="shared" si="79"/>
        <v>0</v>
      </c>
      <c r="HX41" s="235">
        <f t="shared" si="80"/>
        <v>2.2500062521252673</v>
      </c>
      <c r="HY41" s="235">
        <f t="shared" si="81"/>
        <v>82.644276275267814</v>
      </c>
      <c r="HZ41" s="235">
        <f t="shared" si="82"/>
        <v>0.27277855056573697</v>
      </c>
      <c r="IA41" s="235">
        <f t="shared" si="83"/>
        <v>0.3372224831368924</v>
      </c>
      <c r="IB41" s="235">
        <f t="shared" si="84"/>
        <v>1.0001880187410359</v>
      </c>
      <c r="IC41" s="235">
        <f t="shared" si="85"/>
        <v>4.9459297526744219</v>
      </c>
      <c r="ID41" s="235">
        <f t="shared" si="86"/>
        <v>0.26616534952892523</v>
      </c>
      <c r="IE41" s="235">
        <f t="shared" si="87"/>
        <v>9.2026809184749059</v>
      </c>
      <c r="IF41" s="235">
        <f t="shared" si="88"/>
        <v>0.27277855056573697</v>
      </c>
      <c r="IG41" s="235">
        <f t="shared" si="89"/>
        <v>0.3372224831368924</v>
      </c>
      <c r="IH41" s="235">
        <f t="shared" si="90"/>
        <v>1.0001880187410359</v>
      </c>
      <c r="II41" s="235">
        <f t="shared" si="91"/>
        <v>4.9459297526744219</v>
      </c>
      <c r="IJ41" s="235">
        <f t="shared" si="92"/>
        <v>0</v>
      </c>
      <c r="IK41" s="235">
        <f t="shared" si="93"/>
        <v>0</v>
      </c>
      <c r="IL41" s="235">
        <f t="shared" si="94"/>
        <v>0</v>
      </c>
      <c r="IM41" s="235">
        <f t="shared" si="95"/>
        <v>0</v>
      </c>
      <c r="IN41" s="235">
        <f t="shared" si="96"/>
        <v>0</v>
      </c>
      <c r="IO41" s="235">
        <f t="shared" si="97"/>
        <v>0</v>
      </c>
    </row>
    <row r="42" spans="1:249" ht="18" x14ac:dyDescent="0.25">
      <c r="A42" s="18">
        <v>1979</v>
      </c>
      <c r="B42" s="564"/>
      <c r="C42" s="529">
        <f>'POSF Inventory'!AD34*$D$5*'POSF Zone Def'!$M31</f>
        <v>4.1731943175000001</v>
      </c>
      <c r="D42" s="529">
        <f>'POSF Inventory'!AE34*$D$6*'POSF Zone Def'!$M31</f>
        <v>4.1830717005000002</v>
      </c>
      <c r="E42" s="529">
        <f>'POSF Inventory'!AF34*$D$5*'POSF Zone Def'!$M31</f>
        <v>0</v>
      </c>
      <c r="F42" s="529">
        <f>'POSF Inventory'!AG34*$D$6*'POSF Zone Def'!$M31</f>
        <v>0</v>
      </c>
      <c r="G42" s="529">
        <f>'POSF Inventory'!AH34*$D$5*'POSF Zone Def'!$M31</f>
        <v>3.0912550500000004</v>
      </c>
      <c r="H42" s="524">
        <f>'POSF Inventory'!AI34*$D$6*'POSF Zone Def'!$M31</f>
        <v>3.0985716300000004</v>
      </c>
      <c r="I42" s="474">
        <f>'POSF Inventory'!AD34*$D$5*'POSF Zone Def'!$N31</f>
        <v>4.1731943175000001</v>
      </c>
      <c r="J42" s="474">
        <f>'POSF Inventory'!AE34*$D$6*'POSF Zone Def'!$N31</f>
        <v>4.1830717005000002</v>
      </c>
      <c r="K42" s="474">
        <f>'POSF Inventory'!AF34*$D$5*'POSF Zone Def'!$N31</f>
        <v>0</v>
      </c>
      <c r="L42" s="474">
        <f>'POSF Inventory'!AG34*$D$6*'POSF Zone Def'!$N31</f>
        <v>0</v>
      </c>
      <c r="M42" s="474">
        <f>'POSF Inventory'!AH34*$D$5*'POSF Zone Def'!$N31</f>
        <v>3.0912550500000004</v>
      </c>
      <c r="N42" s="485">
        <f>'POSF Inventory'!AI34*$D$6*'POSF Zone Def'!$N31</f>
        <v>3.0985716300000004</v>
      </c>
      <c r="O42" s="529">
        <f>'POSF Inventory'!AJ34*$D$5*'POSF Zone Def'!$AP31</f>
        <v>0</v>
      </c>
      <c r="P42" s="529">
        <f>'POSF Inventory'!AK34*$D$6*'POSF Zone Def'!$AP31</f>
        <v>0</v>
      </c>
      <c r="Q42" s="529">
        <f>'POSF Inventory'!AL34*$D$5*'POSF Zone Def'!$AP31</f>
        <v>0</v>
      </c>
      <c r="R42" s="529">
        <f>'POSF Inventory'!AM34*$D$6*'POSF Zone Def'!$AP31</f>
        <v>0</v>
      </c>
      <c r="S42" s="529">
        <f>'POSF Inventory'!AN34*$D$5*'POSF Zone Def'!$AP31</f>
        <v>0</v>
      </c>
      <c r="T42" s="524">
        <f>'POSF Inventory'!AO34*$D$6*'POSF Zone Def'!$AP31</f>
        <v>0</v>
      </c>
      <c r="U42" s="474">
        <f>'POSF Inventory'!AJ34*$D$5*'POSF Zone Def'!$AQ31</f>
        <v>0</v>
      </c>
      <c r="V42" s="474">
        <f>'POSF Inventory'!AK34*$D$6*'POSF Zone Def'!$AQ31</f>
        <v>0</v>
      </c>
      <c r="W42" s="474">
        <f>'POSF Inventory'!AL34*$D$5*'POSF Zone Def'!$AQ31</f>
        <v>0</v>
      </c>
      <c r="X42" s="474">
        <f>'POSF Inventory'!AM34*$D$6*'POSF Zone Def'!$AQ31</f>
        <v>0</v>
      </c>
      <c r="Y42" s="474">
        <f>'POSF Inventory'!AN34*$D$5*'POSF Zone Def'!$AQ31</f>
        <v>0</v>
      </c>
      <c r="Z42" s="134">
        <f>'POSF Inventory'!AO34*$D$6*'POSF Zone Def'!$AQ31</f>
        <v>0</v>
      </c>
      <c r="AA42" s="529">
        <f>'POSF Inventory'!AV34*'POSF Emiss by Zone'!$D$5*'POSF Zone Def'!$M31</f>
        <v>0</v>
      </c>
      <c r="AB42" s="529">
        <f>'POSF Inventory'!AW34*'POSF Emiss by Zone'!$D$6*'POSF Zone Def'!$M31</f>
        <v>0</v>
      </c>
      <c r="AC42" s="529">
        <f>'POSF Inventory'!AX34*'POSF Emiss by Zone'!$D$5*'POSF Zone Def'!$M31</f>
        <v>2.7821295450000001</v>
      </c>
      <c r="AD42" s="529">
        <f>'POSF Inventory'!AY34*'POSF Emiss by Zone'!$D$6*'POSF Zone Def'!$M31</f>
        <v>2.7887144670000001</v>
      </c>
      <c r="AE42" s="529">
        <f>'POSF Inventory'!AZ34*'POSF Emiss by Zone'!$D$5*'POSF Zone Def'!$M31</f>
        <v>5.1520917500000003</v>
      </c>
      <c r="AF42" s="524">
        <f>'POSF Inventory'!BA34*'POSF Emiss by Zone'!$D$6*'POSF Zone Def'!$M31</f>
        <v>5.1642860500000003</v>
      </c>
      <c r="AG42" s="474">
        <f>'POSF Inventory'!AV34*'POSF Emiss by Zone'!$D$5*'POSF Zone Def'!$N31</f>
        <v>0</v>
      </c>
      <c r="AH42" s="474">
        <f>'POSF Inventory'!AW34*'POSF Emiss by Zone'!$D$6*'POSF Zone Def'!$N31</f>
        <v>0</v>
      </c>
      <c r="AI42" s="474">
        <f>'POSF Inventory'!AX34*'POSF Emiss by Zone'!$D$5*'POSF Zone Def'!$N31</f>
        <v>2.7821295450000001</v>
      </c>
      <c r="AJ42" s="474">
        <f>'POSF Inventory'!AY34*'POSF Emiss by Zone'!$D$6*'POSF Zone Def'!$N31</f>
        <v>2.7887144670000001</v>
      </c>
      <c r="AK42" s="474">
        <f>'POSF Inventory'!AZ34*'POSF Emiss by Zone'!$D$5*'POSF Zone Def'!$N31</f>
        <v>5.1520917500000003</v>
      </c>
      <c r="AL42" s="549">
        <f>'POSF Inventory'!BA34*'POSF Emiss by Zone'!$D$6*'POSF Zone Def'!$N31</f>
        <v>5.1642860500000003</v>
      </c>
      <c r="AM42" s="529">
        <f>'POSF Inventory'!BB34*'POSF Emiss by Zone'!$D$5*'POSF Zone Def'!$AP31</f>
        <v>0</v>
      </c>
      <c r="AN42" s="529">
        <f>'POSF Inventory'!BC34*'POSF Emiss by Zone'!$D$6*'POSF Zone Def'!$AP31</f>
        <v>0</v>
      </c>
      <c r="AO42" s="529">
        <f>'POSF Inventory'!BD34*'POSF Emiss by Zone'!$D$5*'POSF Zone Def'!$AP31</f>
        <v>0</v>
      </c>
      <c r="AP42" s="529">
        <f>'POSF Inventory'!BE34*'POSF Emiss by Zone'!$D$6*'POSF Zone Def'!$AP31</f>
        <v>0</v>
      </c>
      <c r="AQ42" s="529">
        <f>'POSF Inventory'!BF34*'POSF Emiss by Zone'!$D$5*'POSF Zone Def'!$AP31</f>
        <v>0</v>
      </c>
      <c r="AR42" s="524">
        <f>'POSF Inventory'!BG34*'POSF Emiss by Zone'!$D$6*'POSF Zone Def'!$AP31</f>
        <v>0</v>
      </c>
      <c r="AS42" s="474">
        <f>'POSF Inventory'!BB34*'POSF Emiss by Zone'!$D$5*'POSF Zone Def'!$AQ31</f>
        <v>0</v>
      </c>
      <c r="AT42" s="474">
        <f>'POSF Inventory'!BC34*'POSF Emiss by Zone'!$D$6*'POSF Zone Def'!$AQ31</f>
        <v>0</v>
      </c>
      <c r="AU42" s="474">
        <f>'POSF Inventory'!BD34*'POSF Emiss by Zone'!$D$5*'POSF Zone Def'!$AQ31</f>
        <v>0</v>
      </c>
      <c r="AV42" s="474">
        <f>'POSF Inventory'!BE34*'POSF Emiss by Zone'!$D$6*'POSF Zone Def'!$AQ31</f>
        <v>0</v>
      </c>
      <c r="AW42" s="474">
        <f>'POSF Inventory'!BF34*'POSF Emiss by Zone'!$D$5*'POSF Zone Def'!$AQ31</f>
        <v>0</v>
      </c>
      <c r="AX42" s="134">
        <f>'POSF Inventory'!BG34*'POSF Emiss by Zone'!$D$6*'POSF Zone Def'!$AQ31</f>
        <v>0</v>
      </c>
      <c r="AY42" s="529">
        <f>'POSF Inventory'!EA34*'POSF Emiss by Zone'!$D$5*'POSF Zone Def'!$Y31</f>
        <v>0</v>
      </c>
      <c r="AZ42" s="529">
        <f>'POSF Inventory'!EB34*'POSF Emiss by Zone'!$D$6*'POSF Zone Def'!$Y31</f>
        <v>0</v>
      </c>
      <c r="BA42" s="529">
        <f>'POSF Inventory'!EC34*'POSF Emiss by Zone'!$D$5*'POSF Zone Def'!$Y31</f>
        <v>4.0113566283375004</v>
      </c>
      <c r="BB42" s="529">
        <f>'POSF Inventory'!ED34*'POSF Emiss by Zone'!$D$6*'POSF Zone Def'!$Y31</f>
        <v>40.208509635524997</v>
      </c>
      <c r="BC42" s="529">
        <f>'POSF Inventory'!EE34*'POSF Emiss by Zone'!$D$5*'POSF Zone Def'!$Y31</f>
        <v>0</v>
      </c>
      <c r="BD42" s="524">
        <f>'POSF Inventory'!EF34*'POSF Emiss by Zone'!$D$6*'POSF Zone Def'!$Y31</f>
        <v>0</v>
      </c>
      <c r="BE42" s="474">
        <f>'POSF Inventory'!EA34*'POSF Emiss by Zone'!$D$5*'POSF Zone Def'!$Z31</f>
        <v>0</v>
      </c>
      <c r="BF42" s="474">
        <f>'POSF Inventory'!EB34*'POSF Emiss by Zone'!$D$6*'POSF Zone Def'!$Z31</f>
        <v>0</v>
      </c>
      <c r="BG42" s="474">
        <f>'POSF Inventory'!EC34*'POSF Emiss by Zone'!$D$5*'POSF Zone Def'!$Z31</f>
        <v>0.44570629203750012</v>
      </c>
      <c r="BH42" s="474">
        <f>'POSF Inventory'!ED34*'POSF Emiss by Zone'!$D$6*'POSF Zone Def'!$Z31</f>
        <v>4.4676121817250003</v>
      </c>
      <c r="BI42" s="474">
        <f>'POSF Inventory'!EE34*'POSF Emiss by Zone'!$D$5*'POSF Zone Def'!$Z31</f>
        <v>0</v>
      </c>
      <c r="BJ42" s="549">
        <f>'POSF Inventory'!EF34*'POSF Emiss by Zone'!$D$6*'POSF Zone Def'!$Z31</f>
        <v>0</v>
      </c>
      <c r="BK42" s="705">
        <f>'POSF Inventory'!$EA34*'POSF Emiss by Zone'!$D$5*'POSF Zone Def'!$AC31</f>
        <v>0</v>
      </c>
      <c r="BL42" s="705">
        <f>'POSF Inventory'!$EB34*'POSF Emiss by Zone'!$D$6*'POSF Zone Def'!$AC31</f>
        <v>0</v>
      </c>
      <c r="BM42" s="705">
        <f>'POSF Inventory'!$EC34*'POSF Emiss by Zone'!$D$5*'POSF Zone Def'!$AC31</f>
        <v>0</v>
      </c>
      <c r="BN42" s="705">
        <f>'POSF Inventory'!$ED34*'POSF Emiss by Zone'!$D$6*'POSF Zone Def'!$AC31</f>
        <v>0</v>
      </c>
      <c r="BO42" s="705">
        <f>'POSF Inventory'!$EE34*'POSF Emiss by Zone'!$D$5*'POSF Zone Def'!$AC31</f>
        <v>0</v>
      </c>
      <c r="BP42" s="708">
        <f>'POSF Inventory'!$EF34*'POSF Emiss by Zone'!$D$6*'POSF Zone Def'!$AC31</f>
        <v>0</v>
      </c>
      <c r="BQ42" s="529">
        <f>'POSF Inventory'!EG34*'POSF Emiss by Zone'!$D$5*'POSF Zone Def'!$BB31</f>
        <v>0</v>
      </c>
      <c r="BR42" s="529">
        <f>'POSF Inventory'!EH34*'POSF Emiss by Zone'!$D$6*'POSF Zone Def'!$BB31</f>
        <v>0</v>
      </c>
      <c r="BS42" s="529">
        <f>'POSF Inventory'!EI34*'POSF Emiss by Zone'!$D$5*'POSF Zone Def'!$BB31</f>
        <v>0</v>
      </c>
      <c r="BT42" s="529">
        <f>'POSF Inventory'!EJ34*'POSF Emiss by Zone'!$D$6*'POSF Zone Def'!$BB31</f>
        <v>0</v>
      </c>
      <c r="BU42" s="529">
        <f>'POSF Inventory'!EK34*'POSF Emiss by Zone'!$D$5*'POSF Zone Def'!$BB31</f>
        <v>0</v>
      </c>
      <c r="BV42" s="524">
        <f>'POSF Inventory'!EL34*'POSF Emiss by Zone'!$D$6*'POSF Zone Def'!$BB31</f>
        <v>0</v>
      </c>
      <c r="BW42" s="474">
        <f>'POSF Inventory'!EG34*'POSF Emiss by Zone'!$D$5*'POSF Zone Def'!$BC31</f>
        <v>0</v>
      </c>
      <c r="BX42" s="474">
        <f>'POSF Inventory'!EH34*'POSF Emiss by Zone'!$D$6*'POSF Zone Def'!$BC31</f>
        <v>0</v>
      </c>
      <c r="BY42" s="474">
        <f>'POSF Inventory'!EI34*'POSF Emiss by Zone'!$D$5*'POSF Zone Def'!$BC31</f>
        <v>0</v>
      </c>
      <c r="BZ42" s="474">
        <f>'POSF Inventory'!EJ34*'POSF Emiss by Zone'!$D$6*'POSF Zone Def'!$BC31</f>
        <v>0</v>
      </c>
      <c r="CA42" s="474">
        <f>'POSF Inventory'!EK34*'POSF Emiss by Zone'!$D$5*'POSF Zone Def'!$BC31</f>
        <v>0</v>
      </c>
      <c r="CB42" s="134">
        <f>'POSF Inventory'!EL34*'POSF Emiss by Zone'!$D$6*'POSF Zone Def'!$BC31</f>
        <v>0</v>
      </c>
      <c r="CC42" s="529">
        <f>'POSF Inventory'!GC34*'POSF Emiss by Zone'!$D$7*'POSF Zone Def'!$M31</f>
        <v>1.9510880000000005E-2</v>
      </c>
      <c r="CD42" s="529">
        <f>'POSF Inventory'!GD34*'POSF Emiss by Zone'!$D$9*'POSF Zone Def'!$M31</f>
        <v>2.4120325400000007E-2</v>
      </c>
      <c r="CE42" s="529">
        <f>'POSF Inventory'!GE34*'POSF Emiss by Zone'!$D$7*'POSF Zone Def'!$M31</f>
        <v>0.29266319999999996</v>
      </c>
      <c r="CF42" s="529">
        <f>'POSF Inventory'!GF34*'POSF Emiss by Zone'!$D$9*'POSF Zone Def'!$M31</f>
        <v>0.36180488100000002</v>
      </c>
      <c r="CG42" s="529">
        <f>'POSF Inventory'!GG34*'POSF Emiss by Zone'!$D$7*'POSF Zone Def'!$M31</f>
        <v>1.0730983999999999</v>
      </c>
      <c r="CH42" s="524">
        <f>'POSF Inventory'!GH34*'POSF Emiss by Zone'!$D$9*'POSF Zone Def'!$M31</f>
        <v>5.306471588</v>
      </c>
      <c r="CI42" s="474">
        <f>'POSF Inventory'!GC34*'POSF Emiss by Zone'!$D$7*'POSF Zone Def'!$N31</f>
        <v>1.9510880000000005E-2</v>
      </c>
      <c r="CJ42" s="474">
        <f>'POSF Inventory'!GD34*'POSF Emiss by Zone'!$D$9*'POSF Zone Def'!$N31</f>
        <v>2.4120325400000007E-2</v>
      </c>
      <c r="CK42" s="474">
        <f>'POSF Inventory'!GE34*'POSF Emiss by Zone'!$D$7*'POSF Zone Def'!$N31</f>
        <v>0.29266319999999996</v>
      </c>
      <c r="CL42" s="474">
        <f>'POSF Inventory'!GF34*'POSF Emiss by Zone'!$D$9*'POSF Zone Def'!$N31</f>
        <v>0.36180488100000002</v>
      </c>
      <c r="CM42" s="474">
        <f>'POSF Inventory'!GG34*'POSF Emiss by Zone'!$D$7*'POSF Zone Def'!$N31</f>
        <v>1.0730983999999999</v>
      </c>
      <c r="CN42" s="485">
        <f>'POSF Inventory'!GH34*'POSF Emiss by Zone'!$D$9*'POSF Zone Def'!$N31</f>
        <v>5.306471588</v>
      </c>
      <c r="CO42" s="529">
        <f>'POSF Inventory'!GI34*'POSF Emiss by Zone'!$D$7*'POSF Zone Def'!$AP31</f>
        <v>0</v>
      </c>
      <c r="CP42" s="529">
        <f>'POSF Inventory'!GJ34*'POSF Emiss by Zone'!$D$9*'POSF Zone Def'!$AP31</f>
        <v>0</v>
      </c>
      <c r="CQ42" s="529">
        <f>'POSF Inventory'!GK34*'POSF Emiss by Zone'!$D$7*'POSF Zone Def'!$AP31</f>
        <v>0</v>
      </c>
      <c r="CR42" s="529">
        <f>'POSF Inventory'!GL34*'POSF Emiss by Zone'!$D$9*'POSF Zone Def'!$AP31</f>
        <v>0</v>
      </c>
      <c r="CS42" s="529">
        <f>'POSF Inventory'!GM34*'POSF Emiss by Zone'!$D$7*'POSF Zone Def'!$AP31</f>
        <v>0</v>
      </c>
      <c r="CT42" s="524">
        <f>'POSF Inventory'!GN34*'POSF Emiss by Zone'!$D$9*'POSF Zone Def'!$AP31</f>
        <v>0</v>
      </c>
      <c r="CU42" s="474">
        <f>'POSF Inventory'!GI34*'POSF Emiss by Zone'!$D$7*'POSF Zone Def'!$AQ31</f>
        <v>0</v>
      </c>
      <c r="CV42" s="474">
        <f>'POSF Inventory'!GJ34*'POSF Emiss by Zone'!$D$9*'POSF Zone Def'!$AQ31</f>
        <v>0</v>
      </c>
      <c r="CW42" s="474">
        <f>'POSF Inventory'!GK34*'POSF Emiss by Zone'!$D$7*'POSF Zone Def'!$AQ31</f>
        <v>0</v>
      </c>
      <c r="CX42" s="474">
        <f>'POSF Inventory'!GL34*'POSF Emiss by Zone'!$D$9*'POSF Zone Def'!$AQ31</f>
        <v>0</v>
      </c>
      <c r="CY42" s="474">
        <f>'POSF Inventory'!GM34*'POSF Emiss by Zone'!$D$7*'POSF Zone Def'!$AQ31</f>
        <v>0</v>
      </c>
      <c r="CZ42" s="134">
        <f>'POSF Inventory'!GN34*'POSF Emiss by Zone'!$D$9*'POSF Zone Def'!$AQ31</f>
        <v>0</v>
      </c>
      <c r="DA42" s="529">
        <f>SUM('POSF Inventory'!GQ34,'POSF Inventory'!GS34)*'POSF Emiss by Zone'!$D$7*'POSF Zone Def'!$Y31</f>
        <v>2.4319024338544426</v>
      </c>
      <c r="DB42" s="529">
        <f>SUM('POSF Inventory'!GR34,'POSF Inventory'!GT34)*'POSF Emiss by Zone'!$D$9*'POSF Zone Def'!$Y31</f>
        <v>89.726139318629478</v>
      </c>
      <c r="DC42" s="529"/>
      <c r="DD42" s="529"/>
      <c r="DE42" s="529">
        <f>'POSF Inventory'!GU34*'POSF Emiss by Zone'!$D$7*'POSF Zone Def'!$Y31</f>
        <v>0</v>
      </c>
      <c r="DF42" s="524">
        <f>'POSF Inventory'!GV34*'POSF Emiss by Zone'!$D$9*'POSF Zone Def'!$Y31</f>
        <v>0</v>
      </c>
      <c r="DG42" s="474">
        <f>SUM('POSF Inventory'!GQ34,'POSF Inventory'!GS34)*'POSF Emiss by Zone'!$D$7*'POSF Zone Def'!$Z31</f>
        <v>0.27021138153938251</v>
      </c>
      <c r="DH42" s="474">
        <f>SUM('POSF Inventory'!GR34,'POSF Inventory'!GT34)*'POSF Emiss by Zone'!$D$9*'POSF Zone Def'!$Z31</f>
        <v>9.9695710354032769</v>
      </c>
      <c r="DI42" s="474"/>
      <c r="DJ42" s="474"/>
      <c r="DK42" s="474">
        <f>'POSF Inventory'!GU34*'POSF Emiss by Zone'!$D$7*'POSF Zone Def'!$Z31</f>
        <v>0</v>
      </c>
      <c r="DL42" s="485">
        <f>'POSF Inventory'!GV34*'POSF Emiss by Zone'!$D$9*'POSF Zone Def'!$Z31</f>
        <v>0</v>
      </c>
      <c r="DM42" s="705">
        <f>SUM('POSF Inventory'!$GQ34,'POSF Inventory'!$GS34)*'POSF Emiss by Zone'!$D$7*'POSF Zone Def'!$AC31</f>
        <v>0</v>
      </c>
      <c r="DN42" s="705">
        <f>SUM('POSF Inventory'!$GR34,'POSF Inventory'!$GT34)*'POSF Emiss by Zone'!$D$9*'POSF Zone Def'!$AC31</f>
        <v>0</v>
      </c>
      <c r="DO42" s="705"/>
      <c r="DP42" s="705"/>
      <c r="DQ42" s="705">
        <f>'POSF Inventory'!$GU34*'POSF Emiss by Zone'!$D$7*'POSF Zone Def'!$AC31</f>
        <v>0</v>
      </c>
      <c r="DR42" s="708">
        <f>'POSF Inventory'!$GV34*'POSF Emiss by Zone'!$D$9*'POSF Zone Def'!$AC31</f>
        <v>0</v>
      </c>
      <c r="DS42" s="529">
        <f>SUM('POSF Inventory'!GW34,'POSF Inventory'!GY34)*$D$7*'POSF Zone Def'!$BB31</f>
        <v>0</v>
      </c>
      <c r="DT42" s="529">
        <f>SUM('POSF Inventory'!GX34,'POSF Inventory'!GZ34)*$D$9*'POSF Zone Def'!$BB31</f>
        <v>0</v>
      </c>
      <c r="DU42" s="529"/>
      <c r="DV42" s="529"/>
      <c r="DW42" s="529">
        <f>'POSF Inventory'!HA34*'POSF Emiss by Zone'!$D$7*'POSF Zone Def'!$BB31</f>
        <v>0</v>
      </c>
      <c r="DX42" s="524">
        <f>'POSF Inventory'!HB34*'POSF Emiss by Zone'!$D$9*'POSF Zone Def'!$BB31</f>
        <v>0</v>
      </c>
      <c r="DY42" s="474">
        <f>SUM('POSF Inventory'!GW34,'POSF Inventory'!GY34)*$D$7*'POSF Zone Def'!$BC31</f>
        <v>0</v>
      </c>
      <c r="DZ42" s="474">
        <f>SUM('POSF Inventory'!GX34,'POSF Inventory'!GZ34)*$D$9*'POSF Zone Def'!$BC31</f>
        <v>0</v>
      </c>
      <c r="EA42" s="474"/>
      <c r="EB42" s="474"/>
      <c r="EC42" s="474">
        <f>'POSF Inventory'!HA34*'POSF Emiss by Zone'!$D$7*'POSF Zone Def'!$BC31</f>
        <v>0</v>
      </c>
      <c r="ED42" s="134">
        <f>'POSF Inventory'!HB34*'POSF Emiss by Zone'!$D$9*'POSF Zone Def'!$BC31</f>
        <v>0</v>
      </c>
      <c r="EE42" s="235">
        <f>'POSF Inventory'!$CF34*'POSF Emiss by Zone'!$D$7*'POSF Zone Def'!$CE31</f>
        <v>0</v>
      </c>
      <c r="EF42" s="235">
        <f>'POSF Inventory'!$CG34*'POSF Emiss by Zone'!$D$9*'POSF Zone Def'!$CE31</f>
        <v>0</v>
      </c>
      <c r="EG42" s="235">
        <f>'POSF Inventory'!$CH34*'POSF Emiss by Zone'!$D$7*'POSF Zone Def'!$CE31</f>
        <v>0</v>
      </c>
      <c r="EH42" s="235">
        <f>'POSF Inventory'!$CI34*'POSF Emiss by Zone'!$D$9*'POSF Zone Def'!$CE31</f>
        <v>0</v>
      </c>
      <c r="EI42" s="235">
        <f>'POSF Inventory'!$CJ34*'POSF Emiss by Zone'!$D$7*'POSF Zone Def'!$CE31</f>
        <v>0</v>
      </c>
      <c r="EJ42" s="580">
        <f>'POSF Inventory'!$CK34*'POSF Emiss by Zone'!$D$9*'POSF Zone Def'!$CE31</f>
        <v>0</v>
      </c>
      <c r="EK42" s="235">
        <f>'POSF Inventory'!$CF34*'POSF Emiss by Zone'!$D$7*'POSF Zone Def'!$CF31</f>
        <v>0</v>
      </c>
      <c r="EL42" s="235">
        <f>'POSF Inventory'!$CG34*'POSF Emiss by Zone'!$D$9*'POSF Zone Def'!$CF31</f>
        <v>0</v>
      </c>
      <c r="EM42" s="235">
        <f>'POSF Inventory'!$CH34*'POSF Emiss by Zone'!$D$7*'POSF Zone Def'!$CF31</f>
        <v>0</v>
      </c>
      <c r="EN42" s="235">
        <f>'POSF Inventory'!$CI34*'POSF Emiss by Zone'!$D$9*'POSF Zone Def'!$CF31</f>
        <v>0</v>
      </c>
      <c r="EO42" s="235">
        <f>'POSF Inventory'!$CJ34*'POSF Emiss by Zone'!$D$7*'POSF Zone Def'!$CF31</f>
        <v>0</v>
      </c>
      <c r="EP42" s="580">
        <f>'POSF Inventory'!$CK34*'POSF Emiss by Zone'!$D$9*'POSF Zone Def'!$CF31</f>
        <v>0</v>
      </c>
      <c r="EQ42" s="235">
        <f>'POSF Inventory'!$CF34*'POSF Emiss by Zone'!$D$7*'POSF Zone Def'!$CG31</f>
        <v>0</v>
      </c>
      <c r="ER42" s="235">
        <f>'POSF Inventory'!$CG34*'POSF Emiss by Zone'!$D$9*'POSF Zone Def'!$CG31</f>
        <v>0</v>
      </c>
      <c r="ES42" s="235">
        <f>'POSF Inventory'!$CH34*'POSF Emiss by Zone'!$D$7*'POSF Zone Def'!$CG31</f>
        <v>0</v>
      </c>
      <c r="ET42" s="235">
        <f>'POSF Inventory'!$CI34*'POSF Emiss by Zone'!$D$9*'POSF Zone Def'!$CG31</f>
        <v>0</v>
      </c>
      <c r="EU42" s="235">
        <f>'POSF Inventory'!$CJ34*'POSF Emiss by Zone'!$D$7*'POSF Zone Def'!$CG31</f>
        <v>0</v>
      </c>
      <c r="EV42" s="580">
        <f>'POSF Inventory'!$CK34*'POSF Emiss by Zone'!$D$9*'POSF Zone Def'!$CG31</f>
        <v>0</v>
      </c>
      <c r="EW42" s="235">
        <f>'POSF Inventory'!$CF34*'POSF Emiss by Zone'!$D$7*'POSF Zone Def'!$CH31</f>
        <v>0</v>
      </c>
      <c r="EX42" s="235">
        <f>'POSF Inventory'!$CG34*'POSF Emiss by Zone'!$D$9*'POSF Zone Def'!$CH31</f>
        <v>0</v>
      </c>
      <c r="EY42" s="235">
        <f>'POSF Inventory'!$CH34*'POSF Emiss by Zone'!$D$7*'POSF Zone Def'!$CH31</f>
        <v>0</v>
      </c>
      <c r="EZ42" s="235">
        <f>'POSF Inventory'!$CI34*'POSF Emiss by Zone'!$D$9*'POSF Zone Def'!$CH31</f>
        <v>0</v>
      </c>
      <c r="FA42" s="235">
        <f>'POSF Inventory'!$CJ34*'POSF Emiss by Zone'!$D$7*'POSF Zone Def'!$CH31</f>
        <v>0</v>
      </c>
      <c r="FB42" s="580">
        <f>'POSF Inventory'!$CK34*'POSF Emiss by Zone'!$D$9*'POSF Zone Def'!$CH31</f>
        <v>0</v>
      </c>
      <c r="FC42" s="235">
        <f>'POSF Inventory'!$CF34*'POSF Emiss by Zone'!$D$7*'POSF Zone Def'!$CI31</f>
        <v>0</v>
      </c>
      <c r="FD42" s="235">
        <f>'POSF Inventory'!$CG34*'POSF Emiss by Zone'!$D$9*'POSF Zone Def'!$CI31</f>
        <v>0</v>
      </c>
      <c r="FE42" s="235">
        <f>'POSF Inventory'!$CH34*'POSF Emiss by Zone'!$D$7*'POSF Zone Def'!$CI31</f>
        <v>0</v>
      </c>
      <c r="FF42" s="235">
        <f>'POSF Inventory'!$CI34*'POSF Emiss by Zone'!$D$9*'POSF Zone Def'!$CI31</f>
        <v>0</v>
      </c>
      <c r="FG42" s="235">
        <f>'POSF Inventory'!$CJ34*'POSF Emiss by Zone'!$D$7*'POSF Zone Def'!$CI31</f>
        <v>0</v>
      </c>
      <c r="FH42" s="577">
        <f>'POSF Inventory'!$CK34*'POSF Emiss by Zone'!$D$9*'POSF Zone Def'!$CI31</f>
        <v>0</v>
      </c>
      <c r="FI42" s="595"/>
      <c r="FJ42" s="595"/>
      <c r="FM42" s="592">
        <v>25</v>
      </c>
      <c r="FN42" s="592">
        <f t="shared" si="0"/>
        <v>1979</v>
      </c>
      <c r="FO42" s="587">
        <v>22</v>
      </c>
      <c r="FP42" s="551">
        <f t="shared" si="20"/>
        <v>4.1731943175000001</v>
      </c>
      <c r="FQ42" s="529">
        <f t="shared" si="21"/>
        <v>4.1830717005000002</v>
      </c>
      <c r="FR42" s="529">
        <f t="shared" si="22"/>
        <v>0</v>
      </c>
      <c r="FS42" s="529">
        <f t="shared" si="23"/>
        <v>0</v>
      </c>
      <c r="FT42" s="529">
        <f t="shared" si="24"/>
        <v>3.0912550500000004</v>
      </c>
      <c r="FU42" s="524">
        <f t="shared" si="25"/>
        <v>3.0985716300000004</v>
      </c>
      <c r="FV42" s="474">
        <f t="shared" si="26"/>
        <v>4.1731943175000001</v>
      </c>
      <c r="FW42" s="474">
        <f t="shared" si="27"/>
        <v>4.1830717005000002</v>
      </c>
      <c r="FX42" s="474">
        <f t="shared" si="28"/>
        <v>0</v>
      </c>
      <c r="FY42" s="474">
        <f t="shared" si="29"/>
        <v>0</v>
      </c>
      <c r="FZ42" s="474">
        <f t="shared" si="30"/>
        <v>3.0912550500000004</v>
      </c>
      <c r="GA42" s="134">
        <f t="shared" si="31"/>
        <v>3.0985716300000004</v>
      </c>
      <c r="GB42" s="529">
        <f t="shared" si="32"/>
        <v>0</v>
      </c>
      <c r="GC42" s="529">
        <f t="shared" si="33"/>
        <v>0</v>
      </c>
      <c r="GD42" s="529">
        <f t="shared" si="34"/>
        <v>6.7664204913720125</v>
      </c>
      <c r="GE42" s="529">
        <f t="shared" si="35"/>
        <v>42.825920420841626</v>
      </c>
      <c r="GF42" s="529">
        <f t="shared" si="36"/>
        <v>5.1315654880478094</v>
      </c>
      <c r="GG42" s="524">
        <f t="shared" si="37"/>
        <v>5.143711205179283</v>
      </c>
      <c r="GH42" s="474">
        <f t="shared" si="38"/>
        <v>0</v>
      </c>
      <c r="GI42" s="474">
        <f t="shared" si="39"/>
        <v>0</v>
      </c>
      <c r="GJ42" s="474">
        <f t="shared" si="40"/>
        <v>3.2149759333042831</v>
      </c>
      <c r="GK42" s="474">
        <f t="shared" si="41"/>
        <v>7.2274169808017934</v>
      </c>
      <c r="GL42" s="474">
        <f t="shared" si="42"/>
        <v>5.1315654880478094</v>
      </c>
      <c r="GM42" s="705">
        <f t="shared" si="43"/>
        <v>5.143711205179283</v>
      </c>
      <c r="GN42" s="705">
        <f t="shared" si="44"/>
        <v>0</v>
      </c>
      <c r="GO42" s="705">
        <f t="shared" si="45"/>
        <v>0</v>
      </c>
      <c r="GP42" s="705">
        <f t="shared" si="46"/>
        <v>0</v>
      </c>
      <c r="GQ42" s="705">
        <f t="shared" si="47"/>
        <v>0</v>
      </c>
      <c r="GR42" s="705">
        <f t="shared" si="48"/>
        <v>0</v>
      </c>
      <c r="GS42" s="134">
        <f t="shared" si="49"/>
        <v>0</v>
      </c>
      <c r="GT42" s="529">
        <f t="shared" si="50"/>
        <v>5.0786251920490445E-2</v>
      </c>
      <c r="GU42" s="529">
        <f t="shared" si="51"/>
        <v>1.859367928880292</v>
      </c>
      <c r="GV42" s="529">
        <f t="shared" si="52"/>
        <v>6.0631419920318718E-3</v>
      </c>
      <c r="GW42" s="529">
        <f t="shared" si="53"/>
        <v>7.4955592876494023E-3</v>
      </c>
      <c r="GX42" s="529">
        <f t="shared" si="54"/>
        <v>2.2231520637450198E-2</v>
      </c>
      <c r="GY42" s="524">
        <f t="shared" si="55"/>
        <v>0.10993486955219124</v>
      </c>
      <c r="GZ42" s="474">
        <f t="shared" si="56"/>
        <v>6.0022141832860127E-3</v>
      </c>
      <c r="HA42" s="474">
        <f t="shared" si="57"/>
        <v>0.20704061783337466</v>
      </c>
      <c r="HB42" s="474">
        <f t="shared" si="58"/>
        <v>6.0631419920318718E-3</v>
      </c>
      <c r="HC42" s="474">
        <f t="shared" si="59"/>
        <v>7.4955592876494023E-3</v>
      </c>
      <c r="HD42" s="474">
        <f t="shared" si="60"/>
        <v>2.2231520637450198E-2</v>
      </c>
      <c r="HE42" s="549">
        <f t="shared" si="61"/>
        <v>0.10993486955219124</v>
      </c>
      <c r="HF42" s="235">
        <f t="shared" si="62"/>
        <v>0</v>
      </c>
      <c r="HG42" s="235">
        <f t="shared" si="63"/>
        <v>0</v>
      </c>
      <c r="HH42" s="235">
        <f t="shared" si="64"/>
        <v>0</v>
      </c>
      <c r="HI42" s="235">
        <f t="shared" si="65"/>
        <v>0</v>
      </c>
      <c r="HJ42" s="235">
        <f t="shared" si="66"/>
        <v>0</v>
      </c>
      <c r="HK42" s="580">
        <f t="shared" si="67"/>
        <v>0</v>
      </c>
      <c r="HL42" s="235">
        <f t="shared" si="68"/>
        <v>0</v>
      </c>
      <c r="HM42" s="235">
        <f t="shared" si="69"/>
        <v>0</v>
      </c>
      <c r="HN42" s="235">
        <f t="shared" si="70"/>
        <v>0</v>
      </c>
      <c r="HO42" s="235">
        <f t="shared" si="71"/>
        <v>0</v>
      </c>
      <c r="HP42" s="235">
        <f t="shared" si="72"/>
        <v>0</v>
      </c>
      <c r="HQ42" s="580">
        <f t="shared" si="73"/>
        <v>0</v>
      </c>
      <c r="HR42" s="235">
        <f t="shared" si="74"/>
        <v>0</v>
      </c>
      <c r="HS42" s="235">
        <f t="shared" si="75"/>
        <v>0</v>
      </c>
      <c r="HT42" s="235">
        <f t="shared" si="76"/>
        <v>0</v>
      </c>
      <c r="HU42" s="235">
        <f t="shared" si="77"/>
        <v>0</v>
      </c>
      <c r="HV42" s="235">
        <f t="shared" si="78"/>
        <v>0</v>
      </c>
      <c r="HW42" s="577">
        <f t="shared" si="79"/>
        <v>0</v>
      </c>
      <c r="HX42" s="235">
        <f t="shared" si="80"/>
        <v>2.699093957835911</v>
      </c>
      <c r="HY42" s="235">
        <f t="shared" si="81"/>
        <v>98.818254004876437</v>
      </c>
      <c r="HZ42" s="235">
        <f t="shared" si="82"/>
        <v>0.32223267709960146</v>
      </c>
      <c r="IA42" s="235">
        <f t="shared" si="83"/>
        <v>0.39836014706438244</v>
      </c>
      <c r="IB42" s="235">
        <f t="shared" si="84"/>
        <v>1.1815198160318721</v>
      </c>
      <c r="IC42" s="235">
        <f t="shared" si="85"/>
        <v>5.8426154902776082</v>
      </c>
      <c r="ID42" s="235">
        <f t="shared" si="86"/>
        <v>0.31899459840248506</v>
      </c>
      <c r="IE42" s="235">
        <f t="shared" si="87"/>
        <v>11.003412527775271</v>
      </c>
      <c r="IF42" s="235">
        <f t="shared" si="88"/>
        <v>0.32223267709960146</v>
      </c>
      <c r="IG42" s="235">
        <f t="shared" si="89"/>
        <v>0.39836014706438244</v>
      </c>
      <c r="IH42" s="235">
        <f t="shared" si="90"/>
        <v>1.1815198160318721</v>
      </c>
      <c r="II42" s="235">
        <f t="shared" si="91"/>
        <v>5.8426154902776082</v>
      </c>
      <c r="IJ42" s="235">
        <f t="shared" si="92"/>
        <v>0</v>
      </c>
      <c r="IK42" s="235">
        <f t="shared" si="93"/>
        <v>0</v>
      </c>
      <c r="IL42" s="235">
        <f t="shared" si="94"/>
        <v>0</v>
      </c>
      <c r="IM42" s="235">
        <f t="shared" si="95"/>
        <v>0</v>
      </c>
      <c r="IN42" s="235">
        <f t="shared" si="96"/>
        <v>0</v>
      </c>
      <c r="IO42" s="235">
        <f t="shared" si="97"/>
        <v>0</v>
      </c>
    </row>
    <row r="43" spans="1:249" ht="18" x14ac:dyDescent="0.25">
      <c r="A43" s="18">
        <v>1980</v>
      </c>
      <c r="B43" s="564"/>
      <c r="C43" s="529">
        <f>'POSF Inventory'!AD35*$D$5*'POSF Zone Def'!$M32</f>
        <v>4.8170393212499993</v>
      </c>
      <c r="D43" s="529">
        <f>'POSF Inventory'!AE35*$D$6*'POSF Zone Def'!$M32</f>
        <v>4.8284405977499993</v>
      </c>
      <c r="E43" s="529">
        <f>'POSF Inventory'!AF35*$D$5*'POSF Zone Def'!$M32</f>
        <v>0</v>
      </c>
      <c r="F43" s="529">
        <f>'POSF Inventory'!AG35*$D$6*'POSF Zone Def'!$M32</f>
        <v>0</v>
      </c>
      <c r="G43" s="529">
        <f>'POSF Inventory'!AH35*$D$5*'POSF Zone Def'!$M32</f>
        <v>3.5681772749999996</v>
      </c>
      <c r="H43" s="524">
        <f>'POSF Inventory'!AI35*$D$6*'POSF Zone Def'!$M32</f>
        <v>3.5766226649999999</v>
      </c>
      <c r="I43" s="474">
        <f>'POSF Inventory'!AD35*$D$5*'POSF Zone Def'!$N32</f>
        <v>4.8170393212499993</v>
      </c>
      <c r="J43" s="474">
        <f>'POSF Inventory'!AE35*$D$6*'POSF Zone Def'!$N32</f>
        <v>4.8284405977499993</v>
      </c>
      <c r="K43" s="474">
        <f>'POSF Inventory'!AF35*$D$5*'POSF Zone Def'!$N32</f>
        <v>0</v>
      </c>
      <c r="L43" s="474">
        <f>'POSF Inventory'!AG35*$D$6*'POSF Zone Def'!$N32</f>
        <v>0</v>
      </c>
      <c r="M43" s="474">
        <f>'POSF Inventory'!AH35*$D$5*'POSF Zone Def'!$N32</f>
        <v>3.5681772749999996</v>
      </c>
      <c r="N43" s="485">
        <f>'POSF Inventory'!AI35*$D$6*'POSF Zone Def'!$N32</f>
        <v>3.5766226649999999</v>
      </c>
      <c r="O43" s="529">
        <f>'POSF Inventory'!AJ35*$D$5*'POSF Zone Def'!$AP32</f>
        <v>0</v>
      </c>
      <c r="P43" s="529">
        <f>'POSF Inventory'!AK35*$D$6*'POSF Zone Def'!$AP32</f>
        <v>0</v>
      </c>
      <c r="Q43" s="529">
        <f>'POSF Inventory'!AL35*$D$5*'POSF Zone Def'!$AP32</f>
        <v>0</v>
      </c>
      <c r="R43" s="529">
        <f>'POSF Inventory'!AM35*$D$6*'POSF Zone Def'!$AP32</f>
        <v>0</v>
      </c>
      <c r="S43" s="529">
        <f>'POSF Inventory'!AN35*$D$5*'POSF Zone Def'!$AP32</f>
        <v>0</v>
      </c>
      <c r="T43" s="524">
        <f>'POSF Inventory'!AO35*$D$6*'POSF Zone Def'!$AP32</f>
        <v>0</v>
      </c>
      <c r="U43" s="474">
        <f>'POSF Inventory'!AJ35*$D$5*'POSF Zone Def'!$AQ32</f>
        <v>0</v>
      </c>
      <c r="V43" s="474">
        <f>'POSF Inventory'!AK35*$D$6*'POSF Zone Def'!$AQ32</f>
        <v>0</v>
      </c>
      <c r="W43" s="474">
        <f>'POSF Inventory'!AL35*$D$5*'POSF Zone Def'!$AQ32</f>
        <v>0</v>
      </c>
      <c r="X43" s="474">
        <f>'POSF Inventory'!AM35*$D$6*'POSF Zone Def'!$AQ32</f>
        <v>0</v>
      </c>
      <c r="Y43" s="474">
        <f>'POSF Inventory'!AN35*$D$5*'POSF Zone Def'!$AQ32</f>
        <v>0</v>
      </c>
      <c r="Z43" s="134">
        <f>'POSF Inventory'!AO35*$D$6*'POSF Zone Def'!$AQ32</f>
        <v>0</v>
      </c>
      <c r="AA43" s="529">
        <f>'POSF Inventory'!AV35*'POSF Emiss by Zone'!$D$5*'POSF Zone Def'!$M32</f>
        <v>0</v>
      </c>
      <c r="AB43" s="529">
        <f>'POSF Inventory'!AW35*'POSF Emiss by Zone'!$D$6*'POSF Zone Def'!$M32</f>
        <v>0</v>
      </c>
      <c r="AC43" s="529">
        <f>'POSF Inventory'!AX35*'POSF Emiss by Zone'!$D$5*'POSF Zone Def'!$M32</f>
        <v>3.2113595475000003</v>
      </c>
      <c r="AD43" s="529">
        <f>'POSF Inventory'!AY35*'POSF Emiss by Zone'!$D$6*'POSF Zone Def'!$M32</f>
        <v>3.2189603985000002</v>
      </c>
      <c r="AE43" s="529">
        <f>'POSF Inventory'!AZ35*'POSF Emiss by Zone'!$D$5*'POSF Zone Def'!$M32</f>
        <v>5.9469621250000007</v>
      </c>
      <c r="AF43" s="524">
        <f>'POSF Inventory'!BA35*'POSF Emiss by Zone'!$D$6*'POSF Zone Def'!$M32</f>
        <v>5.9610377750000003</v>
      </c>
      <c r="AG43" s="474">
        <f>'POSF Inventory'!AV35*'POSF Emiss by Zone'!$D$5*'POSF Zone Def'!$N32</f>
        <v>0</v>
      </c>
      <c r="AH43" s="474">
        <f>'POSF Inventory'!AW35*'POSF Emiss by Zone'!$D$6*'POSF Zone Def'!$N32</f>
        <v>0</v>
      </c>
      <c r="AI43" s="474">
        <f>'POSF Inventory'!AX35*'POSF Emiss by Zone'!$D$5*'POSF Zone Def'!$N32</f>
        <v>3.2113595475000003</v>
      </c>
      <c r="AJ43" s="474">
        <f>'POSF Inventory'!AY35*'POSF Emiss by Zone'!$D$6*'POSF Zone Def'!$N32</f>
        <v>3.2189603985000002</v>
      </c>
      <c r="AK43" s="474">
        <f>'POSF Inventory'!AZ35*'POSF Emiss by Zone'!$D$5*'POSF Zone Def'!$N32</f>
        <v>5.9469621250000007</v>
      </c>
      <c r="AL43" s="549">
        <f>'POSF Inventory'!BA35*'POSF Emiss by Zone'!$D$6*'POSF Zone Def'!$N32</f>
        <v>5.9610377750000003</v>
      </c>
      <c r="AM43" s="529">
        <f>'POSF Inventory'!BB35*'POSF Emiss by Zone'!$D$5*'POSF Zone Def'!$AP32</f>
        <v>0</v>
      </c>
      <c r="AN43" s="529">
        <f>'POSF Inventory'!BC35*'POSF Emiss by Zone'!$D$6*'POSF Zone Def'!$AP32</f>
        <v>0</v>
      </c>
      <c r="AO43" s="529">
        <f>'POSF Inventory'!BD35*'POSF Emiss by Zone'!$D$5*'POSF Zone Def'!$AP32</f>
        <v>0</v>
      </c>
      <c r="AP43" s="529">
        <f>'POSF Inventory'!BE35*'POSF Emiss by Zone'!$D$6*'POSF Zone Def'!$AP32</f>
        <v>0</v>
      </c>
      <c r="AQ43" s="529">
        <f>'POSF Inventory'!BF35*'POSF Emiss by Zone'!$D$5*'POSF Zone Def'!$AP32</f>
        <v>0</v>
      </c>
      <c r="AR43" s="524">
        <f>'POSF Inventory'!BG35*'POSF Emiss by Zone'!$D$6*'POSF Zone Def'!$AP32</f>
        <v>0</v>
      </c>
      <c r="AS43" s="474">
        <f>'POSF Inventory'!BB35*'POSF Emiss by Zone'!$D$5*'POSF Zone Def'!$AQ32</f>
        <v>0</v>
      </c>
      <c r="AT43" s="474">
        <f>'POSF Inventory'!BC35*'POSF Emiss by Zone'!$D$6*'POSF Zone Def'!$AQ32</f>
        <v>0</v>
      </c>
      <c r="AU43" s="474">
        <f>'POSF Inventory'!BD35*'POSF Emiss by Zone'!$D$5*'POSF Zone Def'!$AQ32</f>
        <v>0</v>
      </c>
      <c r="AV43" s="474">
        <f>'POSF Inventory'!BE35*'POSF Emiss by Zone'!$D$6*'POSF Zone Def'!$AQ32</f>
        <v>0</v>
      </c>
      <c r="AW43" s="474">
        <f>'POSF Inventory'!BF35*'POSF Emiss by Zone'!$D$5*'POSF Zone Def'!$AQ32</f>
        <v>0</v>
      </c>
      <c r="AX43" s="134">
        <f>'POSF Inventory'!BG35*'POSF Emiss by Zone'!$D$6*'POSF Zone Def'!$AQ32</f>
        <v>0</v>
      </c>
      <c r="AY43" s="529">
        <f>'POSF Inventory'!EA35*'POSF Emiss by Zone'!$D$5*'POSF Zone Def'!$Y32</f>
        <v>0</v>
      </c>
      <c r="AZ43" s="529">
        <f>'POSF Inventory'!EB35*'POSF Emiss by Zone'!$D$6*'POSF Zone Def'!$Y32</f>
        <v>0</v>
      </c>
      <c r="BA43" s="529">
        <f>'POSF Inventory'!EC35*'POSF Emiss by Zone'!$D$5*'POSF Zone Def'!$Y32</f>
        <v>4.6799160663937505</v>
      </c>
      <c r="BB43" s="529">
        <f>'POSF Inventory'!ED35*'POSF Emiss by Zone'!$D$6*'POSF Zone Def'!$Y32</f>
        <v>46.909927908112508</v>
      </c>
      <c r="BC43" s="529">
        <f>'POSF Inventory'!EE35*'POSF Emiss by Zone'!$D$5*'POSF Zone Def'!$Y32</f>
        <v>0</v>
      </c>
      <c r="BD43" s="524">
        <f>'POSF Inventory'!EF35*'POSF Emiss by Zone'!$D$6*'POSF Zone Def'!$Y32</f>
        <v>0</v>
      </c>
      <c r="BE43" s="474">
        <f>'POSF Inventory'!EA35*'POSF Emiss by Zone'!$D$5*'POSF Zone Def'!$Z32</f>
        <v>0</v>
      </c>
      <c r="BF43" s="474">
        <f>'POSF Inventory'!EB35*'POSF Emiss by Zone'!$D$6*'POSF Zone Def'!$Z32</f>
        <v>0</v>
      </c>
      <c r="BG43" s="474">
        <f>'POSF Inventory'!EC35*'POSF Emiss by Zone'!$D$5*'POSF Zone Def'!$Z32</f>
        <v>0.51999067404374999</v>
      </c>
      <c r="BH43" s="474">
        <f>'POSF Inventory'!ED35*'POSF Emiss by Zone'!$D$6*'POSF Zone Def'!$Z32</f>
        <v>5.2122142120125012</v>
      </c>
      <c r="BI43" s="474">
        <f>'POSF Inventory'!EE35*'POSF Emiss by Zone'!$D$5*'POSF Zone Def'!$Z32</f>
        <v>0</v>
      </c>
      <c r="BJ43" s="549">
        <f>'POSF Inventory'!EF35*'POSF Emiss by Zone'!$D$6*'POSF Zone Def'!$Z32</f>
        <v>0</v>
      </c>
      <c r="BK43" s="705">
        <f>'POSF Inventory'!$EA35*'POSF Emiss by Zone'!$D$5*'POSF Zone Def'!$AC32</f>
        <v>0</v>
      </c>
      <c r="BL43" s="705">
        <f>'POSF Inventory'!$EB35*'POSF Emiss by Zone'!$D$6*'POSF Zone Def'!$AC32</f>
        <v>0</v>
      </c>
      <c r="BM43" s="705">
        <f>'POSF Inventory'!$EC35*'POSF Emiss by Zone'!$D$5*'POSF Zone Def'!$AC32</f>
        <v>0</v>
      </c>
      <c r="BN43" s="705">
        <f>'POSF Inventory'!$ED35*'POSF Emiss by Zone'!$D$6*'POSF Zone Def'!$AC32</f>
        <v>0</v>
      </c>
      <c r="BO43" s="705">
        <f>'POSF Inventory'!$EE35*'POSF Emiss by Zone'!$D$5*'POSF Zone Def'!$AC32</f>
        <v>0</v>
      </c>
      <c r="BP43" s="708">
        <f>'POSF Inventory'!$EF35*'POSF Emiss by Zone'!$D$6*'POSF Zone Def'!$AC32</f>
        <v>0</v>
      </c>
      <c r="BQ43" s="529">
        <f>'POSF Inventory'!EG35*'POSF Emiss by Zone'!$D$5*'POSF Zone Def'!$BB32</f>
        <v>0</v>
      </c>
      <c r="BR43" s="529">
        <f>'POSF Inventory'!EH35*'POSF Emiss by Zone'!$D$6*'POSF Zone Def'!$BB32</f>
        <v>0</v>
      </c>
      <c r="BS43" s="529">
        <f>'POSF Inventory'!EI35*'POSF Emiss by Zone'!$D$5*'POSF Zone Def'!$BB32</f>
        <v>0</v>
      </c>
      <c r="BT43" s="529">
        <f>'POSF Inventory'!EJ35*'POSF Emiss by Zone'!$D$6*'POSF Zone Def'!$BB32</f>
        <v>0</v>
      </c>
      <c r="BU43" s="529">
        <f>'POSF Inventory'!EK35*'POSF Emiss by Zone'!$D$5*'POSF Zone Def'!$BB32</f>
        <v>0</v>
      </c>
      <c r="BV43" s="524">
        <f>'POSF Inventory'!EL35*'POSF Emiss by Zone'!$D$6*'POSF Zone Def'!$BB32</f>
        <v>0</v>
      </c>
      <c r="BW43" s="474">
        <f>'POSF Inventory'!EG35*'POSF Emiss by Zone'!$D$5*'POSF Zone Def'!$BC32</f>
        <v>0</v>
      </c>
      <c r="BX43" s="474">
        <f>'POSF Inventory'!EH35*'POSF Emiss by Zone'!$D$6*'POSF Zone Def'!$BC32</f>
        <v>0</v>
      </c>
      <c r="BY43" s="474">
        <f>'POSF Inventory'!EI35*'POSF Emiss by Zone'!$D$5*'POSF Zone Def'!$BC32</f>
        <v>0</v>
      </c>
      <c r="BZ43" s="474">
        <f>'POSF Inventory'!EJ35*'POSF Emiss by Zone'!$D$6*'POSF Zone Def'!$BC32</f>
        <v>0</v>
      </c>
      <c r="CA43" s="474">
        <f>'POSF Inventory'!EK35*'POSF Emiss by Zone'!$D$5*'POSF Zone Def'!$BC32</f>
        <v>0</v>
      </c>
      <c r="CB43" s="134">
        <f>'POSF Inventory'!EL35*'POSF Emiss by Zone'!$D$6*'POSF Zone Def'!$BC32</f>
        <v>0</v>
      </c>
      <c r="CC43" s="529">
        <f>'POSF Inventory'!GC35*'POSF Emiss by Zone'!$D$7*'POSF Zone Def'!$M32</f>
        <v>2.2521040000000006E-2</v>
      </c>
      <c r="CD43" s="529">
        <f>'POSF Inventory'!GD35*'POSF Emiss by Zone'!$D$9*'POSF Zone Def'!$M32</f>
        <v>2.7841635700000006E-2</v>
      </c>
      <c r="CE43" s="529">
        <f>'POSF Inventory'!GE35*'POSF Emiss by Zone'!$D$7*'POSF Zone Def'!$M32</f>
        <v>0.33781559999999999</v>
      </c>
      <c r="CF43" s="529">
        <f>'POSF Inventory'!GF35*'POSF Emiss by Zone'!$D$9*'POSF Zone Def'!$M32</f>
        <v>0.4176245355</v>
      </c>
      <c r="CG43" s="529">
        <f>'POSF Inventory'!GG35*'POSF Emiss by Zone'!$D$7*'POSF Zone Def'!$M32</f>
        <v>1.2386572000000002</v>
      </c>
      <c r="CH43" s="524">
        <f>'POSF Inventory'!GH35*'POSF Emiss by Zone'!$D$9*'POSF Zone Def'!$M32</f>
        <v>6.1251598540000014</v>
      </c>
      <c r="CI43" s="474">
        <f>'POSF Inventory'!GC35*'POSF Emiss by Zone'!$D$7*'POSF Zone Def'!$N32</f>
        <v>2.2521040000000006E-2</v>
      </c>
      <c r="CJ43" s="474">
        <f>'POSF Inventory'!GD35*'POSF Emiss by Zone'!$D$9*'POSF Zone Def'!$N32</f>
        <v>2.7841635700000006E-2</v>
      </c>
      <c r="CK43" s="474">
        <f>'POSF Inventory'!GE35*'POSF Emiss by Zone'!$D$7*'POSF Zone Def'!$N32</f>
        <v>0.33781559999999999</v>
      </c>
      <c r="CL43" s="474">
        <f>'POSF Inventory'!GF35*'POSF Emiss by Zone'!$D$9*'POSF Zone Def'!$N32</f>
        <v>0.4176245355</v>
      </c>
      <c r="CM43" s="474">
        <f>'POSF Inventory'!GG35*'POSF Emiss by Zone'!$D$7*'POSF Zone Def'!$N32</f>
        <v>1.2386572000000002</v>
      </c>
      <c r="CN43" s="485">
        <f>'POSF Inventory'!GH35*'POSF Emiss by Zone'!$D$9*'POSF Zone Def'!$N32</f>
        <v>6.1251598540000014</v>
      </c>
      <c r="CO43" s="529">
        <f>'POSF Inventory'!GI35*'POSF Emiss by Zone'!$D$7*'POSF Zone Def'!$AP32</f>
        <v>0</v>
      </c>
      <c r="CP43" s="529">
        <f>'POSF Inventory'!GJ35*'POSF Emiss by Zone'!$D$9*'POSF Zone Def'!$AP32</f>
        <v>0</v>
      </c>
      <c r="CQ43" s="529">
        <f>'POSF Inventory'!GK35*'POSF Emiss by Zone'!$D$7*'POSF Zone Def'!$AP32</f>
        <v>0</v>
      </c>
      <c r="CR43" s="529">
        <f>'POSF Inventory'!GL35*'POSF Emiss by Zone'!$D$9*'POSF Zone Def'!$AP32</f>
        <v>0</v>
      </c>
      <c r="CS43" s="529">
        <f>'POSF Inventory'!GM35*'POSF Emiss by Zone'!$D$7*'POSF Zone Def'!$AP32</f>
        <v>0</v>
      </c>
      <c r="CT43" s="524">
        <f>'POSF Inventory'!GN35*'POSF Emiss by Zone'!$D$9*'POSF Zone Def'!$AP32</f>
        <v>0</v>
      </c>
      <c r="CU43" s="474">
        <f>'POSF Inventory'!GI35*'POSF Emiss by Zone'!$D$7*'POSF Zone Def'!$AQ32</f>
        <v>0</v>
      </c>
      <c r="CV43" s="474">
        <f>'POSF Inventory'!GJ35*'POSF Emiss by Zone'!$D$9*'POSF Zone Def'!$AQ32</f>
        <v>0</v>
      </c>
      <c r="CW43" s="474">
        <f>'POSF Inventory'!GK35*'POSF Emiss by Zone'!$D$7*'POSF Zone Def'!$AQ32</f>
        <v>0</v>
      </c>
      <c r="CX43" s="474">
        <f>'POSF Inventory'!GL35*'POSF Emiss by Zone'!$D$9*'POSF Zone Def'!$AQ32</f>
        <v>0</v>
      </c>
      <c r="CY43" s="474">
        <f>'POSF Inventory'!GM35*'POSF Emiss by Zone'!$D$7*'POSF Zone Def'!$AQ32</f>
        <v>0</v>
      </c>
      <c r="CZ43" s="134">
        <f>'POSF Inventory'!GN35*'POSF Emiss by Zone'!$D$9*'POSF Zone Def'!$AQ32</f>
        <v>0</v>
      </c>
      <c r="DA43" s="529">
        <f>SUM('POSF Inventory'!GQ35,'POSF Inventory'!GS35)*'POSF Emiss by Zone'!$D$7*'POSF Zone Def'!$Y32</f>
        <v>2.8373583909271165</v>
      </c>
      <c r="DB43" s="529">
        <f>SUM('POSF Inventory'!GR35,'POSF Inventory'!GT35)*'POSF Emiss by Zone'!$D$9*'POSF Zone Def'!$Y32</f>
        <v>104.76634401623465</v>
      </c>
      <c r="DC43" s="529"/>
      <c r="DD43" s="529"/>
      <c r="DE43" s="529">
        <f>'POSF Inventory'!GU35*'POSF Emiss by Zone'!$D$7*'POSF Zone Def'!$Y32</f>
        <v>0</v>
      </c>
      <c r="DF43" s="524">
        <f>'POSF Inventory'!GV35*'POSF Emiss by Zone'!$D$9*'POSF Zone Def'!$Y32</f>
        <v>0</v>
      </c>
      <c r="DG43" s="474">
        <f>SUM('POSF Inventory'!GQ35,'POSF Inventory'!GS35)*'POSF Emiss by Zone'!$D$7*'POSF Zone Def'!$Z32</f>
        <v>0.31526204343634628</v>
      </c>
      <c r="DH43" s="474">
        <f>SUM('POSF Inventory'!GR35,'POSF Inventory'!GT35)*'POSF Emiss by Zone'!$D$9*'POSF Zone Def'!$Z32</f>
        <v>11.640704890692739</v>
      </c>
      <c r="DI43" s="474"/>
      <c r="DJ43" s="474"/>
      <c r="DK43" s="474">
        <f>'POSF Inventory'!GU35*'POSF Emiss by Zone'!$D$7*'POSF Zone Def'!$Z32</f>
        <v>0</v>
      </c>
      <c r="DL43" s="485">
        <f>'POSF Inventory'!GV35*'POSF Emiss by Zone'!$D$9*'POSF Zone Def'!$Z32</f>
        <v>0</v>
      </c>
      <c r="DM43" s="705">
        <f>SUM('POSF Inventory'!$GQ35,'POSF Inventory'!$GS35)*'POSF Emiss by Zone'!$D$7*'POSF Zone Def'!$AC32</f>
        <v>0</v>
      </c>
      <c r="DN43" s="705">
        <f>SUM('POSF Inventory'!$GR35,'POSF Inventory'!$GT35)*'POSF Emiss by Zone'!$D$9*'POSF Zone Def'!$AC32</f>
        <v>0</v>
      </c>
      <c r="DO43" s="705"/>
      <c r="DP43" s="705"/>
      <c r="DQ43" s="705">
        <f>'POSF Inventory'!$GU35*'POSF Emiss by Zone'!$D$7*'POSF Zone Def'!$AC32</f>
        <v>0</v>
      </c>
      <c r="DR43" s="708">
        <f>'POSF Inventory'!$GV35*'POSF Emiss by Zone'!$D$9*'POSF Zone Def'!$AC32</f>
        <v>0</v>
      </c>
      <c r="DS43" s="529">
        <f>SUM('POSF Inventory'!GW35,'POSF Inventory'!GY35)*$D$7*'POSF Zone Def'!$BB32</f>
        <v>0</v>
      </c>
      <c r="DT43" s="529">
        <f>SUM('POSF Inventory'!GX35,'POSF Inventory'!GZ35)*$D$9*'POSF Zone Def'!$BB32</f>
        <v>0</v>
      </c>
      <c r="DU43" s="529"/>
      <c r="DV43" s="529"/>
      <c r="DW43" s="529">
        <f>'POSF Inventory'!HA35*'POSF Emiss by Zone'!$D$7*'POSF Zone Def'!$BB32</f>
        <v>0</v>
      </c>
      <c r="DX43" s="524">
        <f>'POSF Inventory'!HB35*'POSF Emiss by Zone'!$D$9*'POSF Zone Def'!$BB32</f>
        <v>0</v>
      </c>
      <c r="DY43" s="474">
        <f>SUM('POSF Inventory'!GW35,'POSF Inventory'!GY35)*$D$7*'POSF Zone Def'!$BC32</f>
        <v>0</v>
      </c>
      <c r="DZ43" s="474">
        <f>SUM('POSF Inventory'!GX35,'POSF Inventory'!GZ35)*$D$9*'POSF Zone Def'!$BC32</f>
        <v>0</v>
      </c>
      <c r="EA43" s="474"/>
      <c r="EB43" s="474"/>
      <c r="EC43" s="474">
        <f>'POSF Inventory'!HA35*'POSF Emiss by Zone'!$D$7*'POSF Zone Def'!$BC32</f>
        <v>0</v>
      </c>
      <c r="ED43" s="134">
        <f>'POSF Inventory'!HB35*'POSF Emiss by Zone'!$D$9*'POSF Zone Def'!$BC32</f>
        <v>0</v>
      </c>
      <c r="EE43" s="235">
        <f>'POSF Inventory'!$CF35*'POSF Emiss by Zone'!$D$7*'POSF Zone Def'!$CE32</f>
        <v>0</v>
      </c>
      <c r="EF43" s="235">
        <f>'POSF Inventory'!$CG35*'POSF Emiss by Zone'!$D$9*'POSF Zone Def'!$CE32</f>
        <v>0</v>
      </c>
      <c r="EG43" s="235">
        <f>'POSF Inventory'!$CH35*'POSF Emiss by Zone'!$D$7*'POSF Zone Def'!$CE32</f>
        <v>0</v>
      </c>
      <c r="EH43" s="235">
        <f>'POSF Inventory'!$CI35*'POSF Emiss by Zone'!$D$9*'POSF Zone Def'!$CE32</f>
        <v>0</v>
      </c>
      <c r="EI43" s="235">
        <f>'POSF Inventory'!$CJ35*'POSF Emiss by Zone'!$D$7*'POSF Zone Def'!$CE32</f>
        <v>0</v>
      </c>
      <c r="EJ43" s="580">
        <f>'POSF Inventory'!$CK35*'POSF Emiss by Zone'!$D$9*'POSF Zone Def'!$CE32</f>
        <v>0</v>
      </c>
      <c r="EK43" s="235">
        <f>'POSF Inventory'!$CF35*'POSF Emiss by Zone'!$D$7*'POSF Zone Def'!$CF32</f>
        <v>0</v>
      </c>
      <c r="EL43" s="235">
        <f>'POSF Inventory'!$CG35*'POSF Emiss by Zone'!$D$9*'POSF Zone Def'!$CF32</f>
        <v>0</v>
      </c>
      <c r="EM43" s="235">
        <f>'POSF Inventory'!$CH35*'POSF Emiss by Zone'!$D$7*'POSF Zone Def'!$CF32</f>
        <v>0</v>
      </c>
      <c r="EN43" s="235">
        <f>'POSF Inventory'!$CI35*'POSF Emiss by Zone'!$D$9*'POSF Zone Def'!$CF32</f>
        <v>0</v>
      </c>
      <c r="EO43" s="235">
        <f>'POSF Inventory'!$CJ35*'POSF Emiss by Zone'!$D$7*'POSF Zone Def'!$CF32</f>
        <v>0</v>
      </c>
      <c r="EP43" s="580">
        <f>'POSF Inventory'!$CK35*'POSF Emiss by Zone'!$D$9*'POSF Zone Def'!$CF32</f>
        <v>0</v>
      </c>
      <c r="EQ43" s="235">
        <f>'POSF Inventory'!$CF35*'POSF Emiss by Zone'!$D$7*'POSF Zone Def'!$CG32</f>
        <v>0</v>
      </c>
      <c r="ER43" s="235">
        <f>'POSF Inventory'!$CG35*'POSF Emiss by Zone'!$D$9*'POSF Zone Def'!$CG32</f>
        <v>0</v>
      </c>
      <c r="ES43" s="235">
        <f>'POSF Inventory'!$CH35*'POSF Emiss by Zone'!$D$7*'POSF Zone Def'!$CG32</f>
        <v>0</v>
      </c>
      <c r="ET43" s="235">
        <f>'POSF Inventory'!$CI35*'POSF Emiss by Zone'!$D$9*'POSF Zone Def'!$CG32</f>
        <v>0</v>
      </c>
      <c r="EU43" s="235">
        <f>'POSF Inventory'!$CJ35*'POSF Emiss by Zone'!$D$7*'POSF Zone Def'!$CG32</f>
        <v>0</v>
      </c>
      <c r="EV43" s="580">
        <f>'POSF Inventory'!$CK35*'POSF Emiss by Zone'!$D$9*'POSF Zone Def'!$CG32</f>
        <v>0</v>
      </c>
      <c r="EW43" s="235">
        <f>'POSF Inventory'!$CF35*'POSF Emiss by Zone'!$D$7*'POSF Zone Def'!$CH32</f>
        <v>0</v>
      </c>
      <c r="EX43" s="235">
        <f>'POSF Inventory'!$CG35*'POSF Emiss by Zone'!$D$9*'POSF Zone Def'!$CH32</f>
        <v>0</v>
      </c>
      <c r="EY43" s="235">
        <f>'POSF Inventory'!$CH35*'POSF Emiss by Zone'!$D$7*'POSF Zone Def'!$CH32</f>
        <v>0</v>
      </c>
      <c r="EZ43" s="235">
        <f>'POSF Inventory'!$CI35*'POSF Emiss by Zone'!$D$9*'POSF Zone Def'!$CH32</f>
        <v>0</v>
      </c>
      <c r="FA43" s="235">
        <f>'POSF Inventory'!$CJ35*'POSF Emiss by Zone'!$D$7*'POSF Zone Def'!$CH32</f>
        <v>0</v>
      </c>
      <c r="FB43" s="580">
        <f>'POSF Inventory'!$CK35*'POSF Emiss by Zone'!$D$9*'POSF Zone Def'!$CH32</f>
        <v>0</v>
      </c>
      <c r="FC43" s="235">
        <f>'POSF Inventory'!$CF35*'POSF Emiss by Zone'!$D$7*'POSF Zone Def'!$CI32</f>
        <v>0</v>
      </c>
      <c r="FD43" s="235">
        <f>'POSF Inventory'!$CG35*'POSF Emiss by Zone'!$D$9*'POSF Zone Def'!$CI32</f>
        <v>0</v>
      </c>
      <c r="FE43" s="235">
        <f>'POSF Inventory'!$CH35*'POSF Emiss by Zone'!$D$7*'POSF Zone Def'!$CI32</f>
        <v>0</v>
      </c>
      <c r="FF43" s="235">
        <f>'POSF Inventory'!$CI35*'POSF Emiss by Zone'!$D$9*'POSF Zone Def'!$CI32</f>
        <v>0</v>
      </c>
      <c r="FG43" s="235">
        <f>'POSF Inventory'!$CJ35*'POSF Emiss by Zone'!$D$7*'POSF Zone Def'!$CI32</f>
        <v>0</v>
      </c>
      <c r="FH43" s="577">
        <f>'POSF Inventory'!$CK35*'POSF Emiss by Zone'!$D$9*'POSF Zone Def'!$CI32</f>
        <v>0</v>
      </c>
      <c r="FI43" s="595"/>
      <c r="FJ43" s="595"/>
      <c r="FM43" s="592">
        <v>26</v>
      </c>
      <c r="FN43" s="592">
        <f t="shared" si="0"/>
        <v>1980</v>
      </c>
      <c r="FO43" s="587">
        <v>23</v>
      </c>
      <c r="FP43" s="551">
        <f t="shared" si="20"/>
        <v>4.8170393212499993</v>
      </c>
      <c r="FQ43" s="529">
        <f t="shared" si="21"/>
        <v>4.8284405977499993</v>
      </c>
      <c r="FR43" s="529">
        <f t="shared" si="22"/>
        <v>0</v>
      </c>
      <c r="FS43" s="529">
        <f t="shared" si="23"/>
        <v>0</v>
      </c>
      <c r="FT43" s="529">
        <f t="shared" si="24"/>
        <v>3.5681772749999996</v>
      </c>
      <c r="FU43" s="524">
        <f t="shared" si="25"/>
        <v>3.5766226649999999</v>
      </c>
      <c r="FV43" s="474">
        <f t="shared" si="26"/>
        <v>4.8170393212499993</v>
      </c>
      <c r="FW43" s="474">
        <f t="shared" si="27"/>
        <v>4.8284405977499993</v>
      </c>
      <c r="FX43" s="474">
        <f t="shared" si="28"/>
        <v>0</v>
      </c>
      <c r="FY43" s="474">
        <f t="shared" si="29"/>
        <v>0</v>
      </c>
      <c r="FZ43" s="474">
        <f t="shared" si="30"/>
        <v>3.5681772749999996</v>
      </c>
      <c r="GA43" s="134">
        <f t="shared" si="31"/>
        <v>3.5766226649999999</v>
      </c>
      <c r="GB43" s="529">
        <f t="shared" si="32"/>
        <v>0</v>
      </c>
      <c r="GC43" s="529">
        <f t="shared" si="33"/>
        <v>0</v>
      </c>
      <c r="GD43" s="529">
        <f t="shared" si="34"/>
        <v>7.8598362688184764</v>
      </c>
      <c r="GE43" s="529">
        <f t="shared" si="35"/>
        <v>49.929171620131982</v>
      </c>
      <c r="GF43" s="529">
        <f t="shared" si="36"/>
        <v>5.9232690488047819</v>
      </c>
      <c r="GG43" s="524">
        <f t="shared" si="37"/>
        <v>5.9372886205179283</v>
      </c>
      <c r="GH43" s="474">
        <f t="shared" si="38"/>
        <v>0</v>
      </c>
      <c r="GI43" s="474">
        <f t="shared" si="39"/>
        <v>0</v>
      </c>
      <c r="GJ43" s="474">
        <f t="shared" si="40"/>
        <v>3.7164842844061261</v>
      </c>
      <c r="GK43" s="474">
        <f t="shared" si="41"/>
        <v>8.3975842734188255</v>
      </c>
      <c r="GL43" s="474">
        <f t="shared" si="42"/>
        <v>5.9232690488047819</v>
      </c>
      <c r="GM43" s="705">
        <f t="shared" si="43"/>
        <v>5.9372886205179283</v>
      </c>
      <c r="GN43" s="705">
        <f t="shared" si="44"/>
        <v>0</v>
      </c>
      <c r="GO43" s="705">
        <f t="shared" si="45"/>
        <v>0</v>
      </c>
      <c r="GP43" s="705">
        <f t="shared" si="46"/>
        <v>0</v>
      </c>
      <c r="GQ43" s="705">
        <f t="shared" si="47"/>
        <v>0</v>
      </c>
      <c r="GR43" s="705">
        <f t="shared" si="48"/>
        <v>0</v>
      </c>
      <c r="GS43" s="134">
        <f t="shared" si="49"/>
        <v>0</v>
      </c>
      <c r="GT43" s="529">
        <f t="shared" si="50"/>
        <v>5.9248498170601613E-2</v>
      </c>
      <c r="GU43" s="529">
        <f t="shared" si="51"/>
        <v>2.1710349218727498</v>
      </c>
      <c r="GV43" s="529">
        <f t="shared" si="52"/>
        <v>6.9985701992031878E-3</v>
      </c>
      <c r="GW43" s="529">
        <f t="shared" si="53"/>
        <v>8.6519824087649411E-3</v>
      </c>
      <c r="GX43" s="529">
        <f t="shared" si="54"/>
        <v>2.5661424063745022E-2</v>
      </c>
      <c r="GY43" s="524">
        <f t="shared" si="55"/>
        <v>0.12689574199521914</v>
      </c>
      <c r="GZ43" s="474">
        <f t="shared" si="56"/>
        <v>6.9978965492788871E-3</v>
      </c>
      <c r="HA43" s="474">
        <f t="shared" si="57"/>
        <v>0.24173881249897308</v>
      </c>
      <c r="HB43" s="474">
        <f t="shared" si="58"/>
        <v>6.9985701992031878E-3</v>
      </c>
      <c r="HC43" s="474">
        <f t="shared" si="59"/>
        <v>8.6519824087649411E-3</v>
      </c>
      <c r="HD43" s="474">
        <f t="shared" si="60"/>
        <v>2.5661424063745022E-2</v>
      </c>
      <c r="HE43" s="549">
        <f t="shared" si="61"/>
        <v>0.12689574199521914</v>
      </c>
      <c r="HF43" s="235">
        <f t="shared" si="62"/>
        <v>0</v>
      </c>
      <c r="HG43" s="235">
        <f t="shared" si="63"/>
        <v>0</v>
      </c>
      <c r="HH43" s="235">
        <f t="shared" si="64"/>
        <v>0</v>
      </c>
      <c r="HI43" s="235">
        <f t="shared" si="65"/>
        <v>0</v>
      </c>
      <c r="HJ43" s="235">
        <f t="shared" si="66"/>
        <v>0</v>
      </c>
      <c r="HK43" s="580">
        <f t="shared" si="67"/>
        <v>0</v>
      </c>
      <c r="HL43" s="235">
        <f t="shared" si="68"/>
        <v>0</v>
      </c>
      <c r="HM43" s="235">
        <f t="shared" si="69"/>
        <v>0</v>
      </c>
      <c r="HN43" s="235">
        <f t="shared" si="70"/>
        <v>0</v>
      </c>
      <c r="HO43" s="235">
        <f t="shared" si="71"/>
        <v>0</v>
      </c>
      <c r="HP43" s="235">
        <f t="shared" si="72"/>
        <v>0</v>
      </c>
      <c r="HQ43" s="580">
        <f t="shared" si="73"/>
        <v>0</v>
      </c>
      <c r="HR43" s="235">
        <f t="shared" si="74"/>
        <v>0</v>
      </c>
      <c r="HS43" s="235">
        <f t="shared" si="75"/>
        <v>0</v>
      </c>
      <c r="HT43" s="235">
        <f t="shared" si="76"/>
        <v>0</v>
      </c>
      <c r="HU43" s="235">
        <f t="shared" si="77"/>
        <v>0</v>
      </c>
      <c r="HV43" s="235">
        <f t="shared" si="78"/>
        <v>0</v>
      </c>
      <c r="HW43" s="577">
        <f t="shared" si="79"/>
        <v>0</v>
      </c>
      <c r="HX43" s="235">
        <f t="shared" si="80"/>
        <v>3.1488297989283578</v>
      </c>
      <c r="HY43" s="235">
        <f t="shared" si="81"/>
        <v>115.38215596322175</v>
      </c>
      <c r="HZ43" s="235">
        <f t="shared" si="82"/>
        <v>0.37194708850996011</v>
      </c>
      <c r="IA43" s="235">
        <f t="shared" si="83"/>
        <v>0.45981958817043822</v>
      </c>
      <c r="IB43" s="235">
        <f t="shared" si="84"/>
        <v>1.3638059912031872</v>
      </c>
      <c r="IC43" s="235">
        <f t="shared" si="85"/>
        <v>6.7440206264997613</v>
      </c>
      <c r="ID43" s="235">
        <f t="shared" si="86"/>
        <v>0.37191128660744488</v>
      </c>
      <c r="IE43" s="235">
        <f t="shared" si="87"/>
        <v>12.84748811965696</v>
      </c>
      <c r="IF43" s="235">
        <f t="shared" si="88"/>
        <v>0.37194708850996011</v>
      </c>
      <c r="IG43" s="235">
        <f t="shared" si="89"/>
        <v>0.45981958817043822</v>
      </c>
      <c r="IH43" s="235">
        <f t="shared" si="90"/>
        <v>1.3638059912031872</v>
      </c>
      <c r="II43" s="235">
        <f t="shared" si="91"/>
        <v>6.7440206264997613</v>
      </c>
      <c r="IJ43" s="235">
        <f t="shared" si="92"/>
        <v>0</v>
      </c>
      <c r="IK43" s="235">
        <f t="shared" si="93"/>
        <v>0</v>
      </c>
      <c r="IL43" s="235">
        <f t="shared" si="94"/>
        <v>0</v>
      </c>
      <c r="IM43" s="235">
        <f t="shared" si="95"/>
        <v>0</v>
      </c>
      <c r="IN43" s="235">
        <f t="shared" si="96"/>
        <v>0</v>
      </c>
      <c r="IO43" s="235">
        <f t="shared" si="97"/>
        <v>0</v>
      </c>
    </row>
    <row r="44" spans="1:249" ht="18" x14ac:dyDescent="0.25">
      <c r="A44" s="18">
        <v>1981</v>
      </c>
      <c r="B44" s="564"/>
      <c r="C44" s="529">
        <f>'POSF Inventory'!AD36*$D$5*'POSF Zone Def'!$M33</f>
        <v>5.4575134087499997</v>
      </c>
      <c r="D44" s="529">
        <f>'POSF Inventory'!AE36*$D$6*'POSF Zone Def'!$M33</f>
        <v>5.4704306002499994</v>
      </c>
      <c r="E44" s="529">
        <f>'POSF Inventory'!AF36*$D$5*'POSF Zone Def'!$M33</f>
        <v>0</v>
      </c>
      <c r="F44" s="529">
        <f>'POSF Inventory'!AG36*$D$6*'POSF Zone Def'!$M33</f>
        <v>0</v>
      </c>
      <c r="G44" s="529">
        <f>'POSF Inventory'!AH36*$D$5*'POSF Zone Def'!$M33</f>
        <v>4.0426025249999995</v>
      </c>
      <c r="H44" s="524">
        <f>'POSF Inventory'!AI36*$D$6*'POSF Zone Def'!$M33</f>
        <v>4.0521708149999993</v>
      </c>
      <c r="I44" s="474">
        <f>'POSF Inventory'!AD36*$D$5*'POSF Zone Def'!$N33</f>
        <v>5.4575134087499997</v>
      </c>
      <c r="J44" s="474">
        <f>'POSF Inventory'!AE36*$D$6*'POSF Zone Def'!$N33</f>
        <v>5.4704306002499994</v>
      </c>
      <c r="K44" s="474">
        <f>'POSF Inventory'!AF36*$D$5*'POSF Zone Def'!$N33</f>
        <v>0</v>
      </c>
      <c r="L44" s="474">
        <f>'POSF Inventory'!AG36*$D$6*'POSF Zone Def'!$N33</f>
        <v>0</v>
      </c>
      <c r="M44" s="474">
        <f>'POSF Inventory'!AH36*$D$5*'POSF Zone Def'!$N33</f>
        <v>4.0426025249999995</v>
      </c>
      <c r="N44" s="485">
        <f>'POSF Inventory'!AI36*$D$6*'POSF Zone Def'!$N33</f>
        <v>4.0521708149999993</v>
      </c>
      <c r="O44" s="529">
        <f>'POSF Inventory'!AJ36*$D$5*'POSF Zone Def'!$AP33</f>
        <v>0</v>
      </c>
      <c r="P44" s="529">
        <f>'POSF Inventory'!AK36*$D$6*'POSF Zone Def'!$AP33</f>
        <v>0</v>
      </c>
      <c r="Q44" s="529">
        <f>'POSF Inventory'!AL36*$D$5*'POSF Zone Def'!$AP33</f>
        <v>0</v>
      </c>
      <c r="R44" s="529">
        <f>'POSF Inventory'!AM36*$D$6*'POSF Zone Def'!$AP33</f>
        <v>0</v>
      </c>
      <c r="S44" s="529">
        <f>'POSF Inventory'!AN36*$D$5*'POSF Zone Def'!$AP33</f>
        <v>0</v>
      </c>
      <c r="T44" s="524">
        <f>'POSF Inventory'!AO36*$D$6*'POSF Zone Def'!$AP33</f>
        <v>0</v>
      </c>
      <c r="U44" s="474">
        <f>'POSF Inventory'!AJ36*$D$5*'POSF Zone Def'!$AQ33</f>
        <v>0</v>
      </c>
      <c r="V44" s="474">
        <f>'POSF Inventory'!AK36*$D$6*'POSF Zone Def'!$AQ33</f>
        <v>0</v>
      </c>
      <c r="W44" s="474">
        <f>'POSF Inventory'!AL36*$D$5*'POSF Zone Def'!$AQ33</f>
        <v>0</v>
      </c>
      <c r="X44" s="474">
        <f>'POSF Inventory'!AM36*$D$6*'POSF Zone Def'!$AQ33</f>
        <v>0</v>
      </c>
      <c r="Y44" s="474">
        <f>'POSF Inventory'!AN36*$D$5*'POSF Zone Def'!$AQ33</f>
        <v>0</v>
      </c>
      <c r="Z44" s="134">
        <f>'POSF Inventory'!AO36*$D$6*'POSF Zone Def'!$AQ33</f>
        <v>0</v>
      </c>
      <c r="AA44" s="529">
        <f>'POSF Inventory'!AV36*'POSF Emiss by Zone'!$D$5*'POSF Zone Def'!$M33</f>
        <v>0</v>
      </c>
      <c r="AB44" s="529">
        <f>'POSF Inventory'!AW36*'POSF Emiss by Zone'!$D$6*'POSF Zone Def'!$M33</f>
        <v>0</v>
      </c>
      <c r="AC44" s="529">
        <f>'POSF Inventory'!AX36*'POSF Emiss by Zone'!$D$5*'POSF Zone Def'!$M33</f>
        <v>3.6383422725000001</v>
      </c>
      <c r="AD44" s="529">
        <f>'POSF Inventory'!AY36*'POSF Emiss by Zone'!$D$6*'POSF Zone Def'!$M33</f>
        <v>3.6469537335000002</v>
      </c>
      <c r="AE44" s="529">
        <f>'POSF Inventory'!AZ36*'POSF Emiss by Zone'!$D$5*'POSF Zone Def'!$M33</f>
        <v>6.7376708749999992</v>
      </c>
      <c r="AF44" s="524">
        <f>'POSF Inventory'!BA36*'POSF Emiss by Zone'!$D$6*'POSF Zone Def'!$M33</f>
        <v>6.7536180249999997</v>
      </c>
      <c r="AG44" s="474">
        <f>'POSF Inventory'!AV36*'POSF Emiss by Zone'!$D$5*'POSF Zone Def'!$N33</f>
        <v>0</v>
      </c>
      <c r="AH44" s="474">
        <f>'POSF Inventory'!AW36*'POSF Emiss by Zone'!$D$6*'POSF Zone Def'!$N33</f>
        <v>0</v>
      </c>
      <c r="AI44" s="474">
        <f>'POSF Inventory'!AX36*'POSF Emiss by Zone'!$D$5*'POSF Zone Def'!$N33</f>
        <v>3.6383422725000001</v>
      </c>
      <c r="AJ44" s="474">
        <f>'POSF Inventory'!AY36*'POSF Emiss by Zone'!$D$6*'POSF Zone Def'!$N33</f>
        <v>3.6469537335000002</v>
      </c>
      <c r="AK44" s="474">
        <f>'POSF Inventory'!AZ36*'POSF Emiss by Zone'!$D$5*'POSF Zone Def'!$N33</f>
        <v>6.7376708749999992</v>
      </c>
      <c r="AL44" s="549">
        <f>'POSF Inventory'!BA36*'POSF Emiss by Zone'!$D$6*'POSF Zone Def'!$N33</f>
        <v>6.7536180249999997</v>
      </c>
      <c r="AM44" s="529">
        <f>'POSF Inventory'!BB36*'POSF Emiss by Zone'!$D$5*'POSF Zone Def'!$AP33</f>
        <v>0</v>
      </c>
      <c r="AN44" s="529">
        <f>'POSF Inventory'!BC36*'POSF Emiss by Zone'!$D$6*'POSF Zone Def'!$AP33</f>
        <v>0</v>
      </c>
      <c r="AO44" s="529">
        <f>'POSF Inventory'!BD36*'POSF Emiss by Zone'!$D$5*'POSF Zone Def'!$AP33</f>
        <v>0</v>
      </c>
      <c r="AP44" s="529">
        <f>'POSF Inventory'!BE36*'POSF Emiss by Zone'!$D$6*'POSF Zone Def'!$AP33</f>
        <v>0</v>
      </c>
      <c r="AQ44" s="529">
        <f>'POSF Inventory'!BF36*'POSF Emiss by Zone'!$D$5*'POSF Zone Def'!$AP33</f>
        <v>0</v>
      </c>
      <c r="AR44" s="524">
        <f>'POSF Inventory'!BG36*'POSF Emiss by Zone'!$D$6*'POSF Zone Def'!$AP33</f>
        <v>0</v>
      </c>
      <c r="AS44" s="474">
        <f>'POSF Inventory'!BB36*'POSF Emiss by Zone'!$D$5*'POSF Zone Def'!$AQ33</f>
        <v>0</v>
      </c>
      <c r="AT44" s="474">
        <f>'POSF Inventory'!BC36*'POSF Emiss by Zone'!$D$6*'POSF Zone Def'!$AQ33</f>
        <v>0</v>
      </c>
      <c r="AU44" s="474">
        <f>'POSF Inventory'!BD36*'POSF Emiss by Zone'!$D$5*'POSF Zone Def'!$AQ33</f>
        <v>0</v>
      </c>
      <c r="AV44" s="474">
        <f>'POSF Inventory'!BE36*'POSF Emiss by Zone'!$D$6*'POSF Zone Def'!$AQ33</f>
        <v>0</v>
      </c>
      <c r="AW44" s="474">
        <f>'POSF Inventory'!BF36*'POSF Emiss by Zone'!$D$5*'POSF Zone Def'!$AQ33</f>
        <v>0</v>
      </c>
      <c r="AX44" s="134">
        <f>'POSF Inventory'!BG36*'POSF Emiss by Zone'!$D$6*'POSF Zone Def'!$AQ33</f>
        <v>0</v>
      </c>
      <c r="AY44" s="529">
        <f>'POSF Inventory'!EA36*'POSF Emiss by Zone'!$D$5*'POSF Zone Def'!$Y33</f>
        <v>0</v>
      </c>
      <c r="AZ44" s="529">
        <f>'POSF Inventory'!EB36*'POSF Emiss by Zone'!$D$6*'POSF Zone Def'!$Y33</f>
        <v>0</v>
      </c>
      <c r="BA44" s="529">
        <f>'POSF Inventory'!EC36*'POSF Emiss by Zone'!$D$5*'POSF Zone Def'!$Y33</f>
        <v>5.3484755044499996</v>
      </c>
      <c r="BB44" s="529">
        <f>'POSF Inventory'!ED36*'POSF Emiss by Zone'!$D$6*'POSF Zone Def'!$Y33</f>
        <v>53.611346180699989</v>
      </c>
      <c r="BC44" s="529">
        <f>'POSF Inventory'!EE36*'POSF Emiss by Zone'!$D$5*'POSF Zone Def'!$Y33</f>
        <v>0</v>
      </c>
      <c r="BD44" s="524">
        <f>'POSF Inventory'!EF36*'POSF Emiss by Zone'!$D$6*'POSF Zone Def'!$Y33</f>
        <v>0</v>
      </c>
      <c r="BE44" s="474">
        <f>'POSF Inventory'!EA36*'POSF Emiss by Zone'!$D$5*'POSF Zone Def'!$Z33</f>
        <v>0</v>
      </c>
      <c r="BF44" s="474">
        <f>'POSF Inventory'!EB36*'POSF Emiss by Zone'!$D$6*'POSF Zone Def'!$Z33</f>
        <v>0</v>
      </c>
      <c r="BG44" s="474">
        <f>'POSF Inventory'!EC36*'POSF Emiss by Zone'!$D$5*'POSF Zone Def'!$Z33</f>
        <v>0.59427505604999997</v>
      </c>
      <c r="BH44" s="474">
        <f>'POSF Inventory'!ED36*'POSF Emiss by Zone'!$D$6*'POSF Zone Def'!$Z33</f>
        <v>5.9568162422999995</v>
      </c>
      <c r="BI44" s="474">
        <f>'POSF Inventory'!EE36*'POSF Emiss by Zone'!$D$5*'POSF Zone Def'!$Z33</f>
        <v>0</v>
      </c>
      <c r="BJ44" s="549">
        <f>'POSF Inventory'!EF36*'POSF Emiss by Zone'!$D$6*'POSF Zone Def'!$Z33</f>
        <v>0</v>
      </c>
      <c r="BK44" s="705">
        <f>'POSF Inventory'!$EA36*'POSF Emiss by Zone'!$D$5*'POSF Zone Def'!$AC33</f>
        <v>0</v>
      </c>
      <c r="BL44" s="705">
        <f>'POSF Inventory'!$EB36*'POSF Emiss by Zone'!$D$6*'POSF Zone Def'!$AC33</f>
        <v>0</v>
      </c>
      <c r="BM44" s="705">
        <f>'POSF Inventory'!$EC36*'POSF Emiss by Zone'!$D$5*'POSF Zone Def'!$AC33</f>
        <v>0</v>
      </c>
      <c r="BN44" s="705">
        <f>'POSF Inventory'!$ED36*'POSF Emiss by Zone'!$D$6*'POSF Zone Def'!$AC33</f>
        <v>0</v>
      </c>
      <c r="BO44" s="705">
        <f>'POSF Inventory'!$EE36*'POSF Emiss by Zone'!$D$5*'POSF Zone Def'!$AC33</f>
        <v>0</v>
      </c>
      <c r="BP44" s="708">
        <f>'POSF Inventory'!$EF36*'POSF Emiss by Zone'!$D$6*'POSF Zone Def'!$AC33</f>
        <v>0</v>
      </c>
      <c r="BQ44" s="529">
        <f>'POSF Inventory'!EG36*'POSF Emiss by Zone'!$D$5*'POSF Zone Def'!$BB33</f>
        <v>0</v>
      </c>
      <c r="BR44" s="529">
        <f>'POSF Inventory'!EH36*'POSF Emiss by Zone'!$D$6*'POSF Zone Def'!$BB33</f>
        <v>0</v>
      </c>
      <c r="BS44" s="529">
        <f>'POSF Inventory'!EI36*'POSF Emiss by Zone'!$D$5*'POSF Zone Def'!$BB33</f>
        <v>0</v>
      </c>
      <c r="BT44" s="529">
        <f>'POSF Inventory'!EJ36*'POSF Emiss by Zone'!$D$6*'POSF Zone Def'!$BB33</f>
        <v>0</v>
      </c>
      <c r="BU44" s="529">
        <f>'POSF Inventory'!EK36*'POSF Emiss by Zone'!$D$5*'POSF Zone Def'!$BB33</f>
        <v>0</v>
      </c>
      <c r="BV44" s="524">
        <f>'POSF Inventory'!EL36*'POSF Emiss by Zone'!$D$6*'POSF Zone Def'!$BB33</f>
        <v>0</v>
      </c>
      <c r="BW44" s="474">
        <f>'POSF Inventory'!EG36*'POSF Emiss by Zone'!$D$5*'POSF Zone Def'!$BC33</f>
        <v>0</v>
      </c>
      <c r="BX44" s="474">
        <f>'POSF Inventory'!EH36*'POSF Emiss by Zone'!$D$6*'POSF Zone Def'!$BC33</f>
        <v>0</v>
      </c>
      <c r="BY44" s="474">
        <f>'POSF Inventory'!EI36*'POSF Emiss by Zone'!$D$5*'POSF Zone Def'!$BC33</f>
        <v>0</v>
      </c>
      <c r="BZ44" s="474">
        <f>'POSF Inventory'!EJ36*'POSF Emiss by Zone'!$D$6*'POSF Zone Def'!$BC33</f>
        <v>0</v>
      </c>
      <c r="CA44" s="474">
        <f>'POSF Inventory'!EK36*'POSF Emiss by Zone'!$D$5*'POSF Zone Def'!$BC33</f>
        <v>0</v>
      </c>
      <c r="CB44" s="134">
        <f>'POSF Inventory'!EL36*'POSF Emiss by Zone'!$D$6*'POSF Zone Def'!$BC33</f>
        <v>0</v>
      </c>
      <c r="CC44" s="529">
        <f>'POSF Inventory'!GC36*'POSF Emiss by Zone'!$D$7*'POSF Zone Def'!$M33</f>
        <v>2.551544E-2</v>
      </c>
      <c r="CD44" s="529">
        <f>'POSF Inventory'!GD36*'POSF Emiss by Zone'!$D$9*'POSF Zone Def'!$M33</f>
        <v>3.1543462700000004E-2</v>
      </c>
      <c r="CE44" s="529">
        <f>'POSF Inventory'!GE36*'POSF Emiss by Zone'!$D$7*'POSF Zone Def'!$M33</f>
        <v>0.38273159999999995</v>
      </c>
      <c r="CF44" s="529">
        <f>'POSF Inventory'!GF36*'POSF Emiss by Zone'!$D$9*'POSF Zone Def'!$M33</f>
        <v>0.47315194049999998</v>
      </c>
      <c r="CG44" s="529">
        <f>'POSF Inventory'!GG36*'POSF Emiss by Zone'!$D$7*'POSF Zone Def'!$M33</f>
        <v>1.4033492000000001</v>
      </c>
      <c r="CH44" s="524">
        <f>'POSF Inventory'!GH36*'POSF Emiss by Zone'!$D$9*'POSF Zone Def'!$M33</f>
        <v>6.9395617940000003</v>
      </c>
      <c r="CI44" s="474">
        <f>'POSF Inventory'!GC36*'POSF Emiss by Zone'!$D$7*'POSF Zone Def'!$N33</f>
        <v>2.551544E-2</v>
      </c>
      <c r="CJ44" s="474">
        <f>'POSF Inventory'!GD36*'POSF Emiss by Zone'!$D$9*'POSF Zone Def'!$N33</f>
        <v>3.1543462700000004E-2</v>
      </c>
      <c r="CK44" s="474">
        <f>'POSF Inventory'!GE36*'POSF Emiss by Zone'!$D$7*'POSF Zone Def'!$N33</f>
        <v>0.38273159999999995</v>
      </c>
      <c r="CL44" s="474">
        <f>'POSF Inventory'!GF36*'POSF Emiss by Zone'!$D$9*'POSF Zone Def'!$N33</f>
        <v>0.47315194049999998</v>
      </c>
      <c r="CM44" s="474">
        <f>'POSF Inventory'!GG36*'POSF Emiss by Zone'!$D$7*'POSF Zone Def'!$N33</f>
        <v>1.4033492000000001</v>
      </c>
      <c r="CN44" s="485">
        <f>'POSF Inventory'!GH36*'POSF Emiss by Zone'!$D$9*'POSF Zone Def'!$N33</f>
        <v>6.9395617940000003</v>
      </c>
      <c r="CO44" s="529">
        <f>'POSF Inventory'!GI36*'POSF Emiss by Zone'!$D$7*'POSF Zone Def'!$AP33</f>
        <v>0</v>
      </c>
      <c r="CP44" s="529">
        <f>'POSF Inventory'!GJ36*'POSF Emiss by Zone'!$D$9*'POSF Zone Def'!$AP33</f>
        <v>0</v>
      </c>
      <c r="CQ44" s="529">
        <f>'POSF Inventory'!GK36*'POSF Emiss by Zone'!$D$7*'POSF Zone Def'!$AP33</f>
        <v>0</v>
      </c>
      <c r="CR44" s="529">
        <f>'POSF Inventory'!GL36*'POSF Emiss by Zone'!$D$9*'POSF Zone Def'!$AP33</f>
        <v>0</v>
      </c>
      <c r="CS44" s="529">
        <f>'POSF Inventory'!GM36*'POSF Emiss by Zone'!$D$7*'POSF Zone Def'!$AP33</f>
        <v>0</v>
      </c>
      <c r="CT44" s="524">
        <f>'POSF Inventory'!GN36*'POSF Emiss by Zone'!$D$9*'POSF Zone Def'!$AP33</f>
        <v>0</v>
      </c>
      <c r="CU44" s="474">
        <f>'POSF Inventory'!GI36*'POSF Emiss by Zone'!$D$7*'POSF Zone Def'!$AQ33</f>
        <v>0</v>
      </c>
      <c r="CV44" s="474">
        <f>'POSF Inventory'!GJ36*'POSF Emiss by Zone'!$D$9*'POSF Zone Def'!$AQ33</f>
        <v>0</v>
      </c>
      <c r="CW44" s="474">
        <f>'POSF Inventory'!GK36*'POSF Emiss by Zone'!$D$7*'POSF Zone Def'!$AQ33</f>
        <v>0</v>
      </c>
      <c r="CX44" s="474">
        <f>'POSF Inventory'!GL36*'POSF Emiss by Zone'!$D$9*'POSF Zone Def'!$AQ33</f>
        <v>0</v>
      </c>
      <c r="CY44" s="474">
        <f>'POSF Inventory'!GM36*'POSF Emiss by Zone'!$D$7*'POSF Zone Def'!$AQ33</f>
        <v>0</v>
      </c>
      <c r="CZ44" s="134">
        <f>'POSF Inventory'!GN36*'POSF Emiss by Zone'!$D$9*'POSF Zone Def'!$AQ33</f>
        <v>0</v>
      </c>
      <c r="DA44" s="529">
        <f>SUM('POSF Inventory'!GQ36,'POSF Inventory'!GS36)*'POSF Emiss by Zone'!$D$7*'POSF Zone Def'!$Y33</f>
        <v>3.2433837755305501</v>
      </c>
      <c r="DB44" s="529">
        <f>SUM('POSF Inventory'!GR36,'POSF Inventory'!GT36)*'POSF Emiss by Zone'!$D$9*'POSF Zone Def'!$Y33</f>
        <v>120.15852610629082</v>
      </c>
      <c r="DC44" s="529"/>
      <c r="DD44" s="529"/>
      <c r="DE44" s="529">
        <f>'POSF Inventory'!GU36*'POSF Emiss by Zone'!$D$7*'POSF Zone Def'!$Y33</f>
        <v>0</v>
      </c>
      <c r="DF44" s="524">
        <f>'POSF Inventory'!GV36*'POSF Emiss by Zone'!$D$9*'POSF Zone Def'!$Y33</f>
        <v>0</v>
      </c>
      <c r="DG44" s="474">
        <f>SUM('POSF Inventory'!GQ36,'POSF Inventory'!GS36)*'POSF Emiss by Zone'!$D$7*'POSF Zone Def'!$Z33</f>
        <v>0.36037597505895003</v>
      </c>
      <c r="DH44" s="474">
        <f>SUM('POSF Inventory'!GR36,'POSF Inventory'!GT36)*'POSF Emiss by Zone'!$D$9*'POSF Zone Def'!$Z33</f>
        <v>13.350947345143425</v>
      </c>
      <c r="DI44" s="474"/>
      <c r="DJ44" s="474"/>
      <c r="DK44" s="474">
        <f>'POSF Inventory'!GU36*'POSF Emiss by Zone'!$D$7*'POSF Zone Def'!$Z33</f>
        <v>0</v>
      </c>
      <c r="DL44" s="485">
        <f>'POSF Inventory'!GV36*'POSF Emiss by Zone'!$D$9*'POSF Zone Def'!$Z33</f>
        <v>0</v>
      </c>
      <c r="DM44" s="705">
        <f>SUM('POSF Inventory'!$GQ36,'POSF Inventory'!$GS36)*'POSF Emiss by Zone'!$D$7*'POSF Zone Def'!$AC33</f>
        <v>0</v>
      </c>
      <c r="DN44" s="705">
        <f>SUM('POSF Inventory'!$GR36,'POSF Inventory'!$GT36)*'POSF Emiss by Zone'!$D$9*'POSF Zone Def'!$AC33</f>
        <v>0</v>
      </c>
      <c r="DO44" s="705"/>
      <c r="DP44" s="705"/>
      <c r="DQ44" s="705">
        <f>'POSF Inventory'!$GU36*'POSF Emiss by Zone'!$D$7*'POSF Zone Def'!$AC33</f>
        <v>0</v>
      </c>
      <c r="DR44" s="708">
        <f>'POSF Inventory'!$GV36*'POSF Emiss by Zone'!$D$9*'POSF Zone Def'!$AC33</f>
        <v>0</v>
      </c>
      <c r="DS44" s="529">
        <f>SUM('POSF Inventory'!GW36,'POSF Inventory'!GY36)*$D$7*'POSF Zone Def'!$BB33</f>
        <v>0</v>
      </c>
      <c r="DT44" s="529">
        <f>SUM('POSF Inventory'!GX36,'POSF Inventory'!GZ36)*$D$9*'POSF Zone Def'!$BB33</f>
        <v>0</v>
      </c>
      <c r="DU44" s="529"/>
      <c r="DV44" s="529"/>
      <c r="DW44" s="529">
        <f>'POSF Inventory'!HA36*'POSF Emiss by Zone'!$D$7*'POSF Zone Def'!$BB33</f>
        <v>0</v>
      </c>
      <c r="DX44" s="524">
        <f>'POSF Inventory'!HB36*'POSF Emiss by Zone'!$D$9*'POSF Zone Def'!$BB33</f>
        <v>0</v>
      </c>
      <c r="DY44" s="474">
        <f>SUM('POSF Inventory'!GW36,'POSF Inventory'!GY36)*$D$7*'POSF Zone Def'!$BC33</f>
        <v>0</v>
      </c>
      <c r="DZ44" s="474">
        <f>SUM('POSF Inventory'!GX36,'POSF Inventory'!GZ36)*$D$9*'POSF Zone Def'!$BC33</f>
        <v>0</v>
      </c>
      <c r="EA44" s="474"/>
      <c r="EB44" s="474"/>
      <c r="EC44" s="474">
        <f>'POSF Inventory'!HA36*'POSF Emiss by Zone'!$D$7*'POSF Zone Def'!$BC33</f>
        <v>0</v>
      </c>
      <c r="ED44" s="134">
        <f>'POSF Inventory'!HB36*'POSF Emiss by Zone'!$D$9*'POSF Zone Def'!$BC33</f>
        <v>0</v>
      </c>
      <c r="EE44" s="235">
        <f>'POSF Inventory'!$CF36*'POSF Emiss by Zone'!$D$7*'POSF Zone Def'!$CE33</f>
        <v>0</v>
      </c>
      <c r="EF44" s="235">
        <f>'POSF Inventory'!$CG36*'POSF Emiss by Zone'!$D$9*'POSF Zone Def'!$CE33</f>
        <v>0</v>
      </c>
      <c r="EG44" s="235">
        <f>'POSF Inventory'!$CH36*'POSF Emiss by Zone'!$D$7*'POSF Zone Def'!$CE33</f>
        <v>0</v>
      </c>
      <c r="EH44" s="235">
        <f>'POSF Inventory'!$CI36*'POSF Emiss by Zone'!$D$9*'POSF Zone Def'!$CE33</f>
        <v>0</v>
      </c>
      <c r="EI44" s="235">
        <f>'POSF Inventory'!$CJ36*'POSF Emiss by Zone'!$D$7*'POSF Zone Def'!$CE33</f>
        <v>0</v>
      </c>
      <c r="EJ44" s="580">
        <f>'POSF Inventory'!$CK36*'POSF Emiss by Zone'!$D$9*'POSF Zone Def'!$CE33</f>
        <v>0</v>
      </c>
      <c r="EK44" s="235">
        <f>'POSF Inventory'!$CF36*'POSF Emiss by Zone'!$D$7*'POSF Zone Def'!$CF33</f>
        <v>0</v>
      </c>
      <c r="EL44" s="235">
        <f>'POSF Inventory'!$CG36*'POSF Emiss by Zone'!$D$9*'POSF Zone Def'!$CF33</f>
        <v>0</v>
      </c>
      <c r="EM44" s="235">
        <f>'POSF Inventory'!$CH36*'POSF Emiss by Zone'!$D$7*'POSF Zone Def'!$CF33</f>
        <v>0</v>
      </c>
      <c r="EN44" s="235">
        <f>'POSF Inventory'!$CI36*'POSF Emiss by Zone'!$D$9*'POSF Zone Def'!$CF33</f>
        <v>0</v>
      </c>
      <c r="EO44" s="235">
        <f>'POSF Inventory'!$CJ36*'POSF Emiss by Zone'!$D$7*'POSF Zone Def'!$CF33</f>
        <v>0</v>
      </c>
      <c r="EP44" s="580">
        <f>'POSF Inventory'!$CK36*'POSF Emiss by Zone'!$D$9*'POSF Zone Def'!$CF33</f>
        <v>0</v>
      </c>
      <c r="EQ44" s="235">
        <f>'POSF Inventory'!$CF36*'POSF Emiss by Zone'!$D$7*'POSF Zone Def'!$CG33</f>
        <v>0</v>
      </c>
      <c r="ER44" s="235">
        <f>'POSF Inventory'!$CG36*'POSF Emiss by Zone'!$D$9*'POSF Zone Def'!$CG33</f>
        <v>0</v>
      </c>
      <c r="ES44" s="235">
        <f>'POSF Inventory'!$CH36*'POSF Emiss by Zone'!$D$7*'POSF Zone Def'!$CG33</f>
        <v>0</v>
      </c>
      <c r="ET44" s="235">
        <f>'POSF Inventory'!$CI36*'POSF Emiss by Zone'!$D$9*'POSF Zone Def'!$CG33</f>
        <v>0</v>
      </c>
      <c r="EU44" s="235">
        <f>'POSF Inventory'!$CJ36*'POSF Emiss by Zone'!$D$7*'POSF Zone Def'!$CG33</f>
        <v>0</v>
      </c>
      <c r="EV44" s="580">
        <f>'POSF Inventory'!$CK36*'POSF Emiss by Zone'!$D$9*'POSF Zone Def'!$CG33</f>
        <v>0</v>
      </c>
      <c r="EW44" s="235">
        <f>'POSF Inventory'!$CF36*'POSF Emiss by Zone'!$D$7*'POSF Zone Def'!$CH33</f>
        <v>0</v>
      </c>
      <c r="EX44" s="235">
        <f>'POSF Inventory'!$CG36*'POSF Emiss by Zone'!$D$9*'POSF Zone Def'!$CH33</f>
        <v>0</v>
      </c>
      <c r="EY44" s="235">
        <f>'POSF Inventory'!$CH36*'POSF Emiss by Zone'!$D$7*'POSF Zone Def'!$CH33</f>
        <v>0</v>
      </c>
      <c r="EZ44" s="235">
        <f>'POSF Inventory'!$CI36*'POSF Emiss by Zone'!$D$9*'POSF Zone Def'!$CH33</f>
        <v>0</v>
      </c>
      <c r="FA44" s="235">
        <f>'POSF Inventory'!$CJ36*'POSF Emiss by Zone'!$D$7*'POSF Zone Def'!$CH33</f>
        <v>0</v>
      </c>
      <c r="FB44" s="580">
        <f>'POSF Inventory'!$CK36*'POSF Emiss by Zone'!$D$9*'POSF Zone Def'!$CH33</f>
        <v>0</v>
      </c>
      <c r="FC44" s="235">
        <f>'POSF Inventory'!$CF36*'POSF Emiss by Zone'!$D$7*'POSF Zone Def'!$CI33</f>
        <v>0</v>
      </c>
      <c r="FD44" s="235">
        <f>'POSF Inventory'!$CG36*'POSF Emiss by Zone'!$D$9*'POSF Zone Def'!$CI33</f>
        <v>0</v>
      </c>
      <c r="FE44" s="235">
        <f>'POSF Inventory'!$CH36*'POSF Emiss by Zone'!$D$7*'POSF Zone Def'!$CI33</f>
        <v>0</v>
      </c>
      <c r="FF44" s="235">
        <f>'POSF Inventory'!$CI36*'POSF Emiss by Zone'!$D$9*'POSF Zone Def'!$CI33</f>
        <v>0</v>
      </c>
      <c r="FG44" s="235">
        <f>'POSF Inventory'!$CJ36*'POSF Emiss by Zone'!$D$7*'POSF Zone Def'!$CI33</f>
        <v>0</v>
      </c>
      <c r="FH44" s="577">
        <f>'POSF Inventory'!$CK36*'POSF Emiss by Zone'!$D$9*'POSF Zone Def'!$CI33</f>
        <v>0</v>
      </c>
      <c r="FI44" s="595"/>
      <c r="FJ44" s="595"/>
      <c r="FM44" s="592">
        <v>27</v>
      </c>
      <c r="FN44" s="592">
        <f t="shared" si="0"/>
        <v>1981</v>
      </c>
      <c r="FO44" s="587">
        <v>24</v>
      </c>
      <c r="FP44" s="551">
        <f t="shared" si="20"/>
        <v>5.4575134087499997</v>
      </c>
      <c r="FQ44" s="529">
        <f t="shared" si="21"/>
        <v>5.4704306002499994</v>
      </c>
      <c r="FR44" s="529">
        <f t="shared" si="22"/>
        <v>0</v>
      </c>
      <c r="FS44" s="529">
        <f t="shared" si="23"/>
        <v>0</v>
      </c>
      <c r="FT44" s="529">
        <f t="shared" si="24"/>
        <v>4.0426025249999995</v>
      </c>
      <c r="FU44" s="524">
        <f t="shared" si="25"/>
        <v>4.0521708149999993</v>
      </c>
      <c r="FV44" s="474">
        <f t="shared" si="26"/>
        <v>5.4575134087499997</v>
      </c>
      <c r="FW44" s="474">
        <f t="shared" si="27"/>
        <v>5.4704306002499994</v>
      </c>
      <c r="FX44" s="474">
        <f t="shared" si="28"/>
        <v>0</v>
      </c>
      <c r="FY44" s="474">
        <f t="shared" si="29"/>
        <v>0</v>
      </c>
      <c r="FZ44" s="474">
        <f t="shared" si="30"/>
        <v>4.0426025249999995</v>
      </c>
      <c r="GA44" s="134">
        <f t="shared" si="31"/>
        <v>4.0521708149999993</v>
      </c>
      <c r="GB44" s="529">
        <f t="shared" si="32"/>
        <v>0</v>
      </c>
      <c r="GC44" s="529">
        <f t="shared" si="33"/>
        <v>0</v>
      </c>
      <c r="GD44" s="529">
        <f t="shared" si="34"/>
        <v>8.9510137220617523</v>
      </c>
      <c r="GE44" s="529">
        <f t="shared" si="35"/>
        <v>57.030179197410348</v>
      </c>
      <c r="GF44" s="529">
        <f t="shared" si="36"/>
        <v>6.7108275647410354</v>
      </c>
      <c r="GG44" s="524">
        <f t="shared" si="37"/>
        <v>6.7267111802788842</v>
      </c>
      <c r="GH44" s="474">
        <f t="shared" si="38"/>
        <v>0</v>
      </c>
      <c r="GI44" s="474">
        <f t="shared" si="39"/>
        <v>0</v>
      </c>
      <c r="GJ44" s="474">
        <f t="shared" si="40"/>
        <v>4.2157543113047806</v>
      </c>
      <c r="GK44" s="474">
        <f t="shared" si="41"/>
        <v>9.5655079440239028</v>
      </c>
      <c r="GL44" s="474">
        <f t="shared" si="42"/>
        <v>6.7108275647410354</v>
      </c>
      <c r="GM44" s="705">
        <f t="shared" si="43"/>
        <v>6.7267111802788842</v>
      </c>
      <c r="GN44" s="705">
        <f t="shared" si="44"/>
        <v>0</v>
      </c>
      <c r="GO44" s="705">
        <f t="shared" si="45"/>
        <v>0</v>
      </c>
      <c r="GP44" s="705">
        <f t="shared" si="46"/>
        <v>0</v>
      </c>
      <c r="GQ44" s="705">
        <f t="shared" si="47"/>
        <v>0</v>
      </c>
      <c r="GR44" s="705">
        <f t="shared" si="48"/>
        <v>0</v>
      </c>
      <c r="GS44" s="134">
        <f t="shared" si="49"/>
        <v>0</v>
      </c>
      <c r="GT44" s="529">
        <f t="shared" si="50"/>
        <v>6.7722214823740468E-2</v>
      </c>
      <c r="GU44" s="529">
        <f t="shared" si="51"/>
        <v>2.4899934731424396</v>
      </c>
      <c r="GV44" s="529">
        <f t="shared" si="52"/>
        <v>7.9291008764940229E-3</v>
      </c>
      <c r="GW44" s="529">
        <f t="shared" si="53"/>
        <v>9.8023509585657368E-3</v>
      </c>
      <c r="GX44" s="529">
        <f t="shared" si="54"/>
        <v>2.9073369880478091E-2</v>
      </c>
      <c r="GY44" s="524">
        <f t="shared" si="55"/>
        <v>0.14376781405896413</v>
      </c>
      <c r="GZ44" s="474">
        <f t="shared" si="56"/>
        <v>7.9945631805041443E-3</v>
      </c>
      <c r="HA44" s="474">
        <f t="shared" si="57"/>
        <v>0.27724682151707492</v>
      </c>
      <c r="HB44" s="474">
        <f t="shared" si="58"/>
        <v>7.9291008764940229E-3</v>
      </c>
      <c r="HC44" s="474">
        <f t="shared" si="59"/>
        <v>9.8023509585657368E-3</v>
      </c>
      <c r="HD44" s="474">
        <f t="shared" si="60"/>
        <v>2.9073369880478091E-2</v>
      </c>
      <c r="HE44" s="549">
        <f t="shared" si="61"/>
        <v>0.14376781405896413</v>
      </c>
      <c r="HF44" s="235">
        <f t="shared" si="62"/>
        <v>0</v>
      </c>
      <c r="HG44" s="235">
        <f t="shared" si="63"/>
        <v>0</v>
      </c>
      <c r="HH44" s="235">
        <f t="shared" si="64"/>
        <v>0</v>
      </c>
      <c r="HI44" s="235">
        <f t="shared" si="65"/>
        <v>0</v>
      </c>
      <c r="HJ44" s="235">
        <f t="shared" si="66"/>
        <v>0</v>
      </c>
      <c r="HK44" s="580">
        <f t="shared" si="67"/>
        <v>0</v>
      </c>
      <c r="HL44" s="235">
        <f t="shared" si="68"/>
        <v>0</v>
      </c>
      <c r="HM44" s="235">
        <f t="shared" si="69"/>
        <v>0</v>
      </c>
      <c r="HN44" s="235">
        <f t="shared" si="70"/>
        <v>0</v>
      </c>
      <c r="HO44" s="235">
        <f t="shared" si="71"/>
        <v>0</v>
      </c>
      <c r="HP44" s="235">
        <f t="shared" si="72"/>
        <v>0</v>
      </c>
      <c r="HQ44" s="580">
        <f t="shared" si="73"/>
        <v>0</v>
      </c>
      <c r="HR44" s="235">
        <f t="shared" si="74"/>
        <v>0</v>
      </c>
      <c r="HS44" s="235">
        <f t="shared" si="75"/>
        <v>0</v>
      </c>
      <c r="HT44" s="235">
        <f t="shared" si="76"/>
        <v>0</v>
      </c>
      <c r="HU44" s="235">
        <f t="shared" si="77"/>
        <v>0</v>
      </c>
      <c r="HV44" s="235">
        <f t="shared" si="78"/>
        <v>0</v>
      </c>
      <c r="HW44" s="577">
        <f t="shared" si="79"/>
        <v>0</v>
      </c>
      <c r="HX44" s="235">
        <f t="shared" si="80"/>
        <v>3.5991752478247916</v>
      </c>
      <c r="HY44" s="235">
        <f t="shared" si="81"/>
        <v>132.33357619954702</v>
      </c>
      <c r="HZ44" s="235">
        <f t="shared" si="82"/>
        <v>0.42140121504382461</v>
      </c>
      <c r="IA44" s="235">
        <f t="shared" si="83"/>
        <v>0.5209572520979282</v>
      </c>
      <c r="IB44" s="235">
        <f t="shared" si="84"/>
        <v>1.5451377884940238</v>
      </c>
      <c r="IC44" s="235">
        <f t="shared" si="85"/>
        <v>7.6407063641029476</v>
      </c>
      <c r="ID44" s="235">
        <f t="shared" si="86"/>
        <v>0.42488028472387018</v>
      </c>
      <c r="IE44" s="235">
        <f t="shared" si="87"/>
        <v>14.734602229703619</v>
      </c>
      <c r="IF44" s="235">
        <f t="shared" si="88"/>
        <v>0.42140121504382461</v>
      </c>
      <c r="IG44" s="235">
        <f t="shared" si="89"/>
        <v>0.5209572520979282</v>
      </c>
      <c r="IH44" s="235">
        <f t="shared" si="90"/>
        <v>1.5451377884940238</v>
      </c>
      <c r="II44" s="235">
        <f t="shared" si="91"/>
        <v>7.6407063641029476</v>
      </c>
      <c r="IJ44" s="235">
        <f t="shared" si="92"/>
        <v>0</v>
      </c>
      <c r="IK44" s="235">
        <f t="shared" si="93"/>
        <v>0</v>
      </c>
      <c r="IL44" s="235">
        <f t="shared" si="94"/>
        <v>0</v>
      </c>
      <c r="IM44" s="235">
        <f t="shared" si="95"/>
        <v>0</v>
      </c>
      <c r="IN44" s="235">
        <f t="shared" si="96"/>
        <v>0</v>
      </c>
      <c r="IO44" s="235">
        <f t="shared" si="97"/>
        <v>0</v>
      </c>
    </row>
    <row r="45" spans="1:249" ht="18" x14ac:dyDescent="0.25">
      <c r="A45" s="18">
        <v>1982</v>
      </c>
      <c r="B45" s="564"/>
      <c r="C45" s="529">
        <f>'POSF Inventory'!AD37*$D$5*'POSF Zone Def'!$M34</f>
        <v>6.1013584124999998</v>
      </c>
      <c r="D45" s="529">
        <f>'POSF Inventory'!AE37*$D$6*'POSF Zone Def'!$M34</f>
        <v>6.1157994974999994</v>
      </c>
      <c r="E45" s="529">
        <f>'POSF Inventory'!AF37*$D$5*'POSF Zone Def'!$M34</f>
        <v>0</v>
      </c>
      <c r="F45" s="529">
        <f>'POSF Inventory'!AG37*$D$6*'POSF Zone Def'!$M34</f>
        <v>0</v>
      </c>
      <c r="G45" s="529">
        <f>'POSF Inventory'!AH37*$D$5*'POSF Zone Def'!$M34</f>
        <v>4.5195247499999995</v>
      </c>
      <c r="H45" s="524">
        <f>'POSF Inventory'!AI37*$D$6*'POSF Zone Def'!$M34</f>
        <v>4.5302218499999993</v>
      </c>
      <c r="I45" s="474">
        <f>'POSF Inventory'!AD37*$D$5*'POSF Zone Def'!$N34</f>
        <v>6.1013584124999998</v>
      </c>
      <c r="J45" s="474">
        <f>'POSF Inventory'!AE37*$D$6*'POSF Zone Def'!$N34</f>
        <v>6.1157994974999994</v>
      </c>
      <c r="K45" s="474">
        <f>'POSF Inventory'!AF37*$D$5*'POSF Zone Def'!$N34</f>
        <v>0</v>
      </c>
      <c r="L45" s="474">
        <f>'POSF Inventory'!AG37*$D$6*'POSF Zone Def'!$N34</f>
        <v>0</v>
      </c>
      <c r="M45" s="474">
        <f>'POSF Inventory'!AH37*$D$5*'POSF Zone Def'!$N34</f>
        <v>4.5195247499999995</v>
      </c>
      <c r="N45" s="485">
        <f>'POSF Inventory'!AI37*$D$6*'POSF Zone Def'!$N34</f>
        <v>4.5302218499999993</v>
      </c>
      <c r="O45" s="529">
        <f>'POSF Inventory'!AJ37*$D$5*'POSF Zone Def'!$AP34</f>
        <v>0</v>
      </c>
      <c r="P45" s="529">
        <f>'POSF Inventory'!AK37*$D$6*'POSF Zone Def'!$AP34</f>
        <v>0</v>
      </c>
      <c r="Q45" s="529">
        <f>'POSF Inventory'!AL37*$D$5*'POSF Zone Def'!$AP34</f>
        <v>0</v>
      </c>
      <c r="R45" s="529">
        <f>'POSF Inventory'!AM37*$D$6*'POSF Zone Def'!$AP34</f>
        <v>0</v>
      </c>
      <c r="S45" s="529">
        <f>'POSF Inventory'!AN37*$D$5*'POSF Zone Def'!$AP34</f>
        <v>0</v>
      </c>
      <c r="T45" s="524">
        <f>'POSF Inventory'!AO37*$D$6*'POSF Zone Def'!$AP34</f>
        <v>0</v>
      </c>
      <c r="U45" s="474">
        <f>'POSF Inventory'!AJ37*$D$5*'POSF Zone Def'!$AQ34</f>
        <v>0</v>
      </c>
      <c r="V45" s="474">
        <f>'POSF Inventory'!AK37*$D$6*'POSF Zone Def'!$AQ34</f>
        <v>0</v>
      </c>
      <c r="W45" s="474">
        <f>'POSF Inventory'!AL37*$D$5*'POSF Zone Def'!$AQ34</f>
        <v>0</v>
      </c>
      <c r="X45" s="474">
        <f>'POSF Inventory'!AM37*$D$6*'POSF Zone Def'!$AQ34</f>
        <v>0</v>
      </c>
      <c r="Y45" s="474">
        <f>'POSF Inventory'!AN37*$D$5*'POSF Zone Def'!$AQ34</f>
        <v>0</v>
      </c>
      <c r="Z45" s="134">
        <f>'POSF Inventory'!AO37*$D$6*'POSF Zone Def'!$AQ34</f>
        <v>0</v>
      </c>
      <c r="AA45" s="529">
        <f>'POSF Inventory'!AV37*'POSF Emiss by Zone'!$D$5*'POSF Zone Def'!$M34</f>
        <v>0</v>
      </c>
      <c r="AB45" s="529">
        <f>'POSF Inventory'!AW37*'POSF Emiss by Zone'!$D$6*'POSF Zone Def'!$M34</f>
        <v>0</v>
      </c>
      <c r="AC45" s="529">
        <f>'POSF Inventory'!AX37*'POSF Emiss by Zone'!$D$5*'POSF Zone Def'!$M34</f>
        <v>4.0675722749999998</v>
      </c>
      <c r="AD45" s="529">
        <f>'POSF Inventory'!AY37*'POSF Emiss by Zone'!$D$6*'POSF Zone Def'!$M34</f>
        <v>4.0771996650000002</v>
      </c>
      <c r="AE45" s="529">
        <f>'POSF Inventory'!AZ37*'POSF Emiss by Zone'!$D$5*'POSF Zone Def'!$M34</f>
        <v>7.5325412499999986</v>
      </c>
      <c r="AF45" s="524">
        <f>'POSF Inventory'!BA37*'POSF Emiss by Zone'!$D$6*'POSF Zone Def'!$M34</f>
        <v>7.5503697499999989</v>
      </c>
      <c r="AG45" s="474">
        <f>'POSF Inventory'!AV37*'POSF Emiss by Zone'!$D$5*'POSF Zone Def'!$N34</f>
        <v>0</v>
      </c>
      <c r="AH45" s="474">
        <f>'POSF Inventory'!AW37*'POSF Emiss by Zone'!$D$6*'POSF Zone Def'!$N34</f>
        <v>0</v>
      </c>
      <c r="AI45" s="474">
        <f>'POSF Inventory'!AX37*'POSF Emiss by Zone'!$D$5*'POSF Zone Def'!$N34</f>
        <v>4.0675722749999998</v>
      </c>
      <c r="AJ45" s="474">
        <f>'POSF Inventory'!AY37*'POSF Emiss by Zone'!$D$6*'POSF Zone Def'!$N34</f>
        <v>4.0771996650000002</v>
      </c>
      <c r="AK45" s="474">
        <f>'POSF Inventory'!AZ37*'POSF Emiss by Zone'!$D$5*'POSF Zone Def'!$N34</f>
        <v>7.5325412499999986</v>
      </c>
      <c r="AL45" s="549">
        <f>'POSF Inventory'!BA37*'POSF Emiss by Zone'!$D$6*'POSF Zone Def'!$N34</f>
        <v>7.5503697499999989</v>
      </c>
      <c r="AM45" s="529">
        <f>'POSF Inventory'!BB37*'POSF Emiss by Zone'!$D$5*'POSF Zone Def'!$AP34</f>
        <v>0</v>
      </c>
      <c r="AN45" s="529">
        <f>'POSF Inventory'!BC37*'POSF Emiss by Zone'!$D$6*'POSF Zone Def'!$AP34</f>
        <v>0</v>
      </c>
      <c r="AO45" s="529">
        <f>'POSF Inventory'!BD37*'POSF Emiss by Zone'!$D$5*'POSF Zone Def'!$AP34</f>
        <v>0</v>
      </c>
      <c r="AP45" s="529">
        <f>'POSF Inventory'!BE37*'POSF Emiss by Zone'!$D$6*'POSF Zone Def'!$AP34</f>
        <v>0</v>
      </c>
      <c r="AQ45" s="529">
        <f>'POSF Inventory'!BF37*'POSF Emiss by Zone'!$D$5*'POSF Zone Def'!$AP34</f>
        <v>0</v>
      </c>
      <c r="AR45" s="524">
        <f>'POSF Inventory'!BG37*'POSF Emiss by Zone'!$D$6*'POSF Zone Def'!$AP34</f>
        <v>0</v>
      </c>
      <c r="AS45" s="474">
        <f>'POSF Inventory'!BB37*'POSF Emiss by Zone'!$D$5*'POSF Zone Def'!$AQ34</f>
        <v>0</v>
      </c>
      <c r="AT45" s="474">
        <f>'POSF Inventory'!BC37*'POSF Emiss by Zone'!$D$6*'POSF Zone Def'!$AQ34</f>
        <v>0</v>
      </c>
      <c r="AU45" s="474">
        <f>'POSF Inventory'!BD37*'POSF Emiss by Zone'!$D$5*'POSF Zone Def'!$AQ34</f>
        <v>0</v>
      </c>
      <c r="AV45" s="474">
        <f>'POSF Inventory'!BE37*'POSF Emiss by Zone'!$D$6*'POSF Zone Def'!$AQ34</f>
        <v>0</v>
      </c>
      <c r="AW45" s="474">
        <f>'POSF Inventory'!BF37*'POSF Emiss by Zone'!$D$5*'POSF Zone Def'!$AQ34</f>
        <v>0</v>
      </c>
      <c r="AX45" s="134">
        <f>'POSF Inventory'!BG37*'POSF Emiss by Zone'!$D$6*'POSF Zone Def'!$AQ34</f>
        <v>0</v>
      </c>
      <c r="AY45" s="529">
        <f>'POSF Inventory'!EA37*'POSF Emiss by Zone'!$D$5*'POSF Zone Def'!$Y34</f>
        <v>0</v>
      </c>
      <c r="AZ45" s="529">
        <f>'POSF Inventory'!EB37*'POSF Emiss by Zone'!$D$6*'POSF Zone Def'!$Y34</f>
        <v>0</v>
      </c>
      <c r="BA45" s="529">
        <f>'POSF Inventory'!EC37*'POSF Emiss by Zone'!$D$5*'POSF Zone Def'!$Y34</f>
        <v>6.0170349425062497</v>
      </c>
      <c r="BB45" s="529">
        <f>'POSF Inventory'!ED37*'POSF Emiss by Zone'!$D$6*'POSF Zone Def'!$Y34</f>
        <v>60.312764453287492</v>
      </c>
      <c r="BC45" s="529">
        <f>'POSF Inventory'!EE37*'POSF Emiss by Zone'!$D$5*'POSF Zone Def'!$Y34</f>
        <v>0</v>
      </c>
      <c r="BD45" s="524">
        <f>'POSF Inventory'!EF37*'POSF Emiss by Zone'!$D$6*'POSF Zone Def'!$Y34</f>
        <v>0</v>
      </c>
      <c r="BE45" s="474">
        <f>'POSF Inventory'!EA37*'POSF Emiss by Zone'!$D$5*'POSF Zone Def'!$Z34</f>
        <v>0</v>
      </c>
      <c r="BF45" s="474">
        <f>'POSF Inventory'!EB37*'POSF Emiss by Zone'!$D$6*'POSF Zone Def'!$Z34</f>
        <v>0</v>
      </c>
      <c r="BG45" s="474">
        <f>'POSF Inventory'!EC37*'POSF Emiss by Zone'!$D$5*'POSF Zone Def'!$Z34</f>
        <v>0.66855943805625007</v>
      </c>
      <c r="BH45" s="474">
        <f>'POSF Inventory'!ED37*'POSF Emiss by Zone'!$D$6*'POSF Zone Def'!$Z34</f>
        <v>6.7014182725874996</v>
      </c>
      <c r="BI45" s="474">
        <f>'POSF Inventory'!EE37*'POSF Emiss by Zone'!$D$5*'POSF Zone Def'!$Z34</f>
        <v>0</v>
      </c>
      <c r="BJ45" s="549">
        <f>'POSF Inventory'!EF37*'POSF Emiss by Zone'!$D$6*'POSF Zone Def'!$Z34</f>
        <v>0</v>
      </c>
      <c r="BK45" s="705">
        <f>'POSF Inventory'!$EA37*'POSF Emiss by Zone'!$D$5*'POSF Zone Def'!$AC34</f>
        <v>0</v>
      </c>
      <c r="BL45" s="705">
        <f>'POSF Inventory'!$EB37*'POSF Emiss by Zone'!$D$6*'POSF Zone Def'!$AC34</f>
        <v>0</v>
      </c>
      <c r="BM45" s="705">
        <f>'POSF Inventory'!$EC37*'POSF Emiss by Zone'!$D$5*'POSF Zone Def'!$AC34</f>
        <v>0</v>
      </c>
      <c r="BN45" s="705">
        <f>'POSF Inventory'!$ED37*'POSF Emiss by Zone'!$D$6*'POSF Zone Def'!$AC34</f>
        <v>0</v>
      </c>
      <c r="BO45" s="705">
        <f>'POSF Inventory'!$EE37*'POSF Emiss by Zone'!$D$5*'POSF Zone Def'!$AC34</f>
        <v>0</v>
      </c>
      <c r="BP45" s="708">
        <f>'POSF Inventory'!$EF37*'POSF Emiss by Zone'!$D$6*'POSF Zone Def'!$AC34</f>
        <v>0</v>
      </c>
      <c r="BQ45" s="529">
        <f>'POSF Inventory'!EG37*'POSF Emiss by Zone'!$D$5*'POSF Zone Def'!$BB34</f>
        <v>0</v>
      </c>
      <c r="BR45" s="529">
        <f>'POSF Inventory'!EH37*'POSF Emiss by Zone'!$D$6*'POSF Zone Def'!$BB34</f>
        <v>0</v>
      </c>
      <c r="BS45" s="529">
        <f>'POSF Inventory'!EI37*'POSF Emiss by Zone'!$D$5*'POSF Zone Def'!$BB34</f>
        <v>0</v>
      </c>
      <c r="BT45" s="529">
        <f>'POSF Inventory'!EJ37*'POSF Emiss by Zone'!$D$6*'POSF Zone Def'!$BB34</f>
        <v>0</v>
      </c>
      <c r="BU45" s="529">
        <f>'POSF Inventory'!EK37*'POSF Emiss by Zone'!$D$5*'POSF Zone Def'!$BB34</f>
        <v>0</v>
      </c>
      <c r="BV45" s="524">
        <f>'POSF Inventory'!EL37*'POSF Emiss by Zone'!$D$6*'POSF Zone Def'!$BB34</f>
        <v>0</v>
      </c>
      <c r="BW45" s="474">
        <f>'POSF Inventory'!EG37*'POSF Emiss by Zone'!$D$5*'POSF Zone Def'!$BC34</f>
        <v>0</v>
      </c>
      <c r="BX45" s="474">
        <f>'POSF Inventory'!EH37*'POSF Emiss by Zone'!$D$6*'POSF Zone Def'!$BC34</f>
        <v>0</v>
      </c>
      <c r="BY45" s="474">
        <f>'POSF Inventory'!EI37*'POSF Emiss by Zone'!$D$5*'POSF Zone Def'!$BC34</f>
        <v>0</v>
      </c>
      <c r="BZ45" s="474">
        <f>'POSF Inventory'!EJ37*'POSF Emiss by Zone'!$D$6*'POSF Zone Def'!$BC34</f>
        <v>0</v>
      </c>
      <c r="CA45" s="474">
        <f>'POSF Inventory'!EK37*'POSF Emiss by Zone'!$D$5*'POSF Zone Def'!$BC34</f>
        <v>0</v>
      </c>
      <c r="CB45" s="134">
        <f>'POSF Inventory'!EL37*'POSF Emiss by Zone'!$D$6*'POSF Zone Def'!$BC34</f>
        <v>0</v>
      </c>
      <c r="CC45" s="529">
        <f>'POSF Inventory'!GC37*'POSF Emiss by Zone'!$D$7*'POSF Zone Def'!$M34</f>
        <v>2.8525600000000002E-2</v>
      </c>
      <c r="CD45" s="529">
        <f>'POSF Inventory'!GD37*'POSF Emiss by Zone'!$D$9*'POSF Zone Def'!$M34</f>
        <v>3.5264773000000006E-2</v>
      </c>
      <c r="CE45" s="529">
        <f>'POSF Inventory'!GE37*'POSF Emiss by Zone'!$D$7*'POSF Zone Def'!$M34</f>
        <v>0.42788399999999999</v>
      </c>
      <c r="CF45" s="529">
        <f>'POSF Inventory'!GF37*'POSF Emiss by Zone'!$D$9*'POSF Zone Def'!$M34</f>
        <v>0.52897159500000002</v>
      </c>
      <c r="CG45" s="529">
        <f>'POSF Inventory'!GG37*'POSF Emiss by Zone'!$D$7*'POSF Zone Def'!$M34</f>
        <v>1.568908</v>
      </c>
      <c r="CH45" s="524">
        <f>'POSF Inventory'!GH37*'POSF Emiss by Zone'!$D$9*'POSF Zone Def'!$M34</f>
        <v>7.7582500599999999</v>
      </c>
      <c r="CI45" s="474">
        <f>'POSF Inventory'!GC37*'POSF Emiss by Zone'!$D$7*'POSF Zone Def'!$N34</f>
        <v>2.8525600000000002E-2</v>
      </c>
      <c r="CJ45" s="474">
        <f>'POSF Inventory'!GD37*'POSF Emiss by Zone'!$D$9*'POSF Zone Def'!$N34</f>
        <v>3.5264773000000006E-2</v>
      </c>
      <c r="CK45" s="474">
        <f>'POSF Inventory'!GE37*'POSF Emiss by Zone'!$D$7*'POSF Zone Def'!$N34</f>
        <v>0.42788399999999999</v>
      </c>
      <c r="CL45" s="474">
        <f>'POSF Inventory'!GF37*'POSF Emiss by Zone'!$D$9*'POSF Zone Def'!$N34</f>
        <v>0.52897159500000002</v>
      </c>
      <c r="CM45" s="474">
        <f>'POSF Inventory'!GG37*'POSF Emiss by Zone'!$D$7*'POSF Zone Def'!$N34</f>
        <v>1.568908</v>
      </c>
      <c r="CN45" s="485">
        <f>'POSF Inventory'!GH37*'POSF Emiss by Zone'!$D$9*'POSF Zone Def'!$N34</f>
        <v>7.7582500599999999</v>
      </c>
      <c r="CO45" s="529">
        <f>'POSF Inventory'!GI37*'POSF Emiss by Zone'!$D$7*'POSF Zone Def'!$AP34</f>
        <v>0</v>
      </c>
      <c r="CP45" s="529">
        <f>'POSF Inventory'!GJ37*'POSF Emiss by Zone'!$D$9*'POSF Zone Def'!$AP34</f>
        <v>0</v>
      </c>
      <c r="CQ45" s="529">
        <f>'POSF Inventory'!GK37*'POSF Emiss by Zone'!$D$7*'POSF Zone Def'!$AP34</f>
        <v>0</v>
      </c>
      <c r="CR45" s="529">
        <f>'POSF Inventory'!GL37*'POSF Emiss by Zone'!$D$9*'POSF Zone Def'!$AP34</f>
        <v>0</v>
      </c>
      <c r="CS45" s="529">
        <f>'POSF Inventory'!GM37*'POSF Emiss by Zone'!$D$7*'POSF Zone Def'!$AP34</f>
        <v>0</v>
      </c>
      <c r="CT45" s="524">
        <f>'POSF Inventory'!GN37*'POSF Emiss by Zone'!$D$9*'POSF Zone Def'!$AP34</f>
        <v>0</v>
      </c>
      <c r="CU45" s="474">
        <f>'POSF Inventory'!GI37*'POSF Emiss by Zone'!$D$7*'POSF Zone Def'!$AQ34</f>
        <v>0</v>
      </c>
      <c r="CV45" s="474">
        <f>'POSF Inventory'!GJ37*'POSF Emiss by Zone'!$D$9*'POSF Zone Def'!$AQ34</f>
        <v>0</v>
      </c>
      <c r="CW45" s="474">
        <f>'POSF Inventory'!GK37*'POSF Emiss by Zone'!$D$7*'POSF Zone Def'!$AQ34</f>
        <v>0</v>
      </c>
      <c r="CX45" s="474">
        <f>'POSF Inventory'!GL37*'POSF Emiss by Zone'!$D$9*'POSF Zone Def'!$AQ34</f>
        <v>0</v>
      </c>
      <c r="CY45" s="474">
        <f>'POSF Inventory'!GM37*'POSF Emiss by Zone'!$D$7*'POSF Zone Def'!$AQ34</f>
        <v>0</v>
      </c>
      <c r="CZ45" s="134">
        <f>'POSF Inventory'!GN37*'POSF Emiss by Zone'!$D$9*'POSF Zone Def'!$AQ34</f>
        <v>0</v>
      </c>
      <c r="DA45" s="529">
        <f>SUM('POSF Inventory'!GQ37,'POSF Inventory'!GS37)*'POSF Emiss by Zone'!$D$7*'POSF Zone Def'!$Y34</f>
        <v>3.6499785876647439</v>
      </c>
      <c r="DB45" s="529">
        <f>SUM('POSF Inventory'!GR37,'POSF Inventory'!GT37)*'POSF Emiss by Zone'!$D$9*'POSF Zone Def'!$Y34</f>
        <v>135.90268558879805</v>
      </c>
      <c r="DC45" s="529"/>
      <c r="DD45" s="529"/>
      <c r="DE45" s="529">
        <f>'POSF Inventory'!GU37*'POSF Emiss by Zone'!$D$7*'POSF Zone Def'!$Y34</f>
        <v>0</v>
      </c>
      <c r="DF45" s="524">
        <f>'POSF Inventory'!GV37*'POSF Emiss by Zone'!$D$9*'POSF Zone Def'!$Y34</f>
        <v>0</v>
      </c>
      <c r="DG45" s="474">
        <f>SUM('POSF Inventory'!GQ37,'POSF Inventory'!GS37)*'POSF Emiss by Zone'!$D$7*'POSF Zone Def'!$Z34</f>
        <v>0.40555317640719379</v>
      </c>
      <c r="DH45" s="474">
        <f>SUM('POSF Inventory'!GR37,'POSF Inventory'!GT37)*'POSF Emiss by Zone'!$D$9*'POSF Zone Def'!$Z34</f>
        <v>15.10029839875534</v>
      </c>
      <c r="DI45" s="474"/>
      <c r="DJ45" s="474"/>
      <c r="DK45" s="474">
        <f>'POSF Inventory'!GU37*'POSF Emiss by Zone'!$D$7*'POSF Zone Def'!$Z34</f>
        <v>0</v>
      </c>
      <c r="DL45" s="485">
        <f>'POSF Inventory'!GV37*'POSF Emiss by Zone'!$D$9*'POSF Zone Def'!$Z34</f>
        <v>0</v>
      </c>
      <c r="DM45" s="705">
        <f>SUM('POSF Inventory'!$GQ37,'POSF Inventory'!$GS37)*'POSF Emiss by Zone'!$D$7*'POSF Zone Def'!$AC34</f>
        <v>0</v>
      </c>
      <c r="DN45" s="705">
        <f>SUM('POSF Inventory'!$GR37,'POSF Inventory'!$GT37)*'POSF Emiss by Zone'!$D$9*'POSF Zone Def'!$AC34</f>
        <v>0</v>
      </c>
      <c r="DO45" s="705"/>
      <c r="DP45" s="705"/>
      <c r="DQ45" s="705">
        <f>'POSF Inventory'!$GU37*'POSF Emiss by Zone'!$D$7*'POSF Zone Def'!$AC34</f>
        <v>0</v>
      </c>
      <c r="DR45" s="708">
        <f>'POSF Inventory'!$GV37*'POSF Emiss by Zone'!$D$9*'POSF Zone Def'!$AC34</f>
        <v>0</v>
      </c>
      <c r="DS45" s="529">
        <f>SUM('POSF Inventory'!GW37,'POSF Inventory'!GY37)*$D$7*'POSF Zone Def'!$BB34</f>
        <v>0</v>
      </c>
      <c r="DT45" s="529">
        <f>SUM('POSF Inventory'!GX37,'POSF Inventory'!GZ37)*$D$9*'POSF Zone Def'!$BB34</f>
        <v>0</v>
      </c>
      <c r="DU45" s="529"/>
      <c r="DV45" s="529"/>
      <c r="DW45" s="529">
        <f>'POSF Inventory'!HA37*'POSF Emiss by Zone'!$D$7*'POSF Zone Def'!$BB34</f>
        <v>0</v>
      </c>
      <c r="DX45" s="524">
        <f>'POSF Inventory'!HB37*'POSF Emiss by Zone'!$D$9*'POSF Zone Def'!$BB34</f>
        <v>0</v>
      </c>
      <c r="DY45" s="474">
        <f>SUM('POSF Inventory'!GW37,'POSF Inventory'!GY37)*$D$7*'POSF Zone Def'!$BC34</f>
        <v>0</v>
      </c>
      <c r="DZ45" s="474">
        <f>SUM('POSF Inventory'!GX37,'POSF Inventory'!GZ37)*$D$9*'POSF Zone Def'!$BC34</f>
        <v>0</v>
      </c>
      <c r="EA45" s="474"/>
      <c r="EB45" s="474"/>
      <c r="EC45" s="474">
        <f>'POSF Inventory'!HA37*'POSF Emiss by Zone'!$D$7*'POSF Zone Def'!$BC34</f>
        <v>0</v>
      </c>
      <c r="ED45" s="134">
        <f>'POSF Inventory'!HB37*'POSF Emiss by Zone'!$D$9*'POSF Zone Def'!$BC34</f>
        <v>0</v>
      </c>
      <c r="EE45" s="235">
        <f>'POSF Inventory'!$CF37*'POSF Emiss by Zone'!$D$7*'POSF Zone Def'!$CE34</f>
        <v>0</v>
      </c>
      <c r="EF45" s="235">
        <f>'POSF Inventory'!$CG37*'POSF Emiss by Zone'!$D$9*'POSF Zone Def'!$CE34</f>
        <v>0</v>
      </c>
      <c r="EG45" s="235">
        <f>'POSF Inventory'!$CH37*'POSF Emiss by Zone'!$D$7*'POSF Zone Def'!$CE34</f>
        <v>0</v>
      </c>
      <c r="EH45" s="235">
        <f>'POSF Inventory'!$CI37*'POSF Emiss by Zone'!$D$9*'POSF Zone Def'!$CE34</f>
        <v>0</v>
      </c>
      <c r="EI45" s="235">
        <f>'POSF Inventory'!$CJ37*'POSF Emiss by Zone'!$D$7*'POSF Zone Def'!$CE34</f>
        <v>0</v>
      </c>
      <c r="EJ45" s="580">
        <f>'POSF Inventory'!$CK37*'POSF Emiss by Zone'!$D$9*'POSF Zone Def'!$CE34</f>
        <v>0</v>
      </c>
      <c r="EK45" s="235">
        <f>'POSF Inventory'!$CF37*'POSF Emiss by Zone'!$D$7*'POSF Zone Def'!$CF34</f>
        <v>0</v>
      </c>
      <c r="EL45" s="235">
        <f>'POSF Inventory'!$CG37*'POSF Emiss by Zone'!$D$9*'POSF Zone Def'!$CF34</f>
        <v>0</v>
      </c>
      <c r="EM45" s="235">
        <f>'POSF Inventory'!$CH37*'POSF Emiss by Zone'!$D$7*'POSF Zone Def'!$CF34</f>
        <v>0</v>
      </c>
      <c r="EN45" s="235">
        <f>'POSF Inventory'!$CI37*'POSF Emiss by Zone'!$D$9*'POSF Zone Def'!$CF34</f>
        <v>0</v>
      </c>
      <c r="EO45" s="235">
        <f>'POSF Inventory'!$CJ37*'POSF Emiss by Zone'!$D$7*'POSF Zone Def'!$CF34</f>
        <v>0</v>
      </c>
      <c r="EP45" s="580">
        <f>'POSF Inventory'!$CK37*'POSF Emiss by Zone'!$D$9*'POSF Zone Def'!$CF34</f>
        <v>0</v>
      </c>
      <c r="EQ45" s="235">
        <f>'POSF Inventory'!$CF37*'POSF Emiss by Zone'!$D$7*'POSF Zone Def'!$CG34</f>
        <v>0</v>
      </c>
      <c r="ER45" s="235">
        <f>'POSF Inventory'!$CG37*'POSF Emiss by Zone'!$D$9*'POSF Zone Def'!$CG34</f>
        <v>0</v>
      </c>
      <c r="ES45" s="235">
        <f>'POSF Inventory'!$CH37*'POSF Emiss by Zone'!$D$7*'POSF Zone Def'!$CG34</f>
        <v>0</v>
      </c>
      <c r="ET45" s="235">
        <f>'POSF Inventory'!$CI37*'POSF Emiss by Zone'!$D$9*'POSF Zone Def'!$CG34</f>
        <v>0</v>
      </c>
      <c r="EU45" s="235">
        <f>'POSF Inventory'!$CJ37*'POSF Emiss by Zone'!$D$7*'POSF Zone Def'!$CG34</f>
        <v>0</v>
      </c>
      <c r="EV45" s="580">
        <f>'POSF Inventory'!$CK37*'POSF Emiss by Zone'!$D$9*'POSF Zone Def'!$CG34</f>
        <v>0</v>
      </c>
      <c r="EW45" s="235">
        <f>'POSF Inventory'!$CF37*'POSF Emiss by Zone'!$D$7*'POSF Zone Def'!$CH34</f>
        <v>0</v>
      </c>
      <c r="EX45" s="235">
        <f>'POSF Inventory'!$CG37*'POSF Emiss by Zone'!$D$9*'POSF Zone Def'!$CH34</f>
        <v>0</v>
      </c>
      <c r="EY45" s="235">
        <f>'POSF Inventory'!$CH37*'POSF Emiss by Zone'!$D$7*'POSF Zone Def'!$CH34</f>
        <v>0</v>
      </c>
      <c r="EZ45" s="235">
        <f>'POSF Inventory'!$CI37*'POSF Emiss by Zone'!$D$9*'POSF Zone Def'!$CH34</f>
        <v>0</v>
      </c>
      <c r="FA45" s="235">
        <f>'POSF Inventory'!$CJ37*'POSF Emiss by Zone'!$D$7*'POSF Zone Def'!$CH34</f>
        <v>0</v>
      </c>
      <c r="FB45" s="580">
        <f>'POSF Inventory'!$CK37*'POSF Emiss by Zone'!$D$9*'POSF Zone Def'!$CH34</f>
        <v>0</v>
      </c>
      <c r="FC45" s="235">
        <f>'POSF Inventory'!$CF37*'POSF Emiss by Zone'!$D$7*'POSF Zone Def'!$CI34</f>
        <v>0</v>
      </c>
      <c r="FD45" s="235">
        <f>'POSF Inventory'!$CG37*'POSF Emiss by Zone'!$D$9*'POSF Zone Def'!$CI34</f>
        <v>0</v>
      </c>
      <c r="FE45" s="235">
        <f>'POSF Inventory'!$CH37*'POSF Emiss by Zone'!$D$7*'POSF Zone Def'!$CI34</f>
        <v>0</v>
      </c>
      <c r="FF45" s="235">
        <f>'POSF Inventory'!$CI37*'POSF Emiss by Zone'!$D$9*'POSF Zone Def'!$CI34</f>
        <v>0</v>
      </c>
      <c r="FG45" s="235">
        <f>'POSF Inventory'!$CJ37*'POSF Emiss by Zone'!$D$7*'POSF Zone Def'!$CI34</f>
        <v>0</v>
      </c>
      <c r="FH45" s="577">
        <f>'POSF Inventory'!$CK37*'POSF Emiss by Zone'!$D$9*'POSF Zone Def'!$CI34</f>
        <v>0</v>
      </c>
      <c r="FI45" s="595"/>
      <c r="FJ45" s="595"/>
      <c r="FM45" s="592">
        <v>28</v>
      </c>
      <c r="FN45" s="592">
        <f t="shared" si="0"/>
        <v>1982</v>
      </c>
      <c r="FO45" s="587">
        <v>25</v>
      </c>
      <c r="FP45" s="551">
        <f t="shared" si="20"/>
        <v>6.1013584124999998</v>
      </c>
      <c r="FQ45" s="529">
        <f t="shared" si="21"/>
        <v>6.1157994974999994</v>
      </c>
      <c r="FR45" s="529">
        <f t="shared" si="22"/>
        <v>0</v>
      </c>
      <c r="FS45" s="529">
        <f t="shared" si="23"/>
        <v>0</v>
      </c>
      <c r="FT45" s="529">
        <f t="shared" si="24"/>
        <v>4.5195247499999995</v>
      </c>
      <c r="FU45" s="524">
        <f t="shared" si="25"/>
        <v>4.5302218499999993</v>
      </c>
      <c r="FV45" s="474">
        <f t="shared" si="26"/>
        <v>6.1013584124999998</v>
      </c>
      <c r="FW45" s="474">
        <f t="shared" si="27"/>
        <v>6.1157994974999994</v>
      </c>
      <c r="FX45" s="474">
        <f t="shared" si="28"/>
        <v>0</v>
      </c>
      <c r="FY45" s="474">
        <f t="shared" si="29"/>
        <v>0</v>
      </c>
      <c r="FZ45" s="474">
        <f t="shared" si="30"/>
        <v>4.5195247499999995</v>
      </c>
      <c r="GA45" s="134">
        <f t="shared" si="31"/>
        <v>4.5302218499999993</v>
      </c>
      <c r="GB45" s="529">
        <f t="shared" si="32"/>
        <v>0</v>
      </c>
      <c r="GC45" s="529">
        <f t="shared" si="33"/>
        <v>0</v>
      </c>
      <c r="GD45" s="529">
        <f t="shared" si="34"/>
        <v>10.044429499508217</v>
      </c>
      <c r="GE45" s="529">
        <f t="shared" si="35"/>
        <v>64.133430396700689</v>
      </c>
      <c r="GF45" s="529">
        <f t="shared" si="36"/>
        <v>7.5025311254980069</v>
      </c>
      <c r="GG45" s="524">
        <f t="shared" si="37"/>
        <v>7.5202885956175285</v>
      </c>
      <c r="GH45" s="474">
        <f t="shared" si="38"/>
        <v>0</v>
      </c>
      <c r="GI45" s="474">
        <f t="shared" si="39"/>
        <v>0</v>
      </c>
      <c r="GJ45" s="474">
        <f t="shared" si="40"/>
        <v>4.7172626624066236</v>
      </c>
      <c r="GK45" s="474">
        <f t="shared" si="41"/>
        <v>10.735675236640937</v>
      </c>
      <c r="GL45" s="474">
        <f t="shared" si="42"/>
        <v>7.5025311254980069</v>
      </c>
      <c r="GM45" s="705">
        <f t="shared" si="43"/>
        <v>7.5202885956175285</v>
      </c>
      <c r="GN45" s="705">
        <f t="shared" si="44"/>
        <v>0</v>
      </c>
      <c r="GO45" s="705">
        <f t="shared" si="45"/>
        <v>0</v>
      </c>
      <c r="GP45" s="705">
        <f t="shared" si="46"/>
        <v>0</v>
      </c>
      <c r="GQ45" s="705">
        <f t="shared" si="47"/>
        <v>0</v>
      </c>
      <c r="GR45" s="705">
        <f t="shared" si="48"/>
        <v>0</v>
      </c>
      <c r="GS45" s="134">
        <f t="shared" si="49"/>
        <v>0</v>
      </c>
      <c r="GT45" s="529">
        <f t="shared" si="50"/>
        <v>7.620805488389111E-2</v>
      </c>
      <c r="GU45" s="529">
        <f t="shared" si="51"/>
        <v>2.8162443899655374</v>
      </c>
      <c r="GV45" s="529">
        <f t="shared" si="52"/>
        <v>8.864529083665338E-3</v>
      </c>
      <c r="GW45" s="529">
        <f t="shared" si="53"/>
        <v>1.0958774079681275E-2</v>
      </c>
      <c r="GX45" s="529">
        <f t="shared" si="54"/>
        <v>3.2503273306772912E-2</v>
      </c>
      <c r="GY45" s="524">
        <f t="shared" si="55"/>
        <v>0.16072868650199204</v>
      </c>
      <c r="GZ45" s="474">
        <f t="shared" si="56"/>
        <v>8.9928670809458471E-3</v>
      </c>
      <c r="HA45" s="474">
        <f t="shared" si="57"/>
        <v>0.31356545216385562</v>
      </c>
      <c r="HB45" s="474">
        <f t="shared" si="58"/>
        <v>8.864529083665338E-3</v>
      </c>
      <c r="HC45" s="474">
        <f t="shared" si="59"/>
        <v>1.0958774079681275E-2</v>
      </c>
      <c r="HD45" s="474">
        <f t="shared" si="60"/>
        <v>3.2503273306772912E-2</v>
      </c>
      <c r="HE45" s="549">
        <f t="shared" si="61"/>
        <v>0.16072868650199204</v>
      </c>
      <c r="HF45" s="235">
        <f t="shared" si="62"/>
        <v>0</v>
      </c>
      <c r="HG45" s="235">
        <f t="shared" si="63"/>
        <v>0</v>
      </c>
      <c r="HH45" s="235">
        <f t="shared" si="64"/>
        <v>0</v>
      </c>
      <c r="HI45" s="235">
        <f t="shared" si="65"/>
        <v>0</v>
      </c>
      <c r="HJ45" s="235">
        <f t="shared" si="66"/>
        <v>0</v>
      </c>
      <c r="HK45" s="580">
        <f t="shared" si="67"/>
        <v>0</v>
      </c>
      <c r="HL45" s="235">
        <f t="shared" si="68"/>
        <v>0</v>
      </c>
      <c r="HM45" s="235">
        <f t="shared" si="69"/>
        <v>0</v>
      </c>
      <c r="HN45" s="235">
        <f t="shared" si="70"/>
        <v>0</v>
      </c>
      <c r="HO45" s="235">
        <f t="shared" si="71"/>
        <v>0</v>
      </c>
      <c r="HP45" s="235">
        <f t="shared" si="72"/>
        <v>0</v>
      </c>
      <c r="HQ45" s="580">
        <f t="shared" si="73"/>
        <v>0</v>
      </c>
      <c r="HR45" s="235">
        <f t="shared" si="74"/>
        <v>0</v>
      </c>
      <c r="HS45" s="235">
        <f t="shared" si="75"/>
        <v>0</v>
      </c>
      <c r="HT45" s="235">
        <f t="shared" si="76"/>
        <v>0</v>
      </c>
      <c r="HU45" s="235">
        <f t="shared" si="77"/>
        <v>0</v>
      </c>
      <c r="HV45" s="235">
        <f t="shared" si="78"/>
        <v>0</v>
      </c>
      <c r="HW45" s="577">
        <f t="shared" si="79"/>
        <v>0</v>
      </c>
      <c r="HX45" s="235">
        <f t="shared" si="80"/>
        <v>4.0501650091754131</v>
      </c>
      <c r="HY45" s="235">
        <f t="shared" si="81"/>
        <v>149.67255761747612</v>
      </c>
      <c r="HZ45" s="235">
        <f t="shared" si="82"/>
        <v>0.4711156264541832</v>
      </c>
      <c r="IA45" s="235">
        <f t="shared" si="83"/>
        <v>0.58241669320398404</v>
      </c>
      <c r="IB45" s="235">
        <f t="shared" si="84"/>
        <v>1.7274239636653383</v>
      </c>
      <c r="IC45" s="235">
        <f t="shared" si="85"/>
        <v>8.5421115003250989</v>
      </c>
      <c r="ID45" s="235">
        <f t="shared" si="86"/>
        <v>0.47793629740196042</v>
      </c>
      <c r="IE45" s="235">
        <f t="shared" si="87"/>
        <v>16.664797761539067</v>
      </c>
      <c r="IF45" s="235">
        <f t="shared" si="88"/>
        <v>0.4711156264541832</v>
      </c>
      <c r="IG45" s="235">
        <f t="shared" si="89"/>
        <v>0.58241669320398404</v>
      </c>
      <c r="IH45" s="235">
        <f t="shared" si="90"/>
        <v>1.7274239636653383</v>
      </c>
      <c r="II45" s="235">
        <f t="shared" si="91"/>
        <v>8.5421115003250989</v>
      </c>
      <c r="IJ45" s="235">
        <f t="shared" si="92"/>
        <v>0</v>
      </c>
      <c r="IK45" s="235">
        <f t="shared" si="93"/>
        <v>0</v>
      </c>
      <c r="IL45" s="235">
        <f t="shared" si="94"/>
        <v>0</v>
      </c>
      <c r="IM45" s="235">
        <f t="shared" si="95"/>
        <v>0</v>
      </c>
      <c r="IN45" s="235">
        <f t="shared" si="96"/>
        <v>0</v>
      </c>
      <c r="IO45" s="235">
        <f t="shared" si="97"/>
        <v>0</v>
      </c>
    </row>
    <row r="46" spans="1:249" ht="18" x14ac:dyDescent="0.25">
      <c r="A46" s="18">
        <v>1983</v>
      </c>
      <c r="B46" s="564"/>
      <c r="C46" s="529">
        <f>'POSF Inventory'!AD38*$D$5*'POSF Zone Def'!$M35</f>
        <v>6.7418324999999992</v>
      </c>
      <c r="D46" s="529">
        <f>'POSF Inventory'!AE38*$D$6*'POSF Zone Def'!$M35</f>
        <v>6.7577894999999994</v>
      </c>
      <c r="E46" s="529">
        <f>'POSF Inventory'!AF38*$D$5*'POSF Zone Def'!$M35</f>
        <v>0</v>
      </c>
      <c r="F46" s="529">
        <f>'POSF Inventory'!AG38*$D$6*'POSF Zone Def'!$M35</f>
        <v>0</v>
      </c>
      <c r="G46" s="529">
        <f>'POSF Inventory'!AH38*$D$5*'POSF Zone Def'!$M35</f>
        <v>4.9939499999999999</v>
      </c>
      <c r="H46" s="524">
        <f>'POSF Inventory'!AI38*$D$6*'POSF Zone Def'!$M35</f>
        <v>5.0057700000000001</v>
      </c>
      <c r="I46" s="474">
        <f>'POSF Inventory'!AD38*$D$5*'POSF Zone Def'!$N35</f>
        <v>6.7418324999999992</v>
      </c>
      <c r="J46" s="474">
        <f>'POSF Inventory'!AE38*$D$6*'POSF Zone Def'!$N35</f>
        <v>6.7577894999999994</v>
      </c>
      <c r="K46" s="474">
        <f>'POSF Inventory'!AF38*$D$5*'POSF Zone Def'!$N35</f>
        <v>0</v>
      </c>
      <c r="L46" s="474">
        <f>'POSF Inventory'!AG38*$D$6*'POSF Zone Def'!$N35</f>
        <v>0</v>
      </c>
      <c r="M46" s="474">
        <f>'POSF Inventory'!AH38*$D$5*'POSF Zone Def'!$N35</f>
        <v>4.9939499999999999</v>
      </c>
      <c r="N46" s="485">
        <f>'POSF Inventory'!AI38*$D$6*'POSF Zone Def'!$N35</f>
        <v>5.0057700000000001</v>
      </c>
      <c r="O46" s="529">
        <f>'POSF Inventory'!AJ38*$D$5*'POSF Zone Def'!$AP35</f>
        <v>0</v>
      </c>
      <c r="P46" s="529">
        <f>'POSF Inventory'!AK38*$D$6*'POSF Zone Def'!$AP35</f>
        <v>0</v>
      </c>
      <c r="Q46" s="529">
        <f>'POSF Inventory'!AL38*$D$5*'POSF Zone Def'!$AP35</f>
        <v>0</v>
      </c>
      <c r="R46" s="529">
        <f>'POSF Inventory'!AM38*$D$6*'POSF Zone Def'!$AP35</f>
        <v>0</v>
      </c>
      <c r="S46" s="529">
        <f>'POSF Inventory'!AN38*$D$5*'POSF Zone Def'!$AP35</f>
        <v>0</v>
      </c>
      <c r="T46" s="524">
        <f>'POSF Inventory'!AO38*$D$6*'POSF Zone Def'!$AP35</f>
        <v>0</v>
      </c>
      <c r="U46" s="474">
        <f>'POSF Inventory'!AJ38*$D$5*'POSF Zone Def'!$AQ35</f>
        <v>0</v>
      </c>
      <c r="V46" s="474">
        <f>'POSF Inventory'!AK38*$D$6*'POSF Zone Def'!$AQ35</f>
        <v>0</v>
      </c>
      <c r="W46" s="474">
        <f>'POSF Inventory'!AL38*$D$5*'POSF Zone Def'!$AQ35</f>
        <v>0</v>
      </c>
      <c r="X46" s="474">
        <f>'POSF Inventory'!AM38*$D$6*'POSF Zone Def'!$AQ35</f>
        <v>0</v>
      </c>
      <c r="Y46" s="474">
        <f>'POSF Inventory'!AN38*$D$5*'POSF Zone Def'!$AQ35</f>
        <v>0</v>
      </c>
      <c r="Z46" s="134">
        <f>'POSF Inventory'!AO38*$D$6*'POSF Zone Def'!$AQ35</f>
        <v>0</v>
      </c>
      <c r="AA46" s="529">
        <f>'POSF Inventory'!AV38*'POSF Emiss by Zone'!$D$5*'POSF Zone Def'!$M35</f>
        <v>0</v>
      </c>
      <c r="AB46" s="529">
        <f>'POSF Inventory'!AW38*'POSF Emiss by Zone'!$D$6*'POSF Zone Def'!$M35</f>
        <v>0</v>
      </c>
      <c r="AC46" s="529">
        <f>'POSF Inventory'!AX38*'POSF Emiss by Zone'!$D$5*'POSF Zone Def'!$M35</f>
        <v>4.4945550000000001</v>
      </c>
      <c r="AD46" s="529">
        <f>'POSF Inventory'!AY38*'POSF Emiss by Zone'!$D$6*'POSF Zone Def'!$M35</f>
        <v>4.5051930000000002</v>
      </c>
      <c r="AE46" s="529">
        <f>'POSF Inventory'!AZ38*'POSF Emiss by Zone'!$D$5*'POSF Zone Def'!$M35</f>
        <v>8.3232499999999998</v>
      </c>
      <c r="AF46" s="524">
        <f>'POSF Inventory'!BA38*'POSF Emiss by Zone'!$D$6*'POSF Zone Def'!$M35</f>
        <v>8.3429500000000001</v>
      </c>
      <c r="AG46" s="474">
        <f>'POSF Inventory'!AV38*'POSF Emiss by Zone'!$D$5*'POSF Zone Def'!$N35</f>
        <v>0</v>
      </c>
      <c r="AH46" s="474">
        <f>'POSF Inventory'!AW38*'POSF Emiss by Zone'!$D$6*'POSF Zone Def'!$N35</f>
        <v>0</v>
      </c>
      <c r="AI46" s="474">
        <f>'POSF Inventory'!AX38*'POSF Emiss by Zone'!$D$5*'POSF Zone Def'!$N35</f>
        <v>4.4945550000000001</v>
      </c>
      <c r="AJ46" s="474">
        <f>'POSF Inventory'!AY38*'POSF Emiss by Zone'!$D$6*'POSF Zone Def'!$N35</f>
        <v>4.5051930000000002</v>
      </c>
      <c r="AK46" s="474">
        <f>'POSF Inventory'!AZ38*'POSF Emiss by Zone'!$D$5*'POSF Zone Def'!$N35</f>
        <v>8.3232499999999998</v>
      </c>
      <c r="AL46" s="549">
        <f>'POSF Inventory'!BA38*'POSF Emiss by Zone'!$D$6*'POSF Zone Def'!$N35</f>
        <v>8.3429500000000001</v>
      </c>
      <c r="AM46" s="529">
        <f>'POSF Inventory'!BB38*'POSF Emiss by Zone'!$D$5*'POSF Zone Def'!$AP35</f>
        <v>0</v>
      </c>
      <c r="AN46" s="529">
        <f>'POSF Inventory'!BC38*'POSF Emiss by Zone'!$D$6*'POSF Zone Def'!$AP35</f>
        <v>0</v>
      </c>
      <c r="AO46" s="529">
        <f>'POSF Inventory'!BD38*'POSF Emiss by Zone'!$D$5*'POSF Zone Def'!$AP35</f>
        <v>0</v>
      </c>
      <c r="AP46" s="529">
        <f>'POSF Inventory'!BE38*'POSF Emiss by Zone'!$D$6*'POSF Zone Def'!$AP35</f>
        <v>0</v>
      </c>
      <c r="AQ46" s="529">
        <f>'POSF Inventory'!BF38*'POSF Emiss by Zone'!$D$5*'POSF Zone Def'!$AP35</f>
        <v>0</v>
      </c>
      <c r="AR46" s="524">
        <f>'POSF Inventory'!BG38*'POSF Emiss by Zone'!$D$6*'POSF Zone Def'!$AP35</f>
        <v>0</v>
      </c>
      <c r="AS46" s="474">
        <f>'POSF Inventory'!BB38*'POSF Emiss by Zone'!$D$5*'POSF Zone Def'!$AQ35</f>
        <v>0</v>
      </c>
      <c r="AT46" s="474">
        <f>'POSF Inventory'!BC38*'POSF Emiss by Zone'!$D$6*'POSF Zone Def'!$AQ35</f>
        <v>0</v>
      </c>
      <c r="AU46" s="474">
        <f>'POSF Inventory'!BD38*'POSF Emiss by Zone'!$D$5*'POSF Zone Def'!$AQ35</f>
        <v>0</v>
      </c>
      <c r="AV46" s="474">
        <f>'POSF Inventory'!BE38*'POSF Emiss by Zone'!$D$6*'POSF Zone Def'!$AQ35</f>
        <v>0</v>
      </c>
      <c r="AW46" s="474">
        <f>'POSF Inventory'!BF38*'POSF Emiss by Zone'!$D$5*'POSF Zone Def'!$AQ35</f>
        <v>0</v>
      </c>
      <c r="AX46" s="134">
        <f>'POSF Inventory'!BG38*'POSF Emiss by Zone'!$D$6*'POSF Zone Def'!$AQ35</f>
        <v>0</v>
      </c>
      <c r="AY46" s="529">
        <f>'POSF Inventory'!EA38*'POSF Emiss by Zone'!$D$5*'POSF Zone Def'!$Y35</f>
        <v>0</v>
      </c>
      <c r="AZ46" s="529">
        <f>'POSF Inventory'!EB38*'POSF Emiss by Zone'!$D$6*'POSF Zone Def'!$Y35</f>
        <v>0</v>
      </c>
      <c r="BA46" s="529">
        <f>'POSF Inventory'!EC38*'POSF Emiss by Zone'!$D$5*'POSF Zone Def'!$Y35</f>
        <v>6.6855943805625007</v>
      </c>
      <c r="BB46" s="529">
        <f>'POSF Inventory'!ED38*'POSF Emiss by Zone'!$D$6*'POSF Zone Def'!$Y35</f>
        <v>67.014182725875017</v>
      </c>
      <c r="BC46" s="529">
        <f>'POSF Inventory'!EE38*'POSF Emiss by Zone'!$D$5*'POSF Zone Def'!$Y35</f>
        <v>0</v>
      </c>
      <c r="BD46" s="524">
        <f>'POSF Inventory'!EF38*'POSF Emiss by Zone'!$D$6*'POSF Zone Def'!$Y35</f>
        <v>0</v>
      </c>
      <c r="BE46" s="474">
        <f>'POSF Inventory'!EA38*'POSF Emiss by Zone'!$D$5*'POSF Zone Def'!$Z35</f>
        <v>0</v>
      </c>
      <c r="BF46" s="474">
        <f>'POSF Inventory'!EB38*'POSF Emiss by Zone'!$D$6*'POSF Zone Def'!$Z35</f>
        <v>0</v>
      </c>
      <c r="BG46" s="474">
        <f>'POSF Inventory'!EC38*'POSF Emiss by Zone'!$D$5*'POSF Zone Def'!$Z35</f>
        <v>0.74284382006250016</v>
      </c>
      <c r="BH46" s="474">
        <f>'POSF Inventory'!ED38*'POSF Emiss by Zone'!$D$6*'POSF Zone Def'!$Z35</f>
        <v>7.4460203028750023</v>
      </c>
      <c r="BI46" s="474">
        <f>'POSF Inventory'!EE38*'POSF Emiss by Zone'!$D$5*'POSF Zone Def'!$Z35</f>
        <v>0</v>
      </c>
      <c r="BJ46" s="549">
        <f>'POSF Inventory'!EF38*'POSF Emiss by Zone'!$D$6*'POSF Zone Def'!$Z35</f>
        <v>0</v>
      </c>
      <c r="BK46" s="705">
        <f>'POSF Inventory'!$EA38*'POSF Emiss by Zone'!$D$5*'POSF Zone Def'!$AC35</f>
        <v>0</v>
      </c>
      <c r="BL46" s="705">
        <f>'POSF Inventory'!$EB38*'POSF Emiss by Zone'!$D$6*'POSF Zone Def'!$AC35</f>
        <v>0</v>
      </c>
      <c r="BM46" s="705">
        <f>'POSF Inventory'!$EC38*'POSF Emiss by Zone'!$D$5*'POSF Zone Def'!$AC35</f>
        <v>0</v>
      </c>
      <c r="BN46" s="705">
        <f>'POSF Inventory'!$ED38*'POSF Emiss by Zone'!$D$6*'POSF Zone Def'!$AC35</f>
        <v>0</v>
      </c>
      <c r="BO46" s="705">
        <f>'POSF Inventory'!$EE38*'POSF Emiss by Zone'!$D$5*'POSF Zone Def'!$AC35</f>
        <v>0</v>
      </c>
      <c r="BP46" s="708">
        <f>'POSF Inventory'!$EF38*'POSF Emiss by Zone'!$D$6*'POSF Zone Def'!$AC35</f>
        <v>0</v>
      </c>
      <c r="BQ46" s="529">
        <f>'POSF Inventory'!EG38*'POSF Emiss by Zone'!$D$5*'POSF Zone Def'!$BB35</f>
        <v>0</v>
      </c>
      <c r="BR46" s="529">
        <f>'POSF Inventory'!EH38*'POSF Emiss by Zone'!$D$6*'POSF Zone Def'!$BB35</f>
        <v>0</v>
      </c>
      <c r="BS46" s="529">
        <f>'POSF Inventory'!EI38*'POSF Emiss by Zone'!$D$5*'POSF Zone Def'!$BB35</f>
        <v>0</v>
      </c>
      <c r="BT46" s="529">
        <f>'POSF Inventory'!EJ38*'POSF Emiss by Zone'!$D$6*'POSF Zone Def'!$BB35</f>
        <v>0</v>
      </c>
      <c r="BU46" s="529">
        <f>'POSF Inventory'!EK38*'POSF Emiss by Zone'!$D$5*'POSF Zone Def'!$BB35</f>
        <v>0</v>
      </c>
      <c r="BV46" s="524">
        <f>'POSF Inventory'!EL38*'POSF Emiss by Zone'!$D$6*'POSF Zone Def'!$BB35</f>
        <v>0</v>
      </c>
      <c r="BW46" s="474">
        <f>'POSF Inventory'!EG38*'POSF Emiss by Zone'!$D$5*'POSF Zone Def'!$BC35</f>
        <v>0</v>
      </c>
      <c r="BX46" s="474">
        <f>'POSF Inventory'!EH38*'POSF Emiss by Zone'!$D$6*'POSF Zone Def'!$BC35</f>
        <v>0</v>
      </c>
      <c r="BY46" s="474">
        <f>'POSF Inventory'!EI38*'POSF Emiss by Zone'!$D$5*'POSF Zone Def'!$BC35</f>
        <v>0</v>
      </c>
      <c r="BZ46" s="474">
        <f>'POSF Inventory'!EJ38*'POSF Emiss by Zone'!$D$6*'POSF Zone Def'!$BC35</f>
        <v>0</v>
      </c>
      <c r="CA46" s="474">
        <f>'POSF Inventory'!EK38*'POSF Emiss by Zone'!$D$5*'POSF Zone Def'!$BC35</f>
        <v>0</v>
      </c>
      <c r="CB46" s="134">
        <f>'POSF Inventory'!EL38*'POSF Emiss by Zone'!$D$6*'POSF Zone Def'!$BC35</f>
        <v>0</v>
      </c>
      <c r="CC46" s="529">
        <f>'POSF Inventory'!GC38*'POSF Emiss by Zone'!$D$7*'POSF Zone Def'!$M35</f>
        <v>3.1520000000000006E-2</v>
      </c>
      <c r="CD46" s="529">
        <f>'POSF Inventory'!GD38*'POSF Emiss by Zone'!$D$9*'POSF Zone Def'!$M35</f>
        <v>3.8966600000000011E-2</v>
      </c>
      <c r="CE46" s="529">
        <f>'POSF Inventory'!GE38*'POSF Emiss by Zone'!$D$7*'POSF Zone Def'!$M35</f>
        <v>0.4728</v>
      </c>
      <c r="CF46" s="529">
        <f>'POSF Inventory'!GF38*'POSF Emiss by Zone'!$D$9*'POSF Zone Def'!$M35</f>
        <v>0.58449899999999999</v>
      </c>
      <c r="CG46" s="529">
        <f>'POSF Inventory'!GG38*'POSF Emiss by Zone'!$D$7*'POSF Zone Def'!$M35</f>
        <v>1.7336</v>
      </c>
      <c r="CH46" s="524">
        <f>'POSF Inventory'!GH38*'POSF Emiss by Zone'!$D$9*'POSF Zone Def'!$M35</f>
        <v>8.5726519999999997</v>
      </c>
      <c r="CI46" s="474">
        <f>'POSF Inventory'!GC38*'POSF Emiss by Zone'!$D$7*'POSF Zone Def'!$N35</f>
        <v>3.1520000000000006E-2</v>
      </c>
      <c r="CJ46" s="474">
        <f>'POSF Inventory'!GD38*'POSF Emiss by Zone'!$D$9*'POSF Zone Def'!$N35</f>
        <v>3.8966600000000011E-2</v>
      </c>
      <c r="CK46" s="474">
        <f>'POSF Inventory'!GE38*'POSF Emiss by Zone'!$D$7*'POSF Zone Def'!$N35</f>
        <v>0.4728</v>
      </c>
      <c r="CL46" s="474">
        <f>'POSF Inventory'!GF38*'POSF Emiss by Zone'!$D$9*'POSF Zone Def'!$N35</f>
        <v>0.58449899999999999</v>
      </c>
      <c r="CM46" s="474">
        <f>'POSF Inventory'!GG38*'POSF Emiss by Zone'!$D$7*'POSF Zone Def'!$N35</f>
        <v>1.7336</v>
      </c>
      <c r="CN46" s="485">
        <f>'POSF Inventory'!GH38*'POSF Emiss by Zone'!$D$9*'POSF Zone Def'!$N35</f>
        <v>8.5726519999999997</v>
      </c>
      <c r="CO46" s="529">
        <f>'POSF Inventory'!GI38*'POSF Emiss by Zone'!$D$7*'POSF Zone Def'!$AP35</f>
        <v>0</v>
      </c>
      <c r="CP46" s="529">
        <f>'POSF Inventory'!GJ38*'POSF Emiss by Zone'!$D$9*'POSF Zone Def'!$AP35</f>
        <v>0</v>
      </c>
      <c r="CQ46" s="529">
        <f>'POSF Inventory'!GK38*'POSF Emiss by Zone'!$D$7*'POSF Zone Def'!$AP35</f>
        <v>0</v>
      </c>
      <c r="CR46" s="529">
        <f>'POSF Inventory'!GL38*'POSF Emiss by Zone'!$D$9*'POSF Zone Def'!$AP35</f>
        <v>0</v>
      </c>
      <c r="CS46" s="529">
        <f>'POSF Inventory'!GM38*'POSF Emiss by Zone'!$D$7*'POSF Zone Def'!$AP35</f>
        <v>0</v>
      </c>
      <c r="CT46" s="524">
        <f>'POSF Inventory'!GN38*'POSF Emiss by Zone'!$D$9*'POSF Zone Def'!$AP35</f>
        <v>0</v>
      </c>
      <c r="CU46" s="474">
        <f>'POSF Inventory'!GI38*'POSF Emiss by Zone'!$D$7*'POSF Zone Def'!$AQ35</f>
        <v>0</v>
      </c>
      <c r="CV46" s="474">
        <f>'POSF Inventory'!GJ38*'POSF Emiss by Zone'!$D$9*'POSF Zone Def'!$AQ35</f>
        <v>0</v>
      </c>
      <c r="CW46" s="474">
        <f>'POSF Inventory'!GK38*'POSF Emiss by Zone'!$D$7*'POSF Zone Def'!$AQ35</f>
        <v>0</v>
      </c>
      <c r="CX46" s="474">
        <f>'POSF Inventory'!GL38*'POSF Emiss by Zone'!$D$9*'POSF Zone Def'!$AQ35</f>
        <v>0</v>
      </c>
      <c r="CY46" s="474">
        <f>'POSF Inventory'!GM38*'POSF Emiss by Zone'!$D$7*'POSF Zone Def'!$AQ35</f>
        <v>0</v>
      </c>
      <c r="CZ46" s="134">
        <f>'POSF Inventory'!GN38*'POSF Emiss by Zone'!$D$9*'POSF Zone Def'!$AQ35</f>
        <v>0</v>
      </c>
      <c r="DA46" s="529">
        <f>SUM('POSF Inventory'!GQ38,'POSF Inventory'!GS38)*'POSF Emiss by Zone'!$D$7*'POSF Zone Def'!$Y35</f>
        <v>4.0571428273296979</v>
      </c>
      <c r="DB46" s="529">
        <f>SUM('POSF Inventory'!GR38,'POSF Inventory'!GT38)*'POSF Emiss by Zone'!$D$9*'POSF Zone Def'!$Y35</f>
        <v>151.99882246375631</v>
      </c>
      <c r="DC46" s="529"/>
      <c r="DD46" s="529"/>
      <c r="DE46" s="529">
        <f>'POSF Inventory'!GU38*'POSF Emiss by Zone'!$D$7*'POSF Zone Def'!$Y35</f>
        <v>0</v>
      </c>
      <c r="DF46" s="524">
        <f>'POSF Inventory'!GV38*'POSF Emiss by Zone'!$D$9*'POSF Zone Def'!$Y35</f>
        <v>0</v>
      </c>
      <c r="DG46" s="474">
        <f>SUM('POSF Inventory'!GQ38,'POSF Inventory'!GS38)*'POSF Emiss by Zone'!$D$7*'POSF Zone Def'!$Z35</f>
        <v>0.45079364748107759</v>
      </c>
      <c r="DH46" s="474">
        <f>SUM('POSF Inventory'!GR38,'POSF Inventory'!GT38)*'POSF Emiss by Zone'!$D$9*'POSF Zone Def'!$Z35</f>
        <v>16.88875805152848</v>
      </c>
      <c r="DI46" s="474"/>
      <c r="DJ46" s="474"/>
      <c r="DK46" s="474">
        <f>'POSF Inventory'!GU38*'POSF Emiss by Zone'!$D$7*'POSF Zone Def'!$Z35</f>
        <v>0</v>
      </c>
      <c r="DL46" s="485">
        <f>'POSF Inventory'!GV38*'POSF Emiss by Zone'!$D$9*'POSF Zone Def'!$Z35</f>
        <v>0</v>
      </c>
      <c r="DM46" s="705">
        <f>SUM('POSF Inventory'!$GQ38,'POSF Inventory'!$GS38)*'POSF Emiss by Zone'!$D$7*'POSF Zone Def'!$AC35</f>
        <v>0</v>
      </c>
      <c r="DN46" s="705">
        <f>SUM('POSF Inventory'!$GR38,'POSF Inventory'!$GT38)*'POSF Emiss by Zone'!$D$9*'POSF Zone Def'!$AC35</f>
        <v>0</v>
      </c>
      <c r="DO46" s="705"/>
      <c r="DP46" s="705"/>
      <c r="DQ46" s="705">
        <f>'POSF Inventory'!$GU38*'POSF Emiss by Zone'!$D$7*'POSF Zone Def'!$AC35</f>
        <v>0</v>
      </c>
      <c r="DR46" s="708">
        <f>'POSF Inventory'!$GV38*'POSF Emiss by Zone'!$D$9*'POSF Zone Def'!$AC35</f>
        <v>0</v>
      </c>
      <c r="DS46" s="529">
        <f>SUM('POSF Inventory'!GW38,'POSF Inventory'!GY38)*$D$7*'POSF Zone Def'!$BB35</f>
        <v>0</v>
      </c>
      <c r="DT46" s="529">
        <f>SUM('POSF Inventory'!GX38,'POSF Inventory'!GZ38)*$D$9*'POSF Zone Def'!$BB35</f>
        <v>0</v>
      </c>
      <c r="DU46" s="529"/>
      <c r="DV46" s="529"/>
      <c r="DW46" s="529">
        <f>'POSF Inventory'!HA38*'POSF Emiss by Zone'!$D$7*'POSF Zone Def'!$BB35</f>
        <v>0</v>
      </c>
      <c r="DX46" s="524">
        <f>'POSF Inventory'!HB38*'POSF Emiss by Zone'!$D$9*'POSF Zone Def'!$BB35</f>
        <v>0</v>
      </c>
      <c r="DY46" s="474">
        <f>SUM('POSF Inventory'!GW38,'POSF Inventory'!GY38)*$D$7*'POSF Zone Def'!$BC35</f>
        <v>0</v>
      </c>
      <c r="DZ46" s="474">
        <f>SUM('POSF Inventory'!GX38,'POSF Inventory'!GZ38)*$D$9*'POSF Zone Def'!$BC35</f>
        <v>0</v>
      </c>
      <c r="EA46" s="474"/>
      <c r="EB46" s="474"/>
      <c r="EC46" s="474">
        <f>'POSF Inventory'!HA38*'POSF Emiss by Zone'!$D$7*'POSF Zone Def'!$BC35</f>
        <v>0</v>
      </c>
      <c r="ED46" s="134">
        <f>'POSF Inventory'!HB38*'POSF Emiss by Zone'!$D$9*'POSF Zone Def'!$BC35</f>
        <v>0</v>
      </c>
      <c r="EE46" s="235">
        <f>'POSF Inventory'!$CF38*'POSF Emiss by Zone'!$D$7*'POSF Zone Def'!$CE35</f>
        <v>0</v>
      </c>
      <c r="EF46" s="235">
        <f>'POSF Inventory'!$CG38*'POSF Emiss by Zone'!$D$9*'POSF Zone Def'!$CE35</f>
        <v>0</v>
      </c>
      <c r="EG46" s="235">
        <f>'POSF Inventory'!$CH38*'POSF Emiss by Zone'!$D$7*'POSF Zone Def'!$CE35</f>
        <v>0</v>
      </c>
      <c r="EH46" s="235">
        <f>'POSF Inventory'!$CI38*'POSF Emiss by Zone'!$D$9*'POSF Zone Def'!$CE35</f>
        <v>0</v>
      </c>
      <c r="EI46" s="235">
        <f>'POSF Inventory'!$CJ38*'POSF Emiss by Zone'!$D$7*'POSF Zone Def'!$CE35</f>
        <v>0</v>
      </c>
      <c r="EJ46" s="580">
        <f>'POSF Inventory'!$CK38*'POSF Emiss by Zone'!$D$9*'POSF Zone Def'!$CE35</f>
        <v>0</v>
      </c>
      <c r="EK46" s="235">
        <f>'POSF Inventory'!$CF38*'POSF Emiss by Zone'!$D$7*'POSF Zone Def'!$CF35</f>
        <v>0</v>
      </c>
      <c r="EL46" s="235">
        <f>'POSF Inventory'!$CG38*'POSF Emiss by Zone'!$D$9*'POSF Zone Def'!$CF35</f>
        <v>0</v>
      </c>
      <c r="EM46" s="235">
        <f>'POSF Inventory'!$CH38*'POSF Emiss by Zone'!$D$7*'POSF Zone Def'!$CF35</f>
        <v>0</v>
      </c>
      <c r="EN46" s="235">
        <f>'POSF Inventory'!$CI38*'POSF Emiss by Zone'!$D$9*'POSF Zone Def'!$CF35</f>
        <v>0</v>
      </c>
      <c r="EO46" s="235">
        <f>'POSF Inventory'!$CJ38*'POSF Emiss by Zone'!$D$7*'POSF Zone Def'!$CF35</f>
        <v>0</v>
      </c>
      <c r="EP46" s="580">
        <f>'POSF Inventory'!$CK38*'POSF Emiss by Zone'!$D$9*'POSF Zone Def'!$CF35</f>
        <v>0</v>
      </c>
      <c r="EQ46" s="235">
        <f>'POSF Inventory'!$CF38*'POSF Emiss by Zone'!$D$7*'POSF Zone Def'!$CG35</f>
        <v>0</v>
      </c>
      <c r="ER46" s="235">
        <f>'POSF Inventory'!$CG38*'POSF Emiss by Zone'!$D$9*'POSF Zone Def'!$CG35</f>
        <v>0</v>
      </c>
      <c r="ES46" s="235">
        <f>'POSF Inventory'!$CH38*'POSF Emiss by Zone'!$D$7*'POSF Zone Def'!$CG35</f>
        <v>0</v>
      </c>
      <c r="ET46" s="235">
        <f>'POSF Inventory'!$CI38*'POSF Emiss by Zone'!$D$9*'POSF Zone Def'!$CG35</f>
        <v>0</v>
      </c>
      <c r="EU46" s="235">
        <f>'POSF Inventory'!$CJ38*'POSF Emiss by Zone'!$D$7*'POSF Zone Def'!$CG35</f>
        <v>0</v>
      </c>
      <c r="EV46" s="580">
        <f>'POSF Inventory'!$CK38*'POSF Emiss by Zone'!$D$9*'POSF Zone Def'!$CG35</f>
        <v>0</v>
      </c>
      <c r="EW46" s="235">
        <f>'POSF Inventory'!$CF38*'POSF Emiss by Zone'!$D$7*'POSF Zone Def'!$CH35</f>
        <v>0</v>
      </c>
      <c r="EX46" s="235">
        <f>'POSF Inventory'!$CG38*'POSF Emiss by Zone'!$D$9*'POSF Zone Def'!$CH35</f>
        <v>0</v>
      </c>
      <c r="EY46" s="235">
        <f>'POSF Inventory'!$CH38*'POSF Emiss by Zone'!$D$7*'POSF Zone Def'!$CH35</f>
        <v>0</v>
      </c>
      <c r="EZ46" s="235">
        <f>'POSF Inventory'!$CI38*'POSF Emiss by Zone'!$D$9*'POSF Zone Def'!$CH35</f>
        <v>0</v>
      </c>
      <c r="FA46" s="235">
        <f>'POSF Inventory'!$CJ38*'POSF Emiss by Zone'!$D$7*'POSF Zone Def'!$CH35</f>
        <v>0</v>
      </c>
      <c r="FB46" s="580">
        <f>'POSF Inventory'!$CK38*'POSF Emiss by Zone'!$D$9*'POSF Zone Def'!$CH35</f>
        <v>0</v>
      </c>
      <c r="FC46" s="235">
        <f>'POSF Inventory'!$CF38*'POSF Emiss by Zone'!$D$7*'POSF Zone Def'!$CI35</f>
        <v>0</v>
      </c>
      <c r="FD46" s="235">
        <f>'POSF Inventory'!$CG38*'POSF Emiss by Zone'!$D$9*'POSF Zone Def'!$CI35</f>
        <v>0</v>
      </c>
      <c r="FE46" s="235">
        <f>'POSF Inventory'!$CH38*'POSF Emiss by Zone'!$D$7*'POSF Zone Def'!$CI35</f>
        <v>0</v>
      </c>
      <c r="FF46" s="235">
        <f>'POSF Inventory'!$CI38*'POSF Emiss by Zone'!$D$9*'POSF Zone Def'!$CI35</f>
        <v>0</v>
      </c>
      <c r="FG46" s="235">
        <f>'POSF Inventory'!$CJ38*'POSF Emiss by Zone'!$D$7*'POSF Zone Def'!$CI35</f>
        <v>0</v>
      </c>
      <c r="FH46" s="577">
        <f>'POSF Inventory'!$CK38*'POSF Emiss by Zone'!$D$9*'POSF Zone Def'!$CI35</f>
        <v>0</v>
      </c>
      <c r="FI46" s="595"/>
      <c r="FJ46" s="595"/>
      <c r="FM46" s="592">
        <v>29</v>
      </c>
      <c r="FN46" s="592">
        <f t="shared" si="0"/>
        <v>1983</v>
      </c>
      <c r="FO46" s="587">
        <v>26</v>
      </c>
      <c r="FP46" s="551">
        <f t="shared" si="20"/>
        <v>6.7418324999999992</v>
      </c>
      <c r="FQ46" s="529">
        <f t="shared" si="21"/>
        <v>6.7577894999999994</v>
      </c>
      <c r="FR46" s="529">
        <f t="shared" si="22"/>
        <v>0</v>
      </c>
      <c r="FS46" s="529">
        <f t="shared" si="23"/>
        <v>0</v>
      </c>
      <c r="FT46" s="529">
        <f t="shared" si="24"/>
        <v>4.9939499999999999</v>
      </c>
      <c r="FU46" s="524">
        <f t="shared" si="25"/>
        <v>5.0057700000000001</v>
      </c>
      <c r="FV46" s="474">
        <f t="shared" si="26"/>
        <v>6.7418324999999992</v>
      </c>
      <c r="FW46" s="474">
        <f t="shared" si="27"/>
        <v>6.7577894999999994</v>
      </c>
      <c r="FX46" s="474">
        <f t="shared" si="28"/>
        <v>0</v>
      </c>
      <c r="FY46" s="474">
        <f t="shared" si="29"/>
        <v>0</v>
      </c>
      <c r="FZ46" s="474">
        <f t="shared" si="30"/>
        <v>4.9939499999999999</v>
      </c>
      <c r="GA46" s="134">
        <f t="shared" si="31"/>
        <v>5.0057700000000001</v>
      </c>
      <c r="GB46" s="529">
        <f t="shared" si="32"/>
        <v>0</v>
      </c>
      <c r="GC46" s="529">
        <f t="shared" si="33"/>
        <v>0</v>
      </c>
      <c r="GD46" s="529">
        <f t="shared" si="34"/>
        <v>11.135606952751495</v>
      </c>
      <c r="GE46" s="529">
        <f t="shared" si="35"/>
        <v>71.234437973979112</v>
      </c>
      <c r="GF46" s="529">
        <f t="shared" si="36"/>
        <v>8.2900896414342622</v>
      </c>
      <c r="GG46" s="524">
        <f t="shared" si="37"/>
        <v>8.309711155378487</v>
      </c>
      <c r="GH46" s="474">
        <f t="shared" si="38"/>
        <v>0</v>
      </c>
      <c r="GI46" s="474">
        <f t="shared" si="39"/>
        <v>0</v>
      </c>
      <c r="GJ46" s="474">
        <f t="shared" si="40"/>
        <v>5.2165326893052795</v>
      </c>
      <c r="GK46" s="474">
        <f t="shared" si="41"/>
        <v>11.903598907246019</v>
      </c>
      <c r="GL46" s="474">
        <f t="shared" si="42"/>
        <v>8.2900896414342622</v>
      </c>
      <c r="GM46" s="705">
        <f t="shared" si="43"/>
        <v>8.309711155378487</v>
      </c>
      <c r="GN46" s="705">
        <f t="shared" si="44"/>
        <v>0</v>
      </c>
      <c r="GO46" s="705">
        <f t="shared" si="45"/>
        <v>0</v>
      </c>
      <c r="GP46" s="705">
        <f t="shared" si="46"/>
        <v>0</v>
      </c>
      <c r="GQ46" s="705">
        <f t="shared" si="47"/>
        <v>0</v>
      </c>
      <c r="GR46" s="705">
        <f t="shared" si="48"/>
        <v>0</v>
      </c>
      <c r="GS46" s="134">
        <f t="shared" si="49"/>
        <v>0</v>
      </c>
      <c r="GT46" s="529">
        <f t="shared" si="50"/>
        <v>8.4705365347069447E-2</v>
      </c>
      <c r="GU46" s="529">
        <f t="shared" si="51"/>
        <v>3.1497868650658676</v>
      </c>
      <c r="GV46" s="529">
        <f t="shared" si="52"/>
        <v>9.7950597609561766E-3</v>
      </c>
      <c r="GW46" s="529">
        <f t="shared" si="53"/>
        <v>1.2109142629482072E-2</v>
      </c>
      <c r="GX46" s="529">
        <f t="shared" si="54"/>
        <v>3.5915219123505975E-2</v>
      </c>
      <c r="GY46" s="524">
        <f t="shared" si="55"/>
        <v>0.17760075856573704</v>
      </c>
      <c r="GZ46" s="474">
        <f t="shared" si="56"/>
        <v>9.9921552466199336E-3</v>
      </c>
      <c r="HA46" s="474">
        <f t="shared" si="57"/>
        <v>0.35069389716313981</v>
      </c>
      <c r="HB46" s="474">
        <f t="shared" si="58"/>
        <v>9.7950597609561766E-3</v>
      </c>
      <c r="HC46" s="474">
        <f t="shared" si="59"/>
        <v>1.2109142629482072E-2</v>
      </c>
      <c r="HD46" s="474">
        <f t="shared" si="60"/>
        <v>3.5915219123505975E-2</v>
      </c>
      <c r="HE46" s="549">
        <f t="shared" si="61"/>
        <v>0.17760075856573704</v>
      </c>
      <c r="HF46" s="235">
        <f t="shared" si="62"/>
        <v>0</v>
      </c>
      <c r="HG46" s="235">
        <f t="shared" si="63"/>
        <v>0</v>
      </c>
      <c r="HH46" s="235">
        <f t="shared" si="64"/>
        <v>0</v>
      </c>
      <c r="HI46" s="235">
        <f t="shared" si="65"/>
        <v>0</v>
      </c>
      <c r="HJ46" s="235">
        <f t="shared" si="66"/>
        <v>0</v>
      </c>
      <c r="HK46" s="580">
        <f t="shared" si="67"/>
        <v>0</v>
      </c>
      <c r="HL46" s="235">
        <f t="shared" si="68"/>
        <v>0</v>
      </c>
      <c r="HM46" s="235">
        <f t="shared" si="69"/>
        <v>0</v>
      </c>
      <c r="HN46" s="235">
        <f t="shared" si="70"/>
        <v>0</v>
      </c>
      <c r="HO46" s="235">
        <f t="shared" si="71"/>
        <v>0</v>
      </c>
      <c r="HP46" s="235">
        <f t="shared" si="72"/>
        <v>0</v>
      </c>
      <c r="HQ46" s="580">
        <f t="shared" si="73"/>
        <v>0</v>
      </c>
      <c r="HR46" s="235">
        <f t="shared" si="74"/>
        <v>0</v>
      </c>
      <c r="HS46" s="235">
        <f t="shared" si="75"/>
        <v>0</v>
      </c>
      <c r="HT46" s="235">
        <f t="shared" si="76"/>
        <v>0</v>
      </c>
      <c r="HU46" s="235">
        <f t="shared" si="77"/>
        <v>0</v>
      </c>
      <c r="HV46" s="235">
        <f t="shared" si="78"/>
        <v>0</v>
      </c>
      <c r="HW46" s="577">
        <f t="shared" si="79"/>
        <v>0</v>
      </c>
      <c r="HX46" s="235">
        <f t="shared" si="80"/>
        <v>4.5017643783300203</v>
      </c>
      <c r="HY46" s="235">
        <f t="shared" si="81"/>
        <v>167.39905731338524</v>
      </c>
      <c r="HZ46" s="235">
        <f t="shared" si="82"/>
        <v>0.52056975298804775</v>
      </c>
      <c r="IA46" s="235">
        <f t="shared" si="83"/>
        <v>0.64355435713147402</v>
      </c>
      <c r="IB46" s="235">
        <f t="shared" si="84"/>
        <v>1.9087557609561752</v>
      </c>
      <c r="IC46" s="235">
        <f t="shared" si="85"/>
        <v>9.4387972379282861</v>
      </c>
      <c r="ID46" s="235">
        <f t="shared" si="86"/>
        <v>0.53104461999151631</v>
      </c>
      <c r="IE46" s="235">
        <f t="shared" si="87"/>
        <v>18.638031811539484</v>
      </c>
      <c r="IF46" s="235">
        <f t="shared" si="88"/>
        <v>0.52056975298804775</v>
      </c>
      <c r="IG46" s="235">
        <f t="shared" si="89"/>
        <v>0.64355435713147402</v>
      </c>
      <c r="IH46" s="235">
        <f t="shared" si="90"/>
        <v>1.9087557609561752</v>
      </c>
      <c r="II46" s="235">
        <f t="shared" si="91"/>
        <v>9.4387972379282861</v>
      </c>
      <c r="IJ46" s="235">
        <f t="shared" si="92"/>
        <v>0</v>
      </c>
      <c r="IK46" s="235">
        <f t="shared" si="93"/>
        <v>0</v>
      </c>
      <c r="IL46" s="235">
        <f t="shared" si="94"/>
        <v>0</v>
      </c>
      <c r="IM46" s="235">
        <f t="shared" si="95"/>
        <v>0</v>
      </c>
      <c r="IN46" s="235">
        <f t="shared" si="96"/>
        <v>0</v>
      </c>
      <c r="IO46" s="235">
        <f t="shared" si="97"/>
        <v>0</v>
      </c>
    </row>
    <row r="47" spans="1:249" ht="18" x14ac:dyDescent="0.25">
      <c r="A47" s="18">
        <v>1984</v>
      </c>
      <c r="B47" s="564"/>
      <c r="C47" s="529">
        <f>'POSF Inventory'!AD39*$D$5*'POSF Zone Def'!$M36</f>
        <v>7.3856775037499984</v>
      </c>
      <c r="D47" s="529">
        <f>'POSF Inventory'!AE39*$D$6*'POSF Zone Def'!$M36</f>
        <v>7.4031583972499986</v>
      </c>
      <c r="E47" s="529">
        <f>'POSF Inventory'!AF39*$D$5*'POSF Zone Def'!$M36</f>
        <v>0</v>
      </c>
      <c r="F47" s="529">
        <f>'POSF Inventory'!AG39*$D$6*'POSF Zone Def'!$M36</f>
        <v>0</v>
      </c>
      <c r="G47" s="529">
        <f>'POSF Inventory'!AH39*$D$5*'POSF Zone Def'!$M36</f>
        <v>5.470872224999999</v>
      </c>
      <c r="H47" s="524">
        <f>'POSF Inventory'!AI39*$D$6*'POSF Zone Def'!$M36</f>
        <v>5.4838210349999992</v>
      </c>
      <c r="I47" s="474">
        <f>'POSF Inventory'!AD39*$D$5*'POSF Zone Def'!$N36</f>
        <v>7.3856775037499984</v>
      </c>
      <c r="J47" s="474">
        <f>'POSF Inventory'!AE39*$D$6*'POSF Zone Def'!$N36</f>
        <v>7.4031583972499986</v>
      </c>
      <c r="K47" s="474">
        <f>'POSF Inventory'!AF39*$D$5*'POSF Zone Def'!$N36</f>
        <v>0</v>
      </c>
      <c r="L47" s="474">
        <f>'POSF Inventory'!AG39*$D$6*'POSF Zone Def'!$N36</f>
        <v>0</v>
      </c>
      <c r="M47" s="474">
        <f>'POSF Inventory'!AH39*$D$5*'POSF Zone Def'!$N36</f>
        <v>5.470872224999999</v>
      </c>
      <c r="N47" s="485">
        <f>'POSF Inventory'!AI39*$D$6*'POSF Zone Def'!$N36</f>
        <v>5.4838210349999992</v>
      </c>
      <c r="O47" s="529">
        <f>'POSF Inventory'!AJ39*$D$5*'POSF Zone Def'!$AP36</f>
        <v>0</v>
      </c>
      <c r="P47" s="529">
        <f>'POSF Inventory'!AK39*$D$6*'POSF Zone Def'!$AP36</f>
        <v>0</v>
      </c>
      <c r="Q47" s="529">
        <f>'POSF Inventory'!AL39*$D$5*'POSF Zone Def'!$AP36</f>
        <v>0</v>
      </c>
      <c r="R47" s="529">
        <f>'POSF Inventory'!AM39*$D$6*'POSF Zone Def'!$AP36</f>
        <v>0</v>
      </c>
      <c r="S47" s="529">
        <f>'POSF Inventory'!AN39*$D$5*'POSF Zone Def'!$AP36</f>
        <v>0</v>
      </c>
      <c r="T47" s="524">
        <f>'POSF Inventory'!AO39*$D$6*'POSF Zone Def'!$AP36</f>
        <v>0</v>
      </c>
      <c r="U47" s="474">
        <f>'POSF Inventory'!AJ39*$D$5*'POSF Zone Def'!$AQ36</f>
        <v>0</v>
      </c>
      <c r="V47" s="474">
        <f>'POSF Inventory'!AK39*$D$6*'POSF Zone Def'!$AQ36</f>
        <v>0</v>
      </c>
      <c r="W47" s="474">
        <f>'POSF Inventory'!AL39*$D$5*'POSF Zone Def'!$AQ36</f>
        <v>0</v>
      </c>
      <c r="X47" s="474">
        <f>'POSF Inventory'!AM39*$D$6*'POSF Zone Def'!$AQ36</f>
        <v>0</v>
      </c>
      <c r="Y47" s="474">
        <f>'POSF Inventory'!AN39*$D$5*'POSF Zone Def'!$AQ36</f>
        <v>0</v>
      </c>
      <c r="Z47" s="134">
        <f>'POSF Inventory'!AO39*$D$6*'POSF Zone Def'!$AQ36</f>
        <v>0</v>
      </c>
      <c r="AA47" s="529">
        <f>'POSF Inventory'!AV39*'POSF Emiss by Zone'!$D$5*'POSF Zone Def'!$M36</f>
        <v>0</v>
      </c>
      <c r="AB47" s="529">
        <f>'POSF Inventory'!AW39*'POSF Emiss by Zone'!$D$6*'POSF Zone Def'!$M36</f>
        <v>0</v>
      </c>
      <c r="AC47" s="529">
        <f>'POSF Inventory'!AX39*'POSF Emiss by Zone'!$D$5*'POSF Zone Def'!$M36</f>
        <v>4.9237850024999998</v>
      </c>
      <c r="AD47" s="529">
        <f>'POSF Inventory'!AY39*'POSF Emiss by Zone'!$D$6*'POSF Zone Def'!$M36</f>
        <v>4.9354389314999993</v>
      </c>
      <c r="AE47" s="529">
        <f>'POSF Inventory'!AZ39*'POSF Emiss by Zone'!$D$5*'POSF Zone Def'!$M36</f>
        <v>9.1181203749999984</v>
      </c>
      <c r="AF47" s="524">
        <f>'POSF Inventory'!BA39*'POSF Emiss by Zone'!$D$6*'POSF Zone Def'!$M36</f>
        <v>9.1397017249999983</v>
      </c>
      <c r="AG47" s="474">
        <f>'POSF Inventory'!AV39*'POSF Emiss by Zone'!$D$5*'POSF Zone Def'!$N36</f>
        <v>0</v>
      </c>
      <c r="AH47" s="474">
        <f>'POSF Inventory'!AW39*'POSF Emiss by Zone'!$D$6*'POSF Zone Def'!$N36</f>
        <v>0</v>
      </c>
      <c r="AI47" s="474">
        <f>'POSF Inventory'!AX39*'POSF Emiss by Zone'!$D$5*'POSF Zone Def'!$N36</f>
        <v>4.9237850024999998</v>
      </c>
      <c r="AJ47" s="474">
        <f>'POSF Inventory'!AY39*'POSF Emiss by Zone'!$D$6*'POSF Zone Def'!$N36</f>
        <v>4.9354389314999993</v>
      </c>
      <c r="AK47" s="474">
        <f>'POSF Inventory'!AZ39*'POSF Emiss by Zone'!$D$5*'POSF Zone Def'!$N36</f>
        <v>9.1181203749999984</v>
      </c>
      <c r="AL47" s="549">
        <f>'POSF Inventory'!BA39*'POSF Emiss by Zone'!$D$6*'POSF Zone Def'!$N36</f>
        <v>9.1397017249999983</v>
      </c>
      <c r="AM47" s="529">
        <f>'POSF Inventory'!BB39*'POSF Emiss by Zone'!$D$5*'POSF Zone Def'!$AP36</f>
        <v>0</v>
      </c>
      <c r="AN47" s="529">
        <f>'POSF Inventory'!BC39*'POSF Emiss by Zone'!$D$6*'POSF Zone Def'!$AP36</f>
        <v>0</v>
      </c>
      <c r="AO47" s="529">
        <f>'POSF Inventory'!BD39*'POSF Emiss by Zone'!$D$5*'POSF Zone Def'!$AP36</f>
        <v>0</v>
      </c>
      <c r="AP47" s="529">
        <f>'POSF Inventory'!BE39*'POSF Emiss by Zone'!$D$6*'POSF Zone Def'!$AP36</f>
        <v>0</v>
      </c>
      <c r="AQ47" s="529">
        <f>'POSF Inventory'!BF39*'POSF Emiss by Zone'!$D$5*'POSF Zone Def'!$AP36</f>
        <v>0</v>
      </c>
      <c r="AR47" s="524">
        <f>'POSF Inventory'!BG39*'POSF Emiss by Zone'!$D$6*'POSF Zone Def'!$AP36</f>
        <v>0</v>
      </c>
      <c r="AS47" s="474">
        <f>'POSF Inventory'!BB39*'POSF Emiss by Zone'!$D$5*'POSF Zone Def'!$AQ36</f>
        <v>0</v>
      </c>
      <c r="AT47" s="474">
        <f>'POSF Inventory'!BC39*'POSF Emiss by Zone'!$D$6*'POSF Zone Def'!$AQ36</f>
        <v>0</v>
      </c>
      <c r="AU47" s="474">
        <f>'POSF Inventory'!BD39*'POSF Emiss by Zone'!$D$5*'POSF Zone Def'!$AQ36</f>
        <v>0</v>
      </c>
      <c r="AV47" s="474">
        <f>'POSF Inventory'!BE39*'POSF Emiss by Zone'!$D$6*'POSF Zone Def'!$AQ36</f>
        <v>0</v>
      </c>
      <c r="AW47" s="474">
        <f>'POSF Inventory'!BF39*'POSF Emiss by Zone'!$D$5*'POSF Zone Def'!$AQ36</f>
        <v>0</v>
      </c>
      <c r="AX47" s="134">
        <f>'POSF Inventory'!BG39*'POSF Emiss by Zone'!$D$6*'POSF Zone Def'!$AQ36</f>
        <v>0</v>
      </c>
      <c r="AY47" s="529">
        <f>'POSF Inventory'!EA39*'POSF Emiss by Zone'!$D$5*'POSF Zone Def'!$Y36</f>
        <v>0</v>
      </c>
      <c r="AZ47" s="529">
        <f>'POSF Inventory'!EB39*'POSF Emiss by Zone'!$D$6*'POSF Zone Def'!$Y36</f>
        <v>0</v>
      </c>
      <c r="BA47" s="529">
        <f>'POSF Inventory'!EC39*'POSF Emiss by Zone'!$D$5*'POSF Zone Def'!$Y36</f>
        <v>7.3541538186187498</v>
      </c>
      <c r="BB47" s="529">
        <f>'POSF Inventory'!ED39*'POSF Emiss by Zone'!$D$6*'POSF Zone Def'!$Y36</f>
        <v>73.715600998462506</v>
      </c>
      <c r="BC47" s="529">
        <f>'POSF Inventory'!EE39*'POSF Emiss by Zone'!$D$5*'POSF Zone Def'!$Y36</f>
        <v>0</v>
      </c>
      <c r="BD47" s="524">
        <f>'POSF Inventory'!EF39*'POSF Emiss by Zone'!$D$6*'POSF Zone Def'!$Y36</f>
        <v>0</v>
      </c>
      <c r="BE47" s="474">
        <f>'POSF Inventory'!EA39*'POSF Emiss by Zone'!$D$5*'POSF Zone Def'!$Z36</f>
        <v>0</v>
      </c>
      <c r="BF47" s="474">
        <f>'POSF Inventory'!EB39*'POSF Emiss by Zone'!$D$6*'POSF Zone Def'!$Z36</f>
        <v>0</v>
      </c>
      <c r="BG47" s="474">
        <f>'POSF Inventory'!EC39*'POSF Emiss by Zone'!$D$5*'POSF Zone Def'!$Z36</f>
        <v>0.81712820206875003</v>
      </c>
      <c r="BH47" s="474">
        <f>'POSF Inventory'!ED39*'POSF Emiss by Zone'!$D$6*'POSF Zone Def'!$Z36</f>
        <v>8.1906223331624997</v>
      </c>
      <c r="BI47" s="474">
        <f>'POSF Inventory'!EE39*'POSF Emiss by Zone'!$D$5*'POSF Zone Def'!$Z36</f>
        <v>0</v>
      </c>
      <c r="BJ47" s="549">
        <f>'POSF Inventory'!EF39*'POSF Emiss by Zone'!$D$6*'POSF Zone Def'!$Z36</f>
        <v>0</v>
      </c>
      <c r="BK47" s="705">
        <f>'POSF Inventory'!$EA39*'POSF Emiss by Zone'!$D$5*'POSF Zone Def'!$AC36</f>
        <v>0</v>
      </c>
      <c r="BL47" s="705">
        <f>'POSF Inventory'!$EB39*'POSF Emiss by Zone'!$D$6*'POSF Zone Def'!$AC36</f>
        <v>0</v>
      </c>
      <c r="BM47" s="705">
        <f>'POSF Inventory'!$EC39*'POSF Emiss by Zone'!$D$5*'POSF Zone Def'!$AC36</f>
        <v>0</v>
      </c>
      <c r="BN47" s="705">
        <f>'POSF Inventory'!$ED39*'POSF Emiss by Zone'!$D$6*'POSF Zone Def'!$AC36</f>
        <v>0</v>
      </c>
      <c r="BO47" s="705">
        <f>'POSF Inventory'!$EE39*'POSF Emiss by Zone'!$D$5*'POSF Zone Def'!$AC36</f>
        <v>0</v>
      </c>
      <c r="BP47" s="708">
        <f>'POSF Inventory'!$EF39*'POSF Emiss by Zone'!$D$6*'POSF Zone Def'!$AC36</f>
        <v>0</v>
      </c>
      <c r="BQ47" s="529">
        <f>'POSF Inventory'!EG39*'POSF Emiss by Zone'!$D$5*'POSF Zone Def'!$BB36</f>
        <v>0</v>
      </c>
      <c r="BR47" s="529">
        <f>'POSF Inventory'!EH39*'POSF Emiss by Zone'!$D$6*'POSF Zone Def'!$BB36</f>
        <v>0</v>
      </c>
      <c r="BS47" s="529">
        <f>'POSF Inventory'!EI39*'POSF Emiss by Zone'!$D$5*'POSF Zone Def'!$BB36</f>
        <v>0</v>
      </c>
      <c r="BT47" s="529">
        <f>'POSF Inventory'!EJ39*'POSF Emiss by Zone'!$D$6*'POSF Zone Def'!$BB36</f>
        <v>0</v>
      </c>
      <c r="BU47" s="529">
        <f>'POSF Inventory'!EK39*'POSF Emiss by Zone'!$D$5*'POSF Zone Def'!$BB36</f>
        <v>0</v>
      </c>
      <c r="BV47" s="524">
        <f>'POSF Inventory'!EL39*'POSF Emiss by Zone'!$D$6*'POSF Zone Def'!$BB36</f>
        <v>0</v>
      </c>
      <c r="BW47" s="474">
        <f>'POSF Inventory'!EG39*'POSF Emiss by Zone'!$D$5*'POSF Zone Def'!$BC36</f>
        <v>0</v>
      </c>
      <c r="BX47" s="474">
        <f>'POSF Inventory'!EH39*'POSF Emiss by Zone'!$D$6*'POSF Zone Def'!$BC36</f>
        <v>0</v>
      </c>
      <c r="BY47" s="474">
        <f>'POSF Inventory'!EI39*'POSF Emiss by Zone'!$D$5*'POSF Zone Def'!$BC36</f>
        <v>0</v>
      </c>
      <c r="BZ47" s="474">
        <f>'POSF Inventory'!EJ39*'POSF Emiss by Zone'!$D$6*'POSF Zone Def'!$BC36</f>
        <v>0</v>
      </c>
      <c r="CA47" s="474">
        <f>'POSF Inventory'!EK39*'POSF Emiss by Zone'!$D$5*'POSF Zone Def'!$BC36</f>
        <v>0</v>
      </c>
      <c r="CB47" s="134">
        <f>'POSF Inventory'!EL39*'POSF Emiss by Zone'!$D$6*'POSF Zone Def'!$BC36</f>
        <v>0</v>
      </c>
      <c r="CC47" s="529">
        <f>'POSF Inventory'!GC39*'POSF Emiss by Zone'!$D$7*'POSF Zone Def'!$M36</f>
        <v>3.4530159999999997E-2</v>
      </c>
      <c r="CD47" s="529">
        <f>'POSF Inventory'!GD39*'POSF Emiss by Zone'!$D$9*'POSF Zone Def'!$M36</f>
        <v>4.26879103E-2</v>
      </c>
      <c r="CE47" s="529">
        <f>'POSF Inventory'!GE39*'POSF Emiss by Zone'!$D$7*'POSF Zone Def'!$M36</f>
        <v>0.51795239999999987</v>
      </c>
      <c r="CF47" s="529">
        <f>'POSF Inventory'!GF39*'POSF Emiss by Zone'!$D$9*'POSF Zone Def'!$M36</f>
        <v>0.64031865449999992</v>
      </c>
      <c r="CG47" s="529">
        <f>'POSF Inventory'!GG39*'POSF Emiss by Zone'!$D$7*'POSF Zone Def'!$M36</f>
        <v>1.8991587999999997</v>
      </c>
      <c r="CH47" s="524">
        <f>'POSF Inventory'!GH39*'POSF Emiss by Zone'!$D$9*'POSF Zone Def'!$M36</f>
        <v>9.3913402659999985</v>
      </c>
      <c r="CI47" s="474">
        <f>'POSF Inventory'!GC39*'POSF Emiss by Zone'!$D$7*'POSF Zone Def'!$N36</f>
        <v>3.4530159999999997E-2</v>
      </c>
      <c r="CJ47" s="474">
        <f>'POSF Inventory'!GD39*'POSF Emiss by Zone'!$D$9*'POSF Zone Def'!$N36</f>
        <v>4.26879103E-2</v>
      </c>
      <c r="CK47" s="474">
        <f>'POSF Inventory'!GE39*'POSF Emiss by Zone'!$D$7*'POSF Zone Def'!$N36</f>
        <v>0.51795239999999987</v>
      </c>
      <c r="CL47" s="474">
        <f>'POSF Inventory'!GF39*'POSF Emiss by Zone'!$D$9*'POSF Zone Def'!$N36</f>
        <v>0.64031865449999992</v>
      </c>
      <c r="CM47" s="474">
        <f>'POSF Inventory'!GG39*'POSF Emiss by Zone'!$D$7*'POSF Zone Def'!$N36</f>
        <v>1.8991587999999997</v>
      </c>
      <c r="CN47" s="485">
        <f>'POSF Inventory'!GH39*'POSF Emiss by Zone'!$D$9*'POSF Zone Def'!$N36</f>
        <v>9.3913402659999985</v>
      </c>
      <c r="CO47" s="529">
        <f>'POSF Inventory'!GI39*'POSF Emiss by Zone'!$D$7*'POSF Zone Def'!$AP36</f>
        <v>0</v>
      </c>
      <c r="CP47" s="529">
        <f>'POSF Inventory'!GJ39*'POSF Emiss by Zone'!$D$9*'POSF Zone Def'!$AP36</f>
        <v>0</v>
      </c>
      <c r="CQ47" s="529">
        <f>'POSF Inventory'!GK39*'POSF Emiss by Zone'!$D$7*'POSF Zone Def'!$AP36</f>
        <v>0</v>
      </c>
      <c r="CR47" s="529">
        <f>'POSF Inventory'!GL39*'POSF Emiss by Zone'!$D$9*'POSF Zone Def'!$AP36</f>
        <v>0</v>
      </c>
      <c r="CS47" s="529">
        <f>'POSF Inventory'!GM39*'POSF Emiss by Zone'!$D$7*'POSF Zone Def'!$AP36</f>
        <v>0</v>
      </c>
      <c r="CT47" s="524">
        <f>'POSF Inventory'!GN39*'POSF Emiss by Zone'!$D$9*'POSF Zone Def'!$AP36</f>
        <v>0</v>
      </c>
      <c r="CU47" s="474">
        <f>'POSF Inventory'!GI39*'POSF Emiss by Zone'!$D$7*'POSF Zone Def'!$AQ36</f>
        <v>0</v>
      </c>
      <c r="CV47" s="474">
        <f>'POSF Inventory'!GJ39*'POSF Emiss by Zone'!$D$9*'POSF Zone Def'!$AQ36</f>
        <v>0</v>
      </c>
      <c r="CW47" s="474">
        <f>'POSF Inventory'!GK39*'POSF Emiss by Zone'!$D$7*'POSF Zone Def'!$AQ36</f>
        <v>0</v>
      </c>
      <c r="CX47" s="474">
        <f>'POSF Inventory'!GL39*'POSF Emiss by Zone'!$D$9*'POSF Zone Def'!$AQ36</f>
        <v>0</v>
      </c>
      <c r="CY47" s="474">
        <f>'POSF Inventory'!GM39*'POSF Emiss by Zone'!$D$7*'POSF Zone Def'!$AQ36</f>
        <v>0</v>
      </c>
      <c r="CZ47" s="134">
        <f>'POSF Inventory'!GN39*'POSF Emiss by Zone'!$D$9*'POSF Zone Def'!$AQ36</f>
        <v>0</v>
      </c>
      <c r="DA47" s="529">
        <f>SUM('POSF Inventory'!GQ39,'POSF Inventory'!GS39)*'POSF Emiss by Zone'!$D$7*'POSF Zone Def'!$Y36</f>
        <v>4.464876494525412</v>
      </c>
      <c r="DB47" s="529">
        <f>SUM('POSF Inventory'!GR39,'POSF Inventory'!GT39)*'POSF Emiss by Zone'!$D$9*'POSF Zone Def'!$Y36</f>
        <v>168.44693673116555</v>
      </c>
      <c r="DC47" s="529"/>
      <c r="DD47" s="529"/>
      <c r="DE47" s="529">
        <f>'POSF Inventory'!GU39*'POSF Emiss by Zone'!$D$7*'POSF Zone Def'!$Y36</f>
        <v>0</v>
      </c>
      <c r="DF47" s="524">
        <f>'POSF Inventory'!GV39*'POSF Emiss by Zone'!$D$9*'POSF Zone Def'!$Y36</f>
        <v>0</v>
      </c>
      <c r="DG47" s="474">
        <f>SUM('POSF Inventory'!GQ39,'POSF Inventory'!GS39)*'POSF Emiss by Zone'!$D$7*'POSF Zone Def'!$Z36</f>
        <v>0.49609738828060135</v>
      </c>
      <c r="DH47" s="474">
        <f>SUM('POSF Inventory'!GR39,'POSF Inventory'!GT39)*'POSF Emiss by Zone'!$D$9*'POSF Zone Def'!$Z36</f>
        <v>18.716326303462839</v>
      </c>
      <c r="DI47" s="474"/>
      <c r="DJ47" s="474"/>
      <c r="DK47" s="474">
        <f>'POSF Inventory'!GU39*'POSF Emiss by Zone'!$D$7*'POSF Zone Def'!$Z36</f>
        <v>0</v>
      </c>
      <c r="DL47" s="485">
        <f>'POSF Inventory'!GV39*'POSF Emiss by Zone'!$D$9*'POSF Zone Def'!$Z36</f>
        <v>0</v>
      </c>
      <c r="DM47" s="705">
        <f>SUM('POSF Inventory'!$GQ39,'POSF Inventory'!$GS39)*'POSF Emiss by Zone'!$D$7*'POSF Zone Def'!$AC36</f>
        <v>0</v>
      </c>
      <c r="DN47" s="705">
        <f>SUM('POSF Inventory'!$GR39,'POSF Inventory'!$GT39)*'POSF Emiss by Zone'!$D$9*'POSF Zone Def'!$AC36</f>
        <v>0</v>
      </c>
      <c r="DO47" s="705"/>
      <c r="DP47" s="705"/>
      <c r="DQ47" s="705">
        <f>'POSF Inventory'!$GU39*'POSF Emiss by Zone'!$D$7*'POSF Zone Def'!$AC36</f>
        <v>0</v>
      </c>
      <c r="DR47" s="708">
        <f>'POSF Inventory'!$GV39*'POSF Emiss by Zone'!$D$9*'POSF Zone Def'!$AC36</f>
        <v>0</v>
      </c>
      <c r="DS47" s="529">
        <f>SUM('POSF Inventory'!GW39,'POSF Inventory'!GY39)*$D$7*'POSF Zone Def'!$BB36</f>
        <v>0</v>
      </c>
      <c r="DT47" s="529">
        <f>SUM('POSF Inventory'!GX39,'POSF Inventory'!GZ39)*$D$9*'POSF Zone Def'!$BB36</f>
        <v>0</v>
      </c>
      <c r="DU47" s="529"/>
      <c r="DV47" s="529"/>
      <c r="DW47" s="529">
        <f>'POSF Inventory'!HA39*'POSF Emiss by Zone'!$D$7*'POSF Zone Def'!$BB36</f>
        <v>0</v>
      </c>
      <c r="DX47" s="524">
        <f>'POSF Inventory'!HB39*'POSF Emiss by Zone'!$D$9*'POSF Zone Def'!$BB36</f>
        <v>0</v>
      </c>
      <c r="DY47" s="474">
        <f>SUM('POSF Inventory'!GW39,'POSF Inventory'!GY39)*$D$7*'POSF Zone Def'!$BC36</f>
        <v>0</v>
      </c>
      <c r="DZ47" s="474">
        <f>SUM('POSF Inventory'!GX39,'POSF Inventory'!GZ39)*$D$9*'POSF Zone Def'!$BC36</f>
        <v>0</v>
      </c>
      <c r="EA47" s="474"/>
      <c r="EB47" s="474"/>
      <c r="EC47" s="474">
        <f>'POSF Inventory'!HA39*'POSF Emiss by Zone'!$D$7*'POSF Zone Def'!$BC36</f>
        <v>0</v>
      </c>
      <c r="ED47" s="134">
        <f>'POSF Inventory'!HB39*'POSF Emiss by Zone'!$D$9*'POSF Zone Def'!$BC36</f>
        <v>0</v>
      </c>
      <c r="EE47" s="235">
        <f>'POSF Inventory'!$CF39*'POSF Emiss by Zone'!$D$7*'POSF Zone Def'!$CE36</f>
        <v>0</v>
      </c>
      <c r="EF47" s="235">
        <f>'POSF Inventory'!$CG39*'POSF Emiss by Zone'!$D$9*'POSF Zone Def'!$CE36</f>
        <v>0</v>
      </c>
      <c r="EG47" s="235">
        <f>'POSF Inventory'!$CH39*'POSF Emiss by Zone'!$D$7*'POSF Zone Def'!$CE36</f>
        <v>0</v>
      </c>
      <c r="EH47" s="235">
        <f>'POSF Inventory'!$CI39*'POSF Emiss by Zone'!$D$9*'POSF Zone Def'!$CE36</f>
        <v>0</v>
      </c>
      <c r="EI47" s="235">
        <f>'POSF Inventory'!$CJ39*'POSF Emiss by Zone'!$D$7*'POSF Zone Def'!$CE36</f>
        <v>0</v>
      </c>
      <c r="EJ47" s="580">
        <f>'POSF Inventory'!$CK39*'POSF Emiss by Zone'!$D$9*'POSF Zone Def'!$CE36</f>
        <v>0</v>
      </c>
      <c r="EK47" s="235">
        <f>'POSF Inventory'!$CF39*'POSF Emiss by Zone'!$D$7*'POSF Zone Def'!$CF36</f>
        <v>0</v>
      </c>
      <c r="EL47" s="235">
        <f>'POSF Inventory'!$CG39*'POSF Emiss by Zone'!$D$9*'POSF Zone Def'!$CF36</f>
        <v>0</v>
      </c>
      <c r="EM47" s="235">
        <f>'POSF Inventory'!$CH39*'POSF Emiss by Zone'!$D$7*'POSF Zone Def'!$CF36</f>
        <v>0</v>
      </c>
      <c r="EN47" s="235">
        <f>'POSF Inventory'!$CI39*'POSF Emiss by Zone'!$D$9*'POSF Zone Def'!$CF36</f>
        <v>0</v>
      </c>
      <c r="EO47" s="235">
        <f>'POSF Inventory'!$CJ39*'POSF Emiss by Zone'!$D$7*'POSF Zone Def'!$CF36</f>
        <v>0</v>
      </c>
      <c r="EP47" s="580">
        <f>'POSF Inventory'!$CK39*'POSF Emiss by Zone'!$D$9*'POSF Zone Def'!$CF36</f>
        <v>0</v>
      </c>
      <c r="EQ47" s="235">
        <f>'POSF Inventory'!$CF39*'POSF Emiss by Zone'!$D$7*'POSF Zone Def'!$CG36</f>
        <v>0</v>
      </c>
      <c r="ER47" s="235">
        <f>'POSF Inventory'!$CG39*'POSF Emiss by Zone'!$D$9*'POSF Zone Def'!$CG36</f>
        <v>0</v>
      </c>
      <c r="ES47" s="235">
        <f>'POSF Inventory'!$CH39*'POSF Emiss by Zone'!$D$7*'POSF Zone Def'!$CG36</f>
        <v>0</v>
      </c>
      <c r="ET47" s="235">
        <f>'POSF Inventory'!$CI39*'POSF Emiss by Zone'!$D$9*'POSF Zone Def'!$CG36</f>
        <v>0</v>
      </c>
      <c r="EU47" s="235">
        <f>'POSF Inventory'!$CJ39*'POSF Emiss by Zone'!$D$7*'POSF Zone Def'!$CG36</f>
        <v>0</v>
      </c>
      <c r="EV47" s="580">
        <f>'POSF Inventory'!$CK39*'POSF Emiss by Zone'!$D$9*'POSF Zone Def'!$CG36</f>
        <v>0</v>
      </c>
      <c r="EW47" s="235">
        <f>'POSF Inventory'!$CF39*'POSF Emiss by Zone'!$D$7*'POSF Zone Def'!$CH36</f>
        <v>0</v>
      </c>
      <c r="EX47" s="235">
        <f>'POSF Inventory'!$CG39*'POSF Emiss by Zone'!$D$9*'POSF Zone Def'!$CH36</f>
        <v>0</v>
      </c>
      <c r="EY47" s="235">
        <f>'POSF Inventory'!$CH39*'POSF Emiss by Zone'!$D$7*'POSF Zone Def'!$CH36</f>
        <v>0</v>
      </c>
      <c r="EZ47" s="235">
        <f>'POSF Inventory'!$CI39*'POSF Emiss by Zone'!$D$9*'POSF Zone Def'!$CH36</f>
        <v>0</v>
      </c>
      <c r="FA47" s="235">
        <f>'POSF Inventory'!$CJ39*'POSF Emiss by Zone'!$D$7*'POSF Zone Def'!$CH36</f>
        <v>0</v>
      </c>
      <c r="FB47" s="580">
        <f>'POSF Inventory'!$CK39*'POSF Emiss by Zone'!$D$9*'POSF Zone Def'!$CH36</f>
        <v>0</v>
      </c>
      <c r="FC47" s="235">
        <f>'POSF Inventory'!$CF39*'POSF Emiss by Zone'!$D$7*'POSF Zone Def'!$CI36</f>
        <v>0</v>
      </c>
      <c r="FD47" s="235">
        <f>'POSF Inventory'!$CG39*'POSF Emiss by Zone'!$D$9*'POSF Zone Def'!$CI36</f>
        <v>0</v>
      </c>
      <c r="FE47" s="235">
        <f>'POSF Inventory'!$CH39*'POSF Emiss by Zone'!$D$7*'POSF Zone Def'!$CI36</f>
        <v>0</v>
      </c>
      <c r="FF47" s="235">
        <f>'POSF Inventory'!$CI39*'POSF Emiss by Zone'!$D$9*'POSF Zone Def'!$CI36</f>
        <v>0</v>
      </c>
      <c r="FG47" s="235">
        <f>'POSF Inventory'!$CJ39*'POSF Emiss by Zone'!$D$7*'POSF Zone Def'!$CI36</f>
        <v>0</v>
      </c>
      <c r="FH47" s="577">
        <f>'POSF Inventory'!$CK39*'POSF Emiss by Zone'!$D$9*'POSF Zone Def'!$CI36</f>
        <v>0</v>
      </c>
      <c r="FI47" s="595"/>
      <c r="FJ47" s="595"/>
      <c r="FM47" s="592">
        <v>30</v>
      </c>
      <c r="FN47" s="592">
        <f t="shared" si="0"/>
        <v>1984</v>
      </c>
      <c r="FO47" s="587">
        <v>27</v>
      </c>
      <c r="FP47" s="551">
        <f t="shared" si="20"/>
        <v>7.3856775037499984</v>
      </c>
      <c r="FQ47" s="529">
        <f t="shared" si="21"/>
        <v>7.4031583972499986</v>
      </c>
      <c r="FR47" s="529">
        <f t="shared" si="22"/>
        <v>0</v>
      </c>
      <c r="FS47" s="529">
        <f t="shared" si="23"/>
        <v>0</v>
      </c>
      <c r="FT47" s="529">
        <f t="shared" si="24"/>
        <v>5.470872224999999</v>
      </c>
      <c r="FU47" s="524">
        <f t="shared" si="25"/>
        <v>5.4838210349999992</v>
      </c>
      <c r="FV47" s="474">
        <f t="shared" si="26"/>
        <v>7.3856775037499984</v>
      </c>
      <c r="FW47" s="474">
        <f t="shared" si="27"/>
        <v>7.4031583972499986</v>
      </c>
      <c r="FX47" s="474">
        <f t="shared" si="28"/>
        <v>0</v>
      </c>
      <c r="FY47" s="474">
        <f t="shared" si="29"/>
        <v>0</v>
      </c>
      <c r="FZ47" s="474">
        <f t="shared" si="30"/>
        <v>5.470872224999999</v>
      </c>
      <c r="GA47" s="134">
        <f t="shared" si="31"/>
        <v>5.4838210349999992</v>
      </c>
      <c r="GB47" s="529">
        <f t="shared" si="32"/>
        <v>0</v>
      </c>
      <c r="GC47" s="529">
        <f t="shared" si="33"/>
        <v>0</v>
      </c>
      <c r="GD47" s="529">
        <f t="shared" si="34"/>
        <v>12.229022730197958</v>
      </c>
      <c r="GE47" s="529">
        <f t="shared" si="35"/>
        <v>78.337689173269425</v>
      </c>
      <c r="GF47" s="529">
        <f t="shared" si="36"/>
        <v>9.0817932021912338</v>
      </c>
      <c r="GG47" s="524">
        <f t="shared" si="37"/>
        <v>9.1032885707171296</v>
      </c>
      <c r="GH47" s="474">
        <f t="shared" si="38"/>
        <v>0</v>
      </c>
      <c r="GI47" s="474">
        <f t="shared" si="39"/>
        <v>0</v>
      </c>
      <c r="GJ47" s="474">
        <f t="shared" si="40"/>
        <v>5.7180410404071216</v>
      </c>
      <c r="GK47" s="474">
        <f t="shared" si="41"/>
        <v>13.073766199863048</v>
      </c>
      <c r="GL47" s="474">
        <f t="shared" si="42"/>
        <v>9.0817932021912338</v>
      </c>
      <c r="GM47" s="705">
        <f t="shared" si="43"/>
        <v>9.1032885707171296</v>
      </c>
      <c r="GN47" s="705">
        <f t="shared" si="44"/>
        <v>0</v>
      </c>
      <c r="GO47" s="705">
        <f t="shared" si="45"/>
        <v>0</v>
      </c>
      <c r="GP47" s="705">
        <f t="shared" si="46"/>
        <v>0</v>
      </c>
      <c r="GQ47" s="705">
        <f t="shared" si="47"/>
        <v>0</v>
      </c>
      <c r="GR47" s="705">
        <f t="shared" si="48"/>
        <v>0</v>
      </c>
      <c r="GS47" s="134">
        <f t="shared" si="49"/>
        <v>0</v>
      </c>
      <c r="GT47" s="529">
        <f t="shared" si="50"/>
        <v>9.3214799217259531E-2</v>
      </c>
      <c r="GU47" s="529">
        <f t="shared" si="51"/>
        <v>3.490621705719605</v>
      </c>
      <c r="GV47" s="529">
        <f t="shared" si="52"/>
        <v>1.0730487968127487E-2</v>
      </c>
      <c r="GW47" s="529">
        <f t="shared" si="53"/>
        <v>1.3265565750597607E-2</v>
      </c>
      <c r="GX47" s="529">
        <f t="shared" si="54"/>
        <v>3.9345122549800791E-2</v>
      </c>
      <c r="GY47" s="524">
        <f t="shared" si="55"/>
        <v>0.19456163100876492</v>
      </c>
      <c r="GZ47" s="474">
        <f t="shared" si="56"/>
        <v>1.0993080681510467E-2</v>
      </c>
      <c r="HA47" s="474">
        <f t="shared" si="57"/>
        <v>0.38863296379110263</v>
      </c>
      <c r="HB47" s="474">
        <f t="shared" si="58"/>
        <v>1.0730487968127487E-2</v>
      </c>
      <c r="HC47" s="474">
        <f t="shared" si="59"/>
        <v>1.3265565750597607E-2</v>
      </c>
      <c r="HD47" s="474">
        <f t="shared" si="60"/>
        <v>3.9345122549800791E-2</v>
      </c>
      <c r="HE47" s="549">
        <f t="shared" si="61"/>
        <v>0.19456163100876492</v>
      </c>
      <c r="HF47" s="235">
        <f t="shared" si="62"/>
        <v>0</v>
      </c>
      <c r="HG47" s="235">
        <f t="shared" si="63"/>
        <v>0</v>
      </c>
      <c r="HH47" s="235">
        <f t="shared" si="64"/>
        <v>0</v>
      </c>
      <c r="HI47" s="235">
        <f t="shared" si="65"/>
        <v>0</v>
      </c>
      <c r="HJ47" s="235">
        <f t="shared" si="66"/>
        <v>0</v>
      </c>
      <c r="HK47" s="580">
        <f t="shared" si="67"/>
        <v>0</v>
      </c>
      <c r="HL47" s="235">
        <f t="shared" si="68"/>
        <v>0</v>
      </c>
      <c r="HM47" s="235">
        <f t="shared" si="69"/>
        <v>0</v>
      </c>
      <c r="HN47" s="235">
        <f t="shared" si="70"/>
        <v>0</v>
      </c>
      <c r="HO47" s="235">
        <f t="shared" si="71"/>
        <v>0</v>
      </c>
      <c r="HP47" s="235">
        <f t="shared" si="72"/>
        <v>0</v>
      </c>
      <c r="HQ47" s="580">
        <f t="shared" si="73"/>
        <v>0</v>
      </c>
      <c r="HR47" s="235">
        <f t="shared" si="74"/>
        <v>0</v>
      </c>
      <c r="HS47" s="235">
        <f t="shared" si="75"/>
        <v>0</v>
      </c>
      <c r="HT47" s="235">
        <f t="shared" si="76"/>
        <v>0</v>
      </c>
      <c r="HU47" s="235">
        <f t="shared" si="77"/>
        <v>0</v>
      </c>
      <c r="HV47" s="235">
        <f t="shared" si="78"/>
        <v>0</v>
      </c>
      <c r="HW47" s="577">
        <f t="shared" si="79"/>
        <v>0</v>
      </c>
      <c r="HX47" s="235">
        <f t="shared" si="80"/>
        <v>4.9540080599388157</v>
      </c>
      <c r="HY47" s="235">
        <f t="shared" si="81"/>
        <v>185.51311819089804</v>
      </c>
      <c r="HZ47" s="235">
        <f t="shared" si="82"/>
        <v>0.57028416439840623</v>
      </c>
      <c r="IA47" s="235">
        <f t="shared" si="83"/>
        <v>0.70501379823752974</v>
      </c>
      <c r="IB47" s="235">
        <f t="shared" si="84"/>
        <v>2.0910419361274895</v>
      </c>
      <c r="IC47" s="235">
        <f t="shared" si="85"/>
        <v>10.340202374150435</v>
      </c>
      <c r="ID47" s="235">
        <f t="shared" si="86"/>
        <v>0.5842399571427368</v>
      </c>
      <c r="IE47" s="235">
        <f t="shared" si="87"/>
        <v>20.654347283328676</v>
      </c>
      <c r="IF47" s="235">
        <f t="shared" si="88"/>
        <v>0.57028416439840623</v>
      </c>
      <c r="IG47" s="235">
        <f t="shared" si="89"/>
        <v>0.70501379823752974</v>
      </c>
      <c r="IH47" s="235">
        <f t="shared" si="90"/>
        <v>2.0910419361274895</v>
      </c>
      <c r="II47" s="235">
        <f t="shared" si="91"/>
        <v>10.340202374150435</v>
      </c>
      <c r="IJ47" s="235">
        <f t="shared" si="92"/>
        <v>0</v>
      </c>
      <c r="IK47" s="235">
        <f t="shared" si="93"/>
        <v>0</v>
      </c>
      <c r="IL47" s="235">
        <f t="shared" si="94"/>
        <v>0</v>
      </c>
      <c r="IM47" s="235">
        <f t="shared" si="95"/>
        <v>0</v>
      </c>
      <c r="IN47" s="235">
        <f t="shared" si="96"/>
        <v>0</v>
      </c>
      <c r="IO47" s="235">
        <f t="shared" si="97"/>
        <v>0</v>
      </c>
    </row>
    <row r="48" spans="1:249" ht="18" x14ac:dyDescent="0.25">
      <c r="A48" s="18">
        <v>1985</v>
      </c>
      <c r="B48" s="564"/>
      <c r="C48" s="529">
        <f>'POSF Inventory'!AD40*$D$5*'POSF Zone Def'!$M37</f>
        <v>8.0261515912499988</v>
      </c>
      <c r="D48" s="529">
        <f>'POSF Inventory'!AE40*$D$6*'POSF Zone Def'!$M37</f>
        <v>8.0451483997499977</v>
      </c>
      <c r="E48" s="529">
        <f>'POSF Inventory'!AF40*$D$5*'POSF Zone Def'!$M37</f>
        <v>0</v>
      </c>
      <c r="F48" s="529">
        <f>'POSF Inventory'!AG40*$D$6*'POSF Zone Def'!$M37</f>
        <v>0</v>
      </c>
      <c r="G48" s="529">
        <f>'POSF Inventory'!AH40*$D$5*'POSF Zone Def'!$M37</f>
        <v>5.9452974749999994</v>
      </c>
      <c r="H48" s="524">
        <f>'POSF Inventory'!AI40*$D$6*'POSF Zone Def'!$M37</f>
        <v>5.9593691849999999</v>
      </c>
      <c r="I48" s="474">
        <f>'POSF Inventory'!AD40*$D$5*'POSF Zone Def'!$N37</f>
        <v>8.0261515912499988</v>
      </c>
      <c r="J48" s="474">
        <f>'POSF Inventory'!AE40*$D$6*'POSF Zone Def'!$N37</f>
        <v>8.0451483997499977</v>
      </c>
      <c r="K48" s="474">
        <f>'POSF Inventory'!AF40*$D$5*'POSF Zone Def'!$N37</f>
        <v>0</v>
      </c>
      <c r="L48" s="474">
        <f>'POSF Inventory'!AG40*$D$6*'POSF Zone Def'!$N37</f>
        <v>0</v>
      </c>
      <c r="M48" s="474">
        <f>'POSF Inventory'!AH40*$D$5*'POSF Zone Def'!$N37</f>
        <v>5.9452974749999994</v>
      </c>
      <c r="N48" s="485">
        <f>'POSF Inventory'!AI40*$D$6*'POSF Zone Def'!$N37</f>
        <v>5.9593691849999999</v>
      </c>
      <c r="O48" s="529">
        <f>'POSF Inventory'!AJ40*$D$5*'POSF Zone Def'!$AP37</f>
        <v>0</v>
      </c>
      <c r="P48" s="529">
        <f>'POSF Inventory'!AK40*$D$6*'POSF Zone Def'!$AP37</f>
        <v>0</v>
      </c>
      <c r="Q48" s="529">
        <f>'POSF Inventory'!AL40*$D$5*'POSF Zone Def'!$AP37</f>
        <v>0</v>
      </c>
      <c r="R48" s="529">
        <f>'POSF Inventory'!AM40*$D$6*'POSF Zone Def'!$AP37</f>
        <v>0</v>
      </c>
      <c r="S48" s="529">
        <f>'POSF Inventory'!AN40*$D$5*'POSF Zone Def'!$AP37</f>
        <v>0</v>
      </c>
      <c r="T48" s="524">
        <f>'POSF Inventory'!AO40*$D$6*'POSF Zone Def'!$AP37</f>
        <v>0</v>
      </c>
      <c r="U48" s="474">
        <f>'POSF Inventory'!AJ40*$D$5*'POSF Zone Def'!$AQ37</f>
        <v>0</v>
      </c>
      <c r="V48" s="474">
        <f>'POSF Inventory'!AK40*$D$6*'POSF Zone Def'!$AQ37</f>
        <v>0</v>
      </c>
      <c r="W48" s="474">
        <f>'POSF Inventory'!AL40*$D$5*'POSF Zone Def'!$AQ37</f>
        <v>0</v>
      </c>
      <c r="X48" s="474">
        <f>'POSF Inventory'!AM40*$D$6*'POSF Zone Def'!$AQ37</f>
        <v>0</v>
      </c>
      <c r="Y48" s="474">
        <f>'POSF Inventory'!AN40*$D$5*'POSF Zone Def'!$AQ37</f>
        <v>0</v>
      </c>
      <c r="Z48" s="134">
        <f>'POSF Inventory'!AO40*$D$6*'POSF Zone Def'!$AQ37</f>
        <v>0</v>
      </c>
      <c r="AA48" s="529">
        <f>'POSF Inventory'!AV40*'POSF Emiss by Zone'!$D$5*'POSF Zone Def'!$M37</f>
        <v>0</v>
      </c>
      <c r="AB48" s="529">
        <f>'POSF Inventory'!AW40*'POSF Emiss by Zone'!$D$6*'POSF Zone Def'!$M37</f>
        <v>0</v>
      </c>
      <c r="AC48" s="529">
        <f>'POSF Inventory'!AX40*'POSF Emiss by Zone'!$D$5*'POSF Zone Def'!$M37</f>
        <v>5.3507677275000001</v>
      </c>
      <c r="AD48" s="529">
        <f>'POSF Inventory'!AY40*'POSF Emiss by Zone'!$D$6*'POSF Zone Def'!$M37</f>
        <v>5.3634322664999994</v>
      </c>
      <c r="AE48" s="529">
        <f>'POSF Inventory'!AZ40*'POSF Emiss by Zone'!$D$5*'POSF Zone Def'!$M37</f>
        <v>9.9088291249999987</v>
      </c>
      <c r="AF48" s="524">
        <f>'POSF Inventory'!BA40*'POSF Emiss by Zone'!$D$6*'POSF Zone Def'!$M37</f>
        <v>9.9322819749999987</v>
      </c>
      <c r="AG48" s="474">
        <f>'POSF Inventory'!AV40*'POSF Emiss by Zone'!$D$5*'POSF Zone Def'!$N37</f>
        <v>0</v>
      </c>
      <c r="AH48" s="474">
        <f>'POSF Inventory'!AW40*'POSF Emiss by Zone'!$D$6*'POSF Zone Def'!$N37</f>
        <v>0</v>
      </c>
      <c r="AI48" s="474">
        <f>'POSF Inventory'!AX40*'POSF Emiss by Zone'!$D$5*'POSF Zone Def'!$N37</f>
        <v>5.3507677275000001</v>
      </c>
      <c r="AJ48" s="474">
        <f>'POSF Inventory'!AY40*'POSF Emiss by Zone'!$D$6*'POSF Zone Def'!$N37</f>
        <v>5.3634322664999994</v>
      </c>
      <c r="AK48" s="474">
        <f>'POSF Inventory'!AZ40*'POSF Emiss by Zone'!$D$5*'POSF Zone Def'!$N37</f>
        <v>9.9088291249999987</v>
      </c>
      <c r="AL48" s="549">
        <f>'POSF Inventory'!BA40*'POSF Emiss by Zone'!$D$6*'POSF Zone Def'!$N37</f>
        <v>9.9322819749999987</v>
      </c>
      <c r="AM48" s="529">
        <f>'POSF Inventory'!BB40*'POSF Emiss by Zone'!$D$5*'POSF Zone Def'!$AP37</f>
        <v>0</v>
      </c>
      <c r="AN48" s="529">
        <f>'POSF Inventory'!BC40*'POSF Emiss by Zone'!$D$6*'POSF Zone Def'!$AP37</f>
        <v>0</v>
      </c>
      <c r="AO48" s="529">
        <f>'POSF Inventory'!BD40*'POSF Emiss by Zone'!$D$5*'POSF Zone Def'!$AP37</f>
        <v>0</v>
      </c>
      <c r="AP48" s="529">
        <f>'POSF Inventory'!BE40*'POSF Emiss by Zone'!$D$6*'POSF Zone Def'!$AP37</f>
        <v>0</v>
      </c>
      <c r="AQ48" s="529">
        <f>'POSF Inventory'!BF40*'POSF Emiss by Zone'!$D$5*'POSF Zone Def'!$AP37</f>
        <v>0</v>
      </c>
      <c r="AR48" s="524">
        <f>'POSF Inventory'!BG40*'POSF Emiss by Zone'!$D$6*'POSF Zone Def'!$AP37</f>
        <v>0</v>
      </c>
      <c r="AS48" s="474">
        <f>'POSF Inventory'!BB40*'POSF Emiss by Zone'!$D$5*'POSF Zone Def'!$AQ37</f>
        <v>0</v>
      </c>
      <c r="AT48" s="474">
        <f>'POSF Inventory'!BC40*'POSF Emiss by Zone'!$D$6*'POSF Zone Def'!$AQ37</f>
        <v>0</v>
      </c>
      <c r="AU48" s="474">
        <f>'POSF Inventory'!BD40*'POSF Emiss by Zone'!$D$5*'POSF Zone Def'!$AQ37</f>
        <v>0</v>
      </c>
      <c r="AV48" s="474">
        <f>'POSF Inventory'!BE40*'POSF Emiss by Zone'!$D$6*'POSF Zone Def'!$AQ37</f>
        <v>0</v>
      </c>
      <c r="AW48" s="474">
        <f>'POSF Inventory'!BF40*'POSF Emiss by Zone'!$D$5*'POSF Zone Def'!$AQ37</f>
        <v>0</v>
      </c>
      <c r="AX48" s="134">
        <f>'POSF Inventory'!BG40*'POSF Emiss by Zone'!$D$6*'POSF Zone Def'!$AQ37</f>
        <v>0</v>
      </c>
      <c r="AY48" s="529">
        <f>'POSF Inventory'!EA40*'POSF Emiss by Zone'!$D$5*'POSF Zone Def'!$Y37</f>
        <v>0</v>
      </c>
      <c r="AZ48" s="529">
        <f>'POSF Inventory'!EB40*'POSF Emiss by Zone'!$D$6*'POSF Zone Def'!$Y37</f>
        <v>0</v>
      </c>
      <c r="BA48" s="529">
        <f>'POSF Inventory'!EC40*'POSF Emiss by Zone'!$D$5*'POSF Zone Def'!$Y37</f>
        <v>8.0227132566750008</v>
      </c>
      <c r="BB48" s="529">
        <f>'POSF Inventory'!ED40*'POSF Emiss by Zone'!$D$6*'POSF Zone Def'!$Y37</f>
        <v>80.417019271049995</v>
      </c>
      <c r="BC48" s="529">
        <f>'POSF Inventory'!EE40*'POSF Emiss by Zone'!$D$5*'POSF Zone Def'!$Y37</f>
        <v>0</v>
      </c>
      <c r="BD48" s="524">
        <f>'POSF Inventory'!EF40*'POSF Emiss by Zone'!$D$6*'POSF Zone Def'!$Y37</f>
        <v>0</v>
      </c>
      <c r="BE48" s="474">
        <f>'POSF Inventory'!EA40*'POSF Emiss by Zone'!$D$5*'POSF Zone Def'!$Z37</f>
        <v>0</v>
      </c>
      <c r="BF48" s="474">
        <f>'POSF Inventory'!EB40*'POSF Emiss by Zone'!$D$6*'POSF Zone Def'!$Z37</f>
        <v>0</v>
      </c>
      <c r="BG48" s="474">
        <f>'POSF Inventory'!EC40*'POSF Emiss by Zone'!$D$5*'POSF Zone Def'!$Z37</f>
        <v>0.89141258407500001</v>
      </c>
      <c r="BH48" s="474">
        <f>'POSF Inventory'!ED40*'POSF Emiss by Zone'!$D$6*'POSF Zone Def'!$Z37</f>
        <v>8.9352243634500006</v>
      </c>
      <c r="BI48" s="474">
        <f>'POSF Inventory'!EE40*'POSF Emiss by Zone'!$D$5*'POSF Zone Def'!$Z37</f>
        <v>0</v>
      </c>
      <c r="BJ48" s="549">
        <f>'POSF Inventory'!EF40*'POSF Emiss by Zone'!$D$6*'POSF Zone Def'!$Z37</f>
        <v>0</v>
      </c>
      <c r="BK48" s="705">
        <f>'POSF Inventory'!$EA40*'POSF Emiss by Zone'!$D$5*'POSF Zone Def'!$AC37</f>
        <v>0</v>
      </c>
      <c r="BL48" s="705">
        <f>'POSF Inventory'!$EB40*'POSF Emiss by Zone'!$D$6*'POSF Zone Def'!$AC37</f>
        <v>0</v>
      </c>
      <c r="BM48" s="705">
        <f>'POSF Inventory'!$EC40*'POSF Emiss by Zone'!$D$5*'POSF Zone Def'!$AC37</f>
        <v>0</v>
      </c>
      <c r="BN48" s="705">
        <f>'POSF Inventory'!$ED40*'POSF Emiss by Zone'!$D$6*'POSF Zone Def'!$AC37</f>
        <v>0</v>
      </c>
      <c r="BO48" s="705">
        <f>'POSF Inventory'!$EE40*'POSF Emiss by Zone'!$D$5*'POSF Zone Def'!$AC37</f>
        <v>0</v>
      </c>
      <c r="BP48" s="708">
        <f>'POSF Inventory'!$EF40*'POSF Emiss by Zone'!$D$6*'POSF Zone Def'!$AC37</f>
        <v>0</v>
      </c>
      <c r="BQ48" s="529">
        <f>'POSF Inventory'!EG40*'POSF Emiss by Zone'!$D$5*'POSF Zone Def'!$BB37</f>
        <v>0</v>
      </c>
      <c r="BR48" s="529">
        <f>'POSF Inventory'!EH40*'POSF Emiss by Zone'!$D$6*'POSF Zone Def'!$BB37</f>
        <v>0</v>
      </c>
      <c r="BS48" s="529">
        <f>'POSF Inventory'!EI40*'POSF Emiss by Zone'!$D$5*'POSF Zone Def'!$BB37</f>
        <v>0</v>
      </c>
      <c r="BT48" s="529">
        <f>'POSF Inventory'!EJ40*'POSF Emiss by Zone'!$D$6*'POSF Zone Def'!$BB37</f>
        <v>0</v>
      </c>
      <c r="BU48" s="529">
        <f>'POSF Inventory'!EK40*'POSF Emiss by Zone'!$D$5*'POSF Zone Def'!$BB37</f>
        <v>0</v>
      </c>
      <c r="BV48" s="524">
        <f>'POSF Inventory'!EL40*'POSF Emiss by Zone'!$D$6*'POSF Zone Def'!$BB37</f>
        <v>0</v>
      </c>
      <c r="BW48" s="474">
        <f>'POSF Inventory'!EG40*'POSF Emiss by Zone'!$D$5*'POSF Zone Def'!$BC37</f>
        <v>0</v>
      </c>
      <c r="BX48" s="474">
        <f>'POSF Inventory'!EH40*'POSF Emiss by Zone'!$D$6*'POSF Zone Def'!$BC37</f>
        <v>0</v>
      </c>
      <c r="BY48" s="474">
        <f>'POSF Inventory'!EI40*'POSF Emiss by Zone'!$D$5*'POSF Zone Def'!$BC37</f>
        <v>0</v>
      </c>
      <c r="BZ48" s="474">
        <f>'POSF Inventory'!EJ40*'POSF Emiss by Zone'!$D$6*'POSF Zone Def'!$BC37</f>
        <v>0</v>
      </c>
      <c r="CA48" s="474">
        <f>'POSF Inventory'!EK40*'POSF Emiss by Zone'!$D$5*'POSF Zone Def'!$BC37</f>
        <v>0</v>
      </c>
      <c r="CB48" s="134">
        <f>'POSF Inventory'!EL40*'POSF Emiss by Zone'!$D$6*'POSF Zone Def'!$BC37</f>
        <v>0</v>
      </c>
      <c r="CC48" s="529">
        <f>'POSF Inventory'!GC40*'POSF Emiss by Zone'!$D$7*'POSF Zone Def'!$M37</f>
        <v>3.7524560000000005E-2</v>
      </c>
      <c r="CD48" s="529">
        <f>'POSF Inventory'!GD40*'POSF Emiss by Zone'!$D$9*'POSF Zone Def'!$M37</f>
        <v>4.6389737300000004E-2</v>
      </c>
      <c r="CE48" s="529">
        <f>'POSF Inventory'!GE40*'POSF Emiss by Zone'!$D$7*'POSF Zone Def'!$M37</f>
        <v>0.56286839999999994</v>
      </c>
      <c r="CF48" s="529">
        <f>'POSF Inventory'!GF40*'POSF Emiss by Zone'!$D$9*'POSF Zone Def'!$M37</f>
        <v>0.69584605949999989</v>
      </c>
      <c r="CG48" s="529">
        <f>'POSF Inventory'!GG40*'POSF Emiss by Zone'!$D$7*'POSF Zone Def'!$M37</f>
        <v>2.0638508000000004</v>
      </c>
      <c r="CH48" s="524">
        <f>'POSF Inventory'!GH40*'POSF Emiss by Zone'!$D$9*'POSF Zone Def'!$M37</f>
        <v>10.205742206000002</v>
      </c>
      <c r="CI48" s="474">
        <f>'POSF Inventory'!GC40*'POSF Emiss by Zone'!$D$7*'POSF Zone Def'!$N37</f>
        <v>3.7524560000000005E-2</v>
      </c>
      <c r="CJ48" s="474">
        <f>'POSF Inventory'!GD40*'POSF Emiss by Zone'!$D$9*'POSF Zone Def'!$N37</f>
        <v>4.6389737300000004E-2</v>
      </c>
      <c r="CK48" s="474">
        <f>'POSF Inventory'!GE40*'POSF Emiss by Zone'!$D$7*'POSF Zone Def'!$N37</f>
        <v>0.56286839999999994</v>
      </c>
      <c r="CL48" s="474">
        <f>'POSF Inventory'!GF40*'POSF Emiss by Zone'!$D$9*'POSF Zone Def'!$N37</f>
        <v>0.69584605949999989</v>
      </c>
      <c r="CM48" s="474">
        <f>'POSF Inventory'!GG40*'POSF Emiss by Zone'!$D$7*'POSF Zone Def'!$N37</f>
        <v>2.0638508000000004</v>
      </c>
      <c r="CN48" s="485">
        <f>'POSF Inventory'!GH40*'POSF Emiss by Zone'!$D$9*'POSF Zone Def'!$N37</f>
        <v>10.205742206000002</v>
      </c>
      <c r="CO48" s="529">
        <f>'POSF Inventory'!GI40*'POSF Emiss by Zone'!$D$7*'POSF Zone Def'!$AP37</f>
        <v>0</v>
      </c>
      <c r="CP48" s="529">
        <f>'POSF Inventory'!GJ40*'POSF Emiss by Zone'!$D$9*'POSF Zone Def'!$AP37</f>
        <v>0</v>
      </c>
      <c r="CQ48" s="529">
        <f>'POSF Inventory'!GK40*'POSF Emiss by Zone'!$D$7*'POSF Zone Def'!$AP37</f>
        <v>0</v>
      </c>
      <c r="CR48" s="529">
        <f>'POSF Inventory'!GL40*'POSF Emiss by Zone'!$D$9*'POSF Zone Def'!$AP37</f>
        <v>0</v>
      </c>
      <c r="CS48" s="529">
        <f>'POSF Inventory'!GM40*'POSF Emiss by Zone'!$D$7*'POSF Zone Def'!$AP37</f>
        <v>0</v>
      </c>
      <c r="CT48" s="524">
        <f>'POSF Inventory'!GN40*'POSF Emiss by Zone'!$D$9*'POSF Zone Def'!$AP37</f>
        <v>0</v>
      </c>
      <c r="CU48" s="474">
        <f>'POSF Inventory'!GI40*'POSF Emiss by Zone'!$D$7*'POSF Zone Def'!$AQ37</f>
        <v>0</v>
      </c>
      <c r="CV48" s="474">
        <f>'POSF Inventory'!GJ40*'POSF Emiss by Zone'!$D$9*'POSF Zone Def'!$AQ37</f>
        <v>0</v>
      </c>
      <c r="CW48" s="474">
        <f>'POSF Inventory'!GK40*'POSF Emiss by Zone'!$D$7*'POSF Zone Def'!$AQ37</f>
        <v>0</v>
      </c>
      <c r="CX48" s="474">
        <f>'POSF Inventory'!GL40*'POSF Emiss by Zone'!$D$9*'POSF Zone Def'!$AQ37</f>
        <v>0</v>
      </c>
      <c r="CY48" s="474">
        <f>'POSF Inventory'!GM40*'POSF Emiss by Zone'!$D$7*'POSF Zone Def'!$AQ37</f>
        <v>0</v>
      </c>
      <c r="CZ48" s="134">
        <f>'POSF Inventory'!GN40*'POSF Emiss by Zone'!$D$9*'POSF Zone Def'!$AQ37</f>
        <v>0</v>
      </c>
      <c r="DA48" s="529">
        <f>SUM('POSF Inventory'!GQ40,'POSF Inventory'!GS40)*'POSF Emiss by Zone'!$D$7*'POSF Zone Def'!$Y37</f>
        <v>4.8731795892518859</v>
      </c>
      <c r="DB48" s="529">
        <f>SUM('POSF Inventory'!GR40,'POSF Inventory'!GT40)*'POSF Emiss by Zone'!$D$9*'POSF Zone Def'!$Y37</f>
        <v>185.24702839102588</v>
      </c>
      <c r="DC48" s="529"/>
      <c r="DD48" s="529"/>
      <c r="DE48" s="529">
        <f>'POSF Inventory'!GU40*'POSF Emiss by Zone'!$D$7*'POSF Zone Def'!$Y37</f>
        <v>0</v>
      </c>
      <c r="DF48" s="524">
        <f>'POSF Inventory'!GV40*'POSF Emiss by Zone'!$D$9*'POSF Zone Def'!$Y37</f>
        <v>0</v>
      </c>
      <c r="DG48" s="474">
        <f>SUM('POSF Inventory'!GQ40,'POSF Inventory'!GS40)*'POSF Emiss by Zone'!$D$7*'POSF Zone Def'!$Z37</f>
        <v>0.54146439880576513</v>
      </c>
      <c r="DH48" s="474">
        <f>SUM('POSF Inventory'!GR40,'POSF Inventory'!GT40)*'POSF Emiss by Zone'!$D$9*'POSF Zone Def'!$Z37</f>
        <v>20.58300315455843</v>
      </c>
      <c r="DI48" s="474"/>
      <c r="DJ48" s="474"/>
      <c r="DK48" s="474">
        <f>'POSF Inventory'!GU40*'POSF Emiss by Zone'!$D$7*'POSF Zone Def'!$Z37</f>
        <v>0</v>
      </c>
      <c r="DL48" s="485">
        <f>'POSF Inventory'!GV40*'POSF Emiss by Zone'!$D$9*'POSF Zone Def'!$Z37</f>
        <v>0</v>
      </c>
      <c r="DM48" s="705">
        <f>SUM('POSF Inventory'!$GQ40,'POSF Inventory'!$GS40)*'POSF Emiss by Zone'!$D$7*'POSF Zone Def'!$AC37</f>
        <v>0</v>
      </c>
      <c r="DN48" s="705">
        <f>SUM('POSF Inventory'!$GR40,'POSF Inventory'!$GT40)*'POSF Emiss by Zone'!$D$9*'POSF Zone Def'!$AC37</f>
        <v>0</v>
      </c>
      <c r="DO48" s="705"/>
      <c r="DP48" s="705"/>
      <c r="DQ48" s="705">
        <f>'POSF Inventory'!$GU40*'POSF Emiss by Zone'!$D$7*'POSF Zone Def'!$AC37</f>
        <v>0</v>
      </c>
      <c r="DR48" s="708">
        <f>'POSF Inventory'!$GV40*'POSF Emiss by Zone'!$D$9*'POSF Zone Def'!$AC37</f>
        <v>0</v>
      </c>
      <c r="DS48" s="529">
        <f>SUM('POSF Inventory'!GW40,'POSF Inventory'!GY40)*$D$7*'POSF Zone Def'!$BB37</f>
        <v>0</v>
      </c>
      <c r="DT48" s="529">
        <f>SUM('POSF Inventory'!GX40,'POSF Inventory'!GZ40)*$D$9*'POSF Zone Def'!$BB37</f>
        <v>0</v>
      </c>
      <c r="DU48" s="529"/>
      <c r="DV48" s="529"/>
      <c r="DW48" s="529">
        <f>'POSF Inventory'!HA40*'POSF Emiss by Zone'!$D$7*'POSF Zone Def'!$BB37</f>
        <v>0</v>
      </c>
      <c r="DX48" s="524">
        <f>'POSF Inventory'!HB40*'POSF Emiss by Zone'!$D$9*'POSF Zone Def'!$BB37</f>
        <v>0</v>
      </c>
      <c r="DY48" s="474">
        <f>SUM('POSF Inventory'!GW40,'POSF Inventory'!GY40)*$D$7*'POSF Zone Def'!$BC37</f>
        <v>0</v>
      </c>
      <c r="DZ48" s="474">
        <f>SUM('POSF Inventory'!GX40,'POSF Inventory'!GZ40)*$D$9*'POSF Zone Def'!$BC37</f>
        <v>0</v>
      </c>
      <c r="EA48" s="474"/>
      <c r="EB48" s="474"/>
      <c r="EC48" s="474">
        <f>'POSF Inventory'!HA40*'POSF Emiss by Zone'!$D$7*'POSF Zone Def'!$BC37</f>
        <v>0</v>
      </c>
      <c r="ED48" s="134">
        <f>'POSF Inventory'!HB40*'POSF Emiss by Zone'!$D$9*'POSF Zone Def'!$BC37</f>
        <v>0</v>
      </c>
      <c r="EE48" s="235">
        <f>'POSF Inventory'!$CF40*'POSF Emiss by Zone'!$D$7*'POSF Zone Def'!$CE37</f>
        <v>0</v>
      </c>
      <c r="EF48" s="235">
        <f>'POSF Inventory'!$CG40*'POSF Emiss by Zone'!$D$9*'POSF Zone Def'!$CE37</f>
        <v>0</v>
      </c>
      <c r="EG48" s="235">
        <f>'POSF Inventory'!$CH40*'POSF Emiss by Zone'!$D$7*'POSF Zone Def'!$CE37</f>
        <v>0</v>
      </c>
      <c r="EH48" s="235">
        <f>'POSF Inventory'!$CI40*'POSF Emiss by Zone'!$D$9*'POSF Zone Def'!$CE37</f>
        <v>0</v>
      </c>
      <c r="EI48" s="235">
        <f>'POSF Inventory'!$CJ40*'POSF Emiss by Zone'!$D$7*'POSF Zone Def'!$CE37</f>
        <v>0</v>
      </c>
      <c r="EJ48" s="580">
        <f>'POSF Inventory'!$CK40*'POSF Emiss by Zone'!$D$9*'POSF Zone Def'!$CE37</f>
        <v>0</v>
      </c>
      <c r="EK48" s="235">
        <f>'POSF Inventory'!$CF40*'POSF Emiss by Zone'!$D$7*'POSF Zone Def'!$CF37</f>
        <v>0</v>
      </c>
      <c r="EL48" s="235">
        <f>'POSF Inventory'!$CG40*'POSF Emiss by Zone'!$D$9*'POSF Zone Def'!$CF37</f>
        <v>0</v>
      </c>
      <c r="EM48" s="235">
        <f>'POSF Inventory'!$CH40*'POSF Emiss by Zone'!$D$7*'POSF Zone Def'!$CF37</f>
        <v>0</v>
      </c>
      <c r="EN48" s="235">
        <f>'POSF Inventory'!$CI40*'POSF Emiss by Zone'!$D$9*'POSF Zone Def'!$CF37</f>
        <v>0</v>
      </c>
      <c r="EO48" s="235">
        <f>'POSF Inventory'!$CJ40*'POSF Emiss by Zone'!$D$7*'POSF Zone Def'!$CF37</f>
        <v>0</v>
      </c>
      <c r="EP48" s="580">
        <f>'POSF Inventory'!$CK40*'POSF Emiss by Zone'!$D$9*'POSF Zone Def'!$CF37</f>
        <v>0</v>
      </c>
      <c r="EQ48" s="235">
        <f>'POSF Inventory'!$CF40*'POSF Emiss by Zone'!$D$7*'POSF Zone Def'!$CG37</f>
        <v>0</v>
      </c>
      <c r="ER48" s="235">
        <f>'POSF Inventory'!$CG40*'POSF Emiss by Zone'!$D$9*'POSF Zone Def'!$CG37</f>
        <v>0</v>
      </c>
      <c r="ES48" s="235">
        <f>'POSF Inventory'!$CH40*'POSF Emiss by Zone'!$D$7*'POSF Zone Def'!$CG37</f>
        <v>0</v>
      </c>
      <c r="ET48" s="235">
        <f>'POSF Inventory'!$CI40*'POSF Emiss by Zone'!$D$9*'POSF Zone Def'!$CG37</f>
        <v>0</v>
      </c>
      <c r="EU48" s="235">
        <f>'POSF Inventory'!$CJ40*'POSF Emiss by Zone'!$D$7*'POSF Zone Def'!$CG37</f>
        <v>0</v>
      </c>
      <c r="EV48" s="580">
        <f>'POSF Inventory'!$CK40*'POSF Emiss by Zone'!$D$9*'POSF Zone Def'!$CG37</f>
        <v>0</v>
      </c>
      <c r="EW48" s="235">
        <f>'POSF Inventory'!$CF40*'POSF Emiss by Zone'!$D$7*'POSF Zone Def'!$CH37</f>
        <v>0</v>
      </c>
      <c r="EX48" s="235">
        <f>'POSF Inventory'!$CG40*'POSF Emiss by Zone'!$D$9*'POSF Zone Def'!$CH37</f>
        <v>0</v>
      </c>
      <c r="EY48" s="235">
        <f>'POSF Inventory'!$CH40*'POSF Emiss by Zone'!$D$7*'POSF Zone Def'!$CH37</f>
        <v>0</v>
      </c>
      <c r="EZ48" s="235">
        <f>'POSF Inventory'!$CI40*'POSF Emiss by Zone'!$D$9*'POSF Zone Def'!$CH37</f>
        <v>0</v>
      </c>
      <c r="FA48" s="235">
        <f>'POSF Inventory'!$CJ40*'POSF Emiss by Zone'!$D$7*'POSF Zone Def'!$CH37</f>
        <v>0</v>
      </c>
      <c r="FB48" s="580">
        <f>'POSF Inventory'!$CK40*'POSF Emiss by Zone'!$D$9*'POSF Zone Def'!$CH37</f>
        <v>0</v>
      </c>
      <c r="FC48" s="235">
        <f>'POSF Inventory'!$CF40*'POSF Emiss by Zone'!$D$7*'POSF Zone Def'!$CI37</f>
        <v>0</v>
      </c>
      <c r="FD48" s="235">
        <f>'POSF Inventory'!$CG40*'POSF Emiss by Zone'!$D$9*'POSF Zone Def'!$CI37</f>
        <v>0</v>
      </c>
      <c r="FE48" s="235">
        <f>'POSF Inventory'!$CH40*'POSF Emiss by Zone'!$D$7*'POSF Zone Def'!$CI37</f>
        <v>0</v>
      </c>
      <c r="FF48" s="235">
        <f>'POSF Inventory'!$CI40*'POSF Emiss by Zone'!$D$9*'POSF Zone Def'!$CI37</f>
        <v>0</v>
      </c>
      <c r="FG48" s="235">
        <f>'POSF Inventory'!$CJ40*'POSF Emiss by Zone'!$D$7*'POSF Zone Def'!$CI37</f>
        <v>0</v>
      </c>
      <c r="FH48" s="577">
        <f>'POSF Inventory'!$CK40*'POSF Emiss by Zone'!$D$9*'POSF Zone Def'!$CI37</f>
        <v>0</v>
      </c>
      <c r="FI48" s="595"/>
      <c r="FJ48" s="595"/>
      <c r="FM48" s="592">
        <v>31</v>
      </c>
      <c r="FN48" s="592">
        <f t="shared" si="0"/>
        <v>1985</v>
      </c>
      <c r="FO48" s="587">
        <v>28</v>
      </c>
      <c r="FP48" s="551">
        <f t="shared" si="20"/>
        <v>8.0261515912499988</v>
      </c>
      <c r="FQ48" s="529">
        <f t="shared" si="21"/>
        <v>8.0451483997499977</v>
      </c>
      <c r="FR48" s="529">
        <f t="shared" si="22"/>
        <v>0</v>
      </c>
      <c r="FS48" s="529">
        <f t="shared" si="23"/>
        <v>0</v>
      </c>
      <c r="FT48" s="529">
        <f t="shared" si="24"/>
        <v>5.9452974749999994</v>
      </c>
      <c r="FU48" s="524">
        <f t="shared" si="25"/>
        <v>5.9593691849999999</v>
      </c>
      <c r="FV48" s="474">
        <f t="shared" si="26"/>
        <v>8.0261515912499988</v>
      </c>
      <c r="FW48" s="474">
        <f t="shared" si="27"/>
        <v>8.0451483997499977</v>
      </c>
      <c r="FX48" s="474">
        <f t="shared" si="28"/>
        <v>0</v>
      </c>
      <c r="FY48" s="474">
        <f t="shared" si="29"/>
        <v>0</v>
      </c>
      <c r="FZ48" s="474">
        <f t="shared" si="30"/>
        <v>5.9452974749999994</v>
      </c>
      <c r="GA48" s="134">
        <f t="shared" si="31"/>
        <v>5.9593691849999999</v>
      </c>
      <c r="GB48" s="529">
        <f t="shared" si="32"/>
        <v>0</v>
      </c>
      <c r="GC48" s="529">
        <f t="shared" si="33"/>
        <v>0</v>
      </c>
      <c r="GD48" s="529">
        <f t="shared" si="34"/>
        <v>13.320200183441235</v>
      </c>
      <c r="GE48" s="529">
        <f t="shared" si="35"/>
        <v>85.438696750547805</v>
      </c>
      <c r="GF48" s="529">
        <f t="shared" si="36"/>
        <v>9.8693517181274881</v>
      </c>
      <c r="GG48" s="524">
        <f t="shared" si="37"/>
        <v>9.8927111304780855</v>
      </c>
      <c r="GH48" s="474">
        <f t="shared" si="38"/>
        <v>0</v>
      </c>
      <c r="GI48" s="474">
        <f t="shared" si="39"/>
        <v>0</v>
      </c>
      <c r="GJ48" s="474">
        <f t="shared" si="40"/>
        <v>6.2173110673057765</v>
      </c>
      <c r="GK48" s="474">
        <f t="shared" si="41"/>
        <v>14.241689870468127</v>
      </c>
      <c r="GL48" s="474">
        <f t="shared" si="42"/>
        <v>9.8693517181274881</v>
      </c>
      <c r="GM48" s="705">
        <f t="shared" si="43"/>
        <v>9.8927111304780855</v>
      </c>
      <c r="GN48" s="705">
        <f t="shared" si="44"/>
        <v>0</v>
      </c>
      <c r="GO48" s="705">
        <f t="shared" si="45"/>
        <v>0</v>
      </c>
      <c r="GP48" s="705">
        <f t="shared" si="46"/>
        <v>0</v>
      </c>
      <c r="GQ48" s="705">
        <f t="shared" si="47"/>
        <v>0</v>
      </c>
      <c r="GR48" s="705">
        <f t="shared" si="48"/>
        <v>0</v>
      </c>
      <c r="GS48" s="134">
        <f t="shared" si="49"/>
        <v>0</v>
      </c>
      <c r="GT48" s="529">
        <f t="shared" si="50"/>
        <v>0.10173570349047731</v>
      </c>
      <c r="GU48" s="529">
        <f t="shared" si="51"/>
        <v>3.838748104650576</v>
      </c>
      <c r="GV48" s="529">
        <f t="shared" si="52"/>
        <v>1.1661018645418325E-2</v>
      </c>
      <c r="GW48" s="529">
        <f t="shared" si="53"/>
        <v>1.4415934300398404E-2</v>
      </c>
      <c r="GX48" s="529">
        <f t="shared" si="54"/>
        <v>4.2757068366533868E-2</v>
      </c>
      <c r="GY48" s="524">
        <f t="shared" si="55"/>
        <v>0.21143370307250997</v>
      </c>
      <c r="GZ48" s="474">
        <f t="shared" si="56"/>
        <v>1.1994990381633382E-2</v>
      </c>
      <c r="HA48" s="474">
        <f t="shared" si="57"/>
        <v>0.4273818447715691</v>
      </c>
      <c r="HB48" s="474">
        <f t="shared" si="58"/>
        <v>1.1661018645418325E-2</v>
      </c>
      <c r="HC48" s="474">
        <f t="shared" si="59"/>
        <v>1.4415934300398404E-2</v>
      </c>
      <c r="HD48" s="474">
        <f t="shared" si="60"/>
        <v>4.2757068366533868E-2</v>
      </c>
      <c r="HE48" s="549">
        <f t="shared" si="61"/>
        <v>0.21143370307250997</v>
      </c>
      <c r="HF48" s="235">
        <f t="shared" si="62"/>
        <v>0</v>
      </c>
      <c r="HG48" s="235">
        <f t="shared" si="63"/>
        <v>0</v>
      </c>
      <c r="HH48" s="235">
        <f t="shared" si="64"/>
        <v>0</v>
      </c>
      <c r="HI48" s="235">
        <f t="shared" si="65"/>
        <v>0</v>
      </c>
      <c r="HJ48" s="235">
        <f t="shared" si="66"/>
        <v>0</v>
      </c>
      <c r="HK48" s="580">
        <f t="shared" si="67"/>
        <v>0</v>
      </c>
      <c r="HL48" s="235">
        <f t="shared" si="68"/>
        <v>0</v>
      </c>
      <c r="HM48" s="235">
        <f t="shared" si="69"/>
        <v>0</v>
      </c>
      <c r="HN48" s="235">
        <f t="shared" si="70"/>
        <v>0</v>
      </c>
      <c r="HO48" s="235">
        <f t="shared" si="71"/>
        <v>0</v>
      </c>
      <c r="HP48" s="235">
        <f t="shared" si="72"/>
        <v>0</v>
      </c>
      <c r="HQ48" s="580">
        <f t="shared" si="73"/>
        <v>0</v>
      </c>
      <c r="HR48" s="235">
        <f t="shared" si="74"/>
        <v>0</v>
      </c>
      <c r="HS48" s="235">
        <f t="shared" si="75"/>
        <v>0</v>
      </c>
      <c r="HT48" s="235">
        <f t="shared" si="76"/>
        <v>0</v>
      </c>
      <c r="HU48" s="235">
        <f t="shared" si="77"/>
        <v>0</v>
      </c>
      <c r="HV48" s="235">
        <f t="shared" si="78"/>
        <v>0</v>
      </c>
      <c r="HW48" s="577">
        <f t="shared" si="79"/>
        <v>0</v>
      </c>
      <c r="HX48" s="235">
        <f t="shared" si="80"/>
        <v>5.4068613493515967</v>
      </c>
      <c r="HY48" s="235">
        <f t="shared" si="81"/>
        <v>204.01469734639096</v>
      </c>
      <c r="HZ48" s="235">
        <f t="shared" si="82"/>
        <v>0.61973829093227084</v>
      </c>
      <c r="IA48" s="235">
        <f t="shared" si="83"/>
        <v>0.76615146216501973</v>
      </c>
      <c r="IB48" s="235">
        <f t="shared" si="84"/>
        <v>2.2723737334183269</v>
      </c>
      <c r="IC48" s="235">
        <f t="shared" si="85"/>
        <v>11.236888111753627</v>
      </c>
      <c r="ID48" s="235">
        <f t="shared" si="86"/>
        <v>0.63748760420542327</v>
      </c>
      <c r="IE48" s="235">
        <f t="shared" si="87"/>
        <v>22.713701273282847</v>
      </c>
      <c r="IF48" s="235">
        <f t="shared" si="88"/>
        <v>0.61973829093227084</v>
      </c>
      <c r="IG48" s="235">
        <f t="shared" si="89"/>
        <v>0.76615146216501973</v>
      </c>
      <c r="IH48" s="235">
        <f t="shared" si="90"/>
        <v>2.2723737334183269</v>
      </c>
      <c r="II48" s="235">
        <f t="shared" si="91"/>
        <v>11.236888111753627</v>
      </c>
      <c r="IJ48" s="235">
        <f t="shared" si="92"/>
        <v>0</v>
      </c>
      <c r="IK48" s="235">
        <f t="shared" si="93"/>
        <v>0</v>
      </c>
      <c r="IL48" s="235">
        <f t="shared" si="94"/>
        <v>0</v>
      </c>
      <c r="IM48" s="235">
        <f t="shared" si="95"/>
        <v>0</v>
      </c>
      <c r="IN48" s="235">
        <f t="shared" si="96"/>
        <v>0</v>
      </c>
      <c r="IO48" s="235">
        <f t="shared" si="97"/>
        <v>0</v>
      </c>
    </row>
    <row r="49" spans="1:249" ht="18" x14ac:dyDescent="0.25">
      <c r="A49" s="18">
        <v>1986</v>
      </c>
      <c r="B49" s="564"/>
      <c r="C49" s="529">
        <f>'POSF Inventory'!AD41*$D$5*'POSF Zone Def'!$M38</f>
        <v>8.0261515912499988</v>
      </c>
      <c r="D49" s="529">
        <f>'POSF Inventory'!AE41*$D$6*'POSF Zone Def'!$M38</f>
        <v>8.0451483997499977</v>
      </c>
      <c r="E49" s="529">
        <f>'POSF Inventory'!AF41*$D$5*'POSF Zone Def'!$M38</f>
        <v>0</v>
      </c>
      <c r="F49" s="529">
        <f>'POSF Inventory'!AG41*$D$6*'POSF Zone Def'!$M38</f>
        <v>0</v>
      </c>
      <c r="G49" s="529">
        <f>'POSF Inventory'!AH41*$D$5*'POSF Zone Def'!$M38</f>
        <v>5.9452974749999994</v>
      </c>
      <c r="H49" s="524">
        <f>'POSF Inventory'!AI41*$D$6*'POSF Zone Def'!$M38</f>
        <v>5.9593691849999999</v>
      </c>
      <c r="I49" s="474">
        <f>'POSF Inventory'!AD41*$D$5*'POSF Zone Def'!$N38</f>
        <v>8.0261515912499988</v>
      </c>
      <c r="J49" s="474">
        <f>'POSF Inventory'!AE41*$D$6*'POSF Zone Def'!$N38</f>
        <v>8.0451483997499977</v>
      </c>
      <c r="K49" s="474">
        <f>'POSF Inventory'!AF41*$D$5*'POSF Zone Def'!$N38</f>
        <v>0</v>
      </c>
      <c r="L49" s="474">
        <f>'POSF Inventory'!AG41*$D$6*'POSF Zone Def'!$N38</f>
        <v>0</v>
      </c>
      <c r="M49" s="474">
        <f>'POSF Inventory'!AH41*$D$5*'POSF Zone Def'!$N38</f>
        <v>5.9452974749999994</v>
      </c>
      <c r="N49" s="485">
        <f>'POSF Inventory'!AI41*$D$6*'POSF Zone Def'!$N38</f>
        <v>5.9593691849999999</v>
      </c>
      <c r="O49" s="529">
        <f>'POSF Inventory'!AJ41*$D$5*'POSF Zone Def'!$AP38</f>
        <v>0</v>
      </c>
      <c r="P49" s="529">
        <f>'POSF Inventory'!AK41*$D$6*'POSF Zone Def'!$AP38</f>
        <v>0</v>
      </c>
      <c r="Q49" s="529">
        <f>'POSF Inventory'!AL41*$D$5*'POSF Zone Def'!$AP38</f>
        <v>0</v>
      </c>
      <c r="R49" s="529">
        <f>'POSF Inventory'!AM41*$D$6*'POSF Zone Def'!$AP38</f>
        <v>0</v>
      </c>
      <c r="S49" s="529">
        <f>'POSF Inventory'!AN41*$D$5*'POSF Zone Def'!$AP38</f>
        <v>0</v>
      </c>
      <c r="T49" s="524">
        <f>'POSF Inventory'!AO41*$D$6*'POSF Zone Def'!$AP38</f>
        <v>0</v>
      </c>
      <c r="U49" s="474">
        <f>'POSF Inventory'!AJ41*$D$5*'POSF Zone Def'!$AQ38</f>
        <v>0</v>
      </c>
      <c r="V49" s="474">
        <f>'POSF Inventory'!AK41*$D$6*'POSF Zone Def'!$AQ38</f>
        <v>0</v>
      </c>
      <c r="W49" s="474">
        <f>'POSF Inventory'!AL41*$D$5*'POSF Zone Def'!$AQ38</f>
        <v>0</v>
      </c>
      <c r="X49" s="474">
        <f>'POSF Inventory'!AM41*$D$6*'POSF Zone Def'!$AQ38</f>
        <v>0</v>
      </c>
      <c r="Y49" s="474">
        <f>'POSF Inventory'!AN41*$D$5*'POSF Zone Def'!$AQ38</f>
        <v>0</v>
      </c>
      <c r="Z49" s="134">
        <f>'POSF Inventory'!AO41*$D$6*'POSF Zone Def'!$AQ38</f>
        <v>0</v>
      </c>
      <c r="AA49" s="529">
        <f>'POSF Inventory'!AV41*'POSF Emiss by Zone'!$D$5*'POSF Zone Def'!$M38</f>
        <v>0</v>
      </c>
      <c r="AB49" s="529">
        <f>'POSF Inventory'!AW41*'POSF Emiss by Zone'!$D$6*'POSF Zone Def'!$M38</f>
        <v>0</v>
      </c>
      <c r="AC49" s="529">
        <f>'POSF Inventory'!AX41*'POSF Emiss by Zone'!$D$5*'POSF Zone Def'!$M38</f>
        <v>5.3507677275000001</v>
      </c>
      <c r="AD49" s="529">
        <f>'POSF Inventory'!AY41*'POSF Emiss by Zone'!$D$6*'POSF Zone Def'!$M38</f>
        <v>5.3634322664999994</v>
      </c>
      <c r="AE49" s="529">
        <f>'POSF Inventory'!AZ41*'POSF Emiss by Zone'!$D$5*'POSF Zone Def'!$M38</f>
        <v>9.9088291249999987</v>
      </c>
      <c r="AF49" s="524">
        <f>'POSF Inventory'!BA41*'POSF Emiss by Zone'!$D$6*'POSF Zone Def'!$M38</f>
        <v>9.9322819749999987</v>
      </c>
      <c r="AG49" s="474">
        <f>'POSF Inventory'!AV41*'POSF Emiss by Zone'!$D$5*'POSF Zone Def'!$N38</f>
        <v>0</v>
      </c>
      <c r="AH49" s="474">
        <f>'POSF Inventory'!AW41*'POSF Emiss by Zone'!$D$6*'POSF Zone Def'!$N38</f>
        <v>0</v>
      </c>
      <c r="AI49" s="474">
        <f>'POSF Inventory'!AX41*'POSF Emiss by Zone'!$D$5*'POSF Zone Def'!$N38</f>
        <v>5.3507677275000001</v>
      </c>
      <c r="AJ49" s="474">
        <f>'POSF Inventory'!AY41*'POSF Emiss by Zone'!$D$6*'POSF Zone Def'!$N38</f>
        <v>5.3634322664999994</v>
      </c>
      <c r="AK49" s="474">
        <f>'POSF Inventory'!AZ41*'POSF Emiss by Zone'!$D$5*'POSF Zone Def'!$N38</f>
        <v>9.9088291249999987</v>
      </c>
      <c r="AL49" s="549">
        <f>'POSF Inventory'!BA41*'POSF Emiss by Zone'!$D$6*'POSF Zone Def'!$N38</f>
        <v>9.9322819749999987</v>
      </c>
      <c r="AM49" s="529">
        <f>'POSF Inventory'!BB41*'POSF Emiss by Zone'!$D$5*'POSF Zone Def'!$AP38</f>
        <v>0</v>
      </c>
      <c r="AN49" s="529">
        <f>'POSF Inventory'!BC41*'POSF Emiss by Zone'!$D$6*'POSF Zone Def'!$AP38</f>
        <v>0</v>
      </c>
      <c r="AO49" s="529">
        <f>'POSF Inventory'!BD41*'POSF Emiss by Zone'!$D$5*'POSF Zone Def'!$AP38</f>
        <v>0</v>
      </c>
      <c r="AP49" s="529">
        <f>'POSF Inventory'!BE41*'POSF Emiss by Zone'!$D$6*'POSF Zone Def'!$AP38</f>
        <v>0</v>
      </c>
      <c r="AQ49" s="529">
        <f>'POSF Inventory'!BF41*'POSF Emiss by Zone'!$D$5*'POSF Zone Def'!$AP38</f>
        <v>0</v>
      </c>
      <c r="AR49" s="524">
        <f>'POSF Inventory'!BG41*'POSF Emiss by Zone'!$D$6*'POSF Zone Def'!$AP38</f>
        <v>0</v>
      </c>
      <c r="AS49" s="474">
        <f>'POSF Inventory'!BB41*'POSF Emiss by Zone'!$D$5*'POSF Zone Def'!$AQ38</f>
        <v>0</v>
      </c>
      <c r="AT49" s="474">
        <f>'POSF Inventory'!BC41*'POSF Emiss by Zone'!$D$6*'POSF Zone Def'!$AQ38</f>
        <v>0</v>
      </c>
      <c r="AU49" s="474">
        <f>'POSF Inventory'!BD41*'POSF Emiss by Zone'!$D$5*'POSF Zone Def'!$AQ38</f>
        <v>0</v>
      </c>
      <c r="AV49" s="474">
        <f>'POSF Inventory'!BE41*'POSF Emiss by Zone'!$D$6*'POSF Zone Def'!$AQ38</f>
        <v>0</v>
      </c>
      <c r="AW49" s="474">
        <f>'POSF Inventory'!BF41*'POSF Emiss by Zone'!$D$5*'POSF Zone Def'!$AQ38</f>
        <v>0</v>
      </c>
      <c r="AX49" s="134">
        <f>'POSF Inventory'!BG41*'POSF Emiss by Zone'!$D$6*'POSF Zone Def'!$AQ38</f>
        <v>0</v>
      </c>
      <c r="AY49" s="529">
        <f>'POSF Inventory'!EA41*'POSF Emiss by Zone'!$D$5*'POSF Zone Def'!$Y38</f>
        <v>0</v>
      </c>
      <c r="AZ49" s="529">
        <f>'POSF Inventory'!EB41*'POSF Emiss by Zone'!$D$6*'POSF Zone Def'!$Y38</f>
        <v>0</v>
      </c>
      <c r="BA49" s="529">
        <f>'POSF Inventory'!EC41*'POSF Emiss by Zone'!$D$5*'POSF Zone Def'!$Y38</f>
        <v>8.3561156011125011</v>
      </c>
      <c r="BB49" s="529">
        <f>'POSF Inventory'!ED41*'POSF Emiss by Zone'!$D$6*'POSF Zone Def'!$Y38</f>
        <v>83.758933895175005</v>
      </c>
      <c r="BC49" s="529">
        <f>'POSF Inventory'!EE41*'POSF Emiss by Zone'!$D$5*'POSF Zone Def'!$Y38</f>
        <v>0</v>
      </c>
      <c r="BD49" s="524">
        <f>'POSF Inventory'!EF41*'POSF Emiss by Zone'!$D$6*'POSF Zone Def'!$Y38</f>
        <v>0</v>
      </c>
      <c r="BE49" s="474">
        <f>'POSF Inventory'!EA41*'POSF Emiss by Zone'!$D$5*'POSF Zone Def'!$Z38</f>
        <v>0</v>
      </c>
      <c r="BF49" s="474">
        <f>'POSF Inventory'!EB41*'POSF Emiss by Zone'!$D$6*'POSF Zone Def'!$Z38</f>
        <v>0</v>
      </c>
      <c r="BG49" s="474">
        <f>'POSF Inventory'!EC41*'POSF Emiss by Zone'!$D$5*'POSF Zone Def'!$Z38</f>
        <v>0.92845728901250002</v>
      </c>
      <c r="BH49" s="474">
        <f>'POSF Inventory'!ED41*'POSF Emiss by Zone'!$D$6*'POSF Zone Def'!$Z38</f>
        <v>9.3065482105750004</v>
      </c>
      <c r="BI49" s="474">
        <f>'POSF Inventory'!EE41*'POSF Emiss by Zone'!$D$5*'POSF Zone Def'!$Z38</f>
        <v>0</v>
      </c>
      <c r="BJ49" s="549">
        <f>'POSF Inventory'!EF41*'POSF Emiss by Zone'!$D$6*'POSF Zone Def'!$Z38</f>
        <v>0</v>
      </c>
      <c r="BK49" s="705">
        <f>'POSF Inventory'!$EA41*'POSF Emiss by Zone'!$D$5*'POSF Zone Def'!$AC38</f>
        <v>0</v>
      </c>
      <c r="BL49" s="705">
        <f>'POSF Inventory'!$EB41*'POSF Emiss by Zone'!$D$6*'POSF Zone Def'!$AC38</f>
        <v>0</v>
      </c>
      <c r="BM49" s="705">
        <f>'POSF Inventory'!$EC41*'POSF Emiss by Zone'!$D$5*'POSF Zone Def'!$AC38</f>
        <v>0</v>
      </c>
      <c r="BN49" s="705">
        <f>'POSF Inventory'!$ED41*'POSF Emiss by Zone'!$D$6*'POSF Zone Def'!$AC38</f>
        <v>0</v>
      </c>
      <c r="BO49" s="705">
        <f>'POSF Inventory'!$EE41*'POSF Emiss by Zone'!$D$5*'POSF Zone Def'!$AC38</f>
        <v>0</v>
      </c>
      <c r="BP49" s="708">
        <f>'POSF Inventory'!$EF41*'POSF Emiss by Zone'!$D$6*'POSF Zone Def'!$AC38</f>
        <v>0</v>
      </c>
      <c r="BQ49" s="529">
        <f>'POSF Inventory'!EG41*'POSF Emiss by Zone'!$D$5*'POSF Zone Def'!$BB38</f>
        <v>0</v>
      </c>
      <c r="BR49" s="529">
        <f>'POSF Inventory'!EH41*'POSF Emiss by Zone'!$D$6*'POSF Zone Def'!$BB38</f>
        <v>0</v>
      </c>
      <c r="BS49" s="529">
        <f>'POSF Inventory'!EI41*'POSF Emiss by Zone'!$D$5*'POSF Zone Def'!$BB38</f>
        <v>0</v>
      </c>
      <c r="BT49" s="529">
        <f>'POSF Inventory'!EJ41*'POSF Emiss by Zone'!$D$6*'POSF Zone Def'!$BB38</f>
        <v>0</v>
      </c>
      <c r="BU49" s="529">
        <f>'POSF Inventory'!EK41*'POSF Emiss by Zone'!$D$5*'POSF Zone Def'!$BB38</f>
        <v>0</v>
      </c>
      <c r="BV49" s="524">
        <f>'POSF Inventory'!EL41*'POSF Emiss by Zone'!$D$6*'POSF Zone Def'!$BB38</f>
        <v>0</v>
      </c>
      <c r="BW49" s="474">
        <f>'POSF Inventory'!EG41*'POSF Emiss by Zone'!$D$5*'POSF Zone Def'!$BC38</f>
        <v>0</v>
      </c>
      <c r="BX49" s="474">
        <f>'POSF Inventory'!EH41*'POSF Emiss by Zone'!$D$6*'POSF Zone Def'!$BC38</f>
        <v>0</v>
      </c>
      <c r="BY49" s="474">
        <f>'POSF Inventory'!EI41*'POSF Emiss by Zone'!$D$5*'POSF Zone Def'!$BC38</f>
        <v>0</v>
      </c>
      <c r="BZ49" s="474">
        <f>'POSF Inventory'!EJ41*'POSF Emiss by Zone'!$D$6*'POSF Zone Def'!$BC38</f>
        <v>0</v>
      </c>
      <c r="CA49" s="474">
        <f>'POSF Inventory'!EK41*'POSF Emiss by Zone'!$D$5*'POSF Zone Def'!$BC38</f>
        <v>0</v>
      </c>
      <c r="CB49" s="134">
        <f>'POSF Inventory'!EL41*'POSF Emiss by Zone'!$D$6*'POSF Zone Def'!$BC38</f>
        <v>0</v>
      </c>
      <c r="CC49" s="529">
        <f>'POSF Inventory'!GC41*'POSF Emiss by Zone'!$D$7*'POSF Zone Def'!$M38</f>
        <v>3.7524560000000005E-2</v>
      </c>
      <c r="CD49" s="529">
        <f>'POSF Inventory'!GD41*'POSF Emiss by Zone'!$D$9*'POSF Zone Def'!$M38</f>
        <v>4.6389737300000004E-2</v>
      </c>
      <c r="CE49" s="529">
        <f>'POSF Inventory'!GE41*'POSF Emiss by Zone'!$D$7*'POSF Zone Def'!$M38</f>
        <v>0.56286839999999994</v>
      </c>
      <c r="CF49" s="529">
        <f>'POSF Inventory'!GF41*'POSF Emiss by Zone'!$D$9*'POSF Zone Def'!$M38</f>
        <v>0.69584605949999989</v>
      </c>
      <c r="CG49" s="529">
        <f>'POSF Inventory'!GG41*'POSF Emiss by Zone'!$D$7*'POSF Zone Def'!$M38</f>
        <v>2.0638508000000004</v>
      </c>
      <c r="CH49" s="524">
        <f>'POSF Inventory'!GH41*'POSF Emiss by Zone'!$D$9*'POSF Zone Def'!$M38</f>
        <v>10.205742206000002</v>
      </c>
      <c r="CI49" s="474">
        <f>'POSF Inventory'!GC41*'POSF Emiss by Zone'!$D$7*'POSF Zone Def'!$N38</f>
        <v>3.7524560000000005E-2</v>
      </c>
      <c r="CJ49" s="474">
        <f>'POSF Inventory'!GD41*'POSF Emiss by Zone'!$D$9*'POSF Zone Def'!$N38</f>
        <v>4.6389737300000004E-2</v>
      </c>
      <c r="CK49" s="474">
        <f>'POSF Inventory'!GE41*'POSF Emiss by Zone'!$D$7*'POSF Zone Def'!$N38</f>
        <v>0.56286839999999994</v>
      </c>
      <c r="CL49" s="474">
        <f>'POSF Inventory'!GF41*'POSF Emiss by Zone'!$D$9*'POSF Zone Def'!$N38</f>
        <v>0.69584605949999989</v>
      </c>
      <c r="CM49" s="474">
        <f>'POSF Inventory'!GG41*'POSF Emiss by Zone'!$D$7*'POSF Zone Def'!$N38</f>
        <v>2.0638508000000004</v>
      </c>
      <c r="CN49" s="485">
        <f>'POSF Inventory'!GH41*'POSF Emiss by Zone'!$D$9*'POSF Zone Def'!$N38</f>
        <v>10.205742206000002</v>
      </c>
      <c r="CO49" s="529">
        <f>'POSF Inventory'!GI41*'POSF Emiss by Zone'!$D$7*'POSF Zone Def'!$AP38</f>
        <v>0</v>
      </c>
      <c r="CP49" s="529">
        <f>'POSF Inventory'!GJ41*'POSF Emiss by Zone'!$D$9*'POSF Zone Def'!$AP38</f>
        <v>0</v>
      </c>
      <c r="CQ49" s="529">
        <f>'POSF Inventory'!GK41*'POSF Emiss by Zone'!$D$7*'POSF Zone Def'!$AP38</f>
        <v>0</v>
      </c>
      <c r="CR49" s="529">
        <f>'POSF Inventory'!GL41*'POSF Emiss by Zone'!$D$9*'POSF Zone Def'!$AP38</f>
        <v>0</v>
      </c>
      <c r="CS49" s="529">
        <f>'POSF Inventory'!GM41*'POSF Emiss by Zone'!$D$7*'POSF Zone Def'!$AP38</f>
        <v>0</v>
      </c>
      <c r="CT49" s="524">
        <f>'POSF Inventory'!GN41*'POSF Emiss by Zone'!$D$9*'POSF Zone Def'!$AP38</f>
        <v>0</v>
      </c>
      <c r="CU49" s="474">
        <f>'POSF Inventory'!GI41*'POSF Emiss by Zone'!$D$7*'POSF Zone Def'!$AQ38</f>
        <v>0</v>
      </c>
      <c r="CV49" s="474">
        <f>'POSF Inventory'!GJ41*'POSF Emiss by Zone'!$D$9*'POSF Zone Def'!$AQ38</f>
        <v>0</v>
      </c>
      <c r="CW49" s="474">
        <f>'POSF Inventory'!GK41*'POSF Emiss by Zone'!$D$7*'POSF Zone Def'!$AQ38</f>
        <v>0</v>
      </c>
      <c r="CX49" s="474">
        <f>'POSF Inventory'!GL41*'POSF Emiss by Zone'!$D$9*'POSF Zone Def'!$AQ38</f>
        <v>0</v>
      </c>
      <c r="CY49" s="474">
        <f>'POSF Inventory'!GM41*'POSF Emiss by Zone'!$D$7*'POSF Zone Def'!$AQ38</f>
        <v>0</v>
      </c>
      <c r="CZ49" s="134">
        <f>'POSF Inventory'!GN41*'POSF Emiss by Zone'!$D$9*'POSF Zone Def'!$AQ38</f>
        <v>0</v>
      </c>
      <c r="DA49" s="529">
        <f>SUM('POSF Inventory'!GQ41,'POSF Inventory'!GS41)*'POSF Emiss by Zone'!$D$7*'POSF Zone Def'!$Y38</f>
        <v>5.0794480047669088</v>
      </c>
      <c r="DB49" s="529">
        <f>SUM('POSF Inventory'!GR41,'POSF Inventory'!GT41)*'POSF Emiss by Zone'!$D$9*'POSF Zone Def'!$Y38</f>
        <v>195.26472641652779</v>
      </c>
      <c r="DC49" s="529"/>
      <c r="DD49" s="529"/>
      <c r="DE49" s="529">
        <f>'POSF Inventory'!GU41*'POSF Emiss by Zone'!$D$7*'POSF Zone Def'!$Y38</f>
        <v>0</v>
      </c>
      <c r="DF49" s="524">
        <f>'POSF Inventory'!GV41*'POSF Emiss by Zone'!$D$9*'POSF Zone Def'!$Y38</f>
        <v>0</v>
      </c>
      <c r="DG49" s="474">
        <f>SUM('POSF Inventory'!GQ41,'POSF Inventory'!GS41)*'POSF Emiss by Zone'!$D$7*'POSF Zone Def'!$Z38</f>
        <v>0.5643831116407676</v>
      </c>
      <c r="DH49" s="474">
        <f>SUM('POSF Inventory'!GR41,'POSF Inventory'!GT41)*'POSF Emiss by Zone'!$D$9*'POSF Zone Def'!$Z38</f>
        <v>21.696080712947534</v>
      </c>
      <c r="DI49" s="474"/>
      <c r="DJ49" s="474"/>
      <c r="DK49" s="474">
        <f>'POSF Inventory'!GU41*'POSF Emiss by Zone'!$D$7*'POSF Zone Def'!$Z38</f>
        <v>0</v>
      </c>
      <c r="DL49" s="485">
        <f>'POSF Inventory'!GV41*'POSF Emiss by Zone'!$D$9*'POSF Zone Def'!$Z38</f>
        <v>0</v>
      </c>
      <c r="DM49" s="705">
        <f>SUM('POSF Inventory'!$GQ41,'POSF Inventory'!$GS41)*'POSF Emiss by Zone'!$D$7*'POSF Zone Def'!$AC38</f>
        <v>0</v>
      </c>
      <c r="DN49" s="705">
        <f>SUM('POSF Inventory'!$GR41,'POSF Inventory'!$GT41)*'POSF Emiss by Zone'!$D$9*'POSF Zone Def'!$AC38</f>
        <v>0</v>
      </c>
      <c r="DO49" s="705"/>
      <c r="DP49" s="705"/>
      <c r="DQ49" s="705">
        <f>'POSF Inventory'!$GU41*'POSF Emiss by Zone'!$D$7*'POSF Zone Def'!$AC38</f>
        <v>0</v>
      </c>
      <c r="DR49" s="708">
        <f>'POSF Inventory'!$GV41*'POSF Emiss by Zone'!$D$9*'POSF Zone Def'!$AC38</f>
        <v>0</v>
      </c>
      <c r="DS49" s="529">
        <f>SUM('POSF Inventory'!GW41,'POSF Inventory'!GY41)*$D$7*'POSF Zone Def'!$BB38</f>
        <v>0</v>
      </c>
      <c r="DT49" s="529">
        <f>SUM('POSF Inventory'!GX41,'POSF Inventory'!GZ41)*$D$9*'POSF Zone Def'!$BB38</f>
        <v>0</v>
      </c>
      <c r="DU49" s="529"/>
      <c r="DV49" s="529"/>
      <c r="DW49" s="529">
        <f>'POSF Inventory'!HA41*'POSF Emiss by Zone'!$D$7*'POSF Zone Def'!$BB38</f>
        <v>0</v>
      </c>
      <c r="DX49" s="524">
        <f>'POSF Inventory'!HB41*'POSF Emiss by Zone'!$D$9*'POSF Zone Def'!$BB38</f>
        <v>0</v>
      </c>
      <c r="DY49" s="474">
        <f>SUM('POSF Inventory'!GW41,'POSF Inventory'!GY41)*$D$7*'POSF Zone Def'!$BC38</f>
        <v>0</v>
      </c>
      <c r="DZ49" s="474">
        <f>SUM('POSF Inventory'!GX41,'POSF Inventory'!GZ41)*$D$9*'POSF Zone Def'!$BC38</f>
        <v>0</v>
      </c>
      <c r="EA49" s="474"/>
      <c r="EB49" s="474"/>
      <c r="EC49" s="474">
        <f>'POSF Inventory'!HA41*'POSF Emiss by Zone'!$D$7*'POSF Zone Def'!$BC38</f>
        <v>0</v>
      </c>
      <c r="ED49" s="134">
        <f>'POSF Inventory'!HB41*'POSF Emiss by Zone'!$D$9*'POSF Zone Def'!$BC38</f>
        <v>0</v>
      </c>
      <c r="EE49" s="235">
        <f>'POSF Inventory'!$CF41*'POSF Emiss by Zone'!$D$7*'POSF Zone Def'!$CE38</f>
        <v>0</v>
      </c>
      <c r="EF49" s="235">
        <f>'POSF Inventory'!$CG41*'POSF Emiss by Zone'!$D$9*'POSF Zone Def'!$CE38</f>
        <v>0</v>
      </c>
      <c r="EG49" s="235">
        <f>'POSF Inventory'!$CH41*'POSF Emiss by Zone'!$D$7*'POSF Zone Def'!$CE38</f>
        <v>0</v>
      </c>
      <c r="EH49" s="235">
        <f>'POSF Inventory'!$CI41*'POSF Emiss by Zone'!$D$9*'POSF Zone Def'!$CE38</f>
        <v>0</v>
      </c>
      <c r="EI49" s="235">
        <f>'POSF Inventory'!$CJ41*'POSF Emiss by Zone'!$D$7*'POSF Zone Def'!$CE38</f>
        <v>0</v>
      </c>
      <c r="EJ49" s="580">
        <f>'POSF Inventory'!$CK41*'POSF Emiss by Zone'!$D$9*'POSF Zone Def'!$CE38</f>
        <v>0</v>
      </c>
      <c r="EK49" s="235">
        <f>'POSF Inventory'!$CF41*'POSF Emiss by Zone'!$D$7*'POSF Zone Def'!$CF38</f>
        <v>0</v>
      </c>
      <c r="EL49" s="235">
        <f>'POSF Inventory'!$CG41*'POSF Emiss by Zone'!$D$9*'POSF Zone Def'!$CF38</f>
        <v>0</v>
      </c>
      <c r="EM49" s="235">
        <f>'POSF Inventory'!$CH41*'POSF Emiss by Zone'!$D$7*'POSF Zone Def'!$CF38</f>
        <v>0</v>
      </c>
      <c r="EN49" s="235">
        <f>'POSF Inventory'!$CI41*'POSF Emiss by Zone'!$D$9*'POSF Zone Def'!$CF38</f>
        <v>0</v>
      </c>
      <c r="EO49" s="235">
        <f>'POSF Inventory'!$CJ41*'POSF Emiss by Zone'!$D$7*'POSF Zone Def'!$CF38</f>
        <v>0</v>
      </c>
      <c r="EP49" s="580">
        <f>'POSF Inventory'!$CK41*'POSF Emiss by Zone'!$D$9*'POSF Zone Def'!$CF38</f>
        <v>0</v>
      </c>
      <c r="EQ49" s="235">
        <f>'POSF Inventory'!$CF41*'POSF Emiss by Zone'!$D$7*'POSF Zone Def'!$CG38</f>
        <v>0</v>
      </c>
      <c r="ER49" s="235">
        <f>'POSF Inventory'!$CG41*'POSF Emiss by Zone'!$D$9*'POSF Zone Def'!$CG38</f>
        <v>0</v>
      </c>
      <c r="ES49" s="235">
        <f>'POSF Inventory'!$CH41*'POSF Emiss by Zone'!$D$7*'POSF Zone Def'!$CG38</f>
        <v>0</v>
      </c>
      <c r="ET49" s="235">
        <f>'POSF Inventory'!$CI41*'POSF Emiss by Zone'!$D$9*'POSF Zone Def'!$CG38</f>
        <v>0</v>
      </c>
      <c r="EU49" s="235">
        <f>'POSF Inventory'!$CJ41*'POSF Emiss by Zone'!$D$7*'POSF Zone Def'!$CG38</f>
        <v>0</v>
      </c>
      <c r="EV49" s="580">
        <f>'POSF Inventory'!$CK41*'POSF Emiss by Zone'!$D$9*'POSF Zone Def'!$CG38</f>
        <v>0</v>
      </c>
      <c r="EW49" s="235">
        <f>'POSF Inventory'!$CF41*'POSF Emiss by Zone'!$D$7*'POSF Zone Def'!$CH38</f>
        <v>0</v>
      </c>
      <c r="EX49" s="235">
        <f>'POSF Inventory'!$CG41*'POSF Emiss by Zone'!$D$9*'POSF Zone Def'!$CH38</f>
        <v>0</v>
      </c>
      <c r="EY49" s="235">
        <f>'POSF Inventory'!$CH41*'POSF Emiss by Zone'!$D$7*'POSF Zone Def'!$CH38</f>
        <v>0</v>
      </c>
      <c r="EZ49" s="235">
        <f>'POSF Inventory'!$CI41*'POSF Emiss by Zone'!$D$9*'POSF Zone Def'!$CH38</f>
        <v>0</v>
      </c>
      <c r="FA49" s="235">
        <f>'POSF Inventory'!$CJ41*'POSF Emiss by Zone'!$D$7*'POSF Zone Def'!$CH38</f>
        <v>0</v>
      </c>
      <c r="FB49" s="580">
        <f>'POSF Inventory'!$CK41*'POSF Emiss by Zone'!$D$9*'POSF Zone Def'!$CH38</f>
        <v>0</v>
      </c>
      <c r="FC49" s="235">
        <f>'POSF Inventory'!$CF41*'POSF Emiss by Zone'!$D$7*'POSF Zone Def'!$CI38</f>
        <v>0</v>
      </c>
      <c r="FD49" s="235">
        <f>'POSF Inventory'!$CG41*'POSF Emiss by Zone'!$D$9*'POSF Zone Def'!$CI38</f>
        <v>0</v>
      </c>
      <c r="FE49" s="235">
        <f>'POSF Inventory'!$CH41*'POSF Emiss by Zone'!$D$7*'POSF Zone Def'!$CI38</f>
        <v>0</v>
      </c>
      <c r="FF49" s="235">
        <f>'POSF Inventory'!$CI41*'POSF Emiss by Zone'!$D$9*'POSF Zone Def'!$CI38</f>
        <v>0</v>
      </c>
      <c r="FG49" s="235">
        <f>'POSF Inventory'!$CJ41*'POSF Emiss by Zone'!$D$7*'POSF Zone Def'!$CI38</f>
        <v>0</v>
      </c>
      <c r="FH49" s="577">
        <f>'POSF Inventory'!$CK41*'POSF Emiss by Zone'!$D$9*'POSF Zone Def'!$CI38</f>
        <v>0</v>
      </c>
      <c r="FI49" s="595"/>
      <c r="FJ49" s="595"/>
      <c r="FM49" s="592">
        <v>32</v>
      </c>
      <c r="FN49" s="592">
        <f t="shared" si="0"/>
        <v>1986</v>
      </c>
      <c r="FO49" s="587">
        <v>29</v>
      </c>
      <c r="FP49" s="551">
        <f t="shared" si="20"/>
        <v>8.0261515912499988</v>
      </c>
      <c r="FQ49" s="529">
        <f t="shared" si="21"/>
        <v>8.0451483997499977</v>
      </c>
      <c r="FR49" s="529">
        <f t="shared" si="22"/>
        <v>0</v>
      </c>
      <c r="FS49" s="529">
        <f t="shared" si="23"/>
        <v>0</v>
      </c>
      <c r="FT49" s="529">
        <f t="shared" si="24"/>
        <v>5.9452974749999994</v>
      </c>
      <c r="FU49" s="524">
        <f t="shared" si="25"/>
        <v>5.9593691849999999</v>
      </c>
      <c r="FV49" s="474">
        <f t="shared" si="26"/>
        <v>8.0261515912499988</v>
      </c>
      <c r="FW49" s="474">
        <f t="shared" si="27"/>
        <v>8.0451483997499977</v>
      </c>
      <c r="FX49" s="474">
        <f t="shared" si="28"/>
        <v>0</v>
      </c>
      <c r="FY49" s="474">
        <f t="shared" si="29"/>
        <v>0</v>
      </c>
      <c r="FZ49" s="474">
        <f t="shared" si="30"/>
        <v>5.9452974749999994</v>
      </c>
      <c r="GA49" s="134">
        <f t="shared" si="31"/>
        <v>5.9593691849999999</v>
      </c>
      <c r="GB49" s="529">
        <f t="shared" si="32"/>
        <v>0</v>
      </c>
      <c r="GC49" s="529">
        <f t="shared" si="33"/>
        <v>0</v>
      </c>
      <c r="GD49" s="529">
        <f t="shared" si="34"/>
        <v>13.652274231685759</v>
      </c>
      <c r="GE49" s="529">
        <f t="shared" si="35"/>
        <v>88.767296973779878</v>
      </c>
      <c r="GF49" s="529">
        <f t="shared" si="36"/>
        <v>9.8693517181274881</v>
      </c>
      <c r="GG49" s="524">
        <f t="shared" si="37"/>
        <v>9.8927111304780855</v>
      </c>
      <c r="GH49" s="474">
        <f t="shared" si="38"/>
        <v>0</v>
      </c>
      <c r="GI49" s="474">
        <f t="shared" si="39"/>
        <v>0</v>
      </c>
      <c r="GJ49" s="474">
        <f t="shared" si="40"/>
        <v>6.2542081837773909</v>
      </c>
      <c r="GK49" s="474">
        <f t="shared" si="41"/>
        <v>14.611534339716137</v>
      </c>
      <c r="GL49" s="474">
        <f t="shared" si="42"/>
        <v>9.8693517181274881</v>
      </c>
      <c r="GM49" s="705">
        <f t="shared" si="43"/>
        <v>9.8927111304780855</v>
      </c>
      <c r="GN49" s="705">
        <f t="shared" si="44"/>
        <v>0</v>
      </c>
      <c r="GO49" s="705">
        <f t="shared" si="45"/>
        <v>0</v>
      </c>
      <c r="GP49" s="705">
        <f t="shared" si="46"/>
        <v>0</v>
      </c>
      <c r="GQ49" s="705">
        <f t="shared" si="47"/>
        <v>0</v>
      </c>
      <c r="GR49" s="705">
        <f t="shared" si="48"/>
        <v>0</v>
      </c>
      <c r="GS49" s="134">
        <f t="shared" si="49"/>
        <v>0</v>
      </c>
      <c r="GT49" s="529">
        <f t="shared" si="50"/>
        <v>0.10600899337365706</v>
      </c>
      <c r="GU49" s="529">
        <f t="shared" si="51"/>
        <v>4.0462860717127667</v>
      </c>
      <c r="GV49" s="529">
        <f t="shared" si="52"/>
        <v>1.1661018645418325E-2</v>
      </c>
      <c r="GW49" s="529">
        <f t="shared" si="53"/>
        <v>1.4415934300398404E-2</v>
      </c>
      <c r="GX49" s="529">
        <f t="shared" si="54"/>
        <v>4.2757068366533868E-2</v>
      </c>
      <c r="GY49" s="524">
        <f t="shared" si="55"/>
        <v>0.21143370307250997</v>
      </c>
      <c r="GZ49" s="474">
        <f t="shared" si="56"/>
        <v>1.2469800368653352E-2</v>
      </c>
      <c r="HA49" s="474">
        <f t="shared" si="57"/>
        <v>0.45044161888959039</v>
      </c>
      <c r="HB49" s="474">
        <f t="shared" si="58"/>
        <v>1.1661018645418325E-2</v>
      </c>
      <c r="HC49" s="474">
        <f t="shared" si="59"/>
        <v>1.4415934300398404E-2</v>
      </c>
      <c r="HD49" s="474">
        <f t="shared" si="60"/>
        <v>4.2757068366533868E-2</v>
      </c>
      <c r="HE49" s="549">
        <f t="shared" si="61"/>
        <v>0.21143370307250997</v>
      </c>
      <c r="HF49" s="235">
        <f t="shared" si="62"/>
        <v>0</v>
      </c>
      <c r="HG49" s="235">
        <f t="shared" si="63"/>
        <v>0</v>
      </c>
      <c r="HH49" s="235">
        <f t="shared" si="64"/>
        <v>0</v>
      </c>
      <c r="HI49" s="235">
        <f t="shared" si="65"/>
        <v>0</v>
      </c>
      <c r="HJ49" s="235">
        <f t="shared" si="66"/>
        <v>0</v>
      </c>
      <c r="HK49" s="580">
        <f t="shared" si="67"/>
        <v>0</v>
      </c>
      <c r="HL49" s="235">
        <f t="shared" si="68"/>
        <v>0</v>
      </c>
      <c r="HM49" s="235">
        <f t="shared" si="69"/>
        <v>0</v>
      </c>
      <c r="HN49" s="235">
        <f t="shared" si="70"/>
        <v>0</v>
      </c>
      <c r="HO49" s="235">
        <f t="shared" si="71"/>
        <v>0</v>
      </c>
      <c r="HP49" s="235">
        <f t="shared" si="72"/>
        <v>0</v>
      </c>
      <c r="HQ49" s="580">
        <f t="shared" si="73"/>
        <v>0</v>
      </c>
      <c r="HR49" s="235">
        <f t="shared" si="74"/>
        <v>0</v>
      </c>
      <c r="HS49" s="235">
        <f t="shared" si="75"/>
        <v>0</v>
      </c>
      <c r="HT49" s="235">
        <f t="shared" si="76"/>
        <v>0</v>
      </c>
      <c r="HU49" s="235">
        <f t="shared" si="77"/>
        <v>0</v>
      </c>
      <c r="HV49" s="235">
        <f t="shared" si="78"/>
        <v>0</v>
      </c>
      <c r="HW49" s="577">
        <f t="shared" si="79"/>
        <v>0</v>
      </c>
      <c r="HX49" s="235">
        <f t="shared" si="80"/>
        <v>5.6339702709122816</v>
      </c>
      <c r="HY49" s="235">
        <f t="shared" si="81"/>
        <v>215.04454207279619</v>
      </c>
      <c r="HZ49" s="235">
        <f t="shared" si="82"/>
        <v>0.61973829093227084</v>
      </c>
      <c r="IA49" s="235">
        <f t="shared" si="83"/>
        <v>0.76615146216501973</v>
      </c>
      <c r="IB49" s="235">
        <f t="shared" si="84"/>
        <v>2.2723737334183269</v>
      </c>
      <c r="IC49" s="235">
        <f t="shared" si="85"/>
        <v>11.236888111753627</v>
      </c>
      <c r="ID49" s="235">
        <f t="shared" si="86"/>
        <v>0.66272192882327685</v>
      </c>
      <c r="IE49" s="235">
        <f t="shared" si="87"/>
        <v>23.93923957621676</v>
      </c>
      <c r="IF49" s="235">
        <f t="shared" si="88"/>
        <v>0.61973829093227084</v>
      </c>
      <c r="IG49" s="235">
        <f t="shared" si="89"/>
        <v>0.76615146216501973</v>
      </c>
      <c r="IH49" s="235">
        <f t="shared" si="90"/>
        <v>2.2723737334183269</v>
      </c>
      <c r="II49" s="235">
        <f t="shared" si="91"/>
        <v>11.236888111753627</v>
      </c>
      <c r="IJ49" s="235">
        <f t="shared" si="92"/>
        <v>0</v>
      </c>
      <c r="IK49" s="235">
        <f t="shared" si="93"/>
        <v>0</v>
      </c>
      <c r="IL49" s="235">
        <f t="shared" si="94"/>
        <v>0</v>
      </c>
      <c r="IM49" s="235">
        <f t="shared" si="95"/>
        <v>0</v>
      </c>
      <c r="IN49" s="235">
        <f t="shared" si="96"/>
        <v>0</v>
      </c>
      <c r="IO49" s="235">
        <f t="shared" si="97"/>
        <v>0</v>
      </c>
    </row>
    <row r="50" spans="1:249" ht="18" x14ac:dyDescent="0.25">
      <c r="A50" s="18">
        <v>1987</v>
      </c>
      <c r="B50" s="564"/>
      <c r="C50" s="529">
        <f>'POSF Inventory'!AD42*$D$5*'POSF Zone Def'!$M39</f>
        <v>8.0261515912499988</v>
      </c>
      <c r="D50" s="529">
        <f>'POSF Inventory'!AE42*$D$6*'POSF Zone Def'!$M39</f>
        <v>8.0451483997499977</v>
      </c>
      <c r="E50" s="529">
        <f>'POSF Inventory'!AF42*$D$5*'POSF Zone Def'!$M39</f>
        <v>0</v>
      </c>
      <c r="F50" s="529">
        <f>'POSF Inventory'!AG42*$D$6*'POSF Zone Def'!$M39</f>
        <v>0</v>
      </c>
      <c r="G50" s="529">
        <f>'POSF Inventory'!AH42*$D$5*'POSF Zone Def'!$M39</f>
        <v>5.9452974749999994</v>
      </c>
      <c r="H50" s="524">
        <f>'POSF Inventory'!AI42*$D$6*'POSF Zone Def'!$M39</f>
        <v>5.9593691849999999</v>
      </c>
      <c r="I50" s="474">
        <f>'POSF Inventory'!AD42*$D$5*'POSF Zone Def'!$N39</f>
        <v>8.0261515912499988</v>
      </c>
      <c r="J50" s="474">
        <f>'POSF Inventory'!AE42*$D$6*'POSF Zone Def'!$N39</f>
        <v>8.0451483997499977</v>
      </c>
      <c r="K50" s="474">
        <f>'POSF Inventory'!AF42*$D$5*'POSF Zone Def'!$N39</f>
        <v>0</v>
      </c>
      <c r="L50" s="474">
        <f>'POSF Inventory'!AG42*$D$6*'POSF Zone Def'!$N39</f>
        <v>0</v>
      </c>
      <c r="M50" s="474">
        <f>'POSF Inventory'!AH42*$D$5*'POSF Zone Def'!$N39</f>
        <v>5.9452974749999994</v>
      </c>
      <c r="N50" s="485">
        <f>'POSF Inventory'!AI42*$D$6*'POSF Zone Def'!$N39</f>
        <v>5.9593691849999999</v>
      </c>
      <c r="O50" s="529">
        <f>'POSF Inventory'!AJ42*$D$5*'POSF Zone Def'!$AP39</f>
        <v>0</v>
      </c>
      <c r="P50" s="529">
        <f>'POSF Inventory'!AK42*$D$6*'POSF Zone Def'!$AP39</f>
        <v>0</v>
      </c>
      <c r="Q50" s="529">
        <f>'POSF Inventory'!AL42*$D$5*'POSF Zone Def'!$AP39</f>
        <v>0</v>
      </c>
      <c r="R50" s="529">
        <f>'POSF Inventory'!AM42*$D$6*'POSF Zone Def'!$AP39</f>
        <v>0</v>
      </c>
      <c r="S50" s="529">
        <f>'POSF Inventory'!AN42*$D$5*'POSF Zone Def'!$AP39</f>
        <v>0</v>
      </c>
      <c r="T50" s="524">
        <f>'POSF Inventory'!AO42*$D$6*'POSF Zone Def'!$AP39</f>
        <v>0</v>
      </c>
      <c r="U50" s="474">
        <f>'POSF Inventory'!AJ42*$D$5*'POSF Zone Def'!$AQ39</f>
        <v>0</v>
      </c>
      <c r="V50" s="474">
        <f>'POSF Inventory'!AK42*$D$6*'POSF Zone Def'!$AQ39</f>
        <v>0</v>
      </c>
      <c r="W50" s="474">
        <f>'POSF Inventory'!AL42*$D$5*'POSF Zone Def'!$AQ39</f>
        <v>0</v>
      </c>
      <c r="X50" s="474">
        <f>'POSF Inventory'!AM42*$D$6*'POSF Zone Def'!$AQ39</f>
        <v>0</v>
      </c>
      <c r="Y50" s="474">
        <f>'POSF Inventory'!AN42*$D$5*'POSF Zone Def'!$AQ39</f>
        <v>0</v>
      </c>
      <c r="Z50" s="134">
        <f>'POSF Inventory'!AO42*$D$6*'POSF Zone Def'!$AQ39</f>
        <v>0</v>
      </c>
      <c r="AA50" s="529">
        <f>'POSF Inventory'!AV42*'POSF Emiss by Zone'!$D$5*'POSF Zone Def'!$M39</f>
        <v>0</v>
      </c>
      <c r="AB50" s="529">
        <f>'POSF Inventory'!AW42*'POSF Emiss by Zone'!$D$6*'POSF Zone Def'!$M39</f>
        <v>0</v>
      </c>
      <c r="AC50" s="529">
        <f>'POSF Inventory'!AX42*'POSF Emiss by Zone'!$D$5*'POSF Zone Def'!$M39</f>
        <v>5.3507677275000001</v>
      </c>
      <c r="AD50" s="529">
        <f>'POSF Inventory'!AY42*'POSF Emiss by Zone'!$D$6*'POSF Zone Def'!$M39</f>
        <v>5.3634322664999994</v>
      </c>
      <c r="AE50" s="529">
        <f>'POSF Inventory'!AZ42*'POSF Emiss by Zone'!$D$5*'POSF Zone Def'!$M39</f>
        <v>9.9088291249999987</v>
      </c>
      <c r="AF50" s="524">
        <f>'POSF Inventory'!BA42*'POSF Emiss by Zone'!$D$6*'POSF Zone Def'!$M39</f>
        <v>9.9322819749999987</v>
      </c>
      <c r="AG50" s="474">
        <f>'POSF Inventory'!AV42*'POSF Emiss by Zone'!$D$5*'POSF Zone Def'!$N39</f>
        <v>0</v>
      </c>
      <c r="AH50" s="474">
        <f>'POSF Inventory'!AW42*'POSF Emiss by Zone'!$D$6*'POSF Zone Def'!$N39</f>
        <v>0</v>
      </c>
      <c r="AI50" s="474">
        <f>'POSF Inventory'!AX42*'POSF Emiss by Zone'!$D$5*'POSF Zone Def'!$N39</f>
        <v>5.3507677275000001</v>
      </c>
      <c r="AJ50" s="474">
        <f>'POSF Inventory'!AY42*'POSF Emiss by Zone'!$D$6*'POSF Zone Def'!$N39</f>
        <v>5.3634322664999994</v>
      </c>
      <c r="AK50" s="474">
        <f>'POSF Inventory'!AZ42*'POSF Emiss by Zone'!$D$5*'POSF Zone Def'!$N39</f>
        <v>9.9088291249999987</v>
      </c>
      <c r="AL50" s="549">
        <f>'POSF Inventory'!BA42*'POSF Emiss by Zone'!$D$6*'POSF Zone Def'!$N39</f>
        <v>9.9322819749999987</v>
      </c>
      <c r="AM50" s="529">
        <f>'POSF Inventory'!BB42*'POSF Emiss by Zone'!$D$5*'POSF Zone Def'!$AP39</f>
        <v>0</v>
      </c>
      <c r="AN50" s="529">
        <f>'POSF Inventory'!BC42*'POSF Emiss by Zone'!$D$6*'POSF Zone Def'!$AP39</f>
        <v>0</v>
      </c>
      <c r="AO50" s="529">
        <f>'POSF Inventory'!BD42*'POSF Emiss by Zone'!$D$5*'POSF Zone Def'!$AP39</f>
        <v>0</v>
      </c>
      <c r="AP50" s="529">
        <f>'POSF Inventory'!BE42*'POSF Emiss by Zone'!$D$6*'POSF Zone Def'!$AP39</f>
        <v>0</v>
      </c>
      <c r="AQ50" s="529">
        <f>'POSF Inventory'!BF42*'POSF Emiss by Zone'!$D$5*'POSF Zone Def'!$AP39</f>
        <v>0</v>
      </c>
      <c r="AR50" s="524">
        <f>'POSF Inventory'!BG42*'POSF Emiss by Zone'!$D$6*'POSF Zone Def'!$AP39</f>
        <v>0</v>
      </c>
      <c r="AS50" s="474">
        <f>'POSF Inventory'!BB42*'POSF Emiss by Zone'!$D$5*'POSF Zone Def'!$AQ39</f>
        <v>0</v>
      </c>
      <c r="AT50" s="474">
        <f>'POSF Inventory'!BC42*'POSF Emiss by Zone'!$D$6*'POSF Zone Def'!$AQ39</f>
        <v>0</v>
      </c>
      <c r="AU50" s="474">
        <f>'POSF Inventory'!BD42*'POSF Emiss by Zone'!$D$5*'POSF Zone Def'!$AQ39</f>
        <v>0</v>
      </c>
      <c r="AV50" s="474">
        <f>'POSF Inventory'!BE42*'POSF Emiss by Zone'!$D$6*'POSF Zone Def'!$AQ39</f>
        <v>0</v>
      </c>
      <c r="AW50" s="474">
        <f>'POSF Inventory'!BF42*'POSF Emiss by Zone'!$D$5*'POSF Zone Def'!$AQ39</f>
        <v>0</v>
      </c>
      <c r="AX50" s="134">
        <f>'POSF Inventory'!BG42*'POSF Emiss by Zone'!$D$6*'POSF Zone Def'!$AQ39</f>
        <v>0</v>
      </c>
      <c r="AY50" s="529">
        <f>'POSF Inventory'!EA42*'POSF Emiss by Zone'!$D$5*'POSF Zone Def'!$Y39</f>
        <v>0</v>
      </c>
      <c r="AZ50" s="529">
        <f>'POSF Inventory'!EB42*'POSF Emiss by Zone'!$D$6*'POSF Zone Def'!$Y39</f>
        <v>0</v>
      </c>
      <c r="BA50" s="529">
        <f>'POSF Inventory'!EC42*'POSF Emiss by Zone'!$D$5*'POSF Zone Def'!$Y39</f>
        <v>8.3561156011125011</v>
      </c>
      <c r="BB50" s="529">
        <f>'POSF Inventory'!ED42*'POSF Emiss by Zone'!$D$6*'POSF Zone Def'!$Y39</f>
        <v>83.758933895175005</v>
      </c>
      <c r="BC50" s="529">
        <f>'POSF Inventory'!EE42*'POSF Emiss by Zone'!$D$5*'POSF Zone Def'!$Y39</f>
        <v>0</v>
      </c>
      <c r="BD50" s="524">
        <f>'POSF Inventory'!EF42*'POSF Emiss by Zone'!$D$6*'POSF Zone Def'!$Y39</f>
        <v>0</v>
      </c>
      <c r="BE50" s="474">
        <f>'POSF Inventory'!EA42*'POSF Emiss by Zone'!$D$5*'POSF Zone Def'!$Z39</f>
        <v>0</v>
      </c>
      <c r="BF50" s="474">
        <f>'POSF Inventory'!EB42*'POSF Emiss by Zone'!$D$6*'POSF Zone Def'!$Z39</f>
        <v>0</v>
      </c>
      <c r="BG50" s="474">
        <f>'POSF Inventory'!EC42*'POSF Emiss by Zone'!$D$5*'POSF Zone Def'!$Z39</f>
        <v>0.92845728901250002</v>
      </c>
      <c r="BH50" s="474">
        <f>'POSF Inventory'!ED42*'POSF Emiss by Zone'!$D$6*'POSF Zone Def'!$Z39</f>
        <v>9.3065482105750004</v>
      </c>
      <c r="BI50" s="474">
        <f>'POSF Inventory'!EE42*'POSF Emiss by Zone'!$D$5*'POSF Zone Def'!$Z39</f>
        <v>0</v>
      </c>
      <c r="BJ50" s="549">
        <f>'POSF Inventory'!EF42*'POSF Emiss by Zone'!$D$6*'POSF Zone Def'!$Z39</f>
        <v>0</v>
      </c>
      <c r="BK50" s="705">
        <f>'POSF Inventory'!$EA42*'POSF Emiss by Zone'!$D$5*'POSF Zone Def'!$AC39</f>
        <v>0</v>
      </c>
      <c r="BL50" s="705">
        <f>'POSF Inventory'!$EB42*'POSF Emiss by Zone'!$D$6*'POSF Zone Def'!$AC39</f>
        <v>0</v>
      </c>
      <c r="BM50" s="705">
        <f>'POSF Inventory'!$EC42*'POSF Emiss by Zone'!$D$5*'POSF Zone Def'!$AC39</f>
        <v>0</v>
      </c>
      <c r="BN50" s="705">
        <f>'POSF Inventory'!$ED42*'POSF Emiss by Zone'!$D$6*'POSF Zone Def'!$AC39</f>
        <v>0</v>
      </c>
      <c r="BO50" s="705">
        <f>'POSF Inventory'!$EE42*'POSF Emiss by Zone'!$D$5*'POSF Zone Def'!$AC39</f>
        <v>0</v>
      </c>
      <c r="BP50" s="708">
        <f>'POSF Inventory'!$EF42*'POSF Emiss by Zone'!$D$6*'POSF Zone Def'!$AC39</f>
        <v>0</v>
      </c>
      <c r="BQ50" s="529">
        <f>'POSF Inventory'!EG42*'POSF Emiss by Zone'!$D$5*'POSF Zone Def'!$BB39</f>
        <v>0</v>
      </c>
      <c r="BR50" s="529">
        <f>'POSF Inventory'!EH42*'POSF Emiss by Zone'!$D$6*'POSF Zone Def'!$BB39</f>
        <v>0</v>
      </c>
      <c r="BS50" s="529">
        <f>'POSF Inventory'!EI42*'POSF Emiss by Zone'!$D$5*'POSF Zone Def'!$BB39</f>
        <v>0</v>
      </c>
      <c r="BT50" s="529">
        <f>'POSF Inventory'!EJ42*'POSF Emiss by Zone'!$D$6*'POSF Zone Def'!$BB39</f>
        <v>0</v>
      </c>
      <c r="BU50" s="529">
        <f>'POSF Inventory'!EK42*'POSF Emiss by Zone'!$D$5*'POSF Zone Def'!$BB39</f>
        <v>0</v>
      </c>
      <c r="BV50" s="524">
        <f>'POSF Inventory'!EL42*'POSF Emiss by Zone'!$D$6*'POSF Zone Def'!$BB39</f>
        <v>0</v>
      </c>
      <c r="BW50" s="474">
        <f>'POSF Inventory'!EG42*'POSF Emiss by Zone'!$D$5*'POSF Zone Def'!$BC39</f>
        <v>0</v>
      </c>
      <c r="BX50" s="474">
        <f>'POSF Inventory'!EH42*'POSF Emiss by Zone'!$D$6*'POSF Zone Def'!$BC39</f>
        <v>0</v>
      </c>
      <c r="BY50" s="474">
        <f>'POSF Inventory'!EI42*'POSF Emiss by Zone'!$D$5*'POSF Zone Def'!$BC39</f>
        <v>0</v>
      </c>
      <c r="BZ50" s="474">
        <f>'POSF Inventory'!EJ42*'POSF Emiss by Zone'!$D$6*'POSF Zone Def'!$BC39</f>
        <v>0</v>
      </c>
      <c r="CA50" s="474">
        <f>'POSF Inventory'!EK42*'POSF Emiss by Zone'!$D$5*'POSF Zone Def'!$BC39</f>
        <v>0</v>
      </c>
      <c r="CB50" s="134">
        <f>'POSF Inventory'!EL42*'POSF Emiss by Zone'!$D$6*'POSF Zone Def'!$BC39</f>
        <v>0</v>
      </c>
      <c r="CC50" s="529">
        <f>'POSF Inventory'!GC42*'POSF Emiss by Zone'!$D$7*'POSF Zone Def'!$M39</f>
        <v>3.7524560000000005E-2</v>
      </c>
      <c r="CD50" s="529">
        <f>'POSF Inventory'!GD42*'POSF Emiss by Zone'!$D$9*'POSF Zone Def'!$M39</f>
        <v>4.6389737300000004E-2</v>
      </c>
      <c r="CE50" s="529">
        <f>'POSF Inventory'!GE42*'POSF Emiss by Zone'!$D$7*'POSF Zone Def'!$M39</f>
        <v>0.56286839999999994</v>
      </c>
      <c r="CF50" s="529">
        <f>'POSF Inventory'!GF42*'POSF Emiss by Zone'!$D$9*'POSF Zone Def'!$M39</f>
        <v>0.69584605949999989</v>
      </c>
      <c r="CG50" s="529">
        <f>'POSF Inventory'!GG42*'POSF Emiss by Zone'!$D$7*'POSF Zone Def'!$M39</f>
        <v>2.0638508000000004</v>
      </c>
      <c r="CH50" s="524">
        <f>'POSF Inventory'!GH42*'POSF Emiss by Zone'!$D$9*'POSF Zone Def'!$M39</f>
        <v>10.205742206000002</v>
      </c>
      <c r="CI50" s="474">
        <f>'POSF Inventory'!GC42*'POSF Emiss by Zone'!$D$7*'POSF Zone Def'!$N39</f>
        <v>3.7524560000000005E-2</v>
      </c>
      <c r="CJ50" s="474">
        <f>'POSF Inventory'!GD42*'POSF Emiss by Zone'!$D$9*'POSF Zone Def'!$N39</f>
        <v>4.6389737300000004E-2</v>
      </c>
      <c r="CK50" s="474">
        <f>'POSF Inventory'!GE42*'POSF Emiss by Zone'!$D$7*'POSF Zone Def'!$N39</f>
        <v>0.56286839999999994</v>
      </c>
      <c r="CL50" s="474">
        <f>'POSF Inventory'!GF42*'POSF Emiss by Zone'!$D$9*'POSF Zone Def'!$N39</f>
        <v>0.69584605949999989</v>
      </c>
      <c r="CM50" s="474">
        <f>'POSF Inventory'!GG42*'POSF Emiss by Zone'!$D$7*'POSF Zone Def'!$N39</f>
        <v>2.0638508000000004</v>
      </c>
      <c r="CN50" s="485">
        <f>'POSF Inventory'!GH42*'POSF Emiss by Zone'!$D$9*'POSF Zone Def'!$N39</f>
        <v>10.205742206000002</v>
      </c>
      <c r="CO50" s="529">
        <f>'POSF Inventory'!GI42*'POSF Emiss by Zone'!$D$7*'POSF Zone Def'!$AP39</f>
        <v>0</v>
      </c>
      <c r="CP50" s="529">
        <f>'POSF Inventory'!GJ42*'POSF Emiss by Zone'!$D$9*'POSF Zone Def'!$AP39</f>
        <v>0</v>
      </c>
      <c r="CQ50" s="529">
        <f>'POSF Inventory'!GK42*'POSF Emiss by Zone'!$D$7*'POSF Zone Def'!$AP39</f>
        <v>0</v>
      </c>
      <c r="CR50" s="529">
        <f>'POSF Inventory'!GL42*'POSF Emiss by Zone'!$D$9*'POSF Zone Def'!$AP39</f>
        <v>0</v>
      </c>
      <c r="CS50" s="529">
        <f>'POSF Inventory'!GM42*'POSF Emiss by Zone'!$D$7*'POSF Zone Def'!$AP39</f>
        <v>0</v>
      </c>
      <c r="CT50" s="524">
        <f>'POSF Inventory'!GN42*'POSF Emiss by Zone'!$D$9*'POSF Zone Def'!$AP39</f>
        <v>0</v>
      </c>
      <c r="CU50" s="529">
        <f>'POSF Inventory'!GI42*'POSF Emiss by Zone'!$D$7*'POSF Zone Def'!$AQ39</f>
        <v>0</v>
      </c>
      <c r="CV50" s="529">
        <f>'POSF Inventory'!GJ42*'POSF Emiss by Zone'!$D$9*'POSF Zone Def'!$AQ39</f>
        <v>0</v>
      </c>
      <c r="CW50" s="474">
        <f>'POSF Inventory'!GK42*'POSF Emiss by Zone'!$D$7*'POSF Zone Def'!$AQ39</f>
        <v>0</v>
      </c>
      <c r="CX50" s="474">
        <f>'POSF Inventory'!GL42*'POSF Emiss by Zone'!$D$9*'POSF Zone Def'!$AQ39</f>
        <v>0</v>
      </c>
      <c r="CY50" s="474">
        <f>'POSF Inventory'!GM42*'POSF Emiss by Zone'!$D$7*'POSF Zone Def'!$AQ39</f>
        <v>0</v>
      </c>
      <c r="CZ50" s="134">
        <f>'POSF Inventory'!GN42*'POSF Emiss by Zone'!$D$9*'POSF Zone Def'!$AQ39</f>
        <v>0</v>
      </c>
      <c r="DA50" s="529">
        <f>SUM('POSF Inventory'!GQ42,'POSF Inventory'!GS42)*'POSF Emiss by Zone'!$D$7*'POSF Zone Def'!$Y39</f>
        <v>5.0847395142600682</v>
      </c>
      <c r="DB50" s="529">
        <f>SUM('POSF Inventory'!GR42,'POSF Inventory'!GT42)*'POSF Emiss by Zone'!$D$9*'POSF Zone Def'!$Y39</f>
        <v>198.5355407219873</v>
      </c>
      <c r="DC50" s="529"/>
      <c r="DD50" s="529"/>
      <c r="DE50" s="529">
        <f>'POSF Inventory'!GU42*'POSF Emiss by Zone'!$D$7*'POSF Zone Def'!$Y39</f>
        <v>0</v>
      </c>
      <c r="DF50" s="524">
        <f>'POSF Inventory'!GV42*'POSF Emiss by Zone'!$D$9*'POSF Zone Def'!$Y39</f>
        <v>0</v>
      </c>
      <c r="DG50" s="474">
        <f>SUM('POSF Inventory'!GQ42,'POSF Inventory'!GS42)*'POSF Emiss by Zone'!$D$7*'POSF Zone Def'!$Z39</f>
        <v>0.56497105714000762</v>
      </c>
      <c r="DH50" s="474">
        <f>SUM('POSF Inventory'!GR42,'POSF Inventory'!GT42)*'POSF Emiss by Zone'!$D$9*'POSF Zone Def'!$Z39</f>
        <v>22.059504524665257</v>
      </c>
      <c r="DI50" s="474"/>
      <c r="DJ50" s="474"/>
      <c r="DK50" s="474">
        <f>'POSF Inventory'!GU42*'POSF Emiss by Zone'!$D$7*'POSF Zone Def'!$Z39</f>
        <v>0</v>
      </c>
      <c r="DL50" s="485">
        <f>'POSF Inventory'!GV42*'POSF Emiss by Zone'!$D$9*'POSF Zone Def'!$Z39</f>
        <v>0</v>
      </c>
      <c r="DM50" s="705">
        <f>SUM('POSF Inventory'!$GQ42,'POSF Inventory'!$GS42)*'POSF Emiss by Zone'!$D$7*'POSF Zone Def'!$AC39</f>
        <v>0</v>
      </c>
      <c r="DN50" s="705">
        <f>SUM('POSF Inventory'!$GR42,'POSF Inventory'!$GT42)*'POSF Emiss by Zone'!$D$9*'POSF Zone Def'!$AC39</f>
        <v>0</v>
      </c>
      <c r="DO50" s="705"/>
      <c r="DP50" s="705"/>
      <c r="DQ50" s="705">
        <f>'POSF Inventory'!$GU42*'POSF Emiss by Zone'!$D$7*'POSF Zone Def'!$AC39</f>
        <v>0</v>
      </c>
      <c r="DR50" s="708">
        <f>'POSF Inventory'!$GV42*'POSF Emiss by Zone'!$D$9*'POSF Zone Def'!$AC39</f>
        <v>0</v>
      </c>
      <c r="DS50" s="529">
        <f>SUM('POSF Inventory'!GW42,'POSF Inventory'!GY42)*$D$7*'POSF Zone Def'!$BB39</f>
        <v>0</v>
      </c>
      <c r="DT50" s="529">
        <f>SUM('POSF Inventory'!GX42,'POSF Inventory'!GZ42)*$D$9*'POSF Zone Def'!$BB39</f>
        <v>0</v>
      </c>
      <c r="DU50" s="529"/>
      <c r="DV50" s="529"/>
      <c r="DW50" s="529">
        <f>'POSF Inventory'!HA42*'POSF Emiss by Zone'!$D$7*'POSF Zone Def'!$BB39</f>
        <v>0</v>
      </c>
      <c r="DX50" s="524">
        <f>'POSF Inventory'!HB42*'POSF Emiss by Zone'!$D$9*'POSF Zone Def'!$BB39</f>
        <v>0</v>
      </c>
      <c r="DY50" s="474">
        <f>SUM('POSF Inventory'!GW42,'POSF Inventory'!GY42)*$D$7*'POSF Zone Def'!$BC39</f>
        <v>0</v>
      </c>
      <c r="DZ50" s="474">
        <f>SUM('POSF Inventory'!GX42,'POSF Inventory'!GZ42)*$D$9*'POSF Zone Def'!$BC39</f>
        <v>0</v>
      </c>
      <c r="EA50" s="474"/>
      <c r="EB50" s="474"/>
      <c r="EC50" s="474">
        <f>'POSF Inventory'!HA42*'POSF Emiss by Zone'!$D$7*'POSF Zone Def'!$BC39</f>
        <v>0</v>
      </c>
      <c r="ED50" s="134">
        <f>'POSF Inventory'!HB42*'POSF Emiss by Zone'!$D$9*'POSF Zone Def'!$BC39</f>
        <v>0</v>
      </c>
      <c r="EE50" s="235">
        <f>'POSF Inventory'!$CF42*'POSF Emiss by Zone'!$D$7*'POSF Zone Def'!$CE39</f>
        <v>0</v>
      </c>
      <c r="EF50" s="235">
        <f>'POSF Inventory'!$CG42*'POSF Emiss by Zone'!$D$9*'POSF Zone Def'!$CE39</f>
        <v>0</v>
      </c>
      <c r="EG50" s="235">
        <f>'POSF Inventory'!$CH42*'POSF Emiss by Zone'!$D$7*'POSF Zone Def'!$CE39</f>
        <v>0</v>
      </c>
      <c r="EH50" s="235">
        <f>'POSF Inventory'!$CI42*'POSF Emiss by Zone'!$D$9*'POSF Zone Def'!$CE39</f>
        <v>0</v>
      </c>
      <c r="EI50" s="235">
        <f>'POSF Inventory'!$CJ42*'POSF Emiss by Zone'!$D$7*'POSF Zone Def'!$CE39</f>
        <v>0</v>
      </c>
      <c r="EJ50" s="580">
        <f>'POSF Inventory'!$CK42*'POSF Emiss by Zone'!$D$9*'POSF Zone Def'!$CE39</f>
        <v>0</v>
      </c>
      <c r="EK50" s="235">
        <f>'POSF Inventory'!$CF42*'POSF Emiss by Zone'!$D$7*'POSF Zone Def'!$CF39</f>
        <v>0</v>
      </c>
      <c r="EL50" s="235">
        <f>'POSF Inventory'!$CG42*'POSF Emiss by Zone'!$D$9*'POSF Zone Def'!$CF39</f>
        <v>0</v>
      </c>
      <c r="EM50" s="235">
        <f>'POSF Inventory'!$CH42*'POSF Emiss by Zone'!$D$7*'POSF Zone Def'!$CF39</f>
        <v>0</v>
      </c>
      <c r="EN50" s="235">
        <f>'POSF Inventory'!$CI42*'POSF Emiss by Zone'!$D$9*'POSF Zone Def'!$CF39</f>
        <v>0</v>
      </c>
      <c r="EO50" s="235">
        <f>'POSF Inventory'!$CJ42*'POSF Emiss by Zone'!$D$7*'POSF Zone Def'!$CF39</f>
        <v>0</v>
      </c>
      <c r="EP50" s="580">
        <f>'POSF Inventory'!$CK42*'POSF Emiss by Zone'!$D$9*'POSF Zone Def'!$CF39</f>
        <v>0</v>
      </c>
      <c r="EQ50" s="235">
        <f>'POSF Inventory'!$CF42*'POSF Emiss by Zone'!$D$7*'POSF Zone Def'!$CG39</f>
        <v>0</v>
      </c>
      <c r="ER50" s="235">
        <f>'POSF Inventory'!$CG42*'POSF Emiss by Zone'!$D$9*'POSF Zone Def'!$CG39</f>
        <v>0</v>
      </c>
      <c r="ES50" s="235">
        <f>'POSF Inventory'!$CH42*'POSF Emiss by Zone'!$D$7*'POSF Zone Def'!$CG39</f>
        <v>0</v>
      </c>
      <c r="ET50" s="235">
        <f>'POSF Inventory'!$CI42*'POSF Emiss by Zone'!$D$9*'POSF Zone Def'!$CG39</f>
        <v>0</v>
      </c>
      <c r="EU50" s="235">
        <f>'POSF Inventory'!$CJ42*'POSF Emiss by Zone'!$D$7*'POSF Zone Def'!$CG39</f>
        <v>0</v>
      </c>
      <c r="EV50" s="580">
        <f>'POSF Inventory'!$CK42*'POSF Emiss by Zone'!$D$9*'POSF Zone Def'!$CG39</f>
        <v>0</v>
      </c>
      <c r="EW50" s="235">
        <f>'POSF Inventory'!$CF42*'POSF Emiss by Zone'!$D$7*'POSF Zone Def'!$CH39</f>
        <v>0</v>
      </c>
      <c r="EX50" s="235">
        <f>'POSF Inventory'!$CG42*'POSF Emiss by Zone'!$D$9*'POSF Zone Def'!$CH39</f>
        <v>0</v>
      </c>
      <c r="EY50" s="235">
        <f>'POSF Inventory'!$CH42*'POSF Emiss by Zone'!$D$7*'POSF Zone Def'!$CH39</f>
        <v>0</v>
      </c>
      <c r="EZ50" s="235">
        <f>'POSF Inventory'!$CI42*'POSF Emiss by Zone'!$D$9*'POSF Zone Def'!$CH39</f>
        <v>0</v>
      </c>
      <c r="FA50" s="235">
        <f>'POSF Inventory'!$CJ42*'POSF Emiss by Zone'!$D$7*'POSF Zone Def'!$CH39</f>
        <v>0</v>
      </c>
      <c r="FB50" s="580">
        <f>'POSF Inventory'!$CK42*'POSF Emiss by Zone'!$D$9*'POSF Zone Def'!$CH39</f>
        <v>0</v>
      </c>
      <c r="FC50" s="235">
        <f>'POSF Inventory'!$CF42*'POSF Emiss by Zone'!$D$7*'POSF Zone Def'!$CI39</f>
        <v>0</v>
      </c>
      <c r="FD50" s="235">
        <f>'POSF Inventory'!$CG42*'POSF Emiss by Zone'!$D$9*'POSF Zone Def'!$CI39</f>
        <v>0</v>
      </c>
      <c r="FE50" s="235">
        <f>'POSF Inventory'!$CH42*'POSF Emiss by Zone'!$D$7*'POSF Zone Def'!$CI39</f>
        <v>0</v>
      </c>
      <c r="FF50" s="235">
        <f>'POSF Inventory'!$CI42*'POSF Emiss by Zone'!$D$9*'POSF Zone Def'!$CI39</f>
        <v>0</v>
      </c>
      <c r="FG50" s="235">
        <f>'POSF Inventory'!$CJ42*'POSF Emiss by Zone'!$D$7*'POSF Zone Def'!$CI39</f>
        <v>0</v>
      </c>
      <c r="FH50" s="577">
        <f>'POSF Inventory'!$CK42*'POSF Emiss by Zone'!$D$9*'POSF Zone Def'!$CI39</f>
        <v>0</v>
      </c>
      <c r="FI50" s="595"/>
      <c r="FJ50" s="595"/>
      <c r="FM50" s="592">
        <v>33</v>
      </c>
      <c r="FN50" s="592">
        <f t="shared" si="0"/>
        <v>1987</v>
      </c>
      <c r="FO50" s="587">
        <v>30</v>
      </c>
      <c r="FP50" s="551">
        <f t="shared" si="20"/>
        <v>8.0261515912499988</v>
      </c>
      <c r="FQ50" s="529">
        <f t="shared" si="21"/>
        <v>8.0451483997499977</v>
      </c>
      <c r="FR50" s="529">
        <f t="shared" si="22"/>
        <v>0</v>
      </c>
      <c r="FS50" s="529">
        <f t="shared" si="23"/>
        <v>0</v>
      </c>
      <c r="FT50" s="529">
        <f t="shared" si="24"/>
        <v>5.9452974749999994</v>
      </c>
      <c r="FU50" s="524">
        <f t="shared" si="25"/>
        <v>5.9593691849999999</v>
      </c>
      <c r="FV50" s="474">
        <f t="shared" si="26"/>
        <v>8.0261515912499988</v>
      </c>
      <c r="FW50" s="474">
        <f t="shared" si="27"/>
        <v>8.0451483997499977</v>
      </c>
      <c r="FX50" s="474">
        <f t="shared" si="28"/>
        <v>0</v>
      </c>
      <c r="FY50" s="474">
        <f t="shared" si="29"/>
        <v>0</v>
      </c>
      <c r="FZ50" s="474">
        <f t="shared" si="30"/>
        <v>5.9452974749999994</v>
      </c>
      <c r="GA50" s="134">
        <f t="shared" si="31"/>
        <v>5.9593691849999999</v>
      </c>
      <c r="GB50" s="529">
        <f t="shared" si="32"/>
        <v>0</v>
      </c>
      <c r="GC50" s="529">
        <f t="shared" si="33"/>
        <v>0</v>
      </c>
      <c r="GD50" s="529">
        <f t="shared" si="34"/>
        <v>13.652274231685759</v>
      </c>
      <c r="GE50" s="529">
        <f t="shared" si="35"/>
        <v>88.767296973779878</v>
      </c>
      <c r="GF50" s="529">
        <f t="shared" si="36"/>
        <v>9.8693517181274881</v>
      </c>
      <c r="GG50" s="524">
        <f t="shared" si="37"/>
        <v>9.8927111304780855</v>
      </c>
      <c r="GH50" s="474">
        <f t="shared" si="38"/>
        <v>0</v>
      </c>
      <c r="GI50" s="474">
        <f t="shared" si="39"/>
        <v>0</v>
      </c>
      <c r="GJ50" s="474">
        <f t="shared" si="40"/>
        <v>6.2542081837773909</v>
      </c>
      <c r="GK50" s="474">
        <f t="shared" si="41"/>
        <v>14.611534339716137</v>
      </c>
      <c r="GL50" s="474">
        <f t="shared" si="42"/>
        <v>9.8693517181274881</v>
      </c>
      <c r="GM50" s="705">
        <f t="shared" si="43"/>
        <v>9.8927111304780855</v>
      </c>
      <c r="GN50" s="705">
        <f t="shared" si="44"/>
        <v>0</v>
      </c>
      <c r="GO50" s="705">
        <f t="shared" si="45"/>
        <v>0</v>
      </c>
      <c r="GP50" s="705">
        <f t="shared" si="46"/>
        <v>0</v>
      </c>
      <c r="GQ50" s="705">
        <f t="shared" si="47"/>
        <v>0</v>
      </c>
      <c r="GR50" s="705">
        <f t="shared" si="48"/>
        <v>0</v>
      </c>
      <c r="GS50" s="134">
        <f t="shared" si="49"/>
        <v>0</v>
      </c>
      <c r="GT50" s="529">
        <f t="shared" si="50"/>
        <v>0.10611861827152332</v>
      </c>
      <c r="GU50" s="529">
        <f t="shared" si="51"/>
        <v>4.1140479617063503</v>
      </c>
      <c r="GV50" s="529">
        <f t="shared" si="52"/>
        <v>1.1661018645418325E-2</v>
      </c>
      <c r="GW50" s="529">
        <f t="shared" si="53"/>
        <v>1.4415934300398404E-2</v>
      </c>
      <c r="GX50" s="529">
        <f t="shared" si="54"/>
        <v>4.2757068366533868E-2</v>
      </c>
      <c r="GY50" s="524">
        <f t="shared" si="55"/>
        <v>0.21143370307250997</v>
      </c>
      <c r="GZ50" s="474">
        <f t="shared" si="56"/>
        <v>1.2481980912860714E-2</v>
      </c>
      <c r="HA50" s="474">
        <f t="shared" si="57"/>
        <v>0.45797071777776632</v>
      </c>
      <c r="HB50" s="474">
        <f t="shared" si="58"/>
        <v>1.1661018645418325E-2</v>
      </c>
      <c r="HC50" s="474">
        <f t="shared" si="59"/>
        <v>1.4415934300398404E-2</v>
      </c>
      <c r="HD50" s="474">
        <f t="shared" si="60"/>
        <v>4.2757068366533868E-2</v>
      </c>
      <c r="HE50" s="549">
        <f t="shared" si="61"/>
        <v>0.21143370307250997</v>
      </c>
      <c r="HF50" s="235">
        <f t="shared" si="62"/>
        <v>0</v>
      </c>
      <c r="HG50" s="235">
        <f t="shared" si="63"/>
        <v>0</v>
      </c>
      <c r="HH50" s="235">
        <f t="shared" si="64"/>
        <v>0</v>
      </c>
      <c r="HI50" s="235">
        <f t="shared" si="65"/>
        <v>0</v>
      </c>
      <c r="HJ50" s="235">
        <f t="shared" si="66"/>
        <v>0</v>
      </c>
      <c r="HK50" s="580">
        <f t="shared" si="67"/>
        <v>0</v>
      </c>
      <c r="HL50" s="235">
        <f t="shared" si="68"/>
        <v>0</v>
      </c>
      <c r="HM50" s="235">
        <f t="shared" si="69"/>
        <v>0</v>
      </c>
      <c r="HN50" s="235">
        <f t="shared" si="70"/>
        <v>0</v>
      </c>
      <c r="HO50" s="235">
        <f t="shared" si="71"/>
        <v>0</v>
      </c>
      <c r="HP50" s="235">
        <f t="shared" si="72"/>
        <v>0</v>
      </c>
      <c r="HQ50" s="580">
        <f t="shared" si="73"/>
        <v>0</v>
      </c>
      <c r="HR50" s="235">
        <f t="shared" si="74"/>
        <v>0</v>
      </c>
      <c r="HS50" s="235">
        <f t="shared" si="75"/>
        <v>0</v>
      </c>
      <c r="HT50" s="235">
        <f t="shared" si="76"/>
        <v>0</v>
      </c>
      <c r="HU50" s="235">
        <f t="shared" si="77"/>
        <v>0</v>
      </c>
      <c r="HV50" s="235">
        <f t="shared" si="78"/>
        <v>0</v>
      </c>
      <c r="HW50" s="577">
        <f t="shared" si="79"/>
        <v>0</v>
      </c>
      <c r="HX50" s="235">
        <f t="shared" si="80"/>
        <v>5.63979641259965</v>
      </c>
      <c r="HY50" s="235">
        <f t="shared" si="81"/>
        <v>218.64582590330133</v>
      </c>
      <c r="HZ50" s="235">
        <f t="shared" si="82"/>
        <v>0.61973829093227084</v>
      </c>
      <c r="IA50" s="235">
        <f t="shared" si="83"/>
        <v>0.76615146216501973</v>
      </c>
      <c r="IB50" s="235">
        <f t="shared" si="84"/>
        <v>2.2723737334183269</v>
      </c>
      <c r="IC50" s="235">
        <f t="shared" si="85"/>
        <v>11.236888111753627</v>
      </c>
      <c r="ID50" s="235">
        <f t="shared" si="86"/>
        <v>0.66336927789965139</v>
      </c>
      <c r="IE50" s="235">
        <f t="shared" si="87"/>
        <v>24.33938222405067</v>
      </c>
      <c r="IF50" s="235">
        <f t="shared" si="88"/>
        <v>0.61973829093227084</v>
      </c>
      <c r="IG50" s="235">
        <f t="shared" si="89"/>
        <v>0.76615146216501973</v>
      </c>
      <c r="IH50" s="235">
        <f t="shared" si="90"/>
        <v>2.2723737334183269</v>
      </c>
      <c r="II50" s="235">
        <f t="shared" si="91"/>
        <v>11.236888111753627</v>
      </c>
      <c r="IJ50" s="235">
        <f t="shared" si="92"/>
        <v>0</v>
      </c>
      <c r="IK50" s="235">
        <f t="shared" si="93"/>
        <v>0</v>
      </c>
      <c r="IL50" s="235">
        <f t="shared" si="94"/>
        <v>0</v>
      </c>
      <c r="IM50" s="235">
        <f t="shared" si="95"/>
        <v>0</v>
      </c>
      <c r="IN50" s="235">
        <f t="shared" si="96"/>
        <v>0</v>
      </c>
      <c r="IO50" s="235">
        <f t="shared" si="97"/>
        <v>0</v>
      </c>
    </row>
    <row r="51" spans="1:249" ht="18" x14ac:dyDescent="0.25">
      <c r="A51" s="18">
        <v>1988</v>
      </c>
      <c r="B51" s="564"/>
      <c r="C51" s="529">
        <f>'POSF Inventory'!AD43*$D$5*'POSF Zone Def'!$M40</f>
        <v>8.0261515912499988</v>
      </c>
      <c r="D51" s="529">
        <f>'POSF Inventory'!AE43*$D$6*'POSF Zone Def'!$M40</f>
        <v>8.0451483997499977</v>
      </c>
      <c r="E51" s="529">
        <f>'POSF Inventory'!AF43*$D$5*'POSF Zone Def'!$M40</f>
        <v>0</v>
      </c>
      <c r="F51" s="529">
        <f>'POSF Inventory'!AG43*$D$6*'POSF Zone Def'!$M40</f>
        <v>0</v>
      </c>
      <c r="G51" s="529">
        <f>'POSF Inventory'!AH43*$D$5*'POSF Zone Def'!$M40</f>
        <v>5.9452974749999994</v>
      </c>
      <c r="H51" s="524">
        <f>'POSF Inventory'!AI43*$D$6*'POSF Zone Def'!$M40</f>
        <v>5.9593691849999999</v>
      </c>
      <c r="I51" s="474">
        <f>'POSF Inventory'!AD43*$D$5*'POSF Zone Def'!$N40</f>
        <v>8.0261515912499988</v>
      </c>
      <c r="J51" s="474">
        <f>'POSF Inventory'!AE43*$D$6*'POSF Zone Def'!$N40</f>
        <v>8.0451483997499977</v>
      </c>
      <c r="K51" s="474">
        <f>'POSF Inventory'!AF43*$D$5*'POSF Zone Def'!$N40</f>
        <v>0</v>
      </c>
      <c r="L51" s="474">
        <f>'POSF Inventory'!AG43*$D$6*'POSF Zone Def'!$N40</f>
        <v>0</v>
      </c>
      <c r="M51" s="474">
        <f>'POSF Inventory'!AH43*$D$5*'POSF Zone Def'!$N40</f>
        <v>5.9452974749999994</v>
      </c>
      <c r="N51" s="485">
        <f>'POSF Inventory'!AI43*$D$6*'POSF Zone Def'!$N40</f>
        <v>5.9593691849999999</v>
      </c>
      <c r="O51" s="529">
        <f>'POSF Inventory'!AJ43*$D$5*'POSF Zone Def'!$AP40</f>
        <v>0</v>
      </c>
      <c r="P51" s="529">
        <f>'POSF Inventory'!AK43*$D$6*'POSF Zone Def'!$AP40</f>
        <v>0</v>
      </c>
      <c r="Q51" s="529">
        <f>'POSF Inventory'!AL43*$D$5*'POSF Zone Def'!$AP40</f>
        <v>0</v>
      </c>
      <c r="R51" s="529">
        <f>'POSF Inventory'!AM43*$D$6*'POSF Zone Def'!$AP40</f>
        <v>0</v>
      </c>
      <c r="S51" s="529">
        <f>'POSF Inventory'!AN43*$D$5*'POSF Zone Def'!$AP40</f>
        <v>0</v>
      </c>
      <c r="T51" s="524">
        <f>'POSF Inventory'!AO43*$D$6*'POSF Zone Def'!$AP40</f>
        <v>0</v>
      </c>
      <c r="U51" s="474">
        <f>'POSF Inventory'!AJ43*$D$5*'POSF Zone Def'!$AQ40</f>
        <v>0</v>
      </c>
      <c r="V51" s="474">
        <f>'POSF Inventory'!AK43*$D$6*'POSF Zone Def'!$AQ40</f>
        <v>0</v>
      </c>
      <c r="W51" s="474">
        <f>'POSF Inventory'!AL43*$D$5*'POSF Zone Def'!$AQ40</f>
        <v>0</v>
      </c>
      <c r="X51" s="474">
        <f>'POSF Inventory'!AM43*$D$6*'POSF Zone Def'!$AQ40</f>
        <v>0</v>
      </c>
      <c r="Y51" s="474">
        <f>'POSF Inventory'!AN43*$D$5*'POSF Zone Def'!$AQ40</f>
        <v>0</v>
      </c>
      <c r="Z51" s="134">
        <f>'POSF Inventory'!AO43*$D$6*'POSF Zone Def'!$AQ40</f>
        <v>0</v>
      </c>
      <c r="AA51" s="529">
        <f>'POSF Inventory'!AV43*'POSF Emiss by Zone'!$D$5*'POSF Zone Def'!$M40</f>
        <v>0</v>
      </c>
      <c r="AB51" s="529">
        <f>'POSF Inventory'!AW43*'POSF Emiss by Zone'!$D$6*'POSF Zone Def'!$M40</f>
        <v>0</v>
      </c>
      <c r="AC51" s="529">
        <f>'POSF Inventory'!AX43*'POSF Emiss by Zone'!$D$5*'POSF Zone Def'!$M40</f>
        <v>5.3507677275000001</v>
      </c>
      <c r="AD51" s="529">
        <f>'POSF Inventory'!AY43*'POSF Emiss by Zone'!$D$6*'POSF Zone Def'!$M40</f>
        <v>5.3634322664999994</v>
      </c>
      <c r="AE51" s="529">
        <f>'POSF Inventory'!AZ43*'POSF Emiss by Zone'!$D$5*'POSF Zone Def'!$M40</f>
        <v>9.9088291249999987</v>
      </c>
      <c r="AF51" s="524">
        <f>'POSF Inventory'!BA43*'POSF Emiss by Zone'!$D$6*'POSF Zone Def'!$M40</f>
        <v>9.9322819749999987</v>
      </c>
      <c r="AG51" s="474">
        <f>'POSF Inventory'!AV43*'POSF Emiss by Zone'!$D$5*'POSF Zone Def'!$N40</f>
        <v>0</v>
      </c>
      <c r="AH51" s="474">
        <f>'POSF Inventory'!AW43*'POSF Emiss by Zone'!$D$6*'POSF Zone Def'!$N40</f>
        <v>0</v>
      </c>
      <c r="AI51" s="474">
        <f>'POSF Inventory'!AX43*'POSF Emiss by Zone'!$D$5*'POSF Zone Def'!$N40</f>
        <v>5.3507677275000001</v>
      </c>
      <c r="AJ51" s="474">
        <f>'POSF Inventory'!AY43*'POSF Emiss by Zone'!$D$6*'POSF Zone Def'!$N40</f>
        <v>5.3634322664999994</v>
      </c>
      <c r="AK51" s="474">
        <f>'POSF Inventory'!AZ43*'POSF Emiss by Zone'!$D$5*'POSF Zone Def'!$N40</f>
        <v>9.9088291249999987</v>
      </c>
      <c r="AL51" s="549">
        <f>'POSF Inventory'!BA43*'POSF Emiss by Zone'!$D$6*'POSF Zone Def'!$N40</f>
        <v>9.9322819749999987</v>
      </c>
      <c r="AM51" s="529">
        <f>'POSF Inventory'!BB43*'POSF Emiss by Zone'!$D$5*'POSF Zone Def'!$AP40</f>
        <v>0</v>
      </c>
      <c r="AN51" s="529">
        <f>'POSF Inventory'!BC43*'POSF Emiss by Zone'!$D$6*'POSF Zone Def'!$AP40</f>
        <v>0</v>
      </c>
      <c r="AO51" s="529">
        <f>'POSF Inventory'!BD43*'POSF Emiss by Zone'!$D$5*'POSF Zone Def'!$AP40</f>
        <v>0</v>
      </c>
      <c r="AP51" s="529">
        <f>'POSF Inventory'!BE43*'POSF Emiss by Zone'!$D$6*'POSF Zone Def'!$AP40</f>
        <v>0</v>
      </c>
      <c r="AQ51" s="529">
        <f>'POSF Inventory'!BF43*'POSF Emiss by Zone'!$D$5*'POSF Zone Def'!$AP40</f>
        <v>0</v>
      </c>
      <c r="AR51" s="524">
        <f>'POSF Inventory'!BG43*'POSF Emiss by Zone'!$D$6*'POSF Zone Def'!$AP40</f>
        <v>0</v>
      </c>
      <c r="AS51" s="474">
        <f>'POSF Inventory'!BB43*'POSF Emiss by Zone'!$D$5*'POSF Zone Def'!$AQ40</f>
        <v>0</v>
      </c>
      <c r="AT51" s="474">
        <f>'POSF Inventory'!BC43*'POSF Emiss by Zone'!$D$6*'POSF Zone Def'!$AQ40</f>
        <v>0</v>
      </c>
      <c r="AU51" s="474">
        <f>'POSF Inventory'!BD43*'POSF Emiss by Zone'!$D$5*'POSF Zone Def'!$AQ40</f>
        <v>0</v>
      </c>
      <c r="AV51" s="474">
        <f>'POSF Inventory'!BE43*'POSF Emiss by Zone'!$D$6*'POSF Zone Def'!$AQ40</f>
        <v>0</v>
      </c>
      <c r="AW51" s="474">
        <f>'POSF Inventory'!BF43*'POSF Emiss by Zone'!$D$5*'POSF Zone Def'!$AQ40</f>
        <v>0</v>
      </c>
      <c r="AX51" s="134">
        <f>'POSF Inventory'!BG43*'POSF Emiss by Zone'!$D$6*'POSF Zone Def'!$AQ40</f>
        <v>0</v>
      </c>
      <c r="AY51" s="529">
        <f>'POSF Inventory'!EA43*'POSF Emiss by Zone'!$D$5*'POSF Zone Def'!$Y40</f>
        <v>0</v>
      </c>
      <c r="AZ51" s="529">
        <f>'POSF Inventory'!EB43*'POSF Emiss by Zone'!$D$6*'POSF Zone Def'!$Y40</f>
        <v>0</v>
      </c>
      <c r="BA51" s="529">
        <f>'POSF Inventory'!EC43*'POSF Emiss by Zone'!$D$5*'POSF Zone Def'!$Y40</f>
        <v>8.3561156011125011</v>
      </c>
      <c r="BB51" s="529">
        <f>'POSF Inventory'!ED43*'POSF Emiss by Zone'!$D$6*'POSF Zone Def'!$Y40</f>
        <v>83.758933895175005</v>
      </c>
      <c r="BC51" s="529">
        <f>'POSF Inventory'!EE43*'POSF Emiss by Zone'!$D$5*'POSF Zone Def'!$Y40</f>
        <v>0</v>
      </c>
      <c r="BD51" s="524">
        <f>'POSF Inventory'!EF43*'POSF Emiss by Zone'!$D$6*'POSF Zone Def'!$Y40</f>
        <v>0</v>
      </c>
      <c r="BE51" s="474">
        <f>'POSF Inventory'!EA43*'POSF Emiss by Zone'!$D$5*'POSF Zone Def'!$Z40</f>
        <v>0</v>
      </c>
      <c r="BF51" s="474">
        <f>'POSF Inventory'!EB43*'POSF Emiss by Zone'!$D$6*'POSF Zone Def'!$Z40</f>
        <v>0</v>
      </c>
      <c r="BG51" s="474">
        <f>'POSF Inventory'!EC43*'POSF Emiss by Zone'!$D$5*'POSF Zone Def'!$Z40</f>
        <v>0.92845728901250002</v>
      </c>
      <c r="BH51" s="474">
        <f>'POSF Inventory'!ED43*'POSF Emiss by Zone'!$D$6*'POSF Zone Def'!$Z40</f>
        <v>9.3065482105750004</v>
      </c>
      <c r="BI51" s="474">
        <f>'POSF Inventory'!EE43*'POSF Emiss by Zone'!$D$5*'POSF Zone Def'!$Z40</f>
        <v>0</v>
      </c>
      <c r="BJ51" s="549">
        <f>'POSF Inventory'!EF43*'POSF Emiss by Zone'!$D$6*'POSF Zone Def'!$Z40</f>
        <v>0</v>
      </c>
      <c r="BK51" s="705">
        <f>'POSF Inventory'!$EA43*'POSF Emiss by Zone'!$D$5*'POSF Zone Def'!$AC40</f>
        <v>0</v>
      </c>
      <c r="BL51" s="705">
        <f>'POSF Inventory'!$EB43*'POSF Emiss by Zone'!$D$6*'POSF Zone Def'!$AC40</f>
        <v>0</v>
      </c>
      <c r="BM51" s="705">
        <f>'POSF Inventory'!$EC43*'POSF Emiss by Zone'!$D$5*'POSF Zone Def'!$AC40</f>
        <v>0</v>
      </c>
      <c r="BN51" s="705">
        <f>'POSF Inventory'!$ED43*'POSF Emiss by Zone'!$D$6*'POSF Zone Def'!$AC40</f>
        <v>0</v>
      </c>
      <c r="BO51" s="705">
        <f>'POSF Inventory'!$EE43*'POSF Emiss by Zone'!$D$5*'POSF Zone Def'!$AC40</f>
        <v>0</v>
      </c>
      <c r="BP51" s="708">
        <f>'POSF Inventory'!$EF43*'POSF Emiss by Zone'!$D$6*'POSF Zone Def'!$AC40</f>
        <v>0</v>
      </c>
      <c r="BQ51" s="529">
        <f>'POSF Inventory'!EG43*'POSF Emiss by Zone'!$D$5*'POSF Zone Def'!$BB40</f>
        <v>0</v>
      </c>
      <c r="BR51" s="529">
        <f>'POSF Inventory'!EH43*'POSF Emiss by Zone'!$D$6*'POSF Zone Def'!$BB40</f>
        <v>0</v>
      </c>
      <c r="BS51" s="529">
        <f>'POSF Inventory'!EI43*'POSF Emiss by Zone'!$D$5*'POSF Zone Def'!$BB40</f>
        <v>0</v>
      </c>
      <c r="BT51" s="529">
        <f>'POSF Inventory'!EJ43*'POSF Emiss by Zone'!$D$6*'POSF Zone Def'!$BB40</f>
        <v>0</v>
      </c>
      <c r="BU51" s="529">
        <f>'POSF Inventory'!EK43*'POSF Emiss by Zone'!$D$5*'POSF Zone Def'!$BB40</f>
        <v>0</v>
      </c>
      <c r="BV51" s="524">
        <f>'POSF Inventory'!EL43*'POSF Emiss by Zone'!$D$6*'POSF Zone Def'!$BB40</f>
        <v>0</v>
      </c>
      <c r="BW51" s="474">
        <f>'POSF Inventory'!EG43*'POSF Emiss by Zone'!$D$5*'POSF Zone Def'!$BC40</f>
        <v>0</v>
      </c>
      <c r="BX51" s="474">
        <f>'POSF Inventory'!EH43*'POSF Emiss by Zone'!$D$6*'POSF Zone Def'!$BC40</f>
        <v>0</v>
      </c>
      <c r="BY51" s="474">
        <f>'POSF Inventory'!EI43*'POSF Emiss by Zone'!$D$5*'POSF Zone Def'!$BC40</f>
        <v>0</v>
      </c>
      <c r="BZ51" s="474">
        <f>'POSF Inventory'!EJ43*'POSF Emiss by Zone'!$D$6*'POSF Zone Def'!$BC40</f>
        <v>0</v>
      </c>
      <c r="CA51" s="474">
        <f>'POSF Inventory'!EK43*'POSF Emiss by Zone'!$D$5*'POSF Zone Def'!$BC40</f>
        <v>0</v>
      </c>
      <c r="CB51" s="134">
        <f>'POSF Inventory'!EL43*'POSF Emiss by Zone'!$D$6*'POSF Zone Def'!$BC40</f>
        <v>0</v>
      </c>
      <c r="CC51" s="529">
        <f>'POSF Inventory'!GC43*'POSF Emiss by Zone'!$D$7*'POSF Zone Def'!$M40</f>
        <v>3.7524560000000005E-2</v>
      </c>
      <c r="CD51" s="529">
        <f>'POSF Inventory'!GD43*'POSF Emiss by Zone'!$D$9*'POSF Zone Def'!$M40</f>
        <v>4.6389737300000004E-2</v>
      </c>
      <c r="CE51" s="529">
        <f>'POSF Inventory'!GE43*'POSF Emiss by Zone'!$D$7*'POSF Zone Def'!$M40</f>
        <v>0.56286839999999994</v>
      </c>
      <c r="CF51" s="529">
        <f>'POSF Inventory'!GF43*'POSF Emiss by Zone'!$D$9*'POSF Zone Def'!$M40</f>
        <v>0.69584605949999989</v>
      </c>
      <c r="CG51" s="529">
        <f>'POSF Inventory'!GG43*'POSF Emiss by Zone'!$D$7*'POSF Zone Def'!$M40</f>
        <v>2.0638508000000004</v>
      </c>
      <c r="CH51" s="524">
        <f>'POSF Inventory'!GH43*'POSF Emiss by Zone'!$D$9*'POSF Zone Def'!$M40</f>
        <v>10.205742206000002</v>
      </c>
      <c r="CI51" s="474">
        <f>'POSF Inventory'!GC43*'POSF Emiss by Zone'!$D$7*'POSF Zone Def'!$N40</f>
        <v>3.7524560000000005E-2</v>
      </c>
      <c r="CJ51" s="474">
        <f>'POSF Inventory'!GD43*'POSF Emiss by Zone'!$D$9*'POSF Zone Def'!$N40</f>
        <v>4.6389737300000004E-2</v>
      </c>
      <c r="CK51" s="474">
        <f>'POSF Inventory'!GE43*'POSF Emiss by Zone'!$D$7*'POSF Zone Def'!$N40</f>
        <v>0.56286839999999994</v>
      </c>
      <c r="CL51" s="474">
        <f>'POSF Inventory'!GF43*'POSF Emiss by Zone'!$D$9*'POSF Zone Def'!$N40</f>
        <v>0.69584605949999989</v>
      </c>
      <c r="CM51" s="474">
        <f>'POSF Inventory'!GG43*'POSF Emiss by Zone'!$D$7*'POSF Zone Def'!$N40</f>
        <v>2.0638508000000004</v>
      </c>
      <c r="CN51" s="485">
        <f>'POSF Inventory'!GH43*'POSF Emiss by Zone'!$D$9*'POSF Zone Def'!$N40</f>
        <v>10.205742206000002</v>
      </c>
      <c r="CO51" s="529">
        <f>'POSF Inventory'!GI43*'POSF Emiss by Zone'!$D$7*'POSF Zone Def'!$AP40</f>
        <v>0</v>
      </c>
      <c r="CP51" s="529">
        <f>'POSF Inventory'!GJ43*'POSF Emiss by Zone'!$D$9*'POSF Zone Def'!$AP40</f>
        <v>0</v>
      </c>
      <c r="CQ51" s="529">
        <f>'POSF Inventory'!GK43*'POSF Emiss by Zone'!$D$7*'POSF Zone Def'!$AP40</f>
        <v>0</v>
      </c>
      <c r="CR51" s="529">
        <f>'POSF Inventory'!GL43*'POSF Emiss by Zone'!$D$9*'POSF Zone Def'!$AP40</f>
        <v>0</v>
      </c>
      <c r="CS51" s="529">
        <f>'POSF Inventory'!GM43*'POSF Emiss by Zone'!$D$7*'POSF Zone Def'!$AP40</f>
        <v>0</v>
      </c>
      <c r="CT51" s="524">
        <f>'POSF Inventory'!GN43*'POSF Emiss by Zone'!$D$9*'POSF Zone Def'!$AP40</f>
        <v>0</v>
      </c>
      <c r="CU51" s="474">
        <f>'POSF Inventory'!GI43*'POSF Emiss by Zone'!$D$7*'POSF Zone Def'!$AQ40</f>
        <v>0</v>
      </c>
      <c r="CV51" s="474">
        <f>'POSF Inventory'!GJ43*'POSF Emiss by Zone'!$D$9*'POSF Zone Def'!$AQ40</f>
        <v>0</v>
      </c>
      <c r="CW51" s="474">
        <f>'POSF Inventory'!GK43*'POSF Emiss by Zone'!$D$7*'POSF Zone Def'!$AQ40</f>
        <v>0</v>
      </c>
      <c r="CX51" s="474">
        <f>'POSF Inventory'!GL43*'POSF Emiss by Zone'!$D$9*'POSF Zone Def'!$AQ40</f>
        <v>0</v>
      </c>
      <c r="CY51" s="474">
        <f>'POSF Inventory'!GM43*'POSF Emiss by Zone'!$D$7*'POSF Zone Def'!$AQ40</f>
        <v>0</v>
      </c>
      <c r="CZ51" s="134">
        <f>'POSF Inventory'!GN43*'POSF Emiss by Zone'!$D$9*'POSF Zone Def'!$AQ40</f>
        <v>0</v>
      </c>
      <c r="DA51" s="529">
        <f>SUM('POSF Inventory'!GQ43,'POSF Inventory'!GS43)*'POSF Emiss by Zone'!$D$7*'POSF Zone Def'!$Y40</f>
        <v>5.0893678490070382</v>
      </c>
      <c r="DB51" s="529">
        <f>SUM('POSF Inventory'!GR43,'POSF Inventory'!GT43)*'POSF Emiss by Zone'!$D$9*'POSF Zone Def'!$Y40</f>
        <v>201.39643013745814</v>
      </c>
      <c r="DC51" s="529"/>
      <c r="DD51" s="529"/>
      <c r="DE51" s="529">
        <f>'POSF Inventory'!GU43*'POSF Emiss by Zone'!$D$7*'POSF Zone Def'!$Y40</f>
        <v>0</v>
      </c>
      <c r="DF51" s="524">
        <f>'POSF Inventory'!GV43*'POSF Emiss by Zone'!$D$9*'POSF Zone Def'!$Y40</f>
        <v>0</v>
      </c>
      <c r="DG51" s="474">
        <f>SUM('POSF Inventory'!GQ43,'POSF Inventory'!GS43)*'POSF Emiss by Zone'!$D$7*'POSF Zone Def'!$Z40</f>
        <v>0.5654853165563376</v>
      </c>
      <c r="DH51" s="474">
        <f>SUM('POSF Inventory'!GR43,'POSF Inventory'!GT43)*'POSF Emiss by Zone'!$D$9*'POSF Zone Def'!$Z40</f>
        <v>22.377381126384236</v>
      </c>
      <c r="DI51" s="474"/>
      <c r="DJ51" s="474"/>
      <c r="DK51" s="474">
        <f>'POSF Inventory'!GU43*'POSF Emiss by Zone'!$D$7*'POSF Zone Def'!$Z40</f>
        <v>0</v>
      </c>
      <c r="DL51" s="485">
        <f>'POSF Inventory'!GV43*'POSF Emiss by Zone'!$D$9*'POSF Zone Def'!$Z40</f>
        <v>0</v>
      </c>
      <c r="DM51" s="705">
        <f>SUM('POSF Inventory'!$GQ43,'POSF Inventory'!$GS43)*'POSF Emiss by Zone'!$D$7*'POSF Zone Def'!$AC40</f>
        <v>0</v>
      </c>
      <c r="DN51" s="705">
        <f>SUM('POSF Inventory'!$GR43,'POSF Inventory'!$GT43)*'POSF Emiss by Zone'!$D$9*'POSF Zone Def'!$AC40</f>
        <v>0</v>
      </c>
      <c r="DO51" s="705"/>
      <c r="DP51" s="705"/>
      <c r="DQ51" s="705">
        <f>'POSF Inventory'!$GU43*'POSF Emiss by Zone'!$D$7*'POSF Zone Def'!$AC40</f>
        <v>0</v>
      </c>
      <c r="DR51" s="708">
        <f>'POSF Inventory'!$GV43*'POSF Emiss by Zone'!$D$9*'POSF Zone Def'!$AC40</f>
        <v>0</v>
      </c>
      <c r="DS51" s="529">
        <f>SUM('POSF Inventory'!GW43,'POSF Inventory'!GY43)*$D$7*'POSF Zone Def'!$BB40</f>
        <v>0</v>
      </c>
      <c r="DT51" s="529">
        <f>SUM('POSF Inventory'!GX43,'POSF Inventory'!GZ43)*$D$9*'POSF Zone Def'!$BB40</f>
        <v>0</v>
      </c>
      <c r="DU51" s="529"/>
      <c r="DV51" s="529"/>
      <c r="DW51" s="529">
        <f>'POSF Inventory'!HA43*'POSF Emiss by Zone'!$D$7*'POSF Zone Def'!$BB40</f>
        <v>0</v>
      </c>
      <c r="DX51" s="524">
        <f>'POSF Inventory'!HB43*'POSF Emiss by Zone'!$D$9*'POSF Zone Def'!$BB40</f>
        <v>0</v>
      </c>
      <c r="DY51" s="474">
        <f>SUM('POSF Inventory'!GW43,'POSF Inventory'!GY43)*$D$7*'POSF Zone Def'!$BC40</f>
        <v>0</v>
      </c>
      <c r="DZ51" s="474">
        <f>SUM('POSF Inventory'!GX43,'POSF Inventory'!GZ43)*$D$9*'POSF Zone Def'!$BC40</f>
        <v>0</v>
      </c>
      <c r="EA51" s="474"/>
      <c r="EB51" s="474"/>
      <c r="EC51" s="474">
        <f>'POSF Inventory'!HA43*'POSF Emiss by Zone'!$D$7*'POSF Zone Def'!$BC40</f>
        <v>0</v>
      </c>
      <c r="ED51" s="134">
        <f>'POSF Inventory'!HB43*'POSF Emiss by Zone'!$D$9*'POSF Zone Def'!$BC40</f>
        <v>0</v>
      </c>
      <c r="EE51" s="235">
        <f>'POSF Inventory'!$CF43*'POSF Emiss by Zone'!$D$7*'POSF Zone Def'!$CE40</f>
        <v>0</v>
      </c>
      <c r="EF51" s="235">
        <f>'POSF Inventory'!$CG43*'POSF Emiss by Zone'!$D$9*'POSF Zone Def'!$CE40</f>
        <v>0</v>
      </c>
      <c r="EG51" s="235">
        <f>'POSF Inventory'!$CH43*'POSF Emiss by Zone'!$D$7*'POSF Zone Def'!$CE40</f>
        <v>0</v>
      </c>
      <c r="EH51" s="235">
        <f>'POSF Inventory'!$CI43*'POSF Emiss by Zone'!$D$9*'POSF Zone Def'!$CE40</f>
        <v>0</v>
      </c>
      <c r="EI51" s="235">
        <f>'POSF Inventory'!$CJ43*'POSF Emiss by Zone'!$D$7*'POSF Zone Def'!$CE40</f>
        <v>0</v>
      </c>
      <c r="EJ51" s="580">
        <f>'POSF Inventory'!$CK43*'POSF Emiss by Zone'!$D$9*'POSF Zone Def'!$CE40</f>
        <v>0</v>
      </c>
      <c r="EK51" s="235">
        <f>'POSF Inventory'!$CF43*'POSF Emiss by Zone'!$D$7*'POSF Zone Def'!$CF40</f>
        <v>0</v>
      </c>
      <c r="EL51" s="235">
        <f>'POSF Inventory'!$CG43*'POSF Emiss by Zone'!$D$9*'POSF Zone Def'!$CF40</f>
        <v>0</v>
      </c>
      <c r="EM51" s="235">
        <f>'POSF Inventory'!$CH43*'POSF Emiss by Zone'!$D$7*'POSF Zone Def'!$CF40</f>
        <v>0</v>
      </c>
      <c r="EN51" s="235">
        <f>'POSF Inventory'!$CI43*'POSF Emiss by Zone'!$D$9*'POSF Zone Def'!$CF40</f>
        <v>0</v>
      </c>
      <c r="EO51" s="235">
        <f>'POSF Inventory'!$CJ43*'POSF Emiss by Zone'!$D$7*'POSF Zone Def'!$CF40</f>
        <v>0</v>
      </c>
      <c r="EP51" s="580">
        <f>'POSF Inventory'!$CK43*'POSF Emiss by Zone'!$D$9*'POSF Zone Def'!$CF40</f>
        <v>0</v>
      </c>
      <c r="EQ51" s="235">
        <f>'POSF Inventory'!$CF43*'POSF Emiss by Zone'!$D$7*'POSF Zone Def'!$CG40</f>
        <v>0</v>
      </c>
      <c r="ER51" s="235">
        <f>'POSF Inventory'!$CG43*'POSF Emiss by Zone'!$D$9*'POSF Zone Def'!$CG40</f>
        <v>0</v>
      </c>
      <c r="ES51" s="235">
        <f>'POSF Inventory'!$CH43*'POSF Emiss by Zone'!$D$7*'POSF Zone Def'!$CG40</f>
        <v>0</v>
      </c>
      <c r="ET51" s="235">
        <f>'POSF Inventory'!$CI43*'POSF Emiss by Zone'!$D$9*'POSF Zone Def'!$CG40</f>
        <v>0</v>
      </c>
      <c r="EU51" s="235">
        <f>'POSF Inventory'!$CJ43*'POSF Emiss by Zone'!$D$7*'POSF Zone Def'!$CG40</f>
        <v>0</v>
      </c>
      <c r="EV51" s="580">
        <f>'POSF Inventory'!$CK43*'POSF Emiss by Zone'!$D$9*'POSF Zone Def'!$CG40</f>
        <v>0</v>
      </c>
      <c r="EW51" s="235">
        <f>'POSF Inventory'!$CF43*'POSF Emiss by Zone'!$D$7*'POSF Zone Def'!$CH40</f>
        <v>0</v>
      </c>
      <c r="EX51" s="235">
        <f>'POSF Inventory'!$CG43*'POSF Emiss by Zone'!$D$9*'POSF Zone Def'!$CH40</f>
        <v>0</v>
      </c>
      <c r="EY51" s="235">
        <f>'POSF Inventory'!$CH43*'POSF Emiss by Zone'!$D$7*'POSF Zone Def'!$CH40</f>
        <v>0</v>
      </c>
      <c r="EZ51" s="235">
        <f>'POSF Inventory'!$CI43*'POSF Emiss by Zone'!$D$9*'POSF Zone Def'!$CH40</f>
        <v>0</v>
      </c>
      <c r="FA51" s="235">
        <f>'POSF Inventory'!$CJ43*'POSF Emiss by Zone'!$D$7*'POSF Zone Def'!$CH40</f>
        <v>0</v>
      </c>
      <c r="FB51" s="580">
        <f>'POSF Inventory'!$CK43*'POSF Emiss by Zone'!$D$9*'POSF Zone Def'!$CH40</f>
        <v>0</v>
      </c>
      <c r="FC51" s="235">
        <f>'POSF Inventory'!$CF43*'POSF Emiss by Zone'!$D$7*'POSF Zone Def'!$CI40</f>
        <v>0</v>
      </c>
      <c r="FD51" s="235">
        <f>'POSF Inventory'!$CG43*'POSF Emiss by Zone'!$D$9*'POSF Zone Def'!$CI40</f>
        <v>0</v>
      </c>
      <c r="FE51" s="235">
        <f>'POSF Inventory'!$CH43*'POSF Emiss by Zone'!$D$7*'POSF Zone Def'!$CI40</f>
        <v>0</v>
      </c>
      <c r="FF51" s="235">
        <f>'POSF Inventory'!$CI43*'POSF Emiss by Zone'!$D$9*'POSF Zone Def'!$CI40</f>
        <v>0</v>
      </c>
      <c r="FG51" s="235">
        <f>'POSF Inventory'!$CJ43*'POSF Emiss by Zone'!$D$7*'POSF Zone Def'!$CI40</f>
        <v>0</v>
      </c>
      <c r="FH51" s="577">
        <f>'POSF Inventory'!$CK43*'POSF Emiss by Zone'!$D$9*'POSF Zone Def'!$CI40</f>
        <v>0</v>
      </c>
      <c r="FI51" s="595"/>
      <c r="FJ51" s="595"/>
      <c r="FM51" s="592">
        <v>34</v>
      </c>
      <c r="FN51" s="592">
        <f t="shared" si="0"/>
        <v>1988</v>
      </c>
      <c r="FO51" s="587">
        <v>31</v>
      </c>
      <c r="FP51" s="551">
        <f t="shared" si="20"/>
        <v>8.0261515912499988</v>
      </c>
      <c r="FQ51" s="529">
        <f t="shared" si="21"/>
        <v>8.0451483997499977</v>
      </c>
      <c r="FR51" s="529">
        <f t="shared" si="22"/>
        <v>0</v>
      </c>
      <c r="FS51" s="529">
        <f t="shared" si="23"/>
        <v>0</v>
      </c>
      <c r="FT51" s="529">
        <f t="shared" si="24"/>
        <v>5.9452974749999994</v>
      </c>
      <c r="FU51" s="524">
        <f t="shared" si="25"/>
        <v>5.9593691849999999</v>
      </c>
      <c r="FV51" s="474">
        <f t="shared" si="26"/>
        <v>8.0261515912499988</v>
      </c>
      <c r="FW51" s="474">
        <f t="shared" si="27"/>
        <v>8.0451483997499977</v>
      </c>
      <c r="FX51" s="474">
        <f t="shared" si="28"/>
        <v>0</v>
      </c>
      <c r="FY51" s="474">
        <f t="shared" si="29"/>
        <v>0</v>
      </c>
      <c r="FZ51" s="474">
        <f t="shared" si="30"/>
        <v>5.9452974749999994</v>
      </c>
      <c r="GA51" s="134">
        <f t="shared" si="31"/>
        <v>5.9593691849999999</v>
      </c>
      <c r="GB51" s="529">
        <f t="shared" si="32"/>
        <v>0</v>
      </c>
      <c r="GC51" s="529">
        <f t="shared" si="33"/>
        <v>0</v>
      </c>
      <c r="GD51" s="529">
        <f t="shared" si="34"/>
        <v>13.652274231685759</v>
      </c>
      <c r="GE51" s="529">
        <f t="shared" si="35"/>
        <v>88.767296973779878</v>
      </c>
      <c r="GF51" s="529">
        <f t="shared" si="36"/>
        <v>9.8693517181274881</v>
      </c>
      <c r="GG51" s="524">
        <f t="shared" si="37"/>
        <v>9.8927111304780855</v>
      </c>
      <c r="GH51" s="474">
        <f t="shared" si="38"/>
        <v>0</v>
      </c>
      <c r="GI51" s="474">
        <f t="shared" si="39"/>
        <v>0</v>
      </c>
      <c r="GJ51" s="474">
        <f t="shared" si="40"/>
        <v>6.2542081837773909</v>
      </c>
      <c r="GK51" s="474">
        <f t="shared" si="41"/>
        <v>14.611534339716137</v>
      </c>
      <c r="GL51" s="474">
        <f t="shared" si="42"/>
        <v>9.8693517181274881</v>
      </c>
      <c r="GM51" s="705">
        <f t="shared" si="43"/>
        <v>9.8927111304780855</v>
      </c>
      <c r="GN51" s="705">
        <f t="shared" si="44"/>
        <v>0</v>
      </c>
      <c r="GO51" s="705">
        <f t="shared" si="45"/>
        <v>0</v>
      </c>
      <c r="GP51" s="705">
        <f t="shared" si="46"/>
        <v>0</v>
      </c>
      <c r="GQ51" s="705">
        <f t="shared" si="47"/>
        <v>0</v>
      </c>
      <c r="GR51" s="705">
        <f t="shared" si="48"/>
        <v>0</v>
      </c>
      <c r="GS51" s="134">
        <f t="shared" si="49"/>
        <v>0</v>
      </c>
      <c r="GT51" s="529">
        <f t="shared" si="50"/>
        <v>0.10621450409098246</v>
      </c>
      <c r="GU51" s="529">
        <f t="shared" si="51"/>
        <v>4.1733173838595308</v>
      </c>
      <c r="GV51" s="529">
        <f t="shared" si="52"/>
        <v>1.1661018645418325E-2</v>
      </c>
      <c r="GW51" s="529">
        <f t="shared" si="53"/>
        <v>1.4415934300398404E-2</v>
      </c>
      <c r="GX51" s="529">
        <f t="shared" si="54"/>
        <v>4.2757068366533868E-2</v>
      </c>
      <c r="GY51" s="524">
        <f t="shared" si="55"/>
        <v>0.21143370307250997</v>
      </c>
      <c r="GZ51" s="474">
        <f t="shared" si="56"/>
        <v>1.2492634892800619E-2</v>
      </c>
      <c r="HA51" s="474">
        <f t="shared" si="57"/>
        <v>0.46455620912811962</v>
      </c>
      <c r="HB51" s="474">
        <f t="shared" si="58"/>
        <v>1.1661018645418325E-2</v>
      </c>
      <c r="HC51" s="474">
        <f t="shared" si="59"/>
        <v>1.4415934300398404E-2</v>
      </c>
      <c r="HD51" s="474">
        <f t="shared" si="60"/>
        <v>4.2757068366533868E-2</v>
      </c>
      <c r="HE51" s="549">
        <f t="shared" si="61"/>
        <v>0.21143370307250997</v>
      </c>
      <c r="HF51" s="235">
        <f t="shared" si="62"/>
        <v>0</v>
      </c>
      <c r="HG51" s="235">
        <f t="shared" si="63"/>
        <v>0</v>
      </c>
      <c r="HH51" s="235">
        <f t="shared" si="64"/>
        <v>0</v>
      </c>
      <c r="HI51" s="235">
        <f t="shared" si="65"/>
        <v>0</v>
      </c>
      <c r="HJ51" s="235">
        <f t="shared" si="66"/>
        <v>0</v>
      </c>
      <c r="HK51" s="580">
        <f t="shared" si="67"/>
        <v>0</v>
      </c>
      <c r="HL51" s="235">
        <f t="shared" si="68"/>
        <v>0</v>
      </c>
      <c r="HM51" s="235">
        <f t="shared" si="69"/>
        <v>0</v>
      </c>
      <c r="HN51" s="235">
        <f t="shared" si="70"/>
        <v>0</v>
      </c>
      <c r="HO51" s="235">
        <f t="shared" si="71"/>
        <v>0</v>
      </c>
      <c r="HP51" s="235">
        <f t="shared" si="72"/>
        <v>0</v>
      </c>
      <c r="HQ51" s="580">
        <f t="shared" si="73"/>
        <v>0</v>
      </c>
      <c r="HR51" s="235">
        <f t="shared" si="74"/>
        <v>0</v>
      </c>
      <c r="HS51" s="235">
        <f t="shared" si="75"/>
        <v>0</v>
      </c>
      <c r="HT51" s="235">
        <f t="shared" si="76"/>
        <v>0</v>
      </c>
      <c r="HU51" s="235">
        <f t="shared" si="77"/>
        <v>0</v>
      </c>
      <c r="HV51" s="235">
        <f t="shared" si="78"/>
        <v>0</v>
      </c>
      <c r="HW51" s="577">
        <f t="shared" si="79"/>
        <v>0</v>
      </c>
      <c r="HX51" s="235">
        <f t="shared" si="80"/>
        <v>5.6448923751122901</v>
      </c>
      <c r="HY51" s="235">
        <f t="shared" si="81"/>
        <v>221.79576773142691</v>
      </c>
      <c r="HZ51" s="235">
        <f t="shared" si="82"/>
        <v>0.61973829093227084</v>
      </c>
      <c r="IA51" s="235">
        <f t="shared" si="83"/>
        <v>0.76615146216501973</v>
      </c>
      <c r="IB51" s="235">
        <f t="shared" si="84"/>
        <v>2.2723737334183269</v>
      </c>
      <c r="IC51" s="235">
        <f t="shared" si="85"/>
        <v>11.236888111753627</v>
      </c>
      <c r="ID51" s="235">
        <f t="shared" si="86"/>
        <v>0.66393549595661139</v>
      </c>
      <c r="IE51" s="235">
        <f t="shared" si="87"/>
        <v>24.689375760509058</v>
      </c>
      <c r="IF51" s="235">
        <f t="shared" si="88"/>
        <v>0.61973829093227084</v>
      </c>
      <c r="IG51" s="235">
        <f t="shared" si="89"/>
        <v>0.76615146216501973</v>
      </c>
      <c r="IH51" s="235">
        <f t="shared" si="90"/>
        <v>2.2723737334183269</v>
      </c>
      <c r="II51" s="235">
        <f t="shared" si="91"/>
        <v>11.236888111753627</v>
      </c>
      <c r="IJ51" s="235">
        <f t="shared" si="92"/>
        <v>0</v>
      </c>
      <c r="IK51" s="235">
        <f t="shared" si="93"/>
        <v>0</v>
      </c>
      <c r="IL51" s="235">
        <f t="shared" si="94"/>
        <v>0</v>
      </c>
      <c r="IM51" s="235">
        <f t="shared" si="95"/>
        <v>0</v>
      </c>
      <c r="IN51" s="235">
        <f t="shared" si="96"/>
        <v>0</v>
      </c>
      <c r="IO51" s="235">
        <f t="shared" si="97"/>
        <v>0</v>
      </c>
    </row>
    <row r="52" spans="1:249" ht="18" x14ac:dyDescent="0.25">
      <c r="A52" s="18">
        <v>1989</v>
      </c>
      <c r="B52" s="564"/>
      <c r="C52" s="529">
        <f>'POSF Inventory'!AD44*$D$5*'POSF Zone Def'!$M41</f>
        <v>8.0261515912499988</v>
      </c>
      <c r="D52" s="529">
        <f>'POSF Inventory'!AE44*$D$6*'POSF Zone Def'!$M41</f>
        <v>8.0451483997499977</v>
      </c>
      <c r="E52" s="529">
        <f>'POSF Inventory'!AF44*$D$5*'POSF Zone Def'!$M41</f>
        <v>0</v>
      </c>
      <c r="F52" s="529">
        <f>'POSF Inventory'!AG44*$D$6*'POSF Zone Def'!$M41</f>
        <v>0</v>
      </c>
      <c r="G52" s="529">
        <f>'POSF Inventory'!AH44*$D$5*'POSF Zone Def'!$M41</f>
        <v>5.9452974749999994</v>
      </c>
      <c r="H52" s="524">
        <f>'POSF Inventory'!AI44*$D$6*'POSF Zone Def'!$M41</f>
        <v>5.9593691849999999</v>
      </c>
      <c r="I52" s="474">
        <f>'POSF Inventory'!AD44*$D$5*'POSF Zone Def'!$N41</f>
        <v>8.0261515912499988</v>
      </c>
      <c r="J52" s="474">
        <f>'POSF Inventory'!AE44*$D$6*'POSF Zone Def'!$N41</f>
        <v>8.0451483997499977</v>
      </c>
      <c r="K52" s="474">
        <f>'POSF Inventory'!AF44*$D$5*'POSF Zone Def'!$N41</f>
        <v>0</v>
      </c>
      <c r="L52" s="474">
        <f>'POSF Inventory'!AG44*$D$6*'POSF Zone Def'!$N41</f>
        <v>0</v>
      </c>
      <c r="M52" s="474">
        <f>'POSF Inventory'!AH44*$D$5*'POSF Zone Def'!$N41</f>
        <v>5.9452974749999994</v>
      </c>
      <c r="N52" s="485">
        <f>'POSF Inventory'!AI44*$D$6*'POSF Zone Def'!$N41</f>
        <v>5.9593691849999999</v>
      </c>
      <c r="O52" s="529">
        <f>'POSF Inventory'!AJ44*$D$5*'POSF Zone Def'!$AP41</f>
        <v>0</v>
      </c>
      <c r="P52" s="529">
        <f>'POSF Inventory'!AK44*$D$6*'POSF Zone Def'!$AP41</f>
        <v>0</v>
      </c>
      <c r="Q52" s="529">
        <f>'POSF Inventory'!AL44*$D$5*'POSF Zone Def'!$AP41</f>
        <v>0</v>
      </c>
      <c r="R52" s="529">
        <f>'POSF Inventory'!AM44*$D$6*'POSF Zone Def'!$AP41</f>
        <v>0</v>
      </c>
      <c r="S52" s="529">
        <f>'POSF Inventory'!AN44*$D$5*'POSF Zone Def'!$AP41</f>
        <v>0</v>
      </c>
      <c r="T52" s="524">
        <f>'POSF Inventory'!AO44*$D$6*'POSF Zone Def'!$AP41</f>
        <v>0</v>
      </c>
      <c r="U52" s="474">
        <f>'POSF Inventory'!AJ44*$D$5*'POSF Zone Def'!$AQ41</f>
        <v>0</v>
      </c>
      <c r="V52" s="474">
        <f>'POSF Inventory'!AK44*$D$6*'POSF Zone Def'!$AQ41</f>
        <v>0</v>
      </c>
      <c r="W52" s="474">
        <f>'POSF Inventory'!AL44*$D$5*'POSF Zone Def'!$AQ41</f>
        <v>0</v>
      </c>
      <c r="X52" s="474">
        <f>'POSF Inventory'!AM44*$D$6*'POSF Zone Def'!$AQ41</f>
        <v>0</v>
      </c>
      <c r="Y52" s="474">
        <f>'POSF Inventory'!AN44*$D$5*'POSF Zone Def'!$AQ41</f>
        <v>0</v>
      </c>
      <c r="Z52" s="134">
        <f>'POSF Inventory'!AO44*$D$6*'POSF Zone Def'!$AQ41</f>
        <v>0</v>
      </c>
      <c r="AA52" s="529">
        <f>'POSF Inventory'!AV44*'POSF Emiss by Zone'!$D$5*'POSF Zone Def'!$M41</f>
        <v>0</v>
      </c>
      <c r="AB52" s="529">
        <f>'POSF Inventory'!AW44*'POSF Emiss by Zone'!$D$6*'POSF Zone Def'!$M41</f>
        <v>0</v>
      </c>
      <c r="AC52" s="529">
        <f>'POSF Inventory'!AX44*'POSF Emiss by Zone'!$D$5*'POSF Zone Def'!$M41</f>
        <v>5.3507677275000001</v>
      </c>
      <c r="AD52" s="529">
        <f>'POSF Inventory'!AY44*'POSF Emiss by Zone'!$D$6*'POSF Zone Def'!$M41</f>
        <v>5.3634322664999994</v>
      </c>
      <c r="AE52" s="529">
        <f>'POSF Inventory'!AZ44*'POSF Emiss by Zone'!$D$5*'POSF Zone Def'!$M41</f>
        <v>9.9088291249999987</v>
      </c>
      <c r="AF52" s="524">
        <f>'POSF Inventory'!BA44*'POSF Emiss by Zone'!$D$6*'POSF Zone Def'!$M41</f>
        <v>9.9322819749999987</v>
      </c>
      <c r="AG52" s="474">
        <f>'POSF Inventory'!AV44*'POSF Emiss by Zone'!$D$5*'POSF Zone Def'!$N41</f>
        <v>0</v>
      </c>
      <c r="AH52" s="474">
        <f>'POSF Inventory'!AW44*'POSF Emiss by Zone'!$D$6*'POSF Zone Def'!$N41</f>
        <v>0</v>
      </c>
      <c r="AI52" s="474">
        <f>'POSF Inventory'!AX44*'POSF Emiss by Zone'!$D$5*'POSF Zone Def'!$N41</f>
        <v>5.3507677275000001</v>
      </c>
      <c r="AJ52" s="474">
        <f>'POSF Inventory'!AY44*'POSF Emiss by Zone'!$D$6*'POSF Zone Def'!$N41</f>
        <v>5.3634322664999994</v>
      </c>
      <c r="AK52" s="474">
        <f>'POSF Inventory'!AZ44*'POSF Emiss by Zone'!$D$5*'POSF Zone Def'!$N41</f>
        <v>9.9088291249999987</v>
      </c>
      <c r="AL52" s="549">
        <f>'POSF Inventory'!BA44*'POSF Emiss by Zone'!$D$6*'POSF Zone Def'!$N41</f>
        <v>9.9322819749999987</v>
      </c>
      <c r="AM52" s="529">
        <f>'POSF Inventory'!BB44*'POSF Emiss by Zone'!$D$5*'POSF Zone Def'!$AP41</f>
        <v>0</v>
      </c>
      <c r="AN52" s="529">
        <f>'POSF Inventory'!BC44*'POSF Emiss by Zone'!$D$6*'POSF Zone Def'!$AP41</f>
        <v>0</v>
      </c>
      <c r="AO52" s="529">
        <f>'POSF Inventory'!BD44*'POSF Emiss by Zone'!$D$5*'POSF Zone Def'!$AP41</f>
        <v>0</v>
      </c>
      <c r="AP52" s="529">
        <f>'POSF Inventory'!BE44*'POSF Emiss by Zone'!$D$6*'POSF Zone Def'!$AP41</f>
        <v>0</v>
      </c>
      <c r="AQ52" s="529">
        <f>'POSF Inventory'!BF44*'POSF Emiss by Zone'!$D$5*'POSF Zone Def'!$AP41</f>
        <v>0</v>
      </c>
      <c r="AR52" s="524">
        <f>'POSF Inventory'!BG44*'POSF Emiss by Zone'!$D$6*'POSF Zone Def'!$AP41</f>
        <v>0</v>
      </c>
      <c r="AS52" s="474">
        <f>'POSF Inventory'!BB44*'POSF Emiss by Zone'!$D$5*'POSF Zone Def'!$AQ41</f>
        <v>0</v>
      </c>
      <c r="AT52" s="474">
        <f>'POSF Inventory'!BC44*'POSF Emiss by Zone'!$D$6*'POSF Zone Def'!$AQ41</f>
        <v>0</v>
      </c>
      <c r="AU52" s="474">
        <f>'POSF Inventory'!BD44*'POSF Emiss by Zone'!$D$5*'POSF Zone Def'!$AQ41</f>
        <v>0</v>
      </c>
      <c r="AV52" s="474">
        <f>'POSF Inventory'!BE44*'POSF Emiss by Zone'!$D$6*'POSF Zone Def'!$AQ41</f>
        <v>0</v>
      </c>
      <c r="AW52" s="474">
        <f>'POSF Inventory'!BF44*'POSF Emiss by Zone'!$D$5*'POSF Zone Def'!$AQ41</f>
        <v>0</v>
      </c>
      <c r="AX52" s="134">
        <f>'POSF Inventory'!BG44*'POSF Emiss by Zone'!$D$6*'POSF Zone Def'!$AQ41</f>
        <v>0</v>
      </c>
      <c r="AY52" s="529">
        <f>'POSF Inventory'!EA44*'POSF Emiss by Zone'!$D$5*'POSF Zone Def'!$Y41</f>
        <v>0</v>
      </c>
      <c r="AZ52" s="529">
        <f>'POSF Inventory'!EB44*'POSF Emiss by Zone'!$D$6*'POSF Zone Def'!$Y41</f>
        <v>0</v>
      </c>
      <c r="BA52" s="529">
        <f>'POSF Inventory'!EC44*'POSF Emiss by Zone'!$D$5*'POSF Zone Def'!$Y41</f>
        <v>8.3561156011125011</v>
      </c>
      <c r="BB52" s="529">
        <f>'POSF Inventory'!ED44*'POSF Emiss by Zone'!$D$6*'POSF Zone Def'!$Y41</f>
        <v>83.758933895175005</v>
      </c>
      <c r="BC52" s="529">
        <f>'POSF Inventory'!EE44*'POSF Emiss by Zone'!$D$5*'POSF Zone Def'!$Y41</f>
        <v>0</v>
      </c>
      <c r="BD52" s="524">
        <f>'POSF Inventory'!EF44*'POSF Emiss by Zone'!$D$6*'POSF Zone Def'!$Y41</f>
        <v>0</v>
      </c>
      <c r="BE52" s="474">
        <f>'POSF Inventory'!EA44*'POSF Emiss by Zone'!$D$5*'POSF Zone Def'!$Z41</f>
        <v>0</v>
      </c>
      <c r="BF52" s="474">
        <f>'POSF Inventory'!EB44*'POSF Emiss by Zone'!$D$6*'POSF Zone Def'!$Z41</f>
        <v>0</v>
      </c>
      <c r="BG52" s="474">
        <f>'POSF Inventory'!EC44*'POSF Emiss by Zone'!$D$5*'POSF Zone Def'!$Z41</f>
        <v>0.92845728901250002</v>
      </c>
      <c r="BH52" s="474">
        <f>'POSF Inventory'!ED44*'POSF Emiss by Zone'!$D$6*'POSF Zone Def'!$Z41</f>
        <v>9.3065482105750004</v>
      </c>
      <c r="BI52" s="474">
        <f>'POSF Inventory'!EE44*'POSF Emiss by Zone'!$D$5*'POSF Zone Def'!$Z41</f>
        <v>0</v>
      </c>
      <c r="BJ52" s="549">
        <f>'POSF Inventory'!EF44*'POSF Emiss by Zone'!$D$6*'POSF Zone Def'!$Z41</f>
        <v>0</v>
      </c>
      <c r="BK52" s="705">
        <f>'POSF Inventory'!$EA44*'POSF Emiss by Zone'!$D$5*'POSF Zone Def'!$AC41</f>
        <v>0</v>
      </c>
      <c r="BL52" s="705">
        <f>'POSF Inventory'!$EB44*'POSF Emiss by Zone'!$D$6*'POSF Zone Def'!$AC41</f>
        <v>0</v>
      </c>
      <c r="BM52" s="705">
        <f>'POSF Inventory'!$EC44*'POSF Emiss by Zone'!$D$5*'POSF Zone Def'!$AC41</f>
        <v>0</v>
      </c>
      <c r="BN52" s="705">
        <f>'POSF Inventory'!$ED44*'POSF Emiss by Zone'!$D$6*'POSF Zone Def'!$AC41</f>
        <v>0</v>
      </c>
      <c r="BO52" s="705">
        <f>'POSF Inventory'!$EE44*'POSF Emiss by Zone'!$D$5*'POSF Zone Def'!$AC41</f>
        <v>0</v>
      </c>
      <c r="BP52" s="708">
        <f>'POSF Inventory'!$EF44*'POSF Emiss by Zone'!$D$6*'POSF Zone Def'!$AC41</f>
        <v>0</v>
      </c>
      <c r="BQ52" s="529">
        <f>'POSF Inventory'!EG44*'POSF Emiss by Zone'!$D$5*'POSF Zone Def'!$BB41</f>
        <v>0</v>
      </c>
      <c r="BR52" s="529">
        <f>'POSF Inventory'!EH44*'POSF Emiss by Zone'!$D$6*'POSF Zone Def'!$BB41</f>
        <v>0</v>
      </c>
      <c r="BS52" s="529">
        <f>'POSF Inventory'!EI44*'POSF Emiss by Zone'!$D$5*'POSF Zone Def'!$BB41</f>
        <v>0</v>
      </c>
      <c r="BT52" s="529">
        <f>'POSF Inventory'!EJ44*'POSF Emiss by Zone'!$D$6*'POSF Zone Def'!$BB41</f>
        <v>0</v>
      </c>
      <c r="BU52" s="529">
        <f>'POSF Inventory'!EK44*'POSF Emiss by Zone'!$D$5*'POSF Zone Def'!$BB41</f>
        <v>0</v>
      </c>
      <c r="BV52" s="524">
        <f>'POSF Inventory'!EL44*'POSF Emiss by Zone'!$D$6*'POSF Zone Def'!$BB41</f>
        <v>0</v>
      </c>
      <c r="BW52" s="474">
        <f>'POSF Inventory'!EG44*'POSF Emiss by Zone'!$D$5*'POSF Zone Def'!$BC41</f>
        <v>0</v>
      </c>
      <c r="BX52" s="474">
        <f>'POSF Inventory'!EH44*'POSF Emiss by Zone'!$D$6*'POSF Zone Def'!$BC41</f>
        <v>0</v>
      </c>
      <c r="BY52" s="474">
        <f>'POSF Inventory'!EI44*'POSF Emiss by Zone'!$D$5*'POSF Zone Def'!$BC41</f>
        <v>0</v>
      </c>
      <c r="BZ52" s="474">
        <f>'POSF Inventory'!EJ44*'POSF Emiss by Zone'!$D$6*'POSF Zone Def'!$BC41</f>
        <v>0</v>
      </c>
      <c r="CA52" s="474">
        <f>'POSF Inventory'!EK44*'POSF Emiss by Zone'!$D$5*'POSF Zone Def'!$BC41</f>
        <v>0</v>
      </c>
      <c r="CB52" s="134">
        <f>'POSF Inventory'!EL44*'POSF Emiss by Zone'!$D$6*'POSF Zone Def'!$BC41</f>
        <v>0</v>
      </c>
      <c r="CC52" s="529">
        <f>'POSF Inventory'!GC44*'POSF Emiss by Zone'!$D$7*'POSF Zone Def'!$M41</f>
        <v>3.7524560000000005E-2</v>
      </c>
      <c r="CD52" s="529">
        <f>'POSF Inventory'!GD44*'POSF Emiss by Zone'!$D$9*'POSF Zone Def'!$M41</f>
        <v>4.6389737300000004E-2</v>
      </c>
      <c r="CE52" s="529">
        <f>'POSF Inventory'!GE44*'POSF Emiss by Zone'!$D$7*'POSF Zone Def'!$M41</f>
        <v>0.56286839999999994</v>
      </c>
      <c r="CF52" s="529">
        <f>'POSF Inventory'!GF44*'POSF Emiss by Zone'!$D$9*'POSF Zone Def'!$M41</f>
        <v>0.69584605949999989</v>
      </c>
      <c r="CG52" s="529">
        <f>'POSF Inventory'!GG44*'POSF Emiss by Zone'!$D$7*'POSF Zone Def'!$M41</f>
        <v>2.0638508000000004</v>
      </c>
      <c r="CH52" s="524">
        <f>'POSF Inventory'!GH44*'POSF Emiss by Zone'!$D$9*'POSF Zone Def'!$M41</f>
        <v>10.205742206000002</v>
      </c>
      <c r="CI52" s="474">
        <f>'POSF Inventory'!GC44*'POSF Emiss by Zone'!$D$7*'POSF Zone Def'!$N41</f>
        <v>3.7524560000000005E-2</v>
      </c>
      <c r="CJ52" s="474">
        <f>'POSF Inventory'!GD44*'POSF Emiss by Zone'!$D$9*'POSF Zone Def'!$N41</f>
        <v>4.6389737300000004E-2</v>
      </c>
      <c r="CK52" s="474">
        <f>'POSF Inventory'!GE44*'POSF Emiss by Zone'!$D$7*'POSF Zone Def'!$N41</f>
        <v>0.56286839999999994</v>
      </c>
      <c r="CL52" s="474">
        <f>'POSF Inventory'!GF44*'POSF Emiss by Zone'!$D$9*'POSF Zone Def'!$N41</f>
        <v>0.69584605949999989</v>
      </c>
      <c r="CM52" s="474">
        <f>'POSF Inventory'!GG44*'POSF Emiss by Zone'!$D$7*'POSF Zone Def'!$N41</f>
        <v>2.0638508000000004</v>
      </c>
      <c r="CN52" s="485">
        <f>'POSF Inventory'!GH44*'POSF Emiss by Zone'!$D$9*'POSF Zone Def'!$N41</f>
        <v>10.205742206000002</v>
      </c>
      <c r="CO52" s="529">
        <f>'POSF Inventory'!GI44*'POSF Emiss by Zone'!$D$7*'POSF Zone Def'!$AP41</f>
        <v>0</v>
      </c>
      <c r="CP52" s="529">
        <f>'POSF Inventory'!GJ44*'POSF Emiss by Zone'!$D$9*'POSF Zone Def'!$AP41</f>
        <v>0</v>
      </c>
      <c r="CQ52" s="529">
        <f>'POSF Inventory'!GK44*'POSF Emiss by Zone'!$D$7*'POSF Zone Def'!$AP41</f>
        <v>0</v>
      </c>
      <c r="CR52" s="529">
        <f>'POSF Inventory'!GL44*'POSF Emiss by Zone'!$D$9*'POSF Zone Def'!$AP41</f>
        <v>0</v>
      </c>
      <c r="CS52" s="529">
        <f>'POSF Inventory'!GM44*'POSF Emiss by Zone'!$D$7*'POSF Zone Def'!$AP41</f>
        <v>0</v>
      </c>
      <c r="CT52" s="524">
        <f>'POSF Inventory'!GN44*'POSF Emiss by Zone'!$D$9*'POSF Zone Def'!$AP41</f>
        <v>0</v>
      </c>
      <c r="CU52" s="474">
        <f>'POSF Inventory'!GI44*'POSF Emiss by Zone'!$D$7*'POSF Zone Def'!$AQ41</f>
        <v>0</v>
      </c>
      <c r="CV52" s="474">
        <f>'POSF Inventory'!GJ44*'POSF Emiss by Zone'!$D$9*'POSF Zone Def'!$AQ41</f>
        <v>0</v>
      </c>
      <c r="CW52" s="474">
        <f>'POSF Inventory'!GK44*'POSF Emiss by Zone'!$D$7*'POSF Zone Def'!$AQ41</f>
        <v>0</v>
      </c>
      <c r="CX52" s="474">
        <f>'POSF Inventory'!GL44*'POSF Emiss by Zone'!$D$9*'POSF Zone Def'!$AQ41</f>
        <v>0</v>
      </c>
      <c r="CY52" s="474">
        <f>'POSF Inventory'!GM44*'POSF Emiss by Zone'!$D$7*'POSF Zone Def'!$AQ41</f>
        <v>0</v>
      </c>
      <c r="CZ52" s="134">
        <f>'POSF Inventory'!GN44*'POSF Emiss by Zone'!$D$9*'POSF Zone Def'!$AQ41</f>
        <v>0</v>
      </c>
      <c r="DA52" s="529">
        <f>SUM('POSF Inventory'!GQ44,'POSF Inventory'!GS44)*'POSF Emiss by Zone'!$D$7*'POSF Zone Def'!$Y41</f>
        <v>5.0933364811269088</v>
      </c>
      <c r="DB52" s="529">
        <f>SUM('POSF Inventory'!GR44,'POSF Inventory'!GT44)*'POSF Emiss by Zone'!$D$9*'POSF Zone Def'!$Y41</f>
        <v>203.84954086655279</v>
      </c>
      <c r="DC52" s="529"/>
      <c r="DD52" s="529"/>
      <c r="DE52" s="529">
        <f>'POSF Inventory'!GU44*'POSF Emiss by Zone'!$D$7*'POSF Zone Def'!$Y41</f>
        <v>0</v>
      </c>
      <c r="DF52" s="524">
        <f>'POSF Inventory'!GV44*'POSF Emiss by Zone'!$D$9*'POSF Zone Def'!$Y41</f>
        <v>0</v>
      </c>
      <c r="DG52" s="474">
        <f>SUM('POSF Inventory'!GQ44,'POSF Inventory'!GS44)*'POSF Emiss by Zone'!$D$7*'POSF Zone Def'!$Z41</f>
        <v>0.56592627568076759</v>
      </c>
      <c r="DH52" s="474">
        <f>SUM('POSF Inventory'!GR44,'POSF Inventory'!GT44)*'POSF Emiss by Zone'!$D$9*'POSF Zone Def'!$Z41</f>
        <v>22.649948985172532</v>
      </c>
      <c r="DI52" s="474"/>
      <c r="DJ52" s="474"/>
      <c r="DK52" s="474">
        <f>'POSF Inventory'!GU44*'POSF Emiss by Zone'!$D$7*'POSF Zone Def'!$Z41</f>
        <v>0</v>
      </c>
      <c r="DL52" s="485">
        <f>'POSF Inventory'!GV44*'POSF Emiss by Zone'!$D$9*'POSF Zone Def'!$Z41</f>
        <v>0</v>
      </c>
      <c r="DM52" s="705">
        <f>SUM('POSF Inventory'!$GQ44,'POSF Inventory'!$GS44)*'POSF Emiss by Zone'!$D$7*'POSF Zone Def'!$AC41</f>
        <v>0</v>
      </c>
      <c r="DN52" s="705">
        <f>SUM('POSF Inventory'!$GR44,'POSF Inventory'!$GT44)*'POSF Emiss by Zone'!$D$9*'POSF Zone Def'!$AC41</f>
        <v>0</v>
      </c>
      <c r="DO52" s="705"/>
      <c r="DP52" s="705"/>
      <c r="DQ52" s="705">
        <f>'POSF Inventory'!$GU44*'POSF Emiss by Zone'!$D$7*'POSF Zone Def'!$AC41</f>
        <v>0</v>
      </c>
      <c r="DR52" s="708">
        <f>'POSF Inventory'!$GV44*'POSF Emiss by Zone'!$D$9*'POSF Zone Def'!$AC41</f>
        <v>0</v>
      </c>
      <c r="DS52" s="529">
        <f>SUM('POSF Inventory'!GW44,'POSF Inventory'!GY44)*$D$7*'POSF Zone Def'!$BB41</f>
        <v>0</v>
      </c>
      <c r="DT52" s="529">
        <f>SUM('POSF Inventory'!GX44,'POSF Inventory'!GZ44)*$D$9*'POSF Zone Def'!$BB41</f>
        <v>0</v>
      </c>
      <c r="DU52" s="529"/>
      <c r="DV52" s="529"/>
      <c r="DW52" s="529">
        <f>'POSF Inventory'!HA44*'POSF Emiss by Zone'!$D$7*'POSF Zone Def'!$BB41</f>
        <v>0</v>
      </c>
      <c r="DX52" s="524">
        <f>'POSF Inventory'!HB44*'POSF Emiss by Zone'!$D$9*'POSF Zone Def'!$BB41</f>
        <v>0</v>
      </c>
      <c r="DY52" s="474">
        <f>SUM('POSF Inventory'!GW44,'POSF Inventory'!GY44)*$D$7*'POSF Zone Def'!$BC41</f>
        <v>0</v>
      </c>
      <c r="DZ52" s="474">
        <f>SUM('POSF Inventory'!GX44,'POSF Inventory'!GZ44)*$D$9*'POSF Zone Def'!$BC41</f>
        <v>0</v>
      </c>
      <c r="EA52" s="474"/>
      <c r="EB52" s="474"/>
      <c r="EC52" s="474">
        <f>'POSF Inventory'!HA44*'POSF Emiss by Zone'!$D$7*'POSF Zone Def'!$BC41</f>
        <v>0</v>
      </c>
      <c r="ED52" s="134">
        <f>'POSF Inventory'!HB44*'POSF Emiss by Zone'!$D$9*'POSF Zone Def'!$BC41</f>
        <v>0</v>
      </c>
      <c r="EE52" s="235">
        <f>'POSF Inventory'!$CF44*'POSF Emiss by Zone'!$D$7*'POSF Zone Def'!$CE41</f>
        <v>0</v>
      </c>
      <c r="EF52" s="235">
        <f>'POSF Inventory'!$CG44*'POSF Emiss by Zone'!$D$9*'POSF Zone Def'!$CE41</f>
        <v>0</v>
      </c>
      <c r="EG52" s="235">
        <f>'POSF Inventory'!$CH44*'POSF Emiss by Zone'!$D$7*'POSF Zone Def'!$CE41</f>
        <v>0</v>
      </c>
      <c r="EH52" s="235">
        <f>'POSF Inventory'!$CI44*'POSF Emiss by Zone'!$D$9*'POSF Zone Def'!$CE41</f>
        <v>0</v>
      </c>
      <c r="EI52" s="235">
        <f>'POSF Inventory'!$CJ44*'POSF Emiss by Zone'!$D$7*'POSF Zone Def'!$CE41</f>
        <v>0</v>
      </c>
      <c r="EJ52" s="580">
        <f>'POSF Inventory'!$CK44*'POSF Emiss by Zone'!$D$9*'POSF Zone Def'!$CE41</f>
        <v>0</v>
      </c>
      <c r="EK52" s="235">
        <f>'POSF Inventory'!$CF44*'POSF Emiss by Zone'!$D$7*'POSF Zone Def'!$CF41</f>
        <v>0</v>
      </c>
      <c r="EL52" s="235">
        <f>'POSF Inventory'!$CG44*'POSF Emiss by Zone'!$D$9*'POSF Zone Def'!$CF41</f>
        <v>0</v>
      </c>
      <c r="EM52" s="235">
        <f>'POSF Inventory'!$CH44*'POSF Emiss by Zone'!$D$7*'POSF Zone Def'!$CF41</f>
        <v>0</v>
      </c>
      <c r="EN52" s="235">
        <f>'POSF Inventory'!$CI44*'POSF Emiss by Zone'!$D$9*'POSF Zone Def'!$CF41</f>
        <v>0</v>
      </c>
      <c r="EO52" s="235">
        <f>'POSF Inventory'!$CJ44*'POSF Emiss by Zone'!$D$7*'POSF Zone Def'!$CF41</f>
        <v>0</v>
      </c>
      <c r="EP52" s="580">
        <f>'POSF Inventory'!$CK44*'POSF Emiss by Zone'!$D$9*'POSF Zone Def'!$CF41</f>
        <v>0</v>
      </c>
      <c r="EQ52" s="235">
        <f>'POSF Inventory'!$CF44*'POSF Emiss by Zone'!$D$7*'POSF Zone Def'!$CG41</f>
        <v>0</v>
      </c>
      <c r="ER52" s="235">
        <f>'POSF Inventory'!$CG44*'POSF Emiss by Zone'!$D$9*'POSF Zone Def'!$CG41</f>
        <v>0</v>
      </c>
      <c r="ES52" s="235">
        <f>'POSF Inventory'!$CH44*'POSF Emiss by Zone'!$D$7*'POSF Zone Def'!$CG41</f>
        <v>0</v>
      </c>
      <c r="ET52" s="235">
        <f>'POSF Inventory'!$CI44*'POSF Emiss by Zone'!$D$9*'POSF Zone Def'!$CG41</f>
        <v>0</v>
      </c>
      <c r="EU52" s="235">
        <f>'POSF Inventory'!$CJ44*'POSF Emiss by Zone'!$D$7*'POSF Zone Def'!$CG41</f>
        <v>0</v>
      </c>
      <c r="EV52" s="580">
        <f>'POSF Inventory'!$CK44*'POSF Emiss by Zone'!$D$9*'POSF Zone Def'!$CG41</f>
        <v>0</v>
      </c>
      <c r="EW52" s="235">
        <f>'POSF Inventory'!$CF44*'POSF Emiss by Zone'!$D$7*'POSF Zone Def'!$CH41</f>
        <v>0</v>
      </c>
      <c r="EX52" s="235">
        <f>'POSF Inventory'!$CG44*'POSF Emiss by Zone'!$D$9*'POSF Zone Def'!$CH41</f>
        <v>0</v>
      </c>
      <c r="EY52" s="235">
        <f>'POSF Inventory'!$CH44*'POSF Emiss by Zone'!$D$7*'POSF Zone Def'!$CH41</f>
        <v>0</v>
      </c>
      <c r="EZ52" s="235">
        <f>'POSF Inventory'!$CI44*'POSF Emiss by Zone'!$D$9*'POSF Zone Def'!$CH41</f>
        <v>0</v>
      </c>
      <c r="FA52" s="235">
        <f>'POSF Inventory'!$CJ44*'POSF Emiss by Zone'!$D$7*'POSF Zone Def'!$CH41</f>
        <v>0</v>
      </c>
      <c r="FB52" s="580">
        <f>'POSF Inventory'!$CK44*'POSF Emiss by Zone'!$D$9*'POSF Zone Def'!$CH41</f>
        <v>0</v>
      </c>
      <c r="FC52" s="235">
        <f>'POSF Inventory'!$CF44*'POSF Emiss by Zone'!$D$7*'POSF Zone Def'!$CI41</f>
        <v>0</v>
      </c>
      <c r="FD52" s="235">
        <f>'POSF Inventory'!$CG44*'POSF Emiss by Zone'!$D$9*'POSF Zone Def'!$CI41</f>
        <v>0</v>
      </c>
      <c r="FE52" s="235">
        <f>'POSF Inventory'!$CH44*'POSF Emiss by Zone'!$D$7*'POSF Zone Def'!$CI41</f>
        <v>0</v>
      </c>
      <c r="FF52" s="235">
        <f>'POSF Inventory'!$CI44*'POSF Emiss by Zone'!$D$9*'POSF Zone Def'!$CI41</f>
        <v>0</v>
      </c>
      <c r="FG52" s="235">
        <f>'POSF Inventory'!$CJ44*'POSF Emiss by Zone'!$D$7*'POSF Zone Def'!$CI41</f>
        <v>0</v>
      </c>
      <c r="FH52" s="577">
        <f>'POSF Inventory'!$CK44*'POSF Emiss by Zone'!$D$9*'POSF Zone Def'!$CI41</f>
        <v>0</v>
      </c>
      <c r="FI52" s="595"/>
      <c r="FJ52" s="595"/>
      <c r="FM52" s="592">
        <v>35</v>
      </c>
      <c r="FN52" s="592">
        <f t="shared" si="0"/>
        <v>1989</v>
      </c>
      <c r="FO52" s="587">
        <v>32</v>
      </c>
      <c r="FP52" s="551">
        <f t="shared" si="20"/>
        <v>8.0261515912499988</v>
      </c>
      <c r="FQ52" s="529">
        <f t="shared" si="21"/>
        <v>8.0451483997499977</v>
      </c>
      <c r="FR52" s="529">
        <f t="shared" si="22"/>
        <v>0</v>
      </c>
      <c r="FS52" s="529">
        <f t="shared" si="23"/>
        <v>0</v>
      </c>
      <c r="FT52" s="529">
        <f t="shared" si="24"/>
        <v>5.9452974749999994</v>
      </c>
      <c r="FU52" s="524">
        <f t="shared" si="25"/>
        <v>5.9593691849999999</v>
      </c>
      <c r="FV52" s="474">
        <f t="shared" si="26"/>
        <v>8.0261515912499988</v>
      </c>
      <c r="FW52" s="474">
        <f t="shared" si="27"/>
        <v>8.0451483997499977</v>
      </c>
      <c r="FX52" s="474">
        <f t="shared" si="28"/>
        <v>0</v>
      </c>
      <c r="FY52" s="474">
        <f t="shared" si="29"/>
        <v>0</v>
      </c>
      <c r="FZ52" s="474">
        <f t="shared" si="30"/>
        <v>5.9452974749999994</v>
      </c>
      <c r="GA52" s="134">
        <f t="shared" si="31"/>
        <v>5.9593691849999999</v>
      </c>
      <c r="GB52" s="529">
        <f t="shared" si="32"/>
        <v>0</v>
      </c>
      <c r="GC52" s="529">
        <f t="shared" si="33"/>
        <v>0</v>
      </c>
      <c r="GD52" s="529">
        <f t="shared" si="34"/>
        <v>13.652274231685759</v>
      </c>
      <c r="GE52" s="529">
        <f t="shared" si="35"/>
        <v>88.767296973779878</v>
      </c>
      <c r="GF52" s="529">
        <f t="shared" si="36"/>
        <v>9.8693517181274881</v>
      </c>
      <c r="GG52" s="524">
        <f t="shared" si="37"/>
        <v>9.8927111304780855</v>
      </c>
      <c r="GH52" s="474">
        <f t="shared" si="38"/>
        <v>0</v>
      </c>
      <c r="GI52" s="474">
        <f t="shared" si="39"/>
        <v>0</v>
      </c>
      <c r="GJ52" s="474">
        <f t="shared" si="40"/>
        <v>6.2542081837773909</v>
      </c>
      <c r="GK52" s="474">
        <f t="shared" si="41"/>
        <v>14.611534339716137</v>
      </c>
      <c r="GL52" s="474">
        <f t="shared" si="42"/>
        <v>9.8693517181274881</v>
      </c>
      <c r="GM52" s="705">
        <f t="shared" si="43"/>
        <v>9.8927111304780855</v>
      </c>
      <c r="GN52" s="705">
        <f t="shared" si="44"/>
        <v>0</v>
      </c>
      <c r="GO52" s="705">
        <f t="shared" si="45"/>
        <v>0</v>
      </c>
      <c r="GP52" s="705">
        <f t="shared" si="46"/>
        <v>0</v>
      </c>
      <c r="GQ52" s="705">
        <f t="shared" si="47"/>
        <v>0</v>
      </c>
      <c r="GR52" s="705">
        <f t="shared" si="48"/>
        <v>0</v>
      </c>
      <c r="GS52" s="134">
        <f t="shared" si="49"/>
        <v>0</v>
      </c>
      <c r="GT52" s="529">
        <f t="shared" si="50"/>
        <v>0.10629672276438216</v>
      </c>
      <c r="GU52" s="529">
        <f t="shared" si="51"/>
        <v>4.2241388013547185</v>
      </c>
      <c r="GV52" s="529">
        <f t="shared" si="52"/>
        <v>1.1661018645418325E-2</v>
      </c>
      <c r="GW52" s="529">
        <f t="shared" si="53"/>
        <v>1.4415934300398404E-2</v>
      </c>
      <c r="GX52" s="529">
        <f t="shared" si="54"/>
        <v>4.2757068366533868E-2</v>
      </c>
      <c r="GY52" s="524">
        <f t="shared" si="55"/>
        <v>0.21143370307250997</v>
      </c>
      <c r="GZ52" s="474">
        <f t="shared" si="56"/>
        <v>1.2501770300956143E-2</v>
      </c>
      <c r="HA52" s="474">
        <f t="shared" si="57"/>
        <v>0.47020303329425167</v>
      </c>
      <c r="HB52" s="474">
        <f t="shared" si="58"/>
        <v>1.1661018645418325E-2</v>
      </c>
      <c r="HC52" s="474">
        <f t="shared" si="59"/>
        <v>1.4415934300398404E-2</v>
      </c>
      <c r="HD52" s="474">
        <f t="shared" si="60"/>
        <v>4.2757068366533868E-2</v>
      </c>
      <c r="HE52" s="549">
        <f t="shared" si="61"/>
        <v>0.21143370307250997</v>
      </c>
      <c r="HF52" s="235">
        <f t="shared" si="62"/>
        <v>0</v>
      </c>
      <c r="HG52" s="235">
        <f t="shared" si="63"/>
        <v>0</v>
      </c>
      <c r="HH52" s="235">
        <f t="shared" si="64"/>
        <v>0</v>
      </c>
      <c r="HI52" s="235">
        <f t="shared" si="65"/>
        <v>0</v>
      </c>
      <c r="HJ52" s="235">
        <f t="shared" si="66"/>
        <v>0</v>
      </c>
      <c r="HK52" s="580">
        <f t="shared" si="67"/>
        <v>0</v>
      </c>
      <c r="HL52" s="235">
        <f t="shared" si="68"/>
        <v>0</v>
      </c>
      <c r="HM52" s="235">
        <f t="shared" si="69"/>
        <v>0</v>
      </c>
      <c r="HN52" s="235">
        <f t="shared" si="70"/>
        <v>0</v>
      </c>
      <c r="HO52" s="235">
        <f t="shared" si="71"/>
        <v>0</v>
      </c>
      <c r="HP52" s="235">
        <f t="shared" si="72"/>
        <v>0</v>
      </c>
      <c r="HQ52" s="580">
        <f t="shared" si="73"/>
        <v>0</v>
      </c>
      <c r="HR52" s="235">
        <f t="shared" si="74"/>
        <v>0</v>
      </c>
      <c r="HS52" s="235">
        <f t="shared" si="75"/>
        <v>0</v>
      </c>
      <c r="HT52" s="235">
        <f t="shared" si="76"/>
        <v>0</v>
      </c>
      <c r="HU52" s="235">
        <f t="shared" si="77"/>
        <v>0</v>
      </c>
      <c r="HV52" s="235">
        <f t="shared" si="78"/>
        <v>0</v>
      </c>
      <c r="HW52" s="577">
        <f t="shared" si="79"/>
        <v>0</v>
      </c>
      <c r="HX52" s="235">
        <f t="shared" si="80"/>
        <v>5.6492619813778173</v>
      </c>
      <c r="HY52" s="235">
        <f t="shared" si="81"/>
        <v>224.49673060430578</v>
      </c>
      <c r="HZ52" s="235">
        <f t="shared" si="82"/>
        <v>0.61973829093227084</v>
      </c>
      <c r="IA52" s="235">
        <f t="shared" si="83"/>
        <v>0.76615146216501973</v>
      </c>
      <c r="IB52" s="235">
        <f t="shared" si="84"/>
        <v>2.2723737334183269</v>
      </c>
      <c r="IC52" s="235">
        <f t="shared" si="85"/>
        <v>11.236888111753627</v>
      </c>
      <c r="ID52" s="235">
        <f t="shared" si="86"/>
        <v>0.66442100776389212</v>
      </c>
      <c r="IE52" s="235">
        <f t="shared" si="87"/>
        <v>24.989482746384493</v>
      </c>
      <c r="IF52" s="235">
        <f t="shared" si="88"/>
        <v>0.61973829093227084</v>
      </c>
      <c r="IG52" s="235">
        <f t="shared" si="89"/>
        <v>0.76615146216501973</v>
      </c>
      <c r="IH52" s="235">
        <f t="shared" si="90"/>
        <v>2.2723737334183269</v>
      </c>
      <c r="II52" s="235">
        <f t="shared" si="91"/>
        <v>11.236888111753627</v>
      </c>
      <c r="IJ52" s="235">
        <f t="shared" si="92"/>
        <v>0</v>
      </c>
      <c r="IK52" s="235">
        <f t="shared" si="93"/>
        <v>0</v>
      </c>
      <c r="IL52" s="235">
        <f t="shared" si="94"/>
        <v>0</v>
      </c>
      <c r="IM52" s="235">
        <f t="shared" si="95"/>
        <v>0</v>
      </c>
      <c r="IN52" s="235">
        <f t="shared" si="96"/>
        <v>0</v>
      </c>
      <c r="IO52" s="235">
        <f t="shared" si="97"/>
        <v>0</v>
      </c>
    </row>
    <row r="53" spans="1:249" ht="18" x14ac:dyDescent="0.25">
      <c r="A53" s="18">
        <v>1990</v>
      </c>
      <c r="B53" s="564"/>
      <c r="C53" s="529">
        <f>'POSF Inventory'!AD45*$D$5*'POSF Zone Def'!$M42</f>
        <v>9.1756340324999996</v>
      </c>
      <c r="D53" s="529">
        <f>'POSF Inventory'!AE45*$D$6*'POSF Zone Def'!$M42</f>
        <v>9.1973515094999989</v>
      </c>
      <c r="E53" s="529">
        <f>'POSF Inventory'!AF45*$D$5*'POSF Zone Def'!$M42</f>
        <v>0</v>
      </c>
      <c r="F53" s="529">
        <f>'POSF Inventory'!AG45*$D$6*'POSF Zone Def'!$M42</f>
        <v>0</v>
      </c>
      <c r="G53" s="529">
        <f>'POSF Inventory'!AH45*$D$5*'POSF Zone Def'!$M42</f>
        <v>6.7967659500000011</v>
      </c>
      <c r="H53" s="524">
        <f>'POSF Inventory'!AI45*$D$6*'POSF Zone Def'!$M42</f>
        <v>6.8128529700000007</v>
      </c>
      <c r="I53" s="474">
        <f>'POSF Inventory'!AD45*$D$5*'POSF Zone Def'!$N42</f>
        <v>9.1756340324999996</v>
      </c>
      <c r="J53" s="474">
        <f>'POSF Inventory'!AE45*$D$6*'POSF Zone Def'!$N42</f>
        <v>9.1973515094999989</v>
      </c>
      <c r="K53" s="474">
        <f>'POSF Inventory'!AF45*$D$5*'POSF Zone Def'!$N42</f>
        <v>0</v>
      </c>
      <c r="L53" s="474">
        <f>'POSF Inventory'!AG45*$D$6*'POSF Zone Def'!$N42</f>
        <v>0</v>
      </c>
      <c r="M53" s="474">
        <f>'POSF Inventory'!AH45*$D$5*'POSF Zone Def'!$N42</f>
        <v>6.7967659500000011</v>
      </c>
      <c r="N53" s="485">
        <f>'POSF Inventory'!AI45*$D$6*'POSF Zone Def'!$N42</f>
        <v>6.8128529700000007</v>
      </c>
      <c r="O53" s="529">
        <f>'POSF Inventory'!AJ45*$D$5*'POSF Zone Def'!$AP42</f>
        <v>0</v>
      </c>
      <c r="P53" s="529">
        <f>'POSF Inventory'!AK45*$D$6*'POSF Zone Def'!$AP42</f>
        <v>0</v>
      </c>
      <c r="Q53" s="529">
        <f>'POSF Inventory'!AL45*$D$5*'POSF Zone Def'!$AP42</f>
        <v>0</v>
      </c>
      <c r="R53" s="529">
        <f>'POSF Inventory'!AM45*$D$6*'POSF Zone Def'!$AP42</f>
        <v>0</v>
      </c>
      <c r="S53" s="529">
        <f>'POSF Inventory'!AN45*$D$5*'POSF Zone Def'!$AP42</f>
        <v>0</v>
      </c>
      <c r="T53" s="524">
        <f>'POSF Inventory'!AO45*$D$6*'POSF Zone Def'!$AP42</f>
        <v>0</v>
      </c>
      <c r="U53" s="474">
        <f>'POSF Inventory'!AJ45*$D$5*'POSF Zone Def'!$AQ42</f>
        <v>0</v>
      </c>
      <c r="V53" s="474">
        <f>'POSF Inventory'!AK45*$D$6*'POSF Zone Def'!$AQ42</f>
        <v>0</v>
      </c>
      <c r="W53" s="474">
        <f>'POSF Inventory'!AL45*$D$5*'POSF Zone Def'!$AQ42</f>
        <v>0</v>
      </c>
      <c r="X53" s="474">
        <f>'POSF Inventory'!AM45*$D$6*'POSF Zone Def'!$AQ42</f>
        <v>0</v>
      </c>
      <c r="Y53" s="474">
        <f>'POSF Inventory'!AN45*$D$5*'POSF Zone Def'!$AQ42</f>
        <v>0</v>
      </c>
      <c r="Z53" s="134">
        <f>'POSF Inventory'!AO45*$D$6*'POSF Zone Def'!$AQ42</f>
        <v>0</v>
      </c>
      <c r="AA53" s="529">
        <f>'POSF Inventory'!AV45*'POSF Emiss by Zone'!$D$5*'POSF Zone Def'!$M42</f>
        <v>0</v>
      </c>
      <c r="AB53" s="529">
        <f>'POSF Inventory'!AW45*'POSF Emiss by Zone'!$D$6*'POSF Zone Def'!$M42</f>
        <v>0</v>
      </c>
      <c r="AC53" s="529">
        <f>'POSF Inventory'!AX45*'POSF Emiss by Zone'!$D$5*'POSF Zone Def'!$M42</f>
        <v>6.1170893550000001</v>
      </c>
      <c r="AD53" s="529">
        <f>'POSF Inventory'!AY45*'POSF Emiss by Zone'!$D$6*'POSF Zone Def'!$M42</f>
        <v>6.1315676730000002</v>
      </c>
      <c r="AE53" s="529">
        <f>'POSF Inventory'!AZ45*'POSF Emiss by Zone'!$D$5*'POSF Zone Def'!$M42</f>
        <v>11.327943250000001</v>
      </c>
      <c r="AF53" s="524">
        <f>'POSF Inventory'!BA45*'POSF Emiss by Zone'!$D$6*'POSF Zone Def'!$M42</f>
        <v>11.35475495</v>
      </c>
      <c r="AG53" s="474">
        <f>'POSF Inventory'!AV45*'POSF Emiss by Zone'!$D$5*'POSF Zone Def'!$N42</f>
        <v>0</v>
      </c>
      <c r="AH53" s="474">
        <f>'POSF Inventory'!AW45*'POSF Emiss by Zone'!$D$6*'POSF Zone Def'!$N42</f>
        <v>0</v>
      </c>
      <c r="AI53" s="474">
        <f>'POSF Inventory'!AX45*'POSF Emiss by Zone'!$D$5*'POSF Zone Def'!$N42</f>
        <v>6.1170893550000001</v>
      </c>
      <c r="AJ53" s="474">
        <f>'POSF Inventory'!AY45*'POSF Emiss by Zone'!$D$6*'POSF Zone Def'!$N42</f>
        <v>6.1315676730000002</v>
      </c>
      <c r="AK53" s="474">
        <f>'POSF Inventory'!AZ45*'POSF Emiss by Zone'!$D$5*'POSF Zone Def'!$N42</f>
        <v>11.327943250000001</v>
      </c>
      <c r="AL53" s="549">
        <f>'POSF Inventory'!BA45*'POSF Emiss by Zone'!$D$6*'POSF Zone Def'!$N42</f>
        <v>11.35475495</v>
      </c>
      <c r="AM53" s="529">
        <f>'POSF Inventory'!BB45*'POSF Emiss by Zone'!$D$5*'POSF Zone Def'!$AP42</f>
        <v>0</v>
      </c>
      <c r="AN53" s="529">
        <f>'POSF Inventory'!BC45*'POSF Emiss by Zone'!$D$6*'POSF Zone Def'!$AP42</f>
        <v>0</v>
      </c>
      <c r="AO53" s="529">
        <f>'POSF Inventory'!BD45*'POSF Emiss by Zone'!$D$5*'POSF Zone Def'!$AP42</f>
        <v>0</v>
      </c>
      <c r="AP53" s="529">
        <f>'POSF Inventory'!BE45*'POSF Emiss by Zone'!$D$6*'POSF Zone Def'!$AP42</f>
        <v>0</v>
      </c>
      <c r="AQ53" s="529">
        <f>'POSF Inventory'!BF45*'POSF Emiss by Zone'!$D$5*'POSF Zone Def'!$AP42</f>
        <v>0</v>
      </c>
      <c r="AR53" s="524">
        <f>'POSF Inventory'!BG45*'POSF Emiss by Zone'!$D$6*'POSF Zone Def'!$AP42</f>
        <v>0</v>
      </c>
      <c r="AS53" s="474">
        <f>'POSF Inventory'!BB45*'POSF Emiss by Zone'!$D$5*'POSF Zone Def'!$AQ42</f>
        <v>0</v>
      </c>
      <c r="AT53" s="474">
        <f>'POSF Inventory'!BC45*'POSF Emiss by Zone'!$D$6*'POSF Zone Def'!$AQ42</f>
        <v>0</v>
      </c>
      <c r="AU53" s="474">
        <f>'POSF Inventory'!BD45*'POSF Emiss by Zone'!$D$5*'POSF Zone Def'!$AQ42</f>
        <v>0</v>
      </c>
      <c r="AV53" s="474">
        <f>'POSF Inventory'!BE45*'POSF Emiss by Zone'!$D$6*'POSF Zone Def'!$AQ42</f>
        <v>0</v>
      </c>
      <c r="AW53" s="474">
        <f>'POSF Inventory'!BF45*'POSF Emiss by Zone'!$D$5*'POSF Zone Def'!$AQ42</f>
        <v>0</v>
      </c>
      <c r="AX53" s="134">
        <f>'POSF Inventory'!BG45*'POSF Emiss by Zone'!$D$6*'POSF Zone Def'!$AQ42</f>
        <v>0</v>
      </c>
      <c r="AY53" s="529">
        <f>'POSF Inventory'!EA45*'POSF Emiss by Zone'!$D$5*'POSF Zone Def'!$Y42</f>
        <v>0</v>
      </c>
      <c r="AZ53" s="529">
        <f>'POSF Inventory'!EB45*'POSF Emiss by Zone'!$D$6*'POSF Zone Def'!$Y42</f>
        <v>0</v>
      </c>
      <c r="BA53" s="529">
        <f>'POSF Inventory'!EC45*'POSF Emiss by Zone'!$D$5*'POSF Zone Def'!$Y42</f>
        <v>8.9544850719187501</v>
      </c>
      <c r="BB53" s="529">
        <f>'POSF Inventory'!ED45*'POSF Emiss by Zone'!$D$6*'POSF Zone Def'!$Y42</f>
        <v>89.756791194262519</v>
      </c>
      <c r="BC53" s="529">
        <f>'POSF Inventory'!EE45*'POSF Emiss by Zone'!$D$5*'POSF Zone Def'!$Y42</f>
        <v>0</v>
      </c>
      <c r="BD53" s="524">
        <f>'POSF Inventory'!EF45*'POSF Emiss by Zone'!$D$6*'POSF Zone Def'!$Y42</f>
        <v>0</v>
      </c>
      <c r="BE53" s="474">
        <f>'POSF Inventory'!EA45*'POSF Emiss by Zone'!$D$5*'POSF Zone Def'!$Z42</f>
        <v>0</v>
      </c>
      <c r="BF53" s="474">
        <f>'POSF Inventory'!EB45*'POSF Emiss by Zone'!$D$6*'POSF Zone Def'!$Z42</f>
        <v>0</v>
      </c>
      <c r="BG53" s="474">
        <f>'POSF Inventory'!EC45*'POSF Emiss by Zone'!$D$5*'POSF Zone Def'!$Z42</f>
        <v>0.99494278576875006</v>
      </c>
      <c r="BH53" s="474">
        <f>'POSF Inventory'!ED45*'POSF Emiss by Zone'!$D$6*'POSF Zone Def'!$Z42</f>
        <v>9.9729767993625025</v>
      </c>
      <c r="BI53" s="474">
        <f>'POSF Inventory'!EE45*'POSF Emiss by Zone'!$D$5*'POSF Zone Def'!$Z42</f>
        <v>0</v>
      </c>
      <c r="BJ53" s="549">
        <f>'POSF Inventory'!EF45*'POSF Emiss by Zone'!$D$6*'POSF Zone Def'!$Z42</f>
        <v>0</v>
      </c>
      <c r="BK53" s="705">
        <f>'POSF Inventory'!$EA45*'POSF Emiss by Zone'!$D$5*'POSF Zone Def'!$AC42</f>
        <v>0</v>
      </c>
      <c r="BL53" s="705">
        <f>'POSF Inventory'!$EB45*'POSF Emiss by Zone'!$D$6*'POSF Zone Def'!$AC42</f>
        <v>0</v>
      </c>
      <c r="BM53" s="705">
        <f>'POSF Inventory'!$EC45*'POSF Emiss by Zone'!$D$5*'POSF Zone Def'!$AC42</f>
        <v>0</v>
      </c>
      <c r="BN53" s="705">
        <f>'POSF Inventory'!$ED45*'POSF Emiss by Zone'!$D$6*'POSF Zone Def'!$AC42</f>
        <v>0</v>
      </c>
      <c r="BO53" s="705">
        <f>'POSF Inventory'!$EE45*'POSF Emiss by Zone'!$D$5*'POSF Zone Def'!$AC42</f>
        <v>0</v>
      </c>
      <c r="BP53" s="708">
        <f>'POSF Inventory'!$EF45*'POSF Emiss by Zone'!$D$6*'POSF Zone Def'!$AC42</f>
        <v>0</v>
      </c>
      <c r="BQ53" s="529">
        <f>'POSF Inventory'!EG45*'POSF Emiss by Zone'!$D$5*'POSF Zone Def'!$BB42</f>
        <v>0</v>
      </c>
      <c r="BR53" s="529">
        <f>'POSF Inventory'!EH45*'POSF Emiss by Zone'!$D$6*'POSF Zone Def'!$BB42</f>
        <v>0</v>
      </c>
      <c r="BS53" s="529">
        <f>'POSF Inventory'!EI45*'POSF Emiss by Zone'!$D$5*'POSF Zone Def'!$BB42</f>
        <v>0</v>
      </c>
      <c r="BT53" s="529">
        <f>'POSF Inventory'!EJ45*'POSF Emiss by Zone'!$D$6*'POSF Zone Def'!$BB42</f>
        <v>0</v>
      </c>
      <c r="BU53" s="529">
        <f>'POSF Inventory'!EK45*'POSF Emiss by Zone'!$D$5*'POSF Zone Def'!$BB42</f>
        <v>0</v>
      </c>
      <c r="BV53" s="524">
        <f>'POSF Inventory'!EL45*'POSF Emiss by Zone'!$D$6*'POSF Zone Def'!$BB42</f>
        <v>0</v>
      </c>
      <c r="BW53" s="474">
        <f>'POSF Inventory'!EG45*'POSF Emiss by Zone'!$D$5*'POSF Zone Def'!$BC42</f>
        <v>0</v>
      </c>
      <c r="BX53" s="474">
        <f>'POSF Inventory'!EH45*'POSF Emiss by Zone'!$D$6*'POSF Zone Def'!$BC42</f>
        <v>0</v>
      </c>
      <c r="BY53" s="474">
        <f>'POSF Inventory'!EI45*'POSF Emiss by Zone'!$D$5*'POSF Zone Def'!$BC42</f>
        <v>0</v>
      </c>
      <c r="BZ53" s="474">
        <f>'POSF Inventory'!EJ45*'POSF Emiss by Zone'!$D$6*'POSF Zone Def'!$BC42</f>
        <v>0</v>
      </c>
      <c r="CA53" s="474">
        <f>'POSF Inventory'!EK45*'POSF Emiss by Zone'!$D$5*'POSF Zone Def'!$BC42</f>
        <v>0</v>
      </c>
      <c r="CB53" s="134">
        <f>'POSF Inventory'!EL45*'POSF Emiss by Zone'!$D$6*'POSF Zone Def'!$BC42</f>
        <v>0</v>
      </c>
      <c r="CC53" s="529">
        <f>'POSF Inventory'!GC45*'POSF Emiss by Zone'!$D$7*'POSF Zone Def'!$M42</f>
        <v>4.2898720000000008E-2</v>
      </c>
      <c r="CD53" s="529">
        <f>'POSF Inventory'!GD45*'POSF Emiss by Zone'!$D$9*'POSF Zone Def'!$M42</f>
        <v>5.3033542600000011E-2</v>
      </c>
      <c r="CE53" s="529">
        <f>'POSF Inventory'!GE45*'POSF Emiss by Zone'!$D$7*'POSF Zone Def'!$M42</f>
        <v>0.64348079999999996</v>
      </c>
      <c r="CF53" s="529">
        <f>'POSF Inventory'!GF45*'POSF Emiss by Zone'!$D$9*'POSF Zone Def'!$M42</f>
        <v>0.79550313900000003</v>
      </c>
      <c r="CG53" s="529">
        <f>'POSF Inventory'!GG45*'POSF Emiss by Zone'!$D$7*'POSF Zone Def'!$M42</f>
        <v>2.3594295999999999</v>
      </c>
      <c r="CH53" s="524">
        <f>'POSF Inventory'!GH45*'POSF Emiss by Zone'!$D$9*'POSF Zone Def'!$M42</f>
        <v>11.667379372000001</v>
      </c>
      <c r="CI53" s="474">
        <f>'POSF Inventory'!GC45*'POSF Emiss by Zone'!$D$7*'POSF Zone Def'!$N42</f>
        <v>4.2898720000000008E-2</v>
      </c>
      <c r="CJ53" s="474">
        <f>'POSF Inventory'!GD45*'POSF Emiss by Zone'!$D$9*'POSF Zone Def'!$N42</f>
        <v>5.3033542600000011E-2</v>
      </c>
      <c r="CK53" s="474">
        <f>'POSF Inventory'!GE45*'POSF Emiss by Zone'!$D$7*'POSF Zone Def'!$N42</f>
        <v>0.64348079999999996</v>
      </c>
      <c r="CL53" s="474">
        <f>'POSF Inventory'!GF45*'POSF Emiss by Zone'!$D$9*'POSF Zone Def'!$N42</f>
        <v>0.79550313900000003</v>
      </c>
      <c r="CM53" s="474">
        <f>'POSF Inventory'!GG45*'POSF Emiss by Zone'!$D$7*'POSF Zone Def'!$N42</f>
        <v>2.3594295999999999</v>
      </c>
      <c r="CN53" s="485">
        <f>'POSF Inventory'!GH45*'POSF Emiss by Zone'!$D$9*'POSF Zone Def'!$N42</f>
        <v>11.667379372000001</v>
      </c>
      <c r="CO53" s="529">
        <f>'POSF Inventory'!GI45*'POSF Emiss by Zone'!$D$7*'POSF Zone Def'!$AP42</f>
        <v>0</v>
      </c>
      <c r="CP53" s="529">
        <f>'POSF Inventory'!GJ45*'POSF Emiss by Zone'!$D$9*'POSF Zone Def'!$AP42</f>
        <v>0</v>
      </c>
      <c r="CQ53" s="529">
        <f>'POSF Inventory'!GK45*'POSF Emiss by Zone'!$D$7*'POSF Zone Def'!$AP42</f>
        <v>0</v>
      </c>
      <c r="CR53" s="529">
        <f>'POSF Inventory'!GL45*'POSF Emiss by Zone'!$D$9*'POSF Zone Def'!$AP42</f>
        <v>0</v>
      </c>
      <c r="CS53" s="529">
        <f>'POSF Inventory'!GM45*'POSF Emiss by Zone'!$D$7*'POSF Zone Def'!$AP42</f>
        <v>0</v>
      </c>
      <c r="CT53" s="524">
        <f>'POSF Inventory'!GN45*'POSF Emiss by Zone'!$D$9*'POSF Zone Def'!$AP42</f>
        <v>0</v>
      </c>
      <c r="CU53" s="474">
        <f>'POSF Inventory'!GI45*'POSF Emiss by Zone'!$D$7*'POSF Zone Def'!$AQ42</f>
        <v>0</v>
      </c>
      <c r="CV53" s="474">
        <f>'POSF Inventory'!GJ45*'POSF Emiss by Zone'!$D$9*'POSF Zone Def'!$AQ42</f>
        <v>0</v>
      </c>
      <c r="CW53" s="474">
        <f>'POSF Inventory'!GK45*'POSF Emiss by Zone'!$D$7*'POSF Zone Def'!$AQ42</f>
        <v>0</v>
      </c>
      <c r="CX53" s="474">
        <f>'POSF Inventory'!GL45*'POSF Emiss by Zone'!$D$9*'POSF Zone Def'!$AQ42</f>
        <v>0</v>
      </c>
      <c r="CY53" s="474">
        <f>'POSF Inventory'!GM45*'POSF Emiss by Zone'!$D$7*'POSF Zone Def'!$AQ42</f>
        <v>0</v>
      </c>
      <c r="CZ53" s="134">
        <f>'POSF Inventory'!GN45*'POSF Emiss by Zone'!$D$9*'POSF Zone Def'!$AQ42</f>
        <v>0</v>
      </c>
      <c r="DA53" s="529">
        <f>SUM('POSF Inventory'!GQ45,'POSF Inventory'!GS45)*'POSF Emiss by Zone'!$D$7*'POSF Zone Def'!$Y42</f>
        <v>5.4573425961503528</v>
      </c>
      <c r="DB53" s="529">
        <f>SUM('POSF Inventory'!GR45,'POSF Inventory'!GT45)*'POSF Emiss by Zone'!$D$9*'POSF Zone Def'!$Y42</f>
        <v>218.00160748741899</v>
      </c>
      <c r="DC53" s="529"/>
      <c r="DD53" s="529"/>
      <c r="DE53" s="529">
        <f>'POSF Inventory'!GU45*'POSF Emiss by Zone'!$D$7*'POSF Zone Def'!$Y42</f>
        <v>0</v>
      </c>
      <c r="DF53" s="524">
        <f>'POSF Inventory'!GV45*'POSF Emiss by Zone'!$D$9*'POSF Zone Def'!$Y42</f>
        <v>0</v>
      </c>
      <c r="DG53" s="474">
        <f>SUM('POSF Inventory'!GQ45,'POSF Inventory'!GS45)*'POSF Emiss by Zone'!$D$7*'POSF Zone Def'!$Z42</f>
        <v>0.60637139957226138</v>
      </c>
      <c r="DH53" s="474">
        <f>SUM('POSF Inventory'!GR45,'POSF Inventory'!GT45)*'POSF Emiss by Zone'!$D$9*'POSF Zone Def'!$Z42</f>
        <v>24.222400831935445</v>
      </c>
      <c r="DI53" s="474"/>
      <c r="DJ53" s="474"/>
      <c r="DK53" s="474">
        <f>'POSF Inventory'!GU45*'POSF Emiss by Zone'!$D$7*'POSF Zone Def'!$Z42</f>
        <v>0</v>
      </c>
      <c r="DL53" s="485">
        <f>'POSF Inventory'!GV45*'POSF Emiss by Zone'!$D$9*'POSF Zone Def'!$Z42</f>
        <v>0</v>
      </c>
      <c r="DM53" s="705">
        <f>SUM('POSF Inventory'!$GQ45,'POSF Inventory'!$GS45)*'POSF Emiss by Zone'!$D$7*'POSF Zone Def'!$AC42</f>
        <v>0</v>
      </c>
      <c r="DN53" s="705">
        <f>SUM('POSF Inventory'!$GR45,'POSF Inventory'!$GT45)*'POSF Emiss by Zone'!$D$9*'POSF Zone Def'!$AC42</f>
        <v>0</v>
      </c>
      <c r="DO53" s="705"/>
      <c r="DP53" s="705"/>
      <c r="DQ53" s="705">
        <f>'POSF Inventory'!$GU45*'POSF Emiss by Zone'!$D$7*'POSF Zone Def'!$AC42</f>
        <v>0</v>
      </c>
      <c r="DR53" s="708">
        <f>'POSF Inventory'!$GV45*'POSF Emiss by Zone'!$D$9*'POSF Zone Def'!$AC42</f>
        <v>0</v>
      </c>
      <c r="DS53" s="529">
        <f>SUM('POSF Inventory'!GW45,'POSF Inventory'!GY45)*$D$7*'POSF Zone Def'!$BB42</f>
        <v>0</v>
      </c>
      <c r="DT53" s="529">
        <f>SUM('POSF Inventory'!GX45,'POSF Inventory'!GZ45)*$D$9*'POSF Zone Def'!$BB42</f>
        <v>0</v>
      </c>
      <c r="DU53" s="529"/>
      <c r="DV53" s="529"/>
      <c r="DW53" s="529">
        <f>'POSF Inventory'!HA45*'POSF Emiss by Zone'!$D$7*'POSF Zone Def'!$BB42</f>
        <v>0</v>
      </c>
      <c r="DX53" s="524">
        <f>'POSF Inventory'!HB45*'POSF Emiss by Zone'!$D$9*'POSF Zone Def'!$BB42</f>
        <v>0</v>
      </c>
      <c r="DY53" s="474">
        <f>SUM('POSF Inventory'!GW45,'POSF Inventory'!GY45)*$D$7*'POSF Zone Def'!$BC42</f>
        <v>0</v>
      </c>
      <c r="DZ53" s="474">
        <f>SUM('POSF Inventory'!GX45,'POSF Inventory'!GZ45)*$D$9*'POSF Zone Def'!$BC42</f>
        <v>0</v>
      </c>
      <c r="EA53" s="474"/>
      <c r="EB53" s="474"/>
      <c r="EC53" s="474">
        <f>'POSF Inventory'!HA45*'POSF Emiss by Zone'!$D$7*'POSF Zone Def'!$BC42</f>
        <v>0</v>
      </c>
      <c r="ED53" s="134">
        <f>'POSF Inventory'!HB45*'POSF Emiss by Zone'!$D$9*'POSF Zone Def'!$BC42</f>
        <v>0</v>
      </c>
      <c r="EE53" s="235">
        <f>'POSF Inventory'!$CF45*'POSF Emiss by Zone'!$D$7*'POSF Zone Def'!$CE42</f>
        <v>0</v>
      </c>
      <c r="EF53" s="235">
        <f>'POSF Inventory'!$CG45*'POSF Emiss by Zone'!$D$9*'POSF Zone Def'!$CE42</f>
        <v>0</v>
      </c>
      <c r="EG53" s="235">
        <f>'POSF Inventory'!$CH45*'POSF Emiss by Zone'!$D$7*'POSF Zone Def'!$CE42</f>
        <v>0</v>
      </c>
      <c r="EH53" s="235">
        <f>'POSF Inventory'!$CI45*'POSF Emiss by Zone'!$D$9*'POSF Zone Def'!$CE42</f>
        <v>0</v>
      </c>
      <c r="EI53" s="235">
        <f>'POSF Inventory'!$CJ45*'POSF Emiss by Zone'!$D$7*'POSF Zone Def'!$CE42</f>
        <v>0</v>
      </c>
      <c r="EJ53" s="580">
        <f>'POSF Inventory'!$CK45*'POSF Emiss by Zone'!$D$9*'POSF Zone Def'!$CE42</f>
        <v>0</v>
      </c>
      <c r="EK53" s="235">
        <f>'POSF Inventory'!$CF45*'POSF Emiss by Zone'!$D$7*'POSF Zone Def'!$CF42</f>
        <v>0</v>
      </c>
      <c r="EL53" s="235">
        <f>'POSF Inventory'!$CG45*'POSF Emiss by Zone'!$D$9*'POSF Zone Def'!$CF42</f>
        <v>0</v>
      </c>
      <c r="EM53" s="235">
        <f>'POSF Inventory'!$CH45*'POSF Emiss by Zone'!$D$7*'POSF Zone Def'!$CF42</f>
        <v>0</v>
      </c>
      <c r="EN53" s="235">
        <f>'POSF Inventory'!$CI45*'POSF Emiss by Zone'!$D$9*'POSF Zone Def'!$CF42</f>
        <v>0</v>
      </c>
      <c r="EO53" s="235">
        <f>'POSF Inventory'!$CJ45*'POSF Emiss by Zone'!$D$7*'POSF Zone Def'!$CF42</f>
        <v>0</v>
      </c>
      <c r="EP53" s="580">
        <f>'POSF Inventory'!$CK45*'POSF Emiss by Zone'!$D$9*'POSF Zone Def'!$CF42</f>
        <v>0</v>
      </c>
      <c r="EQ53" s="235">
        <f>'POSF Inventory'!$CF45*'POSF Emiss by Zone'!$D$7*'POSF Zone Def'!$CG42</f>
        <v>0</v>
      </c>
      <c r="ER53" s="235">
        <f>'POSF Inventory'!$CG45*'POSF Emiss by Zone'!$D$9*'POSF Zone Def'!$CG42</f>
        <v>0</v>
      </c>
      <c r="ES53" s="235">
        <f>'POSF Inventory'!$CH45*'POSF Emiss by Zone'!$D$7*'POSF Zone Def'!$CG42</f>
        <v>0</v>
      </c>
      <c r="ET53" s="235">
        <f>'POSF Inventory'!$CI45*'POSF Emiss by Zone'!$D$9*'POSF Zone Def'!$CG42</f>
        <v>0</v>
      </c>
      <c r="EU53" s="235">
        <f>'POSF Inventory'!$CJ45*'POSF Emiss by Zone'!$D$7*'POSF Zone Def'!$CG42</f>
        <v>0</v>
      </c>
      <c r="EV53" s="580">
        <f>'POSF Inventory'!$CK45*'POSF Emiss by Zone'!$D$9*'POSF Zone Def'!$CG42</f>
        <v>0</v>
      </c>
      <c r="EW53" s="235">
        <f>'POSF Inventory'!$CF45*'POSF Emiss by Zone'!$D$7*'POSF Zone Def'!$CH42</f>
        <v>0</v>
      </c>
      <c r="EX53" s="235">
        <f>'POSF Inventory'!$CG45*'POSF Emiss by Zone'!$D$9*'POSF Zone Def'!$CH42</f>
        <v>0</v>
      </c>
      <c r="EY53" s="235">
        <f>'POSF Inventory'!$CH45*'POSF Emiss by Zone'!$D$7*'POSF Zone Def'!$CH42</f>
        <v>0</v>
      </c>
      <c r="EZ53" s="235">
        <f>'POSF Inventory'!$CI45*'POSF Emiss by Zone'!$D$9*'POSF Zone Def'!$CH42</f>
        <v>0</v>
      </c>
      <c r="FA53" s="235">
        <f>'POSF Inventory'!$CJ45*'POSF Emiss by Zone'!$D$7*'POSF Zone Def'!$CH42</f>
        <v>0</v>
      </c>
      <c r="FB53" s="580">
        <f>'POSF Inventory'!$CK45*'POSF Emiss by Zone'!$D$9*'POSF Zone Def'!$CH42</f>
        <v>0</v>
      </c>
      <c r="FC53" s="235">
        <f>'POSF Inventory'!$CF45*'POSF Emiss by Zone'!$D$7*'POSF Zone Def'!$CI42</f>
        <v>0</v>
      </c>
      <c r="FD53" s="235">
        <f>'POSF Inventory'!$CG45*'POSF Emiss by Zone'!$D$9*'POSF Zone Def'!$CI42</f>
        <v>0</v>
      </c>
      <c r="FE53" s="235">
        <f>'POSF Inventory'!$CH45*'POSF Emiss by Zone'!$D$7*'POSF Zone Def'!$CI42</f>
        <v>0</v>
      </c>
      <c r="FF53" s="235">
        <f>'POSF Inventory'!$CI45*'POSF Emiss by Zone'!$D$9*'POSF Zone Def'!$CI42</f>
        <v>0</v>
      </c>
      <c r="FG53" s="235">
        <f>'POSF Inventory'!$CJ45*'POSF Emiss by Zone'!$D$7*'POSF Zone Def'!$CI42</f>
        <v>0</v>
      </c>
      <c r="FH53" s="577">
        <f>'POSF Inventory'!$CK45*'POSF Emiss by Zone'!$D$9*'POSF Zone Def'!$CI42</f>
        <v>0</v>
      </c>
      <c r="FI53" s="595"/>
      <c r="FJ53" s="595"/>
      <c r="FM53" s="592">
        <v>36</v>
      </c>
      <c r="FN53" s="592">
        <f t="shared" ref="FN53:FN84" si="98">A53</f>
        <v>1990</v>
      </c>
      <c r="FO53" s="587">
        <v>33</v>
      </c>
      <c r="FP53" s="551">
        <f t="shared" si="20"/>
        <v>9.1756340324999996</v>
      </c>
      <c r="FQ53" s="529">
        <f t="shared" si="21"/>
        <v>9.1973515094999989</v>
      </c>
      <c r="FR53" s="529">
        <f t="shared" si="22"/>
        <v>0</v>
      </c>
      <c r="FS53" s="529">
        <f t="shared" si="23"/>
        <v>0</v>
      </c>
      <c r="FT53" s="529">
        <f t="shared" si="24"/>
        <v>6.7967659500000011</v>
      </c>
      <c r="FU53" s="524">
        <f t="shared" si="25"/>
        <v>6.8128529700000007</v>
      </c>
      <c r="FV53" s="474">
        <f t="shared" si="26"/>
        <v>9.1756340324999996</v>
      </c>
      <c r="FW53" s="474">
        <f t="shared" si="27"/>
        <v>9.1973515094999989</v>
      </c>
      <c r="FX53" s="474">
        <f t="shared" si="28"/>
        <v>0</v>
      </c>
      <c r="FY53" s="474">
        <f t="shared" si="29"/>
        <v>0</v>
      </c>
      <c r="FZ53" s="474">
        <f t="shared" si="30"/>
        <v>6.7967659500000011</v>
      </c>
      <c r="GA53" s="134">
        <f t="shared" si="31"/>
        <v>6.8128529700000007</v>
      </c>
      <c r="GB53" s="529">
        <f t="shared" si="32"/>
        <v>0</v>
      </c>
      <c r="GC53" s="529">
        <f t="shared" si="33"/>
        <v>0</v>
      </c>
      <c r="GD53" s="529">
        <f t="shared" si="34"/>
        <v>15.011528313664094</v>
      </c>
      <c r="GE53" s="529">
        <f t="shared" si="35"/>
        <v>95.506333533130004</v>
      </c>
      <c r="GF53" s="529">
        <f t="shared" si="36"/>
        <v>11.282812001992033</v>
      </c>
      <c r="GG53" s="524">
        <f t="shared" si="37"/>
        <v>11.30951688247012</v>
      </c>
      <c r="GH53" s="474">
        <f t="shared" si="38"/>
        <v>0</v>
      </c>
      <c r="GI53" s="474">
        <f t="shared" si="39"/>
        <v>0</v>
      </c>
      <c r="GJ53" s="474">
        <f t="shared" si="40"/>
        <v>7.0836973513632975</v>
      </c>
      <c r="GK53" s="474">
        <f t="shared" si="41"/>
        <v>16.0403829406001</v>
      </c>
      <c r="GL53" s="474">
        <f t="shared" si="42"/>
        <v>11.282812001992033</v>
      </c>
      <c r="GM53" s="705">
        <f t="shared" si="43"/>
        <v>11.30951688247012</v>
      </c>
      <c r="GN53" s="705">
        <f t="shared" si="44"/>
        <v>0</v>
      </c>
      <c r="GO53" s="705">
        <f t="shared" si="45"/>
        <v>0</v>
      </c>
      <c r="GP53" s="705">
        <f t="shared" si="46"/>
        <v>0</v>
      </c>
      <c r="GQ53" s="705">
        <f t="shared" si="47"/>
        <v>0</v>
      </c>
      <c r="GR53" s="705">
        <f t="shared" si="48"/>
        <v>0</v>
      </c>
      <c r="GS53" s="134">
        <f t="shared" si="49"/>
        <v>0</v>
      </c>
      <c r="GT53" s="529">
        <f t="shared" si="50"/>
        <v>0.11394922248598341</v>
      </c>
      <c r="GU53" s="529">
        <f t="shared" si="51"/>
        <v>4.5174666667573655</v>
      </c>
      <c r="GV53" s="529">
        <f t="shared" si="52"/>
        <v>1.3331076334661355E-2</v>
      </c>
      <c r="GW53" s="529">
        <f t="shared" si="53"/>
        <v>1.6480543118725099E-2</v>
      </c>
      <c r="GX53" s="529">
        <f t="shared" si="54"/>
        <v>4.8880613227091634E-2</v>
      </c>
      <c r="GY53" s="524">
        <f t="shared" si="55"/>
        <v>0.24171463240796814</v>
      </c>
      <c r="GZ53" s="474">
        <f t="shared" si="56"/>
        <v>1.3451014429385493E-2</v>
      </c>
      <c r="HA53" s="474">
        <f t="shared" si="57"/>
        <v>0.5029173655282243</v>
      </c>
      <c r="HB53" s="474">
        <f t="shared" si="58"/>
        <v>1.3331076334661355E-2</v>
      </c>
      <c r="HC53" s="474">
        <f t="shared" si="59"/>
        <v>1.6480543118725099E-2</v>
      </c>
      <c r="HD53" s="474">
        <f t="shared" si="60"/>
        <v>4.8880613227091634E-2</v>
      </c>
      <c r="HE53" s="549">
        <f t="shared" si="61"/>
        <v>0.24171463240796814</v>
      </c>
      <c r="HF53" s="235">
        <f t="shared" si="62"/>
        <v>0</v>
      </c>
      <c r="HG53" s="235">
        <f t="shared" si="63"/>
        <v>0</v>
      </c>
      <c r="HH53" s="235">
        <f t="shared" si="64"/>
        <v>0</v>
      </c>
      <c r="HI53" s="235">
        <f t="shared" si="65"/>
        <v>0</v>
      </c>
      <c r="HJ53" s="235">
        <f t="shared" si="66"/>
        <v>0</v>
      </c>
      <c r="HK53" s="580">
        <f t="shared" si="67"/>
        <v>0</v>
      </c>
      <c r="HL53" s="235">
        <f t="shared" si="68"/>
        <v>0</v>
      </c>
      <c r="HM53" s="235">
        <f t="shared" si="69"/>
        <v>0</v>
      </c>
      <c r="HN53" s="235">
        <f t="shared" si="70"/>
        <v>0</v>
      </c>
      <c r="HO53" s="235">
        <f t="shared" si="71"/>
        <v>0</v>
      </c>
      <c r="HP53" s="235">
        <f t="shared" si="72"/>
        <v>0</v>
      </c>
      <c r="HQ53" s="580">
        <f t="shared" si="73"/>
        <v>0</v>
      </c>
      <c r="HR53" s="235">
        <f t="shared" si="74"/>
        <v>0</v>
      </c>
      <c r="HS53" s="235">
        <f t="shared" si="75"/>
        <v>0</v>
      </c>
      <c r="HT53" s="235">
        <f t="shared" si="76"/>
        <v>0</v>
      </c>
      <c r="HU53" s="235">
        <f t="shared" si="77"/>
        <v>0</v>
      </c>
      <c r="HV53" s="235">
        <f t="shared" si="78"/>
        <v>0</v>
      </c>
      <c r="HW53" s="577">
        <f t="shared" si="79"/>
        <v>0</v>
      </c>
      <c r="HX53" s="235">
        <f t="shared" si="80"/>
        <v>6.0559629088896862</v>
      </c>
      <c r="HY53" s="235">
        <f t="shared" si="81"/>
        <v>240.08597846635874</v>
      </c>
      <c r="HZ53" s="235">
        <f t="shared" si="82"/>
        <v>0.70849543381673297</v>
      </c>
      <c r="IA53" s="235">
        <f t="shared" si="83"/>
        <v>0.87587748005593613</v>
      </c>
      <c r="IB53" s="235">
        <f t="shared" si="84"/>
        <v>2.5978165906613544</v>
      </c>
      <c r="IC53" s="235">
        <f t="shared" si="85"/>
        <v>12.846203040820397</v>
      </c>
      <c r="ID53" s="235">
        <f t="shared" si="86"/>
        <v>0.71486968225095671</v>
      </c>
      <c r="IE53" s="235">
        <f t="shared" si="87"/>
        <v>26.728123680265398</v>
      </c>
      <c r="IF53" s="235">
        <f t="shared" si="88"/>
        <v>0.70849543381673297</v>
      </c>
      <c r="IG53" s="235">
        <f t="shared" si="89"/>
        <v>0.87587748005593613</v>
      </c>
      <c r="IH53" s="235">
        <f t="shared" si="90"/>
        <v>2.5978165906613544</v>
      </c>
      <c r="II53" s="235">
        <f t="shared" si="91"/>
        <v>12.846203040820397</v>
      </c>
      <c r="IJ53" s="235">
        <f t="shared" si="92"/>
        <v>0</v>
      </c>
      <c r="IK53" s="235">
        <f t="shared" si="93"/>
        <v>0</v>
      </c>
      <c r="IL53" s="235">
        <f t="shared" si="94"/>
        <v>0</v>
      </c>
      <c r="IM53" s="235">
        <f t="shared" si="95"/>
        <v>0</v>
      </c>
      <c r="IN53" s="235">
        <f t="shared" si="96"/>
        <v>0</v>
      </c>
      <c r="IO53" s="235">
        <f t="shared" si="97"/>
        <v>0</v>
      </c>
    </row>
    <row r="54" spans="1:249" ht="18" x14ac:dyDescent="0.25">
      <c r="A54" s="18">
        <v>1991</v>
      </c>
      <c r="B54" s="564"/>
      <c r="C54" s="529">
        <f>'POSF Inventory'!AD46*$D$5*'POSF Zone Def'!$M43</f>
        <v>9.1756340324999996</v>
      </c>
      <c r="D54" s="529">
        <f>'POSF Inventory'!AE46*$D$6*'POSF Zone Def'!$M43</f>
        <v>9.1973515094999989</v>
      </c>
      <c r="E54" s="529">
        <f>'POSF Inventory'!AF46*$D$5*'POSF Zone Def'!$M43</f>
        <v>0</v>
      </c>
      <c r="F54" s="529">
        <f>'POSF Inventory'!AG46*$D$6*'POSF Zone Def'!$M43</f>
        <v>0</v>
      </c>
      <c r="G54" s="529">
        <f>'POSF Inventory'!AH46*$D$5*'POSF Zone Def'!$M43</f>
        <v>6.7967659500000011</v>
      </c>
      <c r="H54" s="524">
        <f>'POSF Inventory'!AI46*$D$6*'POSF Zone Def'!$M43</f>
        <v>6.8128529700000007</v>
      </c>
      <c r="I54" s="474">
        <f>'POSF Inventory'!AD46*$D$5*'POSF Zone Def'!$N43</f>
        <v>9.1756340324999996</v>
      </c>
      <c r="J54" s="474">
        <f>'POSF Inventory'!AE46*$D$6*'POSF Zone Def'!$N43</f>
        <v>9.1973515094999989</v>
      </c>
      <c r="K54" s="474">
        <f>'POSF Inventory'!AF46*$D$5*'POSF Zone Def'!$N43</f>
        <v>0</v>
      </c>
      <c r="L54" s="474">
        <f>'POSF Inventory'!AG46*$D$6*'POSF Zone Def'!$N43</f>
        <v>0</v>
      </c>
      <c r="M54" s="474">
        <f>'POSF Inventory'!AH46*$D$5*'POSF Zone Def'!$N43</f>
        <v>6.7967659500000011</v>
      </c>
      <c r="N54" s="485">
        <f>'POSF Inventory'!AI46*$D$6*'POSF Zone Def'!$N43</f>
        <v>6.8128529700000007</v>
      </c>
      <c r="O54" s="529">
        <f>'POSF Inventory'!AJ46*$D$5*'POSF Zone Def'!$AP43</f>
        <v>0</v>
      </c>
      <c r="P54" s="529">
        <f>'POSF Inventory'!AK46*$D$6*'POSF Zone Def'!$AP43</f>
        <v>0</v>
      </c>
      <c r="Q54" s="529">
        <f>'POSF Inventory'!AL46*$D$5*'POSF Zone Def'!$AP43</f>
        <v>0</v>
      </c>
      <c r="R54" s="529">
        <f>'POSF Inventory'!AM46*$D$6*'POSF Zone Def'!$AP43</f>
        <v>0</v>
      </c>
      <c r="S54" s="529">
        <f>'POSF Inventory'!AN46*$D$5*'POSF Zone Def'!$AP43</f>
        <v>0</v>
      </c>
      <c r="T54" s="524">
        <f>'POSF Inventory'!AO46*$D$6*'POSF Zone Def'!$AP43</f>
        <v>0</v>
      </c>
      <c r="U54" s="474">
        <f>'POSF Inventory'!AJ46*$D$5*'POSF Zone Def'!$AQ43</f>
        <v>0</v>
      </c>
      <c r="V54" s="474">
        <f>'POSF Inventory'!AK46*$D$6*'POSF Zone Def'!$AQ43</f>
        <v>0</v>
      </c>
      <c r="W54" s="474">
        <f>'POSF Inventory'!AL46*$D$5*'POSF Zone Def'!$AQ43</f>
        <v>0</v>
      </c>
      <c r="X54" s="474">
        <f>'POSF Inventory'!AM46*$D$6*'POSF Zone Def'!$AQ43</f>
        <v>0</v>
      </c>
      <c r="Y54" s="474">
        <f>'POSF Inventory'!AN46*$D$5*'POSF Zone Def'!$AQ43</f>
        <v>0</v>
      </c>
      <c r="Z54" s="134">
        <f>'POSF Inventory'!AO46*$D$6*'POSF Zone Def'!$AQ43</f>
        <v>0</v>
      </c>
      <c r="AA54" s="529">
        <f>'POSF Inventory'!AV46*'POSF Emiss by Zone'!$D$5*'POSF Zone Def'!$M43</f>
        <v>0</v>
      </c>
      <c r="AB54" s="529">
        <f>'POSF Inventory'!AW46*'POSF Emiss by Zone'!$D$6*'POSF Zone Def'!$M43</f>
        <v>0</v>
      </c>
      <c r="AC54" s="529">
        <f>'POSF Inventory'!AX46*'POSF Emiss by Zone'!$D$5*'POSF Zone Def'!$M43</f>
        <v>6.1170893550000001</v>
      </c>
      <c r="AD54" s="529">
        <f>'POSF Inventory'!AY46*'POSF Emiss by Zone'!$D$6*'POSF Zone Def'!$M43</f>
        <v>6.1315676730000002</v>
      </c>
      <c r="AE54" s="529">
        <f>'POSF Inventory'!AZ46*'POSF Emiss by Zone'!$D$5*'POSF Zone Def'!$M43</f>
        <v>11.327943250000001</v>
      </c>
      <c r="AF54" s="524">
        <f>'POSF Inventory'!BA46*'POSF Emiss by Zone'!$D$6*'POSF Zone Def'!$M43</f>
        <v>11.35475495</v>
      </c>
      <c r="AG54" s="474">
        <f>'POSF Inventory'!AV46*'POSF Emiss by Zone'!$D$5*'POSF Zone Def'!$N43</f>
        <v>0</v>
      </c>
      <c r="AH54" s="474">
        <f>'POSF Inventory'!AW46*'POSF Emiss by Zone'!$D$6*'POSF Zone Def'!$N43</f>
        <v>0</v>
      </c>
      <c r="AI54" s="474">
        <f>'POSF Inventory'!AX46*'POSF Emiss by Zone'!$D$5*'POSF Zone Def'!$N43</f>
        <v>6.1170893550000001</v>
      </c>
      <c r="AJ54" s="474">
        <f>'POSF Inventory'!AY46*'POSF Emiss by Zone'!$D$6*'POSF Zone Def'!$N43</f>
        <v>6.1315676730000002</v>
      </c>
      <c r="AK54" s="474">
        <f>'POSF Inventory'!AZ46*'POSF Emiss by Zone'!$D$5*'POSF Zone Def'!$N43</f>
        <v>11.327943250000001</v>
      </c>
      <c r="AL54" s="549">
        <f>'POSF Inventory'!BA46*'POSF Emiss by Zone'!$D$6*'POSF Zone Def'!$N43</f>
        <v>11.35475495</v>
      </c>
      <c r="AM54" s="529">
        <f>'POSF Inventory'!BB46*'POSF Emiss by Zone'!$D$5*'POSF Zone Def'!$AP43</f>
        <v>0</v>
      </c>
      <c r="AN54" s="529">
        <f>'POSF Inventory'!BC46*'POSF Emiss by Zone'!$D$6*'POSF Zone Def'!$AP43</f>
        <v>0</v>
      </c>
      <c r="AO54" s="529">
        <f>'POSF Inventory'!BD46*'POSF Emiss by Zone'!$D$5*'POSF Zone Def'!$AP43</f>
        <v>0</v>
      </c>
      <c r="AP54" s="529">
        <f>'POSF Inventory'!BE46*'POSF Emiss by Zone'!$D$6*'POSF Zone Def'!$AP43</f>
        <v>0</v>
      </c>
      <c r="AQ54" s="529">
        <f>'POSF Inventory'!BF46*'POSF Emiss by Zone'!$D$5*'POSF Zone Def'!$AP43</f>
        <v>0</v>
      </c>
      <c r="AR54" s="524">
        <f>'POSF Inventory'!BG46*'POSF Emiss by Zone'!$D$6*'POSF Zone Def'!$AP43</f>
        <v>0</v>
      </c>
      <c r="AS54" s="474">
        <f>'POSF Inventory'!BB46*'POSF Emiss by Zone'!$D$5*'POSF Zone Def'!$AQ43</f>
        <v>0</v>
      </c>
      <c r="AT54" s="474">
        <f>'POSF Inventory'!BC46*'POSF Emiss by Zone'!$D$6*'POSF Zone Def'!$AQ43</f>
        <v>0</v>
      </c>
      <c r="AU54" s="474">
        <f>'POSF Inventory'!BD46*'POSF Emiss by Zone'!$D$5*'POSF Zone Def'!$AQ43</f>
        <v>0</v>
      </c>
      <c r="AV54" s="474">
        <f>'POSF Inventory'!BE46*'POSF Emiss by Zone'!$D$6*'POSF Zone Def'!$AQ43</f>
        <v>0</v>
      </c>
      <c r="AW54" s="474">
        <f>'POSF Inventory'!BF46*'POSF Emiss by Zone'!$D$5*'POSF Zone Def'!$AQ43</f>
        <v>0</v>
      </c>
      <c r="AX54" s="134">
        <f>'POSF Inventory'!BG46*'POSF Emiss by Zone'!$D$6*'POSF Zone Def'!$AQ43</f>
        <v>0</v>
      </c>
      <c r="AY54" s="529">
        <f>'POSF Inventory'!EA46*'POSF Emiss by Zone'!$D$5*'POSF Zone Def'!$Y43</f>
        <v>0</v>
      </c>
      <c r="AZ54" s="529">
        <f>'POSF Inventory'!EB46*'POSF Emiss by Zone'!$D$6*'POSF Zone Def'!$Y43</f>
        <v>0</v>
      </c>
      <c r="BA54" s="529">
        <f>'POSF Inventory'!EC46*'POSF Emiss by Zone'!$D$5*'POSF Zone Def'!$Y43</f>
        <v>9.5528545427250027</v>
      </c>
      <c r="BB54" s="529">
        <f>'POSF Inventory'!ED46*'POSF Emiss by Zone'!$D$6*'POSF Zone Def'!$Y43</f>
        <v>95.754648493350018</v>
      </c>
      <c r="BC54" s="529">
        <f>'POSF Inventory'!EE46*'POSF Emiss by Zone'!$D$5*'POSF Zone Def'!$Y43</f>
        <v>0</v>
      </c>
      <c r="BD54" s="524">
        <f>'POSF Inventory'!EF46*'POSF Emiss by Zone'!$D$6*'POSF Zone Def'!$Y43</f>
        <v>0</v>
      </c>
      <c r="BE54" s="474">
        <f>'POSF Inventory'!EA46*'POSF Emiss by Zone'!$D$5*'POSF Zone Def'!$Z43</f>
        <v>0</v>
      </c>
      <c r="BF54" s="474">
        <f>'POSF Inventory'!EB46*'POSF Emiss by Zone'!$D$6*'POSF Zone Def'!$Z43</f>
        <v>0</v>
      </c>
      <c r="BG54" s="474">
        <f>'POSF Inventory'!EC46*'POSF Emiss by Zone'!$D$5*'POSF Zone Def'!$Z43</f>
        <v>1.0614282825250003</v>
      </c>
      <c r="BH54" s="474">
        <f>'POSF Inventory'!ED46*'POSF Emiss by Zone'!$D$6*'POSF Zone Def'!$Z43</f>
        <v>10.639405388150003</v>
      </c>
      <c r="BI54" s="474">
        <f>'POSF Inventory'!EE46*'POSF Emiss by Zone'!$D$5*'POSF Zone Def'!$Z43</f>
        <v>0</v>
      </c>
      <c r="BJ54" s="549">
        <f>'POSF Inventory'!EF46*'POSF Emiss by Zone'!$D$6*'POSF Zone Def'!$Z43</f>
        <v>0</v>
      </c>
      <c r="BK54" s="705">
        <f>'POSF Inventory'!$EA46*'POSF Emiss by Zone'!$D$5*'POSF Zone Def'!$AC43</f>
        <v>0</v>
      </c>
      <c r="BL54" s="705">
        <f>'POSF Inventory'!$EB46*'POSF Emiss by Zone'!$D$6*'POSF Zone Def'!$AC43</f>
        <v>0</v>
      </c>
      <c r="BM54" s="705">
        <f>'POSF Inventory'!$EC46*'POSF Emiss by Zone'!$D$5*'POSF Zone Def'!$AC43</f>
        <v>0</v>
      </c>
      <c r="BN54" s="705">
        <f>'POSF Inventory'!$ED46*'POSF Emiss by Zone'!$D$6*'POSF Zone Def'!$AC43</f>
        <v>0</v>
      </c>
      <c r="BO54" s="705">
        <f>'POSF Inventory'!$EE46*'POSF Emiss by Zone'!$D$5*'POSF Zone Def'!$AC43</f>
        <v>0</v>
      </c>
      <c r="BP54" s="708">
        <f>'POSF Inventory'!$EF46*'POSF Emiss by Zone'!$D$6*'POSF Zone Def'!$AC43</f>
        <v>0</v>
      </c>
      <c r="BQ54" s="529">
        <f>'POSF Inventory'!EG46*'POSF Emiss by Zone'!$D$5*'POSF Zone Def'!$BB43</f>
        <v>0</v>
      </c>
      <c r="BR54" s="529">
        <f>'POSF Inventory'!EH46*'POSF Emiss by Zone'!$D$6*'POSF Zone Def'!$BB43</f>
        <v>0</v>
      </c>
      <c r="BS54" s="529">
        <f>'POSF Inventory'!EI46*'POSF Emiss by Zone'!$D$5*'POSF Zone Def'!$BB43</f>
        <v>0</v>
      </c>
      <c r="BT54" s="529">
        <f>'POSF Inventory'!EJ46*'POSF Emiss by Zone'!$D$6*'POSF Zone Def'!$BB43</f>
        <v>0</v>
      </c>
      <c r="BU54" s="529">
        <f>'POSF Inventory'!EK46*'POSF Emiss by Zone'!$D$5*'POSF Zone Def'!$BB43</f>
        <v>0</v>
      </c>
      <c r="BV54" s="524">
        <f>'POSF Inventory'!EL46*'POSF Emiss by Zone'!$D$6*'POSF Zone Def'!$BB43</f>
        <v>0</v>
      </c>
      <c r="BW54" s="474">
        <f>'POSF Inventory'!EG46*'POSF Emiss by Zone'!$D$5*'POSF Zone Def'!$BC43</f>
        <v>0</v>
      </c>
      <c r="BX54" s="474">
        <f>'POSF Inventory'!EH46*'POSF Emiss by Zone'!$D$6*'POSF Zone Def'!$BC43</f>
        <v>0</v>
      </c>
      <c r="BY54" s="474">
        <f>'POSF Inventory'!EI46*'POSF Emiss by Zone'!$D$5*'POSF Zone Def'!$BC43</f>
        <v>0</v>
      </c>
      <c r="BZ54" s="474">
        <f>'POSF Inventory'!EJ46*'POSF Emiss by Zone'!$D$6*'POSF Zone Def'!$BC43</f>
        <v>0</v>
      </c>
      <c r="CA54" s="474">
        <f>'POSF Inventory'!EK46*'POSF Emiss by Zone'!$D$5*'POSF Zone Def'!$BC43</f>
        <v>0</v>
      </c>
      <c r="CB54" s="134">
        <f>'POSF Inventory'!EL46*'POSF Emiss by Zone'!$D$6*'POSF Zone Def'!$BC43</f>
        <v>0</v>
      </c>
      <c r="CC54" s="529">
        <f>'POSF Inventory'!GC46*'POSF Emiss by Zone'!$D$7*'POSF Zone Def'!$M43</f>
        <v>4.2898720000000008E-2</v>
      </c>
      <c r="CD54" s="529">
        <f>'POSF Inventory'!GD46*'POSF Emiss by Zone'!$D$9*'POSF Zone Def'!$M43</f>
        <v>5.3033542600000011E-2</v>
      </c>
      <c r="CE54" s="529">
        <f>'POSF Inventory'!GE46*'POSF Emiss by Zone'!$D$7*'POSF Zone Def'!$M43</f>
        <v>0.64348079999999996</v>
      </c>
      <c r="CF54" s="529">
        <f>'POSF Inventory'!GF46*'POSF Emiss by Zone'!$D$9*'POSF Zone Def'!$M43</f>
        <v>0.79550313900000003</v>
      </c>
      <c r="CG54" s="529">
        <f>'POSF Inventory'!GG46*'POSF Emiss by Zone'!$D$7*'POSF Zone Def'!$M43</f>
        <v>2.3594295999999999</v>
      </c>
      <c r="CH54" s="524">
        <f>'POSF Inventory'!GH46*'POSF Emiss by Zone'!$D$9*'POSF Zone Def'!$M43</f>
        <v>11.667379372000001</v>
      </c>
      <c r="CI54" s="474">
        <f>'POSF Inventory'!GC46*'POSF Emiss by Zone'!$D$7*'POSF Zone Def'!$N43</f>
        <v>4.2898720000000008E-2</v>
      </c>
      <c r="CJ54" s="474">
        <f>'POSF Inventory'!GD46*'POSF Emiss by Zone'!$D$9*'POSF Zone Def'!$N43</f>
        <v>5.3033542600000011E-2</v>
      </c>
      <c r="CK54" s="474">
        <f>'POSF Inventory'!GE46*'POSF Emiss by Zone'!$D$7*'POSF Zone Def'!$N43</f>
        <v>0.64348079999999996</v>
      </c>
      <c r="CL54" s="474">
        <f>'POSF Inventory'!GF46*'POSF Emiss by Zone'!$D$9*'POSF Zone Def'!$N43</f>
        <v>0.79550313900000003</v>
      </c>
      <c r="CM54" s="474">
        <f>'POSF Inventory'!GG46*'POSF Emiss by Zone'!$D$7*'POSF Zone Def'!$N43</f>
        <v>2.3594295999999999</v>
      </c>
      <c r="CN54" s="485">
        <f>'POSF Inventory'!GH46*'POSF Emiss by Zone'!$D$9*'POSF Zone Def'!$N43</f>
        <v>11.667379372000001</v>
      </c>
      <c r="CO54" s="529">
        <f>'POSF Inventory'!GI46*'POSF Emiss by Zone'!$D$7*'POSF Zone Def'!$AP43</f>
        <v>0</v>
      </c>
      <c r="CP54" s="529">
        <f>'POSF Inventory'!GJ46*'POSF Emiss by Zone'!$D$9*'POSF Zone Def'!$AP43</f>
        <v>0</v>
      </c>
      <c r="CQ54" s="529">
        <f>'POSF Inventory'!GK46*'POSF Emiss by Zone'!$D$7*'POSF Zone Def'!$AP43</f>
        <v>0</v>
      </c>
      <c r="CR54" s="529">
        <f>'POSF Inventory'!GL46*'POSF Emiss by Zone'!$D$9*'POSF Zone Def'!$AP43</f>
        <v>0</v>
      </c>
      <c r="CS54" s="529">
        <f>'POSF Inventory'!GM46*'POSF Emiss by Zone'!$D$7*'POSF Zone Def'!$AP43</f>
        <v>0</v>
      </c>
      <c r="CT54" s="524">
        <f>'POSF Inventory'!GN46*'POSF Emiss by Zone'!$D$9*'POSF Zone Def'!$AP43</f>
        <v>0</v>
      </c>
      <c r="CU54" s="474">
        <f>'POSF Inventory'!GI46*'POSF Emiss by Zone'!$D$7*'POSF Zone Def'!$AQ43</f>
        <v>0</v>
      </c>
      <c r="CV54" s="474">
        <f>'POSF Inventory'!GJ46*'POSF Emiss by Zone'!$D$9*'POSF Zone Def'!$AQ43</f>
        <v>0</v>
      </c>
      <c r="CW54" s="474">
        <f>'POSF Inventory'!GK46*'POSF Emiss by Zone'!$D$7*'POSF Zone Def'!$AQ43</f>
        <v>0</v>
      </c>
      <c r="CX54" s="474">
        <f>'POSF Inventory'!GL46*'POSF Emiss by Zone'!$D$9*'POSF Zone Def'!$AQ43</f>
        <v>0</v>
      </c>
      <c r="CY54" s="474">
        <f>'POSF Inventory'!GM46*'POSF Emiss by Zone'!$D$7*'POSF Zone Def'!$AQ43</f>
        <v>0</v>
      </c>
      <c r="CZ54" s="134">
        <f>'POSF Inventory'!GN46*'POSF Emiss by Zone'!$D$9*'POSF Zone Def'!$AQ43</f>
        <v>0</v>
      </c>
      <c r="DA54" s="529">
        <f>SUM('POSF Inventory'!GQ46,'POSF Inventory'!GS46)*'POSF Emiss by Zone'!$D$7*'POSF Zone Def'!$Y43</f>
        <v>5.8206890085466956</v>
      </c>
      <c r="DB54" s="529">
        <f>SUM('POSF Inventory'!GR46,'POSF Inventory'!GT46)*'POSF Emiss by Zone'!$D$9*'POSF Zone Def'!$Y43</f>
        <v>231.74589542190901</v>
      </c>
      <c r="DC54" s="529"/>
      <c r="DD54" s="529"/>
      <c r="DE54" s="529">
        <f>'POSF Inventory'!GU46*'POSF Emiss by Zone'!$D$7*'POSF Zone Def'!$Y43</f>
        <v>0</v>
      </c>
      <c r="DF54" s="524">
        <f>'POSF Inventory'!GV46*'POSF Emiss by Zone'!$D$9*'POSF Zone Def'!$Y43</f>
        <v>0</v>
      </c>
      <c r="DG54" s="474">
        <f>SUM('POSF Inventory'!GQ46,'POSF Inventory'!GS46)*'POSF Emiss by Zone'!$D$7*'POSF Zone Def'!$Z43</f>
        <v>0.64674322317185506</v>
      </c>
      <c r="DH54" s="474">
        <f>SUM('POSF Inventory'!GR46,'POSF Inventory'!GT46)*'POSF Emiss by Zone'!$D$9*'POSF Zone Def'!$Z43</f>
        <v>25.749543935767669</v>
      </c>
      <c r="DI54" s="474"/>
      <c r="DJ54" s="474"/>
      <c r="DK54" s="474">
        <f>'POSF Inventory'!GU46*'POSF Emiss by Zone'!$D$7*'POSF Zone Def'!$Z43</f>
        <v>0</v>
      </c>
      <c r="DL54" s="485">
        <f>'POSF Inventory'!GV46*'POSF Emiss by Zone'!$D$9*'POSF Zone Def'!$Z43</f>
        <v>0</v>
      </c>
      <c r="DM54" s="705">
        <f>SUM('POSF Inventory'!$GQ46,'POSF Inventory'!$GS46)*'POSF Emiss by Zone'!$D$7*'POSF Zone Def'!$AC43</f>
        <v>0</v>
      </c>
      <c r="DN54" s="705">
        <f>SUM('POSF Inventory'!$GR46,'POSF Inventory'!$GT46)*'POSF Emiss by Zone'!$D$9*'POSF Zone Def'!$AC43</f>
        <v>0</v>
      </c>
      <c r="DO54" s="705"/>
      <c r="DP54" s="705"/>
      <c r="DQ54" s="705">
        <f>'POSF Inventory'!$GU46*'POSF Emiss by Zone'!$D$7*'POSF Zone Def'!$AC43</f>
        <v>0</v>
      </c>
      <c r="DR54" s="708">
        <f>'POSF Inventory'!$GV46*'POSF Emiss by Zone'!$D$9*'POSF Zone Def'!$AC43</f>
        <v>0</v>
      </c>
      <c r="DS54" s="529">
        <f>SUM('POSF Inventory'!GW46,'POSF Inventory'!GY46)*$D$7*'POSF Zone Def'!$BB43</f>
        <v>0</v>
      </c>
      <c r="DT54" s="529">
        <f>SUM('POSF Inventory'!GX46,'POSF Inventory'!GZ46)*$D$9*'POSF Zone Def'!$BB43</f>
        <v>0</v>
      </c>
      <c r="DU54" s="529"/>
      <c r="DV54" s="529"/>
      <c r="DW54" s="529">
        <f>'POSF Inventory'!HA46*'POSF Emiss by Zone'!$D$7*'POSF Zone Def'!$BB43</f>
        <v>0</v>
      </c>
      <c r="DX54" s="524">
        <f>'POSF Inventory'!HB46*'POSF Emiss by Zone'!$D$9*'POSF Zone Def'!$BB43</f>
        <v>0</v>
      </c>
      <c r="DY54" s="474">
        <f>SUM('POSF Inventory'!GW46,'POSF Inventory'!GY46)*$D$7*'POSF Zone Def'!$BC43</f>
        <v>0</v>
      </c>
      <c r="DZ54" s="474">
        <f>SUM('POSF Inventory'!GX46,'POSF Inventory'!GZ46)*$D$9*'POSF Zone Def'!$BC43</f>
        <v>0</v>
      </c>
      <c r="EA54" s="474"/>
      <c r="EB54" s="474"/>
      <c r="EC54" s="474">
        <f>'POSF Inventory'!HA46*'POSF Emiss by Zone'!$D$7*'POSF Zone Def'!$BC43</f>
        <v>0</v>
      </c>
      <c r="ED54" s="134">
        <f>'POSF Inventory'!HB46*'POSF Emiss by Zone'!$D$9*'POSF Zone Def'!$BC43</f>
        <v>0</v>
      </c>
      <c r="EE54" s="235">
        <f>'POSF Inventory'!$CF46*'POSF Emiss by Zone'!$D$7*'POSF Zone Def'!$CE43</f>
        <v>0</v>
      </c>
      <c r="EF54" s="235">
        <f>'POSF Inventory'!$CG46*'POSF Emiss by Zone'!$D$9*'POSF Zone Def'!$CE43</f>
        <v>0</v>
      </c>
      <c r="EG54" s="235">
        <f>'POSF Inventory'!$CH46*'POSF Emiss by Zone'!$D$7*'POSF Zone Def'!$CE43</f>
        <v>0</v>
      </c>
      <c r="EH54" s="235">
        <f>'POSF Inventory'!$CI46*'POSF Emiss by Zone'!$D$9*'POSF Zone Def'!$CE43</f>
        <v>0</v>
      </c>
      <c r="EI54" s="235">
        <f>'POSF Inventory'!$CJ46*'POSF Emiss by Zone'!$D$7*'POSF Zone Def'!$CE43</f>
        <v>0</v>
      </c>
      <c r="EJ54" s="580">
        <f>'POSF Inventory'!$CK46*'POSF Emiss by Zone'!$D$9*'POSF Zone Def'!$CE43</f>
        <v>0</v>
      </c>
      <c r="EK54" s="235">
        <f>'POSF Inventory'!$CF46*'POSF Emiss by Zone'!$D$7*'POSF Zone Def'!$CF43</f>
        <v>0</v>
      </c>
      <c r="EL54" s="235">
        <f>'POSF Inventory'!$CG46*'POSF Emiss by Zone'!$D$9*'POSF Zone Def'!$CF43</f>
        <v>0</v>
      </c>
      <c r="EM54" s="235">
        <f>'POSF Inventory'!$CH46*'POSF Emiss by Zone'!$D$7*'POSF Zone Def'!$CF43</f>
        <v>0</v>
      </c>
      <c r="EN54" s="235">
        <f>'POSF Inventory'!$CI46*'POSF Emiss by Zone'!$D$9*'POSF Zone Def'!$CF43</f>
        <v>0</v>
      </c>
      <c r="EO54" s="235">
        <f>'POSF Inventory'!$CJ46*'POSF Emiss by Zone'!$D$7*'POSF Zone Def'!$CF43</f>
        <v>0</v>
      </c>
      <c r="EP54" s="580">
        <f>'POSF Inventory'!$CK46*'POSF Emiss by Zone'!$D$9*'POSF Zone Def'!$CF43</f>
        <v>0</v>
      </c>
      <c r="EQ54" s="235">
        <f>'POSF Inventory'!$CF46*'POSF Emiss by Zone'!$D$7*'POSF Zone Def'!$CG43</f>
        <v>0</v>
      </c>
      <c r="ER54" s="235">
        <f>'POSF Inventory'!$CG46*'POSF Emiss by Zone'!$D$9*'POSF Zone Def'!$CG43</f>
        <v>0</v>
      </c>
      <c r="ES54" s="235">
        <f>'POSF Inventory'!$CH46*'POSF Emiss by Zone'!$D$7*'POSF Zone Def'!$CG43</f>
        <v>0</v>
      </c>
      <c r="ET54" s="235">
        <f>'POSF Inventory'!$CI46*'POSF Emiss by Zone'!$D$9*'POSF Zone Def'!$CG43</f>
        <v>0</v>
      </c>
      <c r="EU54" s="235">
        <f>'POSF Inventory'!$CJ46*'POSF Emiss by Zone'!$D$7*'POSF Zone Def'!$CG43</f>
        <v>0</v>
      </c>
      <c r="EV54" s="580">
        <f>'POSF Inventory'!$CK46*'POSF Emiss by Zone'!$D$9*'POSF Zone Def'!$CG43</f>
        <v>0</v>
      </c>
      <c r="EW54" s="235">
        <f>'POSF Inventory'!$CF46*'POSF Emiss by Zone'!$D$7*'POSF Zone Def'!$CH43</f>
        <v>0</v>
      </c>
      <c r="EX54" s="235">
        <f>'POSF Inventory'!$CG46*'POSF Emiss by Zone'!$D$9*'POSF Zone Def'!$CH43</f>
        <v>0</v>
      </c>
      <c r="EY54" s="235">
        <f>'POSF Inventory'!$CH46*'POSF Emiss by Zone'!$D$7*'POSF Zone Def'!$CH43</f>
        <v>0</v>
      </c>
      <c r="EZ54" s="235">
        <f>'POSF Inventory'!$CI46*'POSF Emiss by Zone'!$D$9*'POSF Zone Def'!$CH43</f>
        <v>0</v>
      </c>
      <c r="FA54" s="235">
        <f>'POSF Inventory'!$CJ46*'POSF Emiss by Zone'!$D$7*'POSF Zone Def'!$CH43</f>
        <v>0</v>
      </c>
      <c r="FB54" s="580">
        <f>'POSF Inventory'!$CK46*'POSF Emiss by Zone'!$D$9*'POSF Zone Def'!$CH43</f>
        <v>0</v>
      </c>
      <c r="FC54" s="235">
        <f>'POSF Inventory'!$CF46*'POSF Emiss by Zone'!$D$7*'POSF Zone Def'!$CI43</f>
        <v>0</v>
      </c>
      <c r="FD54" s="235">
        <f>'POSF Inventory'!$CG46*'POSF Emiss by Zone'!$D$9*'POSF Zone Def'!$CI43</f>
        <v>0</v>
      </c>
      <c r="FE54" s="235">
        <f>'POSF Inventory'!$CH46*'POSF Emiss by Zone'!$D$7*'POSF Zone Def'!$CI43</f>
        <v>0</v>
      </c>
      <c r="FF54" s="235">
        <f>'POSF Inventory'!$CI46*'POSF Emiss by Zone'!$D$9*'POSF Zone Def'!$CI43</f>
        <v>0</v>
      </c>
      <c r="FG54" s="235">
        <f>'POSF Inventory'!$CJ46*'POSF Emiss by Zone'!$D$7*'POSF Zone Def'!$CI43</f>
        <v>0</v>
      </c>
      <c r="FH54" s="577">
        <f>'POSF Inventory'!$CK46*'POSF Emiss by Zone'!$D$9*'POSF Zone Def'!$CI43</f>
        <v>0</v>
      </c>
      <c r="FI54" s="595"/>
      <c r="FJ54" s="595"/>
      <c r="FM54" s="592">
        <v>37</v>
      </c>
      <c r="FN54" s="592">
        <f t="shared" si="98"/>
        <v>1991</v>
      </c>
      <c r="FO54" s="587">
        <v>34</v>
      </c>
      <c r="FP54" s="551">
        <f t="shared" si="20"/>
        <v>9.1756340324999996</v>
      </c>
      <c r="FQ54" s="529">
        <f t="shared" si="21"/>
        <v>9.1973515094999989</v>
      </c>
      <c r="FR54" s="529">
        <f t="shared" si="22"/>
        <v>0</v>
      </c>
      <c r="FS54" s="529">
        <f t="shared" si="23"/>
        <v>0</v>
      </c>
      <c r="FT54" s="529">
        <f t="shared" si="24"/>
        <v>6.7967659500000011</v>
      </c>
      <c r="FU54" s="524">
        <f t="shared" si="25"/>
        <v>6.8128529700000007</v>
      </c>
      <c r="FV54" s="474">
        <f t="shared" si="26"/>
        <v>9.1756340324999996</v>
      </c>
      <c r="FW54" s="474">
        <f t="shared" si="27"/>
        <v>9.1973515094999989</v>
      </c>
      <c r="FX54" s="474">
        <f t="shared" si="28"/>
        <v>0</v>
      </c>
      <c r="FY54" s="474">
        <f t="shared" si="29"/>
        <v>0</v>
      </c>
      <c r="FZ54" s="474">
        <f t="shared" si="30"/>
        <v>6.7967659500000011</v>
      </c>
      <c r="GA54" s="134">
        <f t="shared" si="31"/>
        <v>6.8128529700000007</v>
      </c>
      <c r="GB54" s="529">
        <f t="shared" si="32"/>
        <v>0</v>
      </c>
      <c r="GC54" s="529">
        <f t="shared" si="33"/>
        <v>0</v>
      </c>
      <c r="GD54" s="529">
        <f t="shared" si="34"/>
        <v>15.60751384235558</v>
      </c>
      <c r="GE54" s="529">
        <f t="shared" si="35"/>
        <v>101.4802949864044</v>
      </c>
      <c r="GF54" s="529">
        <f t="shared" si="36"/>
        <v>11.282812001992033</v>
      </c>
      <c r="GG54" s="524">
        <f t="shared" si="37"/>
        <v>11.30951688247012</v>
      </c>
      <c r="GH54" s="474">
        <f t="shared" si="38"/>
        <v>0</v>
      </c>
      <c r="GI54" s="474">
        <f t="shared" si="39"/>
        <v>0</v>
      </c>
      <c r="GJ54" s="474">
        <f t="shared" si="40"/>
        <v>7.1499179656623504</v>
      </c>
      <c r="GK54" s="474">
        <f t="shared" si="41"/>
        <v>16.704156435408368</v>
      </c>
      <c r="GL54" s="474">
        <f t="shared" si="42"/>
        <v>11.282812001992033</v>
      </c>
      <c r="GM54" s="705">
        <f t="shared" si="43"/>
        <v>11.30951688247012</v>
      </c>
      <c r="GN54" s="705">
        <f t="shared" si="44"/>
        <v>0</v>
      </c>
      <c r="GO54" s="705">
        <f t="shared" si="45"/>
        <v>0</v>
      </c>
      <c r="GP54" s="705">
        <f t="shared" si="46"/>
        <v>0</v>
      </c>
      <c r="GQ54" s="705">
        <f t="shared" si="47"/>
        <v>0</v>
      </c>
      <c r="GR54" s="705">
        <f t="shared" si="48"/>
        <v>0</v>
      </c>
      <c r="GS54" s="134">
        <f t="shared" si="49"/>
        <v>0</v>
      </c>
      <c r="GT54" s="529">
        <f t="shared" si="50"/>
        <v>0.1214767178822423</v>
      </c>
      <c r="GU54" s="529">
        <f t="shared" si="51"/>
        <v>4.8022088869141308</v>
      </c>
      <c r="GV54" s="529">
        <f t="shared" si="52"/>
        <v>1.3331076334661355E-2</v>
      </c>
      <c r="GW54" s="529">
        <f t="shared" si="53"/>
        <v>1.6480543118725099E-2</v>
      </c>
      <c r="GX54" s="529">
        <f t="shared" si="54"/>
        <v>4.8880613227091634E-2</v>
      </c>
      <c r="GY54" s="524">
        <f t="shared" si="55"/>
        <v>0.24171463240796814</v>
      </c>
      <c r="GZ54" s="474">
        <f t="shared" si="56"/>
        <v>1.4287402806747595E-2</v>
      </c>
      <c r="HA54" s="474">
        <f t="shared" si="57"/>
        <v>0.53455538999008723</v>
      </c>
      <c r="HB54" s="474">
        <f t="shared" si="58"/>
        <v>1.3331076334661355E-2</v>
      </c>
      <c r="HC54" s="474">
        <f t="shared" si="59"/>
        <v>1.6480543118725099E-2</v>
      </c>
      <c r="HD54" s="474">
        <f t="shared" si="60"/>
        <v>4.8880613227091634E-2</v>
      </c>
      <c r="HE54" s="549">
        <f t="shared" si="61"/>
        <v>0.24171463240796814</v>
      </c>
      <c r="HF54" s="235">
        <f t="shared" si="62"/>
        <v>0</v>
      </c>
      <c r="HG54" s="235">
        <f t="shared" si="63"/>
        <v>0</v>
      </c>
      <c r="HH54" s="235">
        <f t="shared" si="64"/>
        <v>0</v>
      </c>
      <c r="HI54" s="235">
        <f t="shared" si="65"/>
        <v>0</v>
      </c>
      <c r="HJ54" s="235">
        <f t="shared" si="66"/>
        <v>0</v>
      </c>
      <c r="HK54" s="580">
        <f t="shared" si="67"/>
        <v>0</v>
      </c>
      <c r="HL54" s="235">
        <f t="shared" si="68"/>
        <v>0</v>
      </c>
      <c r="HM54" s="235">
        <f t="shared" si="69"/>
        <v>0</v>
      </c>
      <c r="HN54" s="235">
        <f t="shared" si="70"/>
        <v>0</v>
      </c>
      <c r="HO54" s="235">
        <f t="shared" si="71"/>
        <v>0</v>
      </c>
      <c r="HP54" s="235">
        <f t="shared" si="72"/>
        <v>0</v>
      </c>
      <c r="HQ54" s="580">
        <f t="shared" si="73"/>
        <v>0</v>
      </c>
      <c r="HR54" s="235">
        <f t="shared" si="74"/>
        <v>0</v>
      </c>
      <c r="HS54" s="235">
        <f t="shared" si="75"/>
        <v>0</v>
      </c>
      <c r="HT54" s="235">
        <f t="shared" si="76"/>
        <v>0</v>
      </c>
      <c r="HU54" s="235">
        <f t="shared" si="77"/>
        <v>0</v>
      </c>
      <c r="HV54" s="235">
        <f t="shared" si="78"/>
        <v>0</v>
      </c>
      <c r="HW54" s="577">
        <f t="shared" si="79"/>
        <v>0</v>
      </c>
      <c r="HX54" s="235">
        <f t="shared" si="80"/>
        <v>6.4560203372954765</v>
      </c>
      <c r="HY54" s="235">
        <f t="shared" si="81"/>
        <v>255.2189323053056</v>
      </c>
      <c r="HZ54" s="235">
        <f t="shared" si="82"/>
        <v>0.70849543381673297</v>
      </c>
      <c r="IA54" s="235">
        <f t="shared" si="83"/>
        <v>0.87587748005593613</v>
      </c>
      <c r="IB54" s="235">
        <f t="shared" si="84"/>
        <v>2.5978165906613544</v>
      </c>
      <c r="IC54" s="235">
        <f t="shared" si="85"/>
        <v>12.846203040820397</v>
      </c>
      <c r="ID54" s="235">
        <f t="shared" si="86"/>
        <v>0.75932050762937786</v>
      </c>
      <c r="IE54" s="235">
        <f t="shared" si="87"/>
        <v>28.409562995703936</v>
      </c>
      <c r="IF54" s="235">
        <f t="shared" si="88"/>
        <v>0.70849543381673297</v>
      </c>
      <c r="IG54" s="235">
        <f t="shared" si="89"/>
        <v>0.87587748005593613</v>
      </c>
      <c r="IH54" s="235">
        <f t="shared" si="90"/>
        <v>2.5978165906613544</v>
      </c>
      <c r="II54" s="235">
        <f t="shared" si="91"/>
        <v>12.846203040820397</v>
      </c>
      <c r="IJ54" s="235">
        <f t="shared" si="92"/>
        <v>0</v>
      </c>
      <c r="IK54" s="235">
        <f t="shared" si="93"/>
        <v>0</v>
      </c>
      <c r="IL54" s="235">
        <f t="shared" si="94"/>
        <v>0</v>
      </c>
      <c r="IM54" s="235">
        <f t="shared" si="95"/>
        <v>0</v>
      </c>
      <c r="IN54" s="235">
        <f t="shared" si="96"/>
        <v>0</v>
      </c>
      <c r="IO54" s="235">
        <f t="shared" si="97"/>
        <v>0</v>
      </c>
    </row>
    <row r="55" spans="1:249" ht="18" x14ac:dyDescent="0.25">
      <c r="A55" s="18">
        <v>1992</v>
      </c>
      <c r="B55" s="564"/>
      <c r="C55" s="529">
        <f>'POSF Inventory'!AD47*$D$5*'POSF Zone Def'!$M44</f>
        <v>9.1756340324999996</v>
      </c>
      <c r="D55" s="529">
        <f>'POSF Inventory'!AE47*$D$6*'POSF Zone Def'!$M44</f>
        <v>9.1973515094999989</v>
      </c>
      <c r="E55" s="529">
        <f>'POSF Inventory'!AF47*$D$5*'POSF Zone Def'!$M44</f>
        <v>0</v>
      </c>
      <c r="F55" s="529">
        <f>'POSF Inventory'!AG47*$D$6*'POSF Zone Def'!$M44</f>
        <v>0</v>
      </c>
      <c r="G55" s="529">
        <f>'POSF Inventory'!AH47*$D$5*'POSF Zone Def'!$M44</f>
        <v>6.7967659500000011</v>
      </c>
      <c r="H55" s="524">
        <f>'POSF Inventory'!AI47*$D$6*'POSF Zone Def'!$M44</f>
        <v>6.8128529700000007</v>
      </c>
      <c r="I55" s="474">
        <f>'POSF Inventory'!AD47*$D$5*'POSF Zone Def'!$N44</f>
        <v>9.1756340324999996</v>
      </c>
      <c r="J55" s="474">
        <f>'POSF Inventory'!AE47*$D$6*'POSF Zone Def'!$N44</f>
        <v>9.1973515094999989</v>
      </c>
      <c r="K55" s="474">
        <f>'POSF Inventory'!AF47*$D$5*'POSF Zone Def'!$N44</f>
        <v>0</v>
      </c>
      <c r="L55" s="474">
        <f>'POSF Inventory'!AG47*$D$6*'POSF Zone Def'!$N44</f>
        <v>0</v>
      </c>
      <c r="M55" s="474">
        <f>'POSF Inventory'!AH47*$D$5*'POSF Zone Def'!$N44</f>
        <v>6.7967659500000011</v>
      </c>
      <c r="N55" s="485">
        <f>'POSF Inventory'!AI47*$D$6*'POSF Zone Def'!$N44</f>
        <v>6.8128529700000007</v>
      </c>
      <c r="O55" s="529">
        <f>'POSF Inventory'!AJ47*$D$5*'POSF Zone Def'!$AP44</f>
        <v>0</v>
      </c>
      <c r="P55" s="529">
        <f>'POSF Inventory'!AK47*$D$6*'POSF Zone Def'!$AP44</f>
        <v>0</v>
      </c>
      <c r="Q55" s="529">
        <f>'POSF Inventory'!AL47*$D$5*'POSF Zone Def'!$AP44</f>
        <v>0</v>
      </c>
      <c r="R55" s="529">
        <f>'POSF Inventory'!AM47*$D$6*'POSF Zone Def'!$AP44</f>
        <v>0</v>
      </c>
      <c r="S55" s="529">
        <f>'POSF Inventory'!AN47*$D$5*'POSF Zone Def'!$AP44</f>
        <v>0</v>
      </c>
      <c r="T55" s="524">
        <f>'POSF Inventory'!AO47*$D$6*'POSF Zone Def'!$AP44</f>
        <v>0</v>
      </c>
      <c r="U55" s="474">
        <f>'POSF Inventory'!AJ47*$D$5*'POSF Zone Def'!$AQ44</f>
        <v>0</v>
      </c>
      <c r="V55" s="474">
        <f>'POSF Inventory'!AK47*$D$6*'POSF Zone Def'!$AQ44</f>
        <v>0</v>
      </c>
      <c r="W55" s="474">
        <f>'POSF Inventory'!AL47*$D$5*'POSF Zone Def'!$AQ44</f>
        <v>0</v>
      </c>
      <c r="X55" s="474">
        <f>'POSF Inventory'!AM47*$D$6*'POSF Zone Def'!$AQ44</f>
        <v>0</v>
      </c>
      <c r="Y55" s="474">
        <f>'POSF Inventory'!AN47*$D$5*'POSF Zone Def'!$AQ44</f>
        <v>0</v>
      </c>
      <c r="Z55" s="134">
        <f>'POSF Inventory'!AO47*$D$6*'POSF Zone Def'!$AQ44</f>
        <v>0</v>
      </c>
      <c r="AA55" s="529">
        <f>'POSF Inventory'!AV47*'POSF Emiss by Zone'!$D$5*'POSF Zone Def'!$M44</f>
        <v>0</v>
      </c>
      <c r="AB55" s="529">
        <f>'POSF Inventory'!AW47*'POSF Emiss by Zone'!$D$6*'POSF Zone Def'!$M44</f>
        <v>0</v>
      </c>
      <c r="AC55" s="529">
        <f>'POSF Inventory'!AX47*'POSF Emiss by Zone'!$D$5*'POSF Zone Def'!$M44</f>
        <v>6.1170893550000001</v>
      </c>
      <c r="AD55" s="529">
        <f>'POSF Inventory'!AY47*'POSF Emiss by Zone'!$D$6*'POSF Zone Def'!$M44</f>
        <v>6.1315676730000002</v>
      </c>
      <c r="AE55" s="529">
        <f>'POSF Inventory'!AZ47*'POSF Emiss by Zone'!$D$5*'POSF Zone Def'!$M44</f>
        <v>11.327943250000001</v>
      </c>
      <c r="AF55" s="524">
        <f>'POSF Inventory'!BA47*'POSF Emiss by Zone'!$D$6*'POSF Zone Def'!$M44</f>
        <v>11.35475495</v>
      </c>
      <c r="AG55" s="474">
        <f>'POSF Inventory'!AV47*'POSF Emiss by Zone'!$D$5*'POSF Zone Def'!$N44</f>
        <v>0</v>
      </c>
      <c r="AH55" s="474">
        <f>'POSF Inventory'!AW47*'POSF Emiss by Zone'!$D$6*'POSF Zone Def'!$N44</f>
        <v>0</v>
      </c>
      <c r="AI55" s="474">
        <f>'POSF Inventory'!AX47*'POSF Emiss by Zone'!$D$5*'POSF Zone Def'!$N44</f>
        <v>6.1170893550000001</v>
      </c>
      <c r="AJ55" s="474">
        <f>'POSF Inventory'!AY47*'POSF Emiss by Zone'!$D$6*'POSF Zone Def'!$N44</f>
        <v>6.1315676730000002</v>
      </c>
      <c r="AK55" s="474">
        <f>'POSF Inventory'!AZ47*'POSF Emiss by Zone'!$D$5*'POSF Zone Def'!$N44</f>
        <v>11.327943250000001</v>
      </c>
      <c r="AL55" s="549">
        <f>'POSF Inventory'!BA47*'POSF Emiss by Zone'!$D$6*'POSF Zone Def'!$N44</f>
        <v>11.35475495</v>
      </c>
      <c r="AM55" s="529">
        <f>'POSF Inventory'!BB47*'POSF Emiss by Zone'!$D$5*'POSF Zone Def'!$AP44</f>
        <v>0</v>
      </c>
      <c r="AN55" s="529">
        <f>'POSF Inventory'!BC47*'POSF Emiss by Zone'!$D$6*'POSF Zone Def'!$AP44</f>
        <v>0</v>
      </c>
      <c r="AO55" s="529">
        <f>'POSF Inventory'!BD47*'POSF Emiss by Zone'!$D$5*'POSF Zone Def'!$AP44</f>
        <v>0</v>
      </c>
      <c r="AP55" s="529">
        <f>'POSF Inventory'!BE47*'POSF Emiss by Zone'!$D$6*'POSF Zone Def'!$AP44</f>
        <v>0</v>
      </c>
      <c r="AQ55" s="529">
        <f>'POSF Inventory'!BF47*'POSF Emiss by Zone'!$D$5*'POSF Zone Def'!$AP44</f>
        <v>0</v>
      </c>
      <c r="AR55" s="524">
        <f>'POSF Inventory'!BG47*'POSF Emiss by Zone'!$D$6*'POSF Zone Def'!$AP44</f>
        <v>0</v>
      </c>
      <c r="AS55" s="474">
        <f>'POSF Inventory'!BB47*'POSF Emiss by Zone'!$D$5*'POSF Zone Def'!$AQ44</f>
        <v>0</v>
      </c>
      <c r="AT55" s="474">
        <f>'POSF Inventory'!BC47*'POSF Emiss by Zone'!$D$6*'POSF Zone Def'!$AQ44</f>
        <v>0</v>
      </c>
      <c r="AU55" s="474">
        <f>'POSF Inventory'!BD47*'POSF Emiss by Zone'!$D$5*'POSF Zone Def'!$AQ44</f>
        <v>0</v>
      </c>
      <c r="AV55" s="474">
        <f>'POSF Inventory'!BE47*'POSF Emiss by Zone'!$D$6*'POSF Zone Def'!$AQ44</f>
        <v>0</v>
      </c>
      <c r="AW55" s="474">
        <f>'POSF Inventory'!BF47*'POSF Emiss by Zone'!$D$5*'POSF Zone Def'!$AQ44</f>
        <v>0</v>
      </c>
      <c r="AX55" s="134">
        <f>'POSF Inventory'!BG47*'POSF Emiss by Zone'!$D$6*'POSF Zone Def'!$AQ44</f>
        <v>0</v>
      </c>
      <c r="AY55" s="529">
        <f>'POSF Inventory'!EA47*'POSF Emiss by Zone'!$D$5*'POSF Zone Def'!$Y44</f>
        <v>0</v>
      </c>
      <c r="AZ55" s="529">
        <f>'POSF Inventory'!EB47*'POSF Emiss by Zone'!$D$6*'POSF Zone Def'!$Y44</f>
        <v>0</v>
      </c>
      <c r="BA55" s="529">
        <f>'POSF Inventory'!EC47*'POSF Emiss by Zone'!$D$5*'POSF Zone Def'!$Y44</f>
        <v>9.5528545427250027</v>
      </c>
      <c r="BB55" s="529">
        <f>'POSF Inventory'!ED47*'POSF Emiss by Zone'!$D$6*'POSF Zone Def'!$Y44</f>
        <v>95.754648493350018</v>
      </c>
      <c r="BC55" s="529">
        <f>'POSF Inventory'!EE47*'POSF Emiss by Zone'!$D$5*'POSF Zone Def'!$Y44</f>
        <v>0</v>
      </c>
      <c r="BD55" s="524">
        <f>'POSF Inventory'!EF47*'POSF Emiss by Zone'!$D$6*'POSF Zone Def'!$Y44</f>
        <v>0</v>
      </c>
      <c r="BE55" s="474">
        <f>'POSF Inventory'!EA47*'POSF Emiss by Zone'!$D$5*'POSF Zone Def'!$Z44</f>
        <v>0</v>
      </c>
      <c r="BF55" s="474">
        <f>'POSF Inventory'!EB47*'POSF Emiss by Zone'!$D$6*'POSF Zone Def'!$Z44</f>
        <v>0</v>
      </c>
      <c r="BG55" s="474">
        <f>'POSF Inventory'!EC47*'POSF Emiss by Zone'!$D$5*'POSF Zone Def'!$Z44</f>
        <v>1.0614282825250003</v>
      </c>
      <c r="BH55" s="474">
        <f>'POSF Inventory'!ED47*'POSF Emiss by Zone'!$D$6*'POSF Zone Def'!$Z44</f>
        <v>10.639405388150003</v>
      </c>
      <c r="BI55" s="474">
        <f>'POSF Inventory'!EE47*'POSF Emiss by Zone'!$D$5*'POSF Zone Def'!$Z44</f>
        <v>0</v>
      </c>
      <c r="BJ55" s="549">
        <f>'POSF Inventory'!EF47*'POSF Emiss by Zone'!$D$6*'POSF Zone Def'!$Z44</f>
        <v>0</v>
      </c>
      <c r="BK55" s="705">
        <f>'POSF Inventory'!$EA47*'POSF Emiss by Zone'!$D$5*'POSF Zone Def'!$AC44</f>
        <v>0</v>
      </c>
      <c r="BL55" s="705">
        <f>'POSF Inventory'!$EB47*'POSF Emiss by Zone'!$D$6*'POSF Zone Def'!$AC44</f>
        <v>0</v>
      </c>
      <c r="BM55" s="705">
        <f>'POSF Inventory'!$EC47*'POSF Emiss by Zone'!$D$5*'POSF Zone Def'!$AC44</f>
        <v>0</v>
      </c>
      <c r="BN55" s="705">
        <f>'POSF Inventory'!$ED47*'POSF Emiss by Zone'!$D$6*'POSF Zone Def'!$AC44</f>
        <v>0</v>
      </c>
      <c r="BO55" s="705">
        <f>'POSF Inventory'!$EE47*'POSF Emiss by Zone'!$D$5*'POSF Zone Def'!$AC44</f>
        <v>0</v>
      </c>
      <c r="BP55" s="708">
        <f>'POSF Inventory'!$EF47*'POSF Emiss by Zone'!$D$6*'POSF Zone Def'!$AC44</f>
        <v>0</v>
      </c>
      <c r="BQ55" s="529">
        <f>'POSF Inventory'!EG47*'POSF Emiss by Zone'!$D$5*'POSF Zone Def'!$BB44</f>
        <v>0</v>
      </c>
      <c r="BR55" s="529">
        <f>'POSF Inventory'!EH47*'POSF Emiss by Zone'!$D$6*'POSF Zone Def'!$BB44</f>
        <v>0</v>
      </c>
      <c r="BS55" s="529">
        <f>'POSF Inventory'!EI47*'POSF Emiss by Zone'!$D$5*'POSF Zone Def'!$BB44</f>
        <v>0</v>
      </c>
      <c r="BT55" s="529">
        <f>'POSF Inventory'!EJ47*'POSF Emiss by Zone'!$D$6*'POSF Zone Def'!$BB44</f>
        <v>0</v>
      </c>
      <c r="BU55" s="529">
        <f>'POSF Inventory'!EK47*'POSF Emiss by Zone'!$D$5*'POSF Zone Def'!$BB44</f>
        <v>0</v>
      </c>
      <c r="BV55" s="524">
        <f>'POSF Inventory'!EL47*'POSF Emiss by Zone'!$D$6*'POSF Zone Def'!$BB44</f>
        <v>0</v>
      </c>
      <c r="BW55" s="474">
        <f>'POSF Inventory'!EG47*'POSF Emiss by Zone'!$D$5*'POSF Zone Def'!$BC44</f>
        <v>0</v>
      </c>
      <c r="BX55" s="474">
        <f>'POSF Inventory'!EH47*'POSF Emiss by Zone'!$D$6*'POSF Zone Def'!$BC44</f>
        <v>0</v>
      </c>
      <c r="BY55" s="474">
        <f>'POSF Inventory'!EI47*'POSF Emiss by Zone'!$D$5*'POSF Zone Def'!$BC44</f>
        <v>0</v>
      </c>
      <c r="BZ55" s="474">
        <f>'POSF Inventory'!EJ47*'POSF Emiss by Zone'!$D$6*'POSF Zone Def'!$BC44</f>
        <v>0</v>
      </c>
      <c r="CA55" s="474">
        <f>'POSF Inventory'!EK47*'POSF Emiss by Zone'!$D$5*'POSF Zone Def'!$BC44</f>
        <v>0</v>
      </c>
      <c r="CB55" s="134">
        <f>'POSF Inventory'!EL47*'POSF Emiss by Zone'!$D$6*'POSF Zone Def'!$BC44</f>
        <v>0</v>
      </c>
      <c r="CC55" s="529">
        <f>'POSF Inventory'!GC47*'POSF Emiss by Zone'!$D$7*'POSF Zone Def'!$M44</f>
        <v>4.2898720000000008E-2</v>
      </c>
      <c r="CD55" s="529">
        <f>'POSF Inventory'!GD47*'POSF Emiss by Zone'!$D$9*'POSF Zone Def'!$M44</f>
        <v>5.3033542600000011E-2</v>
      </c>
      <c r="CE55" s="529">
        <f>'POSF Inventory'!GE47*'POSF Emiss by Zone'!$D$7*'POSF Zone Def'!$M44</f>
        <v>0.64348079999999996</v>
      </c>
      <c r="CF55" s="529">
        <f>'POSF Inventory'!GF47*'POSF Emiss by Zone'!$D$9*'POSF Zone Def'!$M44</f>
        <v>0.79550313900000003</v>
      </c>
      <c r="CG55" s="529">
        <f>'POSF Inventory'!GG47*'POSF Emiss by Zone'!$D$7*'POSF Zone Def'!$M44</f>
        <v>2.3594295999999999</v>
      </c>
      <c r="CH55" s="524">
        <f>'POSF Inventory'!GH47*'POSF Emiss by Zone'!$D$9*'POSF Zone Def'!$M44</f>
        <v>11.667379372000001</v>
      </c>
      <c r="CI55" s="474">
        <f>'POSF Inventory'!GC47*'POSF Emiss by Zone'!$D$7*'POSF Zone Def'!$N44</f>
        <v>4.2898720000000008E-2</v>
      </c>
      <c r="CJ55" s="474">
        <f>'POSF Inventory'!GD47*'POSF Emiss by Zone'!$D$9*'POSF Zone Def'!$N44</f>
        <v>5.3033542600000011E-2</v>
      </c>
      <c r="CK55" s="474">
        <f>'POSF Inventory'!GE47*'POSF Emiss by Zone'!$D$7*'POSF Zone Def'!$N44</f>
        <v>0.64348079999999996</v>
      </c>
      <c r="CL55" s="474">
        <f>'POSF Inventory'!GF47*'POSF Emiss by Zone'!$D$9*'POSF Zone Def'!$N44</f>
        <v>0.79550313900000003</v>
      </c>
      <c r="CM55" s="474">
        <f>'POSF Inventory'!GG47*'POSF Emiss by Zone'!$D$7*'POSF Zone Def'!$N44</f>
        <v>2.3594295999999999</v>
      </c>
      <c r="CN55" s="485">
        <f>'POSF Inventory'!GH47*'POSF Emiss by Zone'!$D$9*'POSF Zone Def'!$N44</f>
        <v>11.667379372000001</v>
      </c>
      <c r="CO55" s="529">
        <f>'POSF Inventory'!GI47*'POSF Emiss by Zone'!$D$7*'POSF Zone Def'!$AP44</f>
        <v>0</v>
      </c>
      <c r="CP55" s="529">
        <f>'POSF Inventory'!GJ47*'POSF Emiss by Zone'!$D$9*'POSF Zone Def'!$AP44</f>
        <v>0</v>
      </c>
      <c r="CQ55" s="529">
        <f>'POSF Inventory'!GK47*'POSF Emiss by Zone'!$D$7*'POSF Zone Def'!$AP44</f>
        <v>0</v>
      </c>
      <c r="CR55" s="529">
        <f>'POSF Inventory'!GL47*'POSF Emiss by Zone'!$D$9*'POSF Zone Def'!$AP44</f>
        <v>0</v>
      </c>
      <c r="CS55" s="529">
        <f>'POSF Inventory'!GM47*'POSF Emiss by Zone'!$D$7*'POSF Zone Def'!$AP44</f>
        <v>0</v>
      </c>
      <c r="CT55" s="524">
        <f>'POSF Inventory'!GN47*'POSF Emiss by Zone'!$D$9*'POSF Zone Def'!$AP44</f>
        <v>0</v>
      </c>
      <c r="CU55" s="474">
        <f>'POSF Inventory'!GI47*'POSF Emiss by Zone'!$D$7*'POSF Zone Def'!$AQ44</f>
        <v>0</v>
      </c>
      <c r="CV55" s="474">
        <f>'POSF Inventory'!GJ47*'POSF Emiss by Zone'!$D$9*'POSF Zone Def'!$AQ44</f>
        <v>0</v>
      </c>
      <c r="CW55" s="474">
        <f>'POSF Inventory'!GK47*'POSF Emiss by Zone'!$D$7*'POSF Zone Def'!$AQ44</f>
        <v>0</v>
      </c>
      <c r="CX55" s="474">
        <f>'POSF Inventory'!GL47*'POSF Emiss by Zone'!$D$9*'POSF Zone Def'!$AQ44</f>
        <v>0</v>
      </c>
      <c r="CY55" s="474">
        <f>'POSF Inventory'!GM47*'POSF Emiss by Zone'!$D$7*'POSF Zone Def'!$AQ44</f>
        <v>0</v>
      </c>
      <c r="CZ55" s="134">
        <f>'POSF Inventory'!GN47*'POSF Emiss by Zone'!$D$9*'POSF Zone Def'!$AQ44</f>
        <v>0</v>
      </c>
      <c r="DA55" s="529">
        <f>SUM('POSF Inventory'!GQ47,'POSF Inventory'!GS47)*'POSF Emiss by Zone'!$D$7*'POSF Zone Def'!$Y44</f>
        <v>5.823855581156776</v>
      </c>
      <c r="DB55" s="529">
        <f>SUM('POSF Inventory'!GR47,'POSF Inventory'!GT47)*'POSF Emiss by Zone'!$D$9*'POSF Zone Def'!$Y44</f>
        <v>233.7032331165147</v>
      </c>
      <c r="DC55" s="529"/>
      <c r="DD55" s="529"/>
      <c r="DE55" s="529">
        <f>'POSF Inventory'!GU47*'POSF Emiss by Zone'!$D$7*'POSF Zone Def'!$Y44</f>
        <v>0</v>
      </c>
      <c r="DF55" s="524">
        <f>'POSF Inventory'!GV47*'POSF Emiss by Zone'!$D$9*'POSF Zone Def'!$Y44</f>
        <v>0</v>
      </c>
      <c r="DG55" s="474">
        <f>SUM('POSF Inventory'!GQ47,'POSF Inventory'!GS47)*'POSF Emiss by Zone'!$D$7*'POSF Zone Def'!$Z44</f>
        <v>0.64709506457297516</v>
      </c>
      <c r="DH55" s="474">
        <f>SUM('POSF Inventory'!GR47,'POSF Inventory'!GT47)*'POSF Emiss by Zone'!$D$9*'POSF Zone Def'!$Z44</f>
        <v>25.967025901834969</v>
      </c>
      <c r="DI55" s="474"/>
      <c r="DJ55" s="474"/>
      <c r="DK55" s="474">
        <f>'POSF Inventory'!GU47*'POSF Emiss by Zone'!$D$7*'POSF Zone Def'!$Z44</f>
        <v>0</v>
      </c>
      <c r="DL55" s="485">
        <f>'POSF Inventory'!GV47*'POSF Emiss by Zone'!$D$9*'POSF Zone Def'!$Z44</f>
        <v>0</v>
      </c>
      <c r="DM55" s="705">
        <f>SUM('POSF Inventory'!$GQ47,'POSF Inventory'!$GS47)*'POSF Emiss by Zone'!$D$7*'POSF Zone Def'!$AC44</f>
        <v>0</v>
      </c>
      <c r="DN55" s="705">
        <f>SUM('POSF Inventory'!$GR47,'POSF Inventory'!$GT47)*'POSF Emiss by Zone'!$D$9*'POSF Zone Def'!$AC44</f>
        <v>0</v>
      </c>
      <c r="DO55" s="705"/>
      <c r="DP55" s="705"/>
      <c r="DQ55" s="705">
        <f>'POSF Inventory'!$GU47*'POSF Emiss by Zone'!$D$7*'POSF Zone Def'!$AC44</f>
        <v>0</v>
      </c>
      <c r="DR55" s="708">
        <f>'POSF Inventory'!$GV47*'POSF Emiss by Zone'!$D$9*'POSF Zone Def'!$AC44</f>
        <v>0</v>
      </c>
      <c r="DS55" s="529">
        <f>SUM('POSF Inventory'!GW47,'POSF Inventory'!GY47)*$D$7*'POSF Zone Def'!$BB44</f>
        <v>0</v>
      </c>
      <c r="DT55" s="529">
        <f>SUM('POSF Inventory'!GX47,'POSF Inventory'!GZ47)*$D$9*'POSF Zone Def'!$BB44</f>
        <v>0</v>
      </c>
      <c r="DU55" s="529"/>
      <c r="DV55" s="529"/>
      <c r="DW55" s="529">
        <f>'POSF Inventory'!HA47*'POSF Emiss by Zone'!$D$7*'POSF Zone Def'!$BB44</f>
        <v>0</v>
      </c>
      <c r="DX55" s="524">
        <f>'POSF Inventory'!HB47*'POSF Emiss by Zone'!$D$9*'POSF Zone Def'!$BB44</f>
        <v>0</v>
      </c>
      <c r="DY55" s="474">
        <f>SUM('POSF Inventory'!GW47,'POSF Inventory'!GY47)*$D$7*'POSF Zone Def'!$BC44</f>
        <v>0</v>
      </c>
      <c r="DZ55" s="474">
        <f>SUM('POSF Inventory'!GX47,'POSF Inventory'!GZ47)*$D$9*'POSF Zone Def'!$BC44</f>
        <v>0</v>
      </c>
      <c r="EA55" s="474"/>
      <c r="EB55" s="474"/>
      <c r="EC55" s="474">
        <f>'POSF Inventory'!HA47*'POSF Emiss by Zone'!$D$7*'POSF Zone Def'!$BC44</f>
        <v>0</v>
      </c>
      <c r="ED55" s="134">
        <f>'POSF Inventory'!HB47*'POSF Emiss by Zone'!$D$9*'POSF Zone Def'!$BC44</f>
        <v>0</v>
      </c>
      <c r="EE55" s="235">
        <f>'POSF Inventory'!$CF47*'POSF Emiss by Zone'!$D$7*'POSF Zone Def'!$CE44</f>
        <v>0</v>
      </c>
      <c r="EF55" s="235">
        <f>'POSF Inventory'!$CG47*'POSF Emiss by Zone'!$D$9*'POSF Zone Def'!$CE44</f>
        <v>0</v>
      </c>
      <c r="EG55" s="235">
        <f>'POSF Inventory'!$CH47*'POSF Emiss by Zone'!$D$7*'POSF Zone Def'!$CE44</f>
        <v>0</v>
      </c>
      <c r="EH55" s="235">
        <f>'POSF Inventory'!$CI47*'POSF Emiss by Zone'!$D$9*'POSF Zone Def'!$CE44</f>
        <v>0</v>
      </c>
      <c r="EI55" s="235">
        <f>'POSF Inventory'!$CJ47*'POSF Emiss by Zone'!$D$7*'POSF Zone Def'!$CE44</f>
        <v>0</v>
      </c>
      <c r="EJ55" s="580">
        <f>'POSF Inventory'!$CK47*'POSF Emiss by Zone'!$D$9*'POSF Zone Def'!$CE44</f>
        <v>0</v>
      </c>
      <c r="EK55" s="235">
        <f>'POSF Inventory'!$CF47*'POSF Emiss by Zone'!$D$7*'POSF Zone Def'!$CF44</f>
        <v>0</v>
      </c>
      <c r="EL55" s="235">
        <f>'POSF Inventory'!$CG47*'POSF Emiss by Zone'!$D$9*'POSF Zone Def'!$CF44</f>
        <v>0</v>
      </c>
      <c r="EM55" s="235">
        <f>'POSF Inventory'!$CH47*'POSF Emiss by Zone'!$D$7*'POSF Zone Def'!$CF44</f>
        <v>0</v>
      </c>
      <c r="EN55" s="235">
        <f>'POSF Inventory'!$CI47*'POSF Emiss by Zone'!$D$9*'POSF Zone Def'!$CF44</f>
        <v>0</v>
      </c>
      <c r="EO55" s="235">
        <f>'POSF Inventory'!$CJ47*'POSF Emiss by Zone'!$D$7*'POSF Zone Def'!$CF44</f>
        <v>0</v>
      </c>
      <c r="EP55" s="580">
        <f>'POSF Inventory'!$CK47*'POSF Emiss by Zone'!$D$9*'POSF Zone Def'!$CF44</f>
        <v>0</v>
      </c>
      <c r="EQ55" s="235">
        <f>'POSF Inventory'!$CF47*'POSF Emiss by Zone'!$D$7*'POSF Zone Def'!$CG44</f>
        <v>0</v>
      </c>
      <c r="ER55" s="235">
        <f>'POSF Inventory'!$CG47*'POSF Emiss by Zone'!$D$9*'POSF Zone Def'!$CG44</f>
        <v>0</v>
      </c>
      <c r="ES55" s="235">
        <f>'POSF Inventory'!$CH47*'POSF Emiss by Zone'!$D$7*'POSF Zone Def'!$CG44</f>
        <v>0</v>
      </c>
      <c r="ET55" s="235">
        <f>'POSF Inventory'!$CI47*'POSF Emiss by Zone'!$D$9*'POSF Zone Def'!$CG44</f>
        <v>0</v>
      </c>
      <c r="EU55" s="235">
        <f>'POSF Inventory'!$CJ47*'POSF Emiss by Zone'!$D$7*'POSF Zone Def'!$CG44</f>
        <v>0</v>
      </c>
      <c r="EV55" s="580">
        <f>'POSF Inventory'!$CK47*'POSF Emiss by Zone'!$D$9*'POSF Zone Def'!$CG44</f>
        <v>0</v>
      </c>
      <c r="EW55" s="235">
        <f>'POSF Inventory'!$CF47*'POSF Emiss by Zone'!$D$7*'POSF Zone Def'!$CH44</f>
        <v>0</v>
      </c>
      <c r="EX55" s="235">
        <f>'POSF Inventory'!$CG47*'POSF Emiss by Zone'!$D$9*'POSF Zone Def'!$CH44</f>
        <v>0</v>
      </c>
      <c r="EY55" s="235">
        <f>'POSF Inventory'!$CH47*'POSF Emiss by Zone'!$D$7*'POSF Zone Def'!$CH44</f>
        <v>0</v>
      </c>
      <c r="EZ55" s="235">
        <f>'POSF Inventory'!$CI47*'POSF Emiss by Zone'!$D$9*'POSF Zone Def'!$CH44</f>
        <v>0</v>
      </c>
      <c r="FA55" s="235">
        <f>'POSF Inventory'!$CJ47*'POSF Emiss by Zone'!$D$7*'POSF Zone Def'!$CH44</f>
        <v>0</v>
      </c>
      <c r="FB55" s="580">
        <f>'POSF Inventory'!$CK47*'POSF Emiss by Zone'!$D$9*'POSF Zone Def'!$CH44</f>
        <v>0</v>
      </c>
      <c r="FC55" s="235">
        <f>'POSF Inventory'!$CF47*'POSF Emiss by Zone'!$D$7*'POSF Zone Def'!$CI44</f>
        <v>0</v>
      </c>
      <c r="FD55" s="235">
        <f>'POSF Inventory'!$CG47*'POSF Emiss by Zone'!$D$9*'POSF Zone Def'!$CI44</f>
        <v>0</v>
      </c>
      <c r="FE55" s="235">
        <f>'POSF Inventory'!$CH47*'POSF Emiss by Zone'!$D$7*'POSF Zone Def'!$CI44</f>
        <v>0</v>
      </c>
      <c r="FF55" s="235">
        <f>'POSF Inventory'!$CI47*'POSF Emiss by Zone'!$D$9*'POSF Zone Def'!$CI44</f>
        <v>0</v>
      </c>
      <c r="FG55" s="235">
        <f>'POSF Inventory'!$CJ47*'POSF Emiss by Zone'!$D$7*'POSF Zone Def'!$CI44</f>
        <v>0</v>
      </c>
      <c r="FH55" s="577">
        <f>'POSF Inventory'!$CK47*'POSF Emiss by Zone'!$D$9*'POSF Zone Def'!$CI44</f>
        <v>0</v>
      </c>
      <c r="FI55" s="595"/>
      <c r="FJ55" s="595"/>
      <c r="FM55" s="592">
        <v>38</v>
      </c>
      <c r="FN55" s="592">
        <f t="shared" si="98"/>
        <v>1992</v>
      </c>
      <c r="FO55" s="587">
        <v>35</v>
      </c>
      <c r="FP55" s="551">
        <f t="shared" si="20"/>
        <v>9.1756340324999996</v>
      </c>
      <c r="FQ55" s="529">
        <f t="shared" si="21"/>
        <v>9.1973515094999989</v>
      </c>
      <c r="FR55" s="529">
        <f t="shared" si="22"/>
        <v>0</v>
      </c>
      <c r="FS55" s="529">
        <f t="shared" si="23"/>
        <v>0</v>
      </c>
      <c r="FT55" s="529">
        <f t="shared" si="24"/>
        <v>6.7967659500000011</v>
      </c>
      <c r="FU55" s="524">
        <f t="shared" si="25"/>
        <v>6.8128529700000007</v>
      </c>
      <c r="FV55" s="474">
        <f t="shared" si="26"/>
        <v>9.1756340324999996</v>
      </c>
      <c r="FW55" s="474">
        <f t="shared" si="27"/>
        <v>9.1973515094999989</v>
      </c>
      <c r="FX55" s="474">
        <f t="shared" si="28"/>
        <v>0</v>
      </c>
      <c r="FY55" s="474">
        <f t="shared" si="29"/>
        <v>0</v>
      </c>
      <c r="FZ55" s="474">
        <f t="shared" si="30"/>
        <v>6.7967659500000011</v>
      </c>
      <c r="GA55" s="134">
        <f t="shared" si="31"/>
        <v>6.8128529700000007</v>
      </c>
      <c r="GB55" s="529">
        <f t="shared" si="32"/>
        <v>0</v>
      </c>
      <c r="GC55" s="529">
        <f t="shared" si="33"/>
        <v>0</v>
      </c>
      <c r="GD55" s="529">
        <f t="shared" si="34"/>
        <v>15.60751384235558</v>
      </c>
      <c r="GE55" s="529">
        <f t="shared" si="35"/>
        <v>101.4802949864044</v>
      </c>
      <c r="GF55" s="529">
        <f t="shared" si="36"/>
        <v>11.282812001992033</v>
      </c>
      <c r="GG55" s="524">
        <f t="shared" si="37"/>
        <v>11.30951688247012</v>
      </c>
      <c r="GH55" s="474">
        <f t="shared" si="38"/>
        <v>0</v>
      </c>
      <c r="GI55" s="474">
        <f t="shared" si="39"/>
        <v>0</v>
      </c>
      <c r="GJ55" s="474">
        <f t="shared" si="40"/>
        <v>7.1499179656623504</v>
      </c>
      <c r="GK55" s="474">
        <f t="shared" si="41"/>
        <v>16.704156435408368</v>
      </c>
      <c r="GL55" s="474">
        <f t="shared" si="42"/>
        <v>11.282812001992033</v>
      </c>
      <c r="GM55" s="705">
        <f t="shared" si="43"/>
        <v>11.30951688247012</v>
      </c>
      <c r="GN55" s="705">
        <f t="shared" si="44"/>
        <v>0</v>
      </c>
      <c r="GO55" s="705">
        <f t="shared" si="45"/>
        <v>0</v>
      </c>
      <c r="GP55" s="705">
        <f t="shared" si="46"/>
        <v>0</v>
      </c>
      <c r="GQ55" s="705">
        <f t="shared" si="47"/>
        <v>0</v>
      </c>
      <c r="GR55" s="705">
        <f t="shared" si="48"/>
        <v>0</v>
      </c>
      <c r="GS55" s="134">
        <f t="shared" si="49"/>
        <v>0</v>
      </c>
      <c r="GT55" s="529">
        <f t="shared" si="50"/>
        <v>0.12154232018332763</v>
      </c>
      <c r="GU55" s="529">
        <f t="shared" si="51"/>
        <v>4.8427593092724956</v>
      </c>
      <c r="GV55" s="529">
        <f t="shared" si="52"/>
        <v>1.3331076334661355E-2</v>
      </c>
      <c r="GW55" s="529">
        <f t="shared" si="53"/>
        <v>1.6480543118725099E-2</v>
      </c>
      <c r="GX55" s="529">
        <f t="shared" si="54"/>
        <v>4.8880613227091634E-2</v>
      </c>
      <c r="GY55" s="524">
        <f t="shared" si="55"/>
        <v>0.24171463240796814</v>
      </c>
      <c r="GZ55" s="474">
        <f t="shared" si="56"/>
        <v>1.4294691951312633E-2</v>
      </c>
      <c r="HA55" s="474">
        <f t="shared" si="57"/>
        <v>0.53906099247434991</v>
      </c>
      <c r="HB55" s="474">
        <f t="shared" si="58"/>
        <v>1.3331076334661355E-2</v>
      </c>
      <c r="HC55" s="474">
        <f t="shared" si="59"/>
        <v>1.6480543118725099E-2</v>
      </c>
      <c r="HD55" s="474">
        <f t="shared" si="60"/>
        <v>4.8880613227091634E-2</v>
      </c>
      <c r="HE55" s="549">
        <f t="shared" si="61"/>
        <v>0.24171463240796814</v>
      </c>
      <c r="HF55" s="235">
        <f t="shared" si="62"/>
        <v>0</v>
      </c>
      <c r="HG55" s="235">
        <f t="shared" si="63"/>
        <v>0</v>
      </c>
      <c r="HH55" s="235">
        <f t="shared" si="64"/>
        <v>0</v>
      </c>
      <c r="HI55" s="235">
        <f t="shared" si="65"/>
        <v>0</v>
      </c>
      <c r="HJ55" s="235">
        <f t="shared" si="66"/>
        <v>0</v>
      </c>
      <c r="HK55" s="580">
        <f t="shared" si="67"/>
        <v>0</v>
      </c>
      <c r="HL55" s="235">
        <f t="shared" si="68"/>
        <v>0</v>
      </c>
      <c r="HM55" s="235">
        <f t="shared" si="69"/>
        <v>0</v>
      </c>
      <c r="HN55" s="235">
        <f t="shared" si="70"/>
        <v>0</v>
      </c>
      <c r="HO55" s="235">
        <f t="shared" si="71"/>
        <v>0</v>
      </c>
      <c r="HP55" s="235">
        <f t="shared" si="72"/>
        <v>0</v>
      </c>
      <c r="HQ55" s="580">
        <f t="shared" si="73"/>
        <v>0</v>
      </c>
      <c r="HR55" s="235">
        <f t="shared" si="74"/>
        <v>0</v>
      </c>
      <c r="HS55" s="235">
        <f t="shared" si="75"/>
        <v>0</v>
      </c>
      <c r="HT55" s="235">
        <f t="shared" si="76"/>
        <v>0</v>
      </c>
      <c r="HU55" s="235">
        <f t="shared" si="77"/>
        <v>0</v>
      </c>
      <c r="HV55" s="235">
        <f t="shared" si="78"/>
        <v>0</v>
      </c>
      <c r="HW55" s="577">
        <f t="shared" si="79"/>
        <v>0</v>
      </c>
      <c r="HX55" s="235">
        <f t="shared" si="80"/>
        <v>6.4595068472816193</v>
      </c>
      <c r="HY55" s="235">
        <f t="shared" si="81"/>
        <v>257.37403129048977</v>
      </c>
      <c r="HZ55" s="235">
        <f t="shared" si="82"/>
        <v>0.70849543381673297</v>
      </c>
      <c r="IA55" s="235">
        <f t="shared" si="83"/>
        <v>0.87587748005593613</v>
      </c>
      <c r="IB55" s="235">
        <f t="shared" si="84"/>
        <v>2.5978165906613544</v>
      </c>
      <c r="IC55" s="235">
        <f t="shared" si="85"/>
        <v>12.846203040820397</v>
      </c>
      <c r="ID55" s="235">
        <f t="shared" si="86"/>
        <v>0.75970789762783819</v>
      </c>
      <c r="IE55" s="235">
        <f t="shared" si="87"/>
        <v>28.649018438502178</v>
      </c>
      <c r="IF55" s="235">
        <f t="shared" si="88"/>
        <v>0.70849543381673297</v>
      </c>
      <c r="IG55" s="235">
        <f t="shared" si="89"/>
        <v>0.87587748005593613</v>
      </c>
      <c r="IH55" s="235">
        <f t="shared" si="90"/>
        <v>2.5978165906613544</v>
      </c>
      <c r="II55" s="235">
        <f t="shared" si="91"/>
        <v>12.846203040820397</v>
      </c>
      <c r="IJ55" s="235">
        <f t="shared" si="92"/>
        <v>0</v>
      </c>
      <c r="IK55" s="235">
        <f t="shared" si="93"/>
        <v>0</v>
      </c>
      <c r="IL55" s="235">
        <f t="shared" si="94"/>
        <v>0</v>
      </c>
      <c r="IM55" s="235">
        <f t="shared" si="95"/>
        <v>0</v>
      </c>
      <c r="IN55" s="235">
        <f t="shared" si="96"/>
        <v>0</v>
      </c>
      <c r="IO55" s="235">
        <f t="shared" si="97"/>
        <v>0</v>
      </c>
    </row>
    <row r="56" spans="1:249" ht="18" x14ac:dyDescent="0.25">
      <c r="A56" s="18">
        <v>1993</v>
      </c>
      <c r="B56" s="564"/>
      <c r="C56" s="529">
        <f>'POSF Inventory'!AD48*$D$5*'POSF Zone Def'!$M45</f>
        <v>9.1756340324999996</v>
      </c>
      <c r="D56" s="529">
        <f>'POSF Inventory'!AE48*$D$6*'POSF Zone Def'!$M45</f>
        <v>9.1973515094999989</v>
      </c>
      <c r="E56" s="529">
        <f>'POSF Inventory'!AF48*$D$5*'POSF Zone Def'!$M45</f>
        <v>0</v>
      </c>
      <c r="F56" s="529">
        <f>'POSF Inventory'!AG48*$D$6*'POSF Zone Def'!$M45</f>
        <v>0</v>
      </c>
      <c r="G56" s="529">
        <f>'POSF Inventory'!AH48*$D$5*'POSF Zone Def'!$M45</f>
        <v>6.7967659500000011</v>
      </c>
      <c r="H56" s="524">
        <f>'POSF Inventory'!AI48*$D$6*'POSF Zone Def'!$M45</f>
        <v>6.8128529700000007</v>
      </c>
      <c r="I56" s="474">
        <f>'POSF Inventory'!AD48*$D$5*'POSF Zone Def'!$N45</f>
        <v>9.1756340324999996</v>
      </c>
      <c r="J56" s="474">
        <f>'POSF Inventory'!AE48*$D$6*'POSF Zone Def'!$N45</f>
        <v>9.1973515094999989</v>
      </c>
      <c r="K56" s="474">
        <f>'POSF Inventory'!AF48*$D$5*'POSF Zone Def'!$N45</f>
        <v>0</v>
      </c>
      <c r="L56" s="474">
        <f>'POSF Inventory'!AG48*$D$6*'POSF Zone Def'!$N45</f>
        <v>0</v>
      </c>
      <c r="M56" s="474">
        <f>'POSF Inventory'!AH48*$D$5*'POSF Zone Def'!$N45</f>
        <v>6.7967659500000011</v>
      </c>
      <c r="N56" s="485">
        <f>'POSF Inventory'!AI48*$D$6*'POSF Zone Def'!$N45</f>
        <v>6.8128529700000007</v>
      </c>
      <c r="O56" s="529">
        <f>'POSF Inventory'!AJ48*$D$5*'POSF Zone Def'!$AP45</f>
        <v>0</v>
      </c>
      <c r="P56" s="529">
        <f>'POSF Inventory'!AK48*$D$6*'POSF Zone Def'!$AP45</f>
        <v>0</v>
      </c>
      <c r="Q56" s="529">
        <f>'POSF Inventory'!AL48*$D$5*'POSF Zone Def'!$AP45</f>
        <v>0</v>
      </c>
      <c r="R56" s="529">
        <f>'POSF Inventory'!AM48*$D$6*'POSF Zone Def'!$AP45</f>
        <v>0</v>
      </c>
      <c r="S56" s="529">
        <f>'POSF Inventory'!AN48*$D$5*'POSF Zone Def'!$AP45</f>
        <v>0</v>
      </c>
      <c r="T56" s="524">
        <f>'POSF Inventory'!AO48*$D$6*'POSF Zone Def'!$AP45</f>
        <v>0</v>
      </c>
      <c r="U56" s="474">
        <f>'POSF Inventory'!AJ48*$D$5*'POSF Zone Def'!$AQ45</f>
        <v>0</v>
      </c>
      <c r="V56" s="474">
        <f>'POSF Inventory'!AK48*$D$6*'POSF Zone Def'!$AQ45</f>
        <v>0</v>
      </c>
      <c r="W56" s="474">
        <f>'POSF Inventory'!AL48*$D$5*'POSF Zone Def'!$AQ45</f>
        <v>0</v>
      </c>
      <c r="X56" s="474">
        <f>'POSF Inventory'!AM48*$D$6*'POSF Zone Def'!$AQ45</f>
        <v>0</v>
      </c>
      <c r="Y56" s="474">
        <f>'POSF Inventory'!AN48*$D$5*'POSF Zone Def'!$AQ45</f>
        <v>0</v>
      </c>
      <c r="Z56" s="134">
        <f>'POSF Inventory'!AO48*$D$6*'POSF Zone Def'!$AQ45</f>
        <v>0</v>
      </c>
      <c r="AA56" s="529">
        <f>'POSF Inventory'!AV48*'POSF Emiss by Zone'!$D$5*'POSF Zone Def'!$M45</f>
        <v>0</v>
      </c>
      <c r="AB56" s="529">
        <f>'POSF Inventory'!AW48*'POSF Emiss by Zone'!$D$6*'POSF Zone Def'!$M45</f>
        <v>0</v>
      </c>
      <c r="AC56" s="529">
        <f>'POSF Inventory'!AX48*'POSF Emiss by Zone'!$D$5*'POSF Zone Def'!$M45</f>
        <v>6.1170893550000001</v>
      </c>
      <c r="AD56" s="529">
        <f>'POSF Inventory'!AY48*'POSF Emiss by Zone'!$D$6*'POSF Zone Def'!$M45</f>
        <v>6.1315676730000002</v>
      </c>
      <c r="AE56" s="529">
        <f>'POSF Inventory'!AZ48*'POSF Emiss by Zone'!$D$5*'POSF Zone Def'!$M45</f>
        <v>11.327943250000001</v>
      </c>
      <c r="AF56" s="524">
        <f>'POSF Inventory'!BA48*'POSF Emiss by Zone'!$D$6*'POSF Zone Def'!$M45</f>
        <v>11.35475495</v>
      </c>
      <c r="AG56" s="474">
        <f>'POSF Inventory'!AV48*'POSF Emiss by Zone'!$D$5*'POSF Zone Def'!$N45</f>
        <v>0</v>
      </c>
      <c r="AH56" s="474">
        <f>'POSF Inventory'!AW48*'POSF Emiss by Zone'!$D$6*'POSF Zone Def'!$N45</f>
        <v>0</v>
      </c>
      <c r="AI56" s="474">
        <f>'POSF Inventory'!AX48*'POSF Emiss by Zone'!$D$5*'POSF Zone Def'!$N45</f>
        <v>6.1170893550000001</v>
      </c>
      <c r="AJ56" s="474">
        <f>'POSF Inventory'!AY48*'POSF Emiss by Zone'!$D$6*'POSF Zone Def'!$N45</f>
        <v>6.1315676730000002</v>
      </c>
      <c r="AK56" s="474">
        <f>'POSF Inventory'!AZ48*'POSF Emiss by Zone'!$D$5*'POSF Zone Def'!$N45</f>
        <v>11.327943250000001</v>
      </c>
      <c r="AL56" s="549">
        <f>'POSF Inventory'!BA48*'POSF Emiss by Zone'!$D$6*'POSF Zone Def'!$N45</f>
        <v>11.35475495</v>
      </c>
      <c r="AM56" s="529">
        <f>'POSF Inventory'!BB48*'POSF Emiss by Zone'!$D$5*'POSF Zone Def'!$AP45</f>
        <v>0</v>
      </c>
      <c r="AN56" s="529">
        <f>'POSF Inventory'!BC48*'POSF Emiss by Zone'!$D$6*'POSF Zone Def'!$AP45</f>
        <v>0</v>
      </c>
      <c r="AO56" s="529">
        <f>'POSF Inventory'!BD48*'POSF Emiss by Zone'!$D$5*'POSF Zone Def'!$AP45</f>
        <v>0</v>
      </c>
      <c r="AP56" s="529">
        <f>'POSF Inventory'!BE48*'POSF Emiss by Zone'!$D$6*'POSF Zone Def'!$AP45</f>
        <v>0</v>
      </c>
      <c r="AQ56" s="529">
        <f>'POSF Inventory'!BF48*'POSF Emiss by Zone'!$D$5*'POSF Zone Def'!$AP45</f>
        <v>0</v>
      </c>
      <c r="AR56" s="524">
        <f>'POSF Inventory'!BG48*'POSF Emiss by Zone'!$D$6*'POSF Zone Def'!$AP45</f>
        <v>0</v>
      </c>
      <c r="AS56" s="474">
        <f>'POSF Inventory'!BB48*'POSF Emiss by Zone'!$D$5*'POSF Zone Def'!$AQ45</f>
        <v>0</v>
      </c>
      <c r="AT56" s="474">
        <f>'POSF Inventory'!BC48*'POSF Emiss by Zone'!$D$6*'POSF Zone Def'!$AQ45</f>
        <v>0</v>
      </c>
      <c r="AU56" s="474">
        <f>'POSF Inventory'!BD48*'POSF Emiss by Zone'!$D$5*'POSF Zone Def'!$AQ45</f>
        <v>0</v>
      </c>
      <c r="AV56" s="474">
        <f>'POSF Inventory'!BE48*'POSF Emiss by Zone'!$D$6*'POSF Zone Def'!$AQ45</f>
        <v>0</v>
      </c>
      <c r="AW56" s="474">
        <f>'POSF Inventory'!BF48*'POSF Emiss by Zone'!$D$5*'POSF Zone Def'!$AQ45</f>
        <v>0</v>
      </c>
      <c r="AX56" s="134">
        <f>'POSF Inventory'!BG48*'POSF Emiss by Zone'!$D$6*'POSF Zone Def'!$AQ45</f>
        <v>0</v>
      </c>
      <c r="AY56" s="529">
        <f>'POSF Inventory'!EA48*'POSF Emiss by Zone'!$D$5*'POSF Zone Def'!$Y45</f>
        <v>0</v>
      </c>
      <c r="AZ56" s="529">
        <f>'POSF Inventory'!EB48*'POSF Emiss by Zone'!$D$6*'POSF Zone Def'!$Y45</f>
        <v>0</v>
      </c>
      <c r="BA56" s="529">
        <f>'POSF Inventory'!EC48*'POSF Emiss by Zone'!$D$5*'POSF Zone Def'!$Y45</f>
        <v>9.5481014177250021</v>
      </c>
      <c r="BB56" s="529">
        <f>'POSF Inventory'!ED48*'POSF Emiss by Zone'!$D$6*'POSF Zone Def'!$Y45</f>
        <v>95.707004743350012</v>
      </c>
      <c r="BC56" s="529">
        <f>'POSF Inventory'!EE48*'POSF Emiss by Zone'!$D$5*'POSF Zone Def'!$Y45</f>
        <v>0</v>
      </c>
      <c r="BD56" s="524">
        <f>'POSF Inventory'!EF48*'POSF Emiss by Zone'!$D$6*'POSF Zone Def'!$Y45</f>
        <v>0</v>
      </c>
      <c r="BE56" s="474">
        <f>'POSF Inventory'!EA48*'POSF Emiss by Zone'!$D$5*'POSF Zone Def'!$Z45</f>
        <v>0</v>
      </c>
      <c r="BF56" s="474">
        <f>'POSF Inventory'!EB48*'POSF Emiss by Zone'!$D$6*'POSF Zone Def'!$Z45</f>
        <v>0</v>
      </c>
      <c r="BG56" s="474">
        <f>'POSF Inventory'!EC48*'POSF Emiss by Zone'!$D$5*'POSF Zone Def'!$Z45</f>
        <v>1.0609001575250001</v>
      </c>
      <c r="BH56" s="474">
        <f>'POSF Inventory'!ED48*'POSF Emiss by Zone'!$D$6*'POSF Zone Def'!$Z45</f>
        <v>10.634111638150003</v>
      </c>
      <c r="BI56" s="474">
        <f>'POSF Inventory'!EE48*'POSF Emiss by Zone'!$D$5*'POSF Zone Def'!$Z45</f>
        <v>0</v>
      </c>
      <c r="BJ56" s="549">
        <f>'POSF Inventory'!EF48*'POSF Emiss by Zone'!$D$6*'POSF Zone Def'!$Z45</f>
        <v>0</v>
      </c>
      <c r="BK56" s="705">
        <f>'POSF Inventory'!$EA48*'POSF Emiss by Zone'!$D$5*'POSF Zone Def'!$AC45</f>
        <v>0</v>
      </c>
      <c r="BL56" s="705">
        <f>'POSF Inventory'!$EB48*'POSF Emiss by Zone'!$D$6*'POSF Zone Def'!$AC45</f>
        <v>0</v>
      </c>
      <c r="BM56" s="705">
        <f>'POSF Inventory'!$EC48*'POSF Emiss by Zone'!$D$5*'POSF Zone Def'!$AC45</f>
        <v>0</v>
      </c>
      <c r="BN56" s="705">
        <f>'POSF Inventory'!$ED48*'POSF Emiss by Zone'!$D$6*'POSF Zone Def'!$AC45</f>
        <v>0</v>
      </c>
      <c r="BO56" s="705">
        <f>'POSF Inventory'!$EE48*'POSF Emiss by Zone'!$D$5*'POSF Zone Def'!$AC45</f>
        <v>0</v>
      </c>
      <c r="BP56" s="708">
        <f>'POSF Inventory'!$EF48*'POSF Emiss by Zone'!$D$6*'POSF Zone Def'!$AC45</f>
        <v>0</v>
      </c>
      <c r="BQ56" s="529">
        <f>'POSF Inventory'!EG48*'POSF Emiss by Zone'!$D$5*'POSF Zone Def'!$BB45</f>
        <v>0</v>
      </c>
      <c r="BR56" s="529">
        <f>'POSF Inventory'!EH48*'POSF Emiss by Zone'!$D$6*'POSF Zone Def'!$BB45</f>
        <v>0</v>
      </c>
      <c r="BS56" s="529">
        <f>'POSF Inventory'!EI48*'POSF Emiss by Zone'!$D$5*'POSF Zone Def'!$BB45</f>
        <v>0</v>
      </c>
      <c r="BT56" s="529">
        <f>'POSF Inventory'!EJ48*'POSF Emiss by Zone'!$D$6*'POSF Zone Def'!$BB45</f>
        <v>0</v>
      </c>
      <c r="BU56" s="529">
        <f>'POSF Inventory'!EK48*'POSF Emiss by Zone'!$D$5*'POSF Zone Def'!$BB45</f>
        <v>0</v>
      </c>
      <c r="BV56" s="524">
        <f>'POSF Inventory'!EL48*'POSF Emiss by Zone'!$D$6*'POSF Zone Def'!$BB45</f>
        <v>0</v>
      </c>
      <c r="BW56" s="474">
        <f>'POSF Inventory'!EG48*'POSF Emiss by Zone'!$D$5*'POSF Zone Def'!$BC45</f>
        <v>0</v>
      </c>
      <c r="BX56" s="474">
        <f>'POSF Inventory'!EH48*'POSF Emiss by Zone'!$D$6*'POSF Zone Def'!$BC45</f>
        <v>0</v>
      </c>
      <c r="BY56" s="474">
        <f>'POSF Inventory'!EI48*'POSF Emiss by Zone'!$D$5*'POSF Zone Def'!$BC45</f>
        <v>0</v>
      </c>
      <c r="BZ56" s="474">
        <f>'POSF Inventory'!EJ48*'POSF Emiss by Zone'!$D$6*'POSF Zone Def'!$BC45</f>
        <v>0</v>
      </c>
      <c r="CA56" s="474">
        <f>'POSF Inventory'!EK48*'POSF Emiss by Zone'!$D$5*'POSF Zone Def'!$BC45</f>
        <v>0</v>
      </c>
      <c r="CB56" s="134">
        <f>'POSF Inventory'!EL48*'POSF Emiss by Zone'!$D$6*'POSF Zone Def'!$BC45</f>
        <v>0</v>
      </c>
      <c r="CC56" s="529">
        <f>'POSF Inventory'!GC48*'POSF Emiss by Zone'!$D$7*'POSF Zone Def'!$M45</f>
        <v>4.2898720000000008E-2</v>
      </c>
      <c r="CD56" s="529">
        <f>'POSF Inventory'!GD48*'POSF Emiss by Zone'!$D$9*'POSF Zone Def'!$M45</f>
        <v>5.3033542600000011E-2</v>
      </c>
      <c r="CE56" s="529">
        <f>'POSF Inventory'!GE48*'POSF Emiss by Zone'!$D$7*'POSF Zone Def'!$M45</f>
        <v>0.64348079999999996</v>
      </c>
      <c r="CF56" s="529">
        <f>'POSF Inventory'!GF48*'POSF Emiss by Zone'!$D$9*'POSF Zone Def'!$M45</f>
        <v>0.79550313900000003</v>
      </c>
      <c r="CG56" s="529">
        <f>'POSF Inventory'!GG48*'POSF Emiss by Zone'!$D$7*'POSF Zone Def'!$M45</f>
        <v>2.3594295999999999</v>
      </c>
      <c r="CH56" s="524">
        <f>'POSF Inventory'!GH48*'POSF Emiss by Zone'!$D$9*'POSF Zone Def'!$M45</f>
        <v>11.667379372000001</v>
      </c>
      <c r="CI56" s="474">
        <f>'POSF Inventory'!GC48*'POSF Emiss by Zone'!$D$7*'POSF Zone Def'!$N45</f>
        <v>4.2898720000000008E-2</v>
      </c>
      <c r="CJ56" s="474">
        <f>'POSF Inventory'!GD48*'POSF Emiss by Zone'!$D$9*'POSF Zone Def'!$N45</f>
        <v>5.3033542600000011E-2</v>
      </c>
      <c r="CK56" s="474">
        <f>'POSF Inventory'!GE48*'POSF Emiss by Zone'!$D$7*'POSF Zone Def'!$N45</f>
        <v>0.64348079999999996</v>
      </c>
      <c r="CL56" s="474">
        <f>'POSF Inventory'!GF48*'POSF Emiss by Zone'!$D$9*'POSF Zone Def'!$N45</f>
        <v>0.79550313900000003</v>
      </c>
      <c r="CM56" s="474">
        <f>'POSF Inventory'!GG48*'POSF Emiss by Zone'!$D$7*'POSF Zone Def'!$N45</f>
        <v>2.3594295999999999</v>
      </c>
      <c r="CN56" s="485">
        <f>'POSF Inventory'!GH48*'POSF Emiss by Zone'!$D$9*'POSF Zone Def'!$N45</f>
        <v>11.667379372000001</v>
      </c>
      <c r="CO56" s="529">
        <f>'POSF Inventory'!GI48*'POSF Emiss by Zone'!$D$7*'POSF Zone Def'!$AP45</f>
        <v>0</v>
      </c>
      <c r="CP56" s="529">
        <f>'POSF Inventory'!GJ48*'POSF Emiss by Zone'!$D$9*'POSF Zone Def'!$AP45</f>
        <v>0</v>
      </c>
      <c r="CQ56" s="529">
        <f>'POSF Inventory'!GK48*'POSF Emiss by Zone'!$D$7*'POSF Zone Def'!$AP45</f>
        <v>0</v>
      </c>
      <c r="CR56" s="529">
        <f>'POSF Inventory'!GL48*'POSF Emiss by Zone'!$D$9*'POSF Zone Def'!$AP45</f>
        <v>0</v>
      </c>
      <c r="CS56" s="529">
        <f>'POSF Inventory'!GM48*'POSF Emiss by Zone'!$D$7*'POSF Zone Def'!$AP45</f>
        <v>0</v>
      </c>
      <c r="CT56" s="524">
        <f>'POSF Inventory'!GN48*'POSF Emiss by Zone'!$D$9*'POSF Zone Def'!$AP45</f>
        <v>0</v>
      </c>
      <c r="CU56" s="474">
        <f>'POSF Inventory'!GI48*'POSF Emiss by Zone'!$D$7*'POSF Zone Def'!$AQ45</f>
        <v>0</v>
      </c>
      <c r="CV56" s="474">
        <f>'POSF Inventory'!GJ48*'POSF Emiss by Zone'!$D$9*'POSF Zone Def'!$AQ45</f>
        <v>0</v>
      </c>
      <c r="CW56" s="474">
        <f>'POSF Inventory'!GK48*'POSF Emiss by Zone'!$D$7*'POSF Zone Def'!$AQ45</f>
        <v>0</v>
      </c>
      <c r="CX56" s="474">
        <f>'POSF Inventory'!GL48*'POSF Emiss by Zone'!$D$9*'POSF Zone Def'!$AQ45</f>
        <v>0</v>
      </c>
      <c r="CY56" s="474">
        <f>'POSF Inventory'!GM48*'POSF Emiss by Zone'!$D$7*'POSF Zone Def'!$AQ45</f>
        <v>0</v>
      </c>
      <c r="CZ56" s="134">
        <f>'POSF Inventory'!GN48*'POSF Emiss by Zone'!$D$9*'POSF Zone Def'!$AQ45</f>
        <v>0</v>
      </c>
      <c r="DA56" s="529">
        <f>SUM('POSF Inventory'!GQ48,'POSF Inventory'!GS48)*'POSF Emiss by Zone'!$D$7*'POSF Zone Def'!$Y45</f>
        <v>5.8234972392647562</v>
      </c>
      <c r="DB56" s="529">
        <f>SUM('POSF Inventory'!GR48,'POSF Inventory'!GT48)*'POSF Emiss by Zone'!$D$9*'POSF Zone Def'!$Y45</f>
        <v>235.15660569349424</v>
      </c>
      <c r="DC56" s="529"/>
      <c r="DD56" s="529"/>
      <c r="DE56" s="529">
        <f>'POSF Inventory'!GU48*'POSF Emiss by Zone'!$D$7*'POSF Zone Def'!$Y45</f>
        <v>0</v>
      </c>
      <c r="DF56" s="524">
        <f>'POSF Inventory'!GV48*'POSF Emiss by Zone'!$D$9*'POSF Zone Def'!$Y45</f>
        <v>0</v>
      </c>
      <c r="DG56" s="474">
        <f>SUM('POSF Inventory'!GQ48,'POSF Inventory'!GS48)*'POSF Emiss by Zone'!$D$7*'POSF Zone Def'!$Z45</f>
        <v>0.64705524880719523</v>
      </c>
      <c r="DH56" s="474">
        <f>SUM('POSF Inventory'!GR48,'POSF Inventory'!GT48)*'POSF Emiss by Zone'!$D$9*'POSF Zone Def'!$Z45</f>
        <v>26.128511743721585</v>
      </c>
      <c r="DI56" s="474"/>
      <c r="DJ56" s="474"/>
      <c r="DK56" s="474">
        <f>'POSF Inventory'!GU48*'POSF Emiss by Zone'!$D$7*'POSF Zone Def'!$Z45</f>
        <v>0</v>
      </c>
      <c r="DL56" s="485">
        <f>'POSF Inventory'!GV48*'POSF Emiss by Zone'!$D$9*'POSF Zone Def'!$Z45</f>
        <v>0</v>
      </c>
      <c r="DM56" s="705">
        <f>SUM('POSF Inventory'!$GQ48,'POSF Inventory'!$GS48)*'POSF Emiss by Zone'!$D$7*'POSF Zone Def'!$AC45</f>
        <v>0</v>
      </c>
      <c r="DN56" s="705">
        <f>SUM('POSF Inventory'!$GR48,'POSF Inventory'!$GT48)*'POSF Emiss by Zone'!$D$9*'POSF Zone Def'!$AC45</f>
        <v>0</v>
      </c>
      <c r="DO56" s="705"/>
      <c r="DP56" s="705"/>
      <c r="DQ56" s="705">
        <f>'POSF Inventory'!$GU48*'POSF Emiss by Zone'!$D$7*'POSF Zone Def'!$AC45</f>
        <v>0</v>
      </c>
      <c r="DR56" s="708">
        <f>'POSF Inventory'!$GV48*'POSF Emiss by Zone'!$D$9*'POSF Zone Def'!$AC45</f>
        <v>0</v>
      </c>
      <c r="DS56" s="529">
        <f>SUM('POSF Inventory'!GW48,'POSF Inventory'!GY48)*$D$7*'POSF Zone Def'!$BB45</f>
        <v>0</v>
      </c>
      <c r="DT56" s="529">
        <f>SUM('POSF Inventory'!GX48,'POSF Inventory'!GZ48)*$D$9*'POSF Zone Def'!$BB45</f>
        <v>0</v>
      </c>
      <c r="DU56" s="529"/>
      <c r="DV56" s="529"/>
      <c r="DW56" s="529">
        <f>'POSF Inventory'!HA48*'POSF Emiss by Zone'!$D$7*'POSF Zone Def'!$BB45</f>
        <v>0</v>
      </c>
      <c r="DX56" s="524">
        <f>'POSF Inventory'!HB48*'POSF Emiss by Zone'!$D$9*'POSF Zone Def'!$BB45</f>
        <v>0</v>
      </c>
      <c r="DY56" s="474">
        <f>SUM('POSF Inventory'!GW48,'POSF Inventory'!GY48)*$D$7*'POSF Zone Def'!$BC45</f>
        <v>0</v>
      </c>
      <c r="DZ56" s="474">
        <f>SUM('POSF Inventory'!GX48,'POSF Inventory'!GZ48)*$D$9*'POSF Zone Def'!$BC45</f>
        <v>0</v>
      </c>
      <c r="EA56" s="474"/>
      <c r="EB56" s="474"/>
      <c r="EC56" s="474">
        <f>'POSF Inventory'!HA48*'POSF Emiss by Zone'!$D$7*'POSF Zone Def'!$BC45</f>
        <v>0</v>
      </c>
      <c r="ED56" s="134">
        <f>'POSF Inventory'!HB48*'POSF Emiss by Zone'!$D$9*'POSF Zone Def'!$BC45</f>
        <v>0</v>
      </c>
      <c r="EE56" s="235">
        <f>'POSF Inventory'!$CF48*'POSF Emiss by Zone'!$D$7*'POSF Zone Def'!$CE45</f>
        <v>0</v>
      </c>
      <c r="EF56" s="235">
        <f>'POSF Inventory'!$CG48*'POSF Emiss by Zone'!$D$9*'POSF Zone Def'!$CE45</f>
        <v>0</v>
      </c>
      <c r="EG56" s="235">
        <f>'POSF Inventory'!$CH48*'POSF Emiss by Zone'!$D$7*'POSF Zone Def'!$CE45</f>
        <v>0</v>
      </c>
      <c r="EH56" s="235">
        <f>'POSF Inventory'!$CI48*'POSF Emiss by Zone'!$D$9*'POSF Zone Def'!$CE45</f>
        <v>0</v>
      </c>
      <c r="EI56" s="235">
        <f>'POSF Inventory'!$CJ48*'POSF Emiss by Zone'!$D$7*'POSF Zone Def'!$CE45</f>
        <v>0</v>
      </c>
      <c r="EJ56" s="580">
        <f>'POSF Inventory'!$CK48*'POSF Emiss by Zone'!$D$9*'POSF Zone Def'!$CE45</f>
        <v>0</v>
      </c>
      <c r="EK56" s="235">
        <f>'POSF Inventory'!$CF48*'POSF Emiss by Zone'!$D$7*'POSF Zone Def'!$CF45</f>
        <v>0</v>
      </c>
      <c r="EL56" s="235">
        <f>'POSF Inventory'!$CG48*'POSF Emiss by Zone'!$D$9*'POSF Zone Def'!$CF45</f>
        <v>0</v>
      </c>
      <c r="EM56" s="235">
        <f>'POSF Inventory'!$CH48*'POSF Emiss by Zone'!$D$7*'POSF Zone Def'!$CF45</f>
        <v>0</v>
      </c>
      <c r="EN56" s="235">
        <f>'POSF Inventory'!$CI48*'POSF Emiss by Zone'!$D$9*'POSF Zone Def'!$CF45</f>
        <v>0</v>
      </c>
      <c r="EO56" s="235">
        <f>'POSF Inventory'!$CJ48*'POSF Emiss by Zone'!$D$7*'POSF Zone Def'!$CF45</f>
        <v>0</v>
      </c>
      <c r="EP56" s="580">
        <f>'POSF Inventory'!$CK48*'POSF Emiss by Zone'!$D$9*'POSF Zone Def'!$CF45</f>
        <v>0</v>
      </c>
      <c r="EQ56" s="235">
        <f>'POSF Inventory'!$CF48*'POSF Emiss by Zone'!$D$7*'POSF Zone Def'!$CG45</f>
        <v>7.9451677137129373E-6</v>
      </c>
      <c r="ER56" s="235">
        <f>'POSF Inventory'!$CG48*'POSF Emiss by Zone'!$D$9*'POSF Zone Def'!$CG45</f>
        <v>9.8222135860776201E-6</v>
      </c>
      <c r="ES56" s="235">
        <f>'POSF Inventory'!$CH48*'POSF Emiss by Zone'!$D$7*'POSF Zone Def'!$CG45</f>
        <v>0</v>
      </c>
      <c r="ET56" s="235">
        <f>'POSF Inventory'!$CI48*'POSF Emiss by Zone'!$D$9*'POSF Zone Def'!$CG45</f>
        <v>0</v>
      </c>
      <c r="EU56" s="235">
        <f>'POSF Inventory'!$CJ48*'POSF Emiss by Zone'!$D$7*'POSF Zone Def'!$CG45</f>
        <v>7.1506509423416444E-5</v>
      </c>
      <c r="EV56" s="580">
        <f>'POSF Inventory'!$CK48*'POSF Emiss by Zone'!$D$9*'POSF Zone Def'!$CG45</f>
        <v>8.8399922274698593E-5</v>
      </c>
      <c r="EW56" s="235">
        <f>'POSF Inventory'!$CF48*'POSF Emiss by Zone'!$D$7*'POSF Zone Def'!$CH45</f>
        <v>0.10448341594393776</v>
      </c>
      <c r="EX56" s="235">
        <f>'POSF Inventory'!$CG48*'POSF Emiss by Zone'!$D$9*'POSF Zone Def'!$CH45</f>
        <v>0.12916762296069306</v>
      </c>
      <c r="EY56" s="235">
        <f>'POSF Inventory'!$CH48*'POSF Emiss by Zone'!$D$7*'POSF Zone Def'!$CH45</f>
        <v>0</v>
      </c>
      <c r="EZ56" s="235">
        <f>'POSF Inventory'!$CI48*'POSF Emiss by Zone'!$D$9*'POSF Zone Def'!$CH45</f>
        <v>0</v>
      </c>
      <c r="FA56" s="235">
        <f>'POSF Inventory'!$CJ48*'POSF Emiss by Zone'!$D$7*'POSF Zone Def'!$CH45</f>
        <v>0.94035074349543979</v>
      </c>
      <c r="FB56" s="580">
        <f>'POSF Inventory'!$CK48*'POSF Emiss by Zone'!$D$9*'POSF Zone Def'!$CH45</f>
        <v>1.1625086066462376</v>
      </c>
      <c r="FC56" s="235">
        <f>'POSF Inventory'!$CF48*'POSF Emiss by Zone'!$D$7*'POSF Zone Def'!$CI45</f>
        <v>9.550863888834854E-2</v>
      </c>
      <c r="FD56" s="235">
        <f>'POSF Inventory'!$CG48*'POSF Emiss by Zone'!$D$9*'POSF Zone Def'!$CI45</f>
        <v>0.11807255482572088</v>
      </c>
      <c r="FE56" s="235">
        <f>'POSF Inventory'!$CH48*'POSF Emiss by Zone'!$D$7*'POSF Zone Def'!$CI45</f>
        <v>0</v>
      </c>
      <c r="FF56" s="235">
        <f>'POSF Inventory'!$CI48*'POSF Emiss by Zone'!$D$9*'POSF Zone Def'!$CI45</f>
        <v>0</v>
      </c>
      <c r="FG56" s="235">
        <f>'POSF Inventory'!$CJ48*'POSF Emiss by Zone'!$D$7*'POSF Zone Def'!$CI45</f>
        <v>0.85957774999513681</v>
      </c>
      <c r="FH56" s="577">
        <f>'POSF Inventory'!$CK48*'POSF Emiss by Zone'!$D$9*'POSF Zone Def'!$CI45</f>
        <v>1.0626529934314881</v>
      </c>
      <c r="FI56" s="595"/>
      <c r="FJ56" s="595"/>
      <c r="FM56" s="592">
        <v>39</v>
      </c>
      <c r="FN56" s="592">
        <f t="shared" si="98"/>
        <v>1993</v>
      </c>
      <c r="FO56" s="587">
        <v>36</v>
      </c>
      <c r="FP56" s="551">
        <f t="shared" si="20"/>
        <v>9.1756340324999996</v>
      </c>
      <c r="FQ56" s="529">
        <f t="shared" si="21"/>
        <v>9.1973515094999989</v>
      </c>
      <c r="FR56" s="529">
        <f t="shared" si="22"/>
        <v>0</v>
      </c>
      <c r="FS56" s="529">
        <f t="shared" si="23"/>
        <v>0</v>
      </c>
      <c r="FT56" s="529">
        <f t="shared" si="24"/>
        <v>6.7967659500000011</v>
      </c>
      <c r="FU56" s="524">
        <f t="shared" si="25"/>
        <v>6.8128529700000007</v>
      </c>
      <c r="FV56" s="474">
        <f t="shared" si="26"/>
        <v>9.1756340324999996</v>
      </c>
      <c r="FW56" s="474">
        <f t="shared" si="27"/>
        <v>9.1973515094999989</v>
      </c>
      <c r="FX56" s="474">
        <f t="shared" si="28"/>
        <v>0</v>
      </c>
      <c r="FY56" s="474">
        <f t="shared" si="29"/>
        <v>0</v>
      </c>
      <c r="FZ56" s="474">
        <f t="shared" si="30"/>
        <v>6.7967659500000011</v>
      </c>
      <c r="GA56" s="134">
        <f t="shared" si="31"/>
        <v>6.8128529700000007</v>
      </c>
      <c r="GB56" s="529">
        <f t="shared" si="32"/>
        <v>0</v>
      </c>
      <c r="GC56" s="529">
        <f t="shared" si="33"/>
        <v>0</v>
      </c>
      <c r="GD56" s="529">
        <f t="shared" si="34"/>
        <v>15.602779654108566</v>
      </c>
      <c r="GE56" s="529">
        <f t="shared" si="35"/>
        <v>101.43284105214146</v>
      </c>
      <c r="GF56" s="529">
        <f t="shared" si="36"/>
        <v>11.282812001992033</v>
      </c>
      <c r="GG56" s="524">
        <f t="shared" si="37"/>
        <v>11.30951688247012</v>
      </c>
      <c r="GH56" s="474">
        <f t="shared" si="38"/>
        <v>0</v>
      </c>
      <c r="GI56" s="474">
        <f t="shared" si="39"/>
        <v>0</v>
      </c>
      <c r="GJ56" s="474">
        <f t="shared" si="40"/>
        <v>7.1493919447460161</v>
      </c>
      <c r="GK56" s="474">
        <f t="shared" si="41"/>
        <v>16.698883776045818</v>
      </c>
      <c r="GL56" s="474">
        <f t="shared" si="42"/>
        <v>11.282812001992033</v>
      </c>
      <c r="GM56" s="705">
        <f t="shared" si="43"/>
        <v>11.30951688247012</v>
      </c>
      <c r="GN56" s="705">
        <f t="shared" si="44"/>
        <v>0</v>
      </c>
      <c r="GO56" s="705">
        <f t="shared" si="45"/>
        <v>0</v>
      </c>
      <c r="GP56" s="705">
        <f t="shared" si="46"/>
        <v>0</v>
      </c>
      <c r="GQ56" s="705">
        <f t="shared" si="47"/>
        <v>0</v>
      </c>
      <c r="GR56" s="705">
        <f t="shared" si="48"/>
        <v>0</v>
      </c>
      <c r="GS56" s="134">
        <f t="shared" si="49"/>
        <v>0</v>
      </c>
      <c r="GT56" s="529">
        <f t="shared" si="50"/>
        <v>0.12153489636723798</v>
      </c>
      <c r="GU56" s="529">
        <f t="shared" si="51"/>
        <v>4.8728690200306373</v>
      </c>
      <c r="GV56" s="529">
        <f t="shared" si="52"/>
        <v>1.3331076334661355E-2</v>
      </c>
      <c r="GW56" s="529">
        <f t="shared" si="53"/>
        <v>1.6480543118725099E-2</v>
      </c>
      <c r="GX56" s="529">
        <f t="shared" si="54"/>
        <v>4.8880613227091634E-2</v>
      </c>
      <c r="GY56" s="524">
        <f t="shared" si="55"/>
        <v>0.24171463240796814</v>
      </c>
      <c r="GZ56" s="474">
        <f t="shared" si="56"/>
        <v>1.4293867082858229E-2</v>
      </c>
      <c r="HA56" s="474">
        <f t="shared" si="57"/>
        <v>0.54240651589192124</v>
      </c>
      <c r="HB56" s="474">
        <f t="shared" si="58"/>
        <v>1.3331076334661355E-2</v>
      </c>
      <c r="HC56" s="474">
        <f t="shared" si="59"/>
        <v>1.6480543118725099E-2</v>
      </c>
      <c r="HD56" s="474">
        <f t="shared" si="60"/>
        <v>4.8880613227091634E-2</v>
      </c>
      <c r="HE56" s="549">
        <f t="shared" si="61"/>
        <v>0.24171463240796814</v>
      </c>
      <c r="HF56" s="235">
        <f t="shared" si="62"/>
        <v>8.2300542054396965E-6</v>
      </c>
      <c r="HG56" s="235">
        <f t="shared" si="63"/>
        <v>1.0174404511474826E-5</v>
      </c>
      <c r="HH56" s="235">
        <f t="shared" si="64"/>
        <v>0</v>
      </c>
      <c r="HI56" s="235">
        <f t="shared" si="65"/>
        <v>0</v>
      </c>
      <c r="HJ56" s="235">
        <f t="shared" si="66"/>
        <v>7.4070487848957277E-5</v>
      </c>
      <c r="HK56" s="580">
        <f t="shared" si="67"/>
        <v>9.1569640603273434E-5</v>
      </c>
      <c r="HL56" s="235">
        <f t="shared" si="68"/>
        <v>0.10822983324870046</v>
      </c>
      <c r="HM56" s="235">
        <f t="shared" si="69"/>
        <v>0.13379913135370597</v>
      </c>
      <c r="HN56" s="235">
        <f t="shared" si="70"/>
        <v>0</v>
      </c>
      <c r="HO56" s="235">
        <f t="shared" si="71"/>
        <v>0</v>
      </c>
      <c r="HP56" s="235">
        <f t="shared" si="72"/>
        <v>0.97406849923830419</v>
      </c>
      <c r="HQ56" s="580">
        <f t="shared" si="73"/>
        <v>1.2041921821833537</v>
      </c>
      <c r="HR56" s="235">
        <f t="shared" si="74"/>
        <v>9.8933251438129963E-2</v>
      </c>
      <c r="HS56" s="235">
        <f t="shared" si="75"/>
        <v>0.12230623209038816</v>
      </c>
      <c r="HT56" s="235">
        <f t="shared" si="76"/>
        <v>0</v>
      </c>
      <c r="HU56" s="235">
        <f t="shared" si="77"/>
        <v>0</v>
      </c>
      <c r="HV56" s="235">
        <f t="shared" si="78"/>
        <v>0.89039926294316962</v>
      </c>
      <c r="HW56" s="577">
        <f t="shared" si="79"/>
        <v>1.1007560888134937</v>
      </c>
      <c r="HX56" s="235">
        <f t="shared" si="80"/>
        <v>6.4591123000095934</v>
      </c>
      <c r="HY56" s="235">
        <f t="shared" si="81"/>
        <v>258.97424661070517</v>
      </c>
      <c r="HZ56" s="235">
        <f t="shared" si="82"/>
        <v>0.70849543381673297</v>
      </c>
      <c r="IA56" s="235">
        <f t="shared" si="83"/>
        <v>0.87587748005593613</v>
      </c>
      <c r="IB56" s="235">
        <f t="shared" si="84"/>
        <v>2.5978165906613544</v>
      </c>
      <c r="IC56" s="235">
        <f t="shared" si="85"/>
        <v>12.846203040820397</v>
      </c>
      <c r="ID56" s="235">
        <f t="shared" si="86"/>
        <v>0.75966405904205769</v>
      </c>
      <c r="IE56" s="235">
        <f t="shared" si="87"/>
        <v>28.826820140748335</v>
      </c>
      <c r="IF56" s="235">
        <f t="shared" si="88"/>
        <v>0.70849543381673297</v>
      </c>
      <c r="IG56" s="235">
        <f t="shared" si="89"/>
        <v>0.87587748005593613</v>
      </c>
      <c r="IH56" s="235">
        <f t="shared" si="90"/>
        <v>2.5978165906613544</v>
      </c>
      <c r="II56" s="235">
        <f t="shared" si="91"/>
        <v>12.846203040820397</v>
      </c>
      <c r="IJ56" s="235">
        <f t="shared" si="92"/>
        <v>0</v>
      </c>
      <c r="IK56" s="235">
        <f t="shared" si="93"/>
        <v>0</v>
      </c>
      <c r="IL56" s="235">
        <f t="shared" si="94"/>
        <v>0</v>
      </c>
      <c r="IM56" s="235">
        <f t="shared" si="95"/>
        <v>0</v>
      </c>
      <c r="IN56" s="235">
        <f t="shared" si="96"/>
        <v>0</v>
      </c>
      <c r="IO56" s="235">
        <f t="shared" si="97"/>
        <v>0</v>
      </c>
    </row>
    <row r="57" spans="1:249" ht="18" x14ac:dyDescent="0.25">
      <c r="A57" s="18">
        <v>1994</v>
      </c>
      <c r="B57" s="564"/>
      <c r="C57" s="529">
        <f>'POSF Inventory'!AD49*$D$5*'POSF Zone Def'!$M46</f>
        <v>9.1756340324999996</v>
      </c>
      <c r="D57" s="529">
        <f>'POSF Inventory'!AE49*$D$6*'POSF Zone Def'!$M46</f>
        <v>9.1973515094999989</v>
      </c>
      <c r="E57" s="529">
        <f>'POSF Inventory'!AF49*$D$5*'POSF Zone Def'!$M46</f>
        <v>0</v>
      </c>
      <c r="F57" s="529">
        <f>'POSF Inventory'!AG49*$D$6*'POSF Zone Def'!$M46</f>
        <v>0</v>
      </c>
      <c r="G57" s="529">
        <f>'POSF Inventory'!AH49*$D$5*'POSF Zone Def'!$M46</f>
        <v>6.7967659500000011</v>
      </c>
      <c r="H57" s="524">
        <f>'POSF Inventory'!AI49*$D$6*'POSF Zone Def'!$M46</f>
        <v>6.8128529700000007</v>
      </c>
      <c r="I57" s="474">
        <f>'POSF Inventory'!AD49*$D$5*'POSF Zone Def'!$N46</f>
        <v>9.1756340324999996</v>
      </c>
      <c r="J57" s="474">
        <f>'POSF Inventory'!AE49*$D$6*'POSF Zone Def'!$N46</f>
        <v>9.1973515094999989</v>
      </c>
      <c r="K57" s="474">
        <f>'POSF Inventory'!AF49*$D$5*'POSF Zone Def'!$N46</f>
        <v>0</v>
      </c>
      <c r="L57" s="474">
        <f>'POSF Inventory'!AG49*$D$6*'POSF Zone Def'!$N46</f>
        <v>0</v>
      </c>
      <c r="M57" s="474">
        <f>'POSF Inventory'!AH49*$D$5*'POSF Zone Def'!$N46</f>
        <v>6.7967659500000011</v>
      </c>
      <c r="N57" s="485">
        <f>'POSF Inventory'!AI49*$D$6*'POSF Zone Def'!$N46</f>
        <v>6.8128529700000007</v>
      </c>
      <c r="O57" s="529">
        <f>'POSF Inventory'!AJ49*$D$5*'POSF Zone Def'!$AP46</f>
        <v>0</v>
      </c>
      <c r="P57" s="529">
        <f>'POSF Inventory'!AK49*$D$6*'POSF Zone Def'!$AP46</f>
        <v>0</v>
      </c>
      <c r="Q57" s="529">
        <f>'POSF Inventory'!AL49*$D$5*'POSF Zone Def'!$AP46</f>
        <v>0</v>
      </c>
      <c r="R57" s="529">
        <f>'POSF Inventory'!AM49*$D$6*'POSF Zone Def'!$AP46</f>
        <v>0</v>
      </c>
      <c r="S57" s="529">
        <f>'POSF Inventory'!AN49*$D$5*'POSF Zone Def'!$AP46</f>
        <v>0</v>
      </c>
      <c r="T57" s="524">
        <f>'POSF Inventory'!AO49*$D$6*'POSF Zone Def'!$AP46</f>
        <v>0</v>
      </c>
      <c r="U57" s="474">
        <f>'POSF Inventory'!AJ49*$D$5*'POSF Zone Def'!$AQ46</f>
        <v>0</v>
      </c>
      <c r="V57" s="474">
        <f>'POSF Inventory'!AK49*$D$6*'POSF Zone Def'!$AQ46</f>
        <v>0</v>
      </c>
      <c r="W57" s="474">
        <f>'POSF Inventory'!AL49*$D$5*'POSF Zone Def'!$AQ46</f>
        <v>0</v>
      </c>
      <c r="X57" s="474">
        <f>'POSF Inventory'!AM49*$D$6*'POSF Zone Def'!$AQ46</f>
        <v>0</v>
      </c>
      <c r="Y57" s="474">
        <f>'POSF Inventory'!AN49*$D$5*'POSF Zone Def'!$AQ46</f>
        <v>0</v>
      </c>
      <c r="Z57" s="134">
        <f>'POSF Inventory'!AO49*$D$6*'POSF Zone Def'!$AQ46</f>
        <v>0</v>
      </c>
      <c r="AA57" s="529">
        <f>'POSF Inventory'!AV49*'POSF Emiss by Zone'!$D$5*'POSF Zone Def'!$M46</f>
        <v>0</v>
      </c>
      <c r="AB57" s="529">
        <f>'POSF Inventory'!AW49*'POSF Emiss by Zone'!$D$6*'POSF Zone Def'!$M46</f>
        <v>0</v>
      </c>
      <c r="AC57" s="529">
        <f>'POSF Inventory'!AX49*'POSF Emiss by Zone'!$D$5*'POSF Zone Def'!$M46</f>
        <v>6.1170893550000001</v>
      </c>
      <c r="AD57" s="529">
        <f>'POSF Inventory'!AY49*'POSF Emiss by Zone'!$D$6*'POSF Zone Def'!$M46</f>
        <v>6.1315676730000002</v>
      </c>
      <c r="AE57" s="529">
        <f>'POSF Inventory'!AZ49*'POSF Emiss by Zone'!$D$5*'POSF Zone Def'!$M46</f>
        <v>11.327943250000001</v>
      </c>
      <c r="AF57" s="524">
        <f>'POSF Inventory'!BA49*'POSF Emiss by Zone'!$D$6*'POSF Zone Def'!$M46</f>
        <v>11.35475495</v>
      </c>
      <c r="AG57" s="474">
        <f>'POSF Inventory'!AV49*'POSF Emiss by Zone'!$D$5*'POSF Zone Def'!$N46</f>
        <v>0</v>
      </c>
      <c r="AH57" s="474">
        <f>'POSF Inventory'!AW49*'POSF Emiss by Zone'!$D$6*'POSF Zone Def'!$N46</f>
        <v>0</v>
      </c>
      <c r="AI57" s="474">
        <f>'POSF Inventory'!AX49*'POSF Emiss by Zone'!$D$5*'POSF Zone Def'!$N46</f>
        <v>6.1170893550000001</v>
      </c>
      <c r="AJ57" s="474">
        <f>'POSF Inventory'!AY49*'POSF Emiss by Zone'!$D$6*'POSF Zone Def'!$N46</f>
        <v>6.1315676730000002</v>
      </c>
      <c r="AK57" s="474">
        <f>'POSF Inventory'!AZ49*'POSF Emiss by Zone'!$D$5*'POSF Zone Def'!$N46</f>
        <v>11.327943250000001</v>
      </c>
      <c r="AL57" s="549">
        <f>'POSF Inventory'!BA49*'POSF Emiss by Zone'!$D$6*'POSF Zone Def'!$N46</f>
        <v>11.35475495</v>
      </c>
      <c r="AM57" s="529">
        <f>'POSF Inventory'!BB49*'POSF Emiss by Zone'!$D$5*'POSF Zone Def'!$AP46</f>
        <v>0</v>
      </c>
      <c r="AN57" s="529">
        <f>'POSF Inventory'!BC49*'POSF Emiss by Zone'!$D$6*'POSF Zone Def'!$AP46</f>
        <v>0</v>
      </c>
      <c r="AO57" s="529">
        <f>'POSF Inventory'!BD49*'POSF Emiss by Zone'!$D$5*'POSF Zone Def'!$AP46</f>
        <v>0</v>
      </c>
      <c r="AP57" s="529">
        <f>'POSF Inventory'!BE49*'POSF Emiss by Zone'!$D$6*'POSF Zone Def'!$AP46</f>
        <v>0</v>
      </c>
      <c r="AQ57" s="529">
        <f>'POSF Inventory'!BF49*'POSF Emiss by Zone'!$D$5*'POSF Zone Def'!$AP46</f>
        <v>0</v>
      </c>
      <c r="AR57" s="524">
        <f>'POSF Inventory'!BG49*'POSF Emiss by Zone'!$D$6*'POSF Zone Def'!$AP46</f>
        <v>0</v>
      </c>
      <c r="AS57" s="474">
        <f>'POSF Inventory'!BB49*'POSF Emiss by Zone'!$D$5*'POSF Zone Def'!$AQ46</f>
        <v>0</v>
      </c>
      <c r="AT57" s="474">
        <f>'POSF Inventory'!BC49*'POSF Emiss by Zone'!$D$6*'POSF Zone Def'!$AQ46</f>
        <v>0</v>
      </c>
      <c r="AU57" s="474">
        <f>'POSF Inventory'!BD49*'POSF Emiss by Zone'!$D$5*'POSF Zone Def'!$AQ46</f>
        <v>0</v>
      </c>
      <c r="AV57" s="474">
        <f>'POSF Inventory'!BE49*'POSF Emiss by Zone'!$D$6*'POSF Zone Def'!$AQ46</f>
        <v>0</v>
      </c>
      <c r="AW57" s="474">
        <f>'POSF Inventory'!BF49*'POSF Emiss by Zone'!$D$5*'POSF Zone Def'!$AQ46</f>
        <v>0</v>
      </c>
      <c r="AX57" s="134">
        <f>'POSF Inventory'!BG49*'POSF Emiss by Zone'!$D$6*'POSF Zone Def'!$AQ46</f>
        <v>0</v>
      </c>
      <c r="AY57" s="529">
        <f>'POSF Inventory'!EA49*'POSF Emiss by Zone'!$D$5*'POSF Zone Def'!$Y46</f>
        <v>0</v>
      </c>
      <c r="AZ57" s="529">
        <f>'POSF Inventory'!EB49*'POSF Emiss by Zone'!$D$6*'POSF Zone Def'!$Y46</f>
        <v>0</v>
      </c>
      <c r="BA57" s="529">
        <f>'POSF Inventory'!EC49*'POSF Emiss by Zone'!$D$5*'POSF Zone Def'!$Y46</f>
        <v>9.5385951677250009</v>
      </c>
      <c r="BB57" s="529">
        <f>'POSF Inventory'!ED49*'POSF Emiss by Zone'!$D$6*'POSF Zone Def'!$Y46</f>
        <v>95.61171724335</v>
      </c>
      <c r="BC57" s="529">
        <f>'POSF Inventory'!EE49*'POSF Emiss by Zone'!$D$5*'POSF Zone Def'!$Y46</f>
        <v>0</v>
      </c>
      <c r="BD57" s="524">
        <f>'POSF Inventory'!EF49*'POSF Emiss by Zone'!$D$6*'POSF Zone Def'!$Y46</f>
        <v>0</v>
      </c>
      <c r="BE57" s="474">
        <f>'POSF Inventory'!EA49*'POSF Emiss by Zone'!$D$5*'POSF Zone Def'!$Z46</f>
        <v>0</v>
      </c>
      <c r="BF57" s="474">
        <f>'POSF Inventory'!EB49*'POSF Emiss by Zone'!$D$6*'POSF Zone Def'!$Z46</f>
        <v>0</v>
      </c>
      <c r="BG57" s="474">
        <f>'POSF Inventory'!EC49*'POSF Emiss by Zone'!$D$5*'POSF Zone Def'!$Z46</f>
        <v>1.0598439075250001</v>
      </c>
      <c r="BH57" s="474">
        <f>'POSF Inventory'!ED49*'POSF Emiss by Zone'!$D$6*'POSF Zone Def'!$Z46</f>
        <v>10.623524138150001</v>
      </c>
      <c r="BI57" s="474">
        <f>'POSF Inventory'!EE49*'POSF Emiss by Zone'!$D$5*'POSF Zone Def'!$Z46</f>
        <v>0</v>
      </c>
      <c r="BJ57" s="549">
        <f>'POSF Inventory'!EF49*'POSF Emiss by Zone'!$D$6*'POSF Zone Def'!$Z46</f>
        <v>0</v>
      </c>
      <c r="BK57" s="705">
        <f>'POSF Inventory'!$EA49*'POSF Emiss by Zone'!$D$5*'POSF Zone Def'!$AC46</f>
        <v>0</v>
      </c>
      <c r="BL57" s="705">
        <f>'POSF Inventory'!$EB49*'POSF Emiss by Zone'!$D$6*'POSF Zone Def'!$AC46</f>
        <v>0</v>
      </c>
      <c r="BM57" s="705">
        <f>'POSF Inventory'!$EC49*'POSF Emiss by Zone'!$D$5*'POSF Zone Def'!$AC46</f>
        <v>0</v>
      </c>
      <c r="BN57" s="705">
        <f>'POSF Inventory'!$ED49*'POSF Emiss by Zone'!$D$6*'POSF Zone Def'!$AC46</f>
        <v>0</v>
      </c>
      <c r="BO57" s="705">
        <f>'POSF Inventory'!$EE49*'POSF Emiss by Zone'!$D$5*'POSF Zone Def'!$AC46</f>
        <v>0</v>
      </c>
      <c r="BP57" s="708">
        <f>'POSF Inventory'!$EF49*'POSF Emiss by Zone'!$D$6*'POSF Zone Def'!$AC46</f>
        <v>0</v>
      </c>
      <c r="BQ57" s="529">
        <f>'POSF Inventory'!EG49*'POSF Emiss by Zone'!$D$5*'POSF Zone Def'!$BB46</f>
        <v>0</v>
      </c>
      <c r="BR57" s="529">
        <f>'POSF Inventory'!EH49*'POSF Emiss by Zone'!$D$6*'POSF Zone Def'!$BB46</f>
        <v>0</v>
      </c>
      <c r="BS57" s="529">
        <f>'POSF Inventory'!EI49*'POSF Emiss by Zone'!$D$5*'POSF Zone Def'!$BB46</f>
        <v>0</v>
      </c>
      <c r="BT57" s="529">
        <f>'POSF Inventory'!EJ49*'POSF Emiss by Zone'!$D$6*'POSF Zone Def'!$BB46</f>
        <v>0</v>
      </c>
      <c r="BU57" s="529">
        <f>'POSF Inventory'!EK49*'POSF Emiss by Zone'!$D$5*'POSF Zone Def'!$BB46</f>
        <v>0</v>
      </c>
      <c r="BV57" s="524">
        <f>'POSF Inventory'!EL49*'POSF Emiss by Zone'!$D$6*'POSF Zone Def'!$BB46</f>
        <v>0</v>
      </c>
      <c r="BW57" s="474">
        <f>'POSF Inventory'!EG49*'POSF Emiss by Zone'!$D$5*'POSF Zone Def'!$BC46</f>
        <v>0</v>
      </c>
      <c r="BX57" s="474">
        <f>'POSF Inventory'!EH49*'POSF Emiss by Zone'!$D$6*'POSF Zone Def'!$BC46</f>
        <v>0</v>
      </c>
      <c r="BY57" s="474">
        <f>'POSF Inventory'!EI49*'POSF Emiss by Zone'!$D$5*'POSF Zone Def'!$BC46</f>
        <v>0</v>
      </c>
      <c r="BZ57" s="474">
        <f>'POSF Inventory'!EJ49*'POSF Emiss by Zone'!$D$6*'POSF Zone Def'!$BC46</f>
        <v>0</v>
      </c>
      <c r="CA57" s="474">
        <f>'POSF Inventory'!EK49*'POSF Emiss by Zone'!$D$5*'POSF Zone Def'!$BC46</f>
        <v>0</v>
      </c>
      <c r="CB57" s="134">
        <f>'POSF Inventory'!EL49*'POSF Emiss by Zone'!$D$6*'POSF Zone Def'!$BC46</f>
        <v>0</v>
      </c>
      <c r="CC57" s="529">
        <f>'POSF Inventory'!GC49*'POSF Emiss by Zone'!$D$7*'POSF Zone Def'!$M46</f>
        <v>4.2898720000000008E-2</v>
      </c>
      <c r="CD57" s="529">
        <f>'POSF Inventory'!GD49*'POSF Emiss by Zone'!$D$9*'POSF Zone Def'!$M46</f>
        <v>5.3033542600000011E-2</v>
      </c>
      <c r="CE57" s="529">
        <f>'POSF Inventory'!GE49*'POSF Emiss by Zone'!$D$7*'POSF Zone Def'!$M46</f>
        <v>0.64348079999999996</v>
      </c>
      <c r="CF57" s="529">
        <f>'POSF Inventory'!GF49*'POSF Emiss by Zone'!$D$9*'POSF Zone Def'!$M46</f>
        <v>0.79550313900000003</v>
      </c>
      <c r="CG57" s="529">
        <f>'POSF Inventory'!GG49*'POSF Emiss by Zone'!$D$7*'POSF Zone Def'!$M46</f>
        <v>2.3594295999999999</v>
      </c>
      <c r="CH57" s="524">
        <f>'POSF Inventory'!GH49*'POSF Emiss by Zone'!$D$9*'POSF Zone Def'!$M46</f>
        <v>11.667379372000001</v>
      </c>
      <c r="CI57" s="474">
        <f>'POSF Inventory'!GC49*'POSF Emiss by Zone'!$D$7*'POSF Zone Def'!$N46</f>
        <v>4.2898720000000008E-2</v>
      </c>
      <c r="CJ57" s="474">
        <f>'POSF Inventory'!GD49*'POSF Emiss by Zone'!$D$9*'POSF Zone Def'!$N46</f>
        <v>5.3033542600000011E-2</v>
      </c>
      <c r="CK57" s="474">
        <f>'POSF Inventory'!GE49*'POSF Emiss by Zone'!$D$7*'POSF Zone Def'!$N46</f>
        <v>0.64348079999999996</v>
      </c>
      <c r="CL57" s="474">
        <f>'POSF Inventory'!GF49*'POSF Emiss by Zone'!$D$9*'POSF Zone Def'!$N46</f>
        <v>0.79550313900000003</v>
      </c>
      <c r="CM57" s="474">
        <f>'POSF Inventory'!GG49*'POSF Emiss by Zone'!$D$7*'POSF Zone Def'!$N46</f>
        <v>2.3594295999999999</v>
      </c>
      <c r="CN57" s="485">
        <f>'POSF Inventory'!GH49*'POSF Emiss by Zone'!$D$9*'POSF Zone Def'!$N46</f>
        <v>11.667379372000001</v>
      </c>
      <c r="CO57" s="529">
        <f>'POSF Inventory'!GI49*'POSF Emiss by Zone'!$D$7*'POSF Zone Def'!$AP46</f>
        <v>0</v>
      </c>
      <c r="CP57" s="529">
        <f>'POSF Inventory'!GJ49*'POSF Emiss by Zone'!$D$9*'POSF Zone Def'!$AP46</f>
        <v>0</v>
      </c>
      <c r="CQ57" s="529">
        <f>'POSF Inventory'!GK49*'POSF Emiss by Zone'!$D$7*'POSF Zone Def'!$AP46</f>
        <v>0</v>
      </c>
      <c r="CR57" s="529">
        <f>'POSF Inventory'!GL49*'POSF Emiss by Zone'!$D$9*'POSF Zone Def'!$AP46</f>
        <v>0</v>
      </c>
      <c r="CS57" s="529">
        <f>'POSF Inventory'!GM49*'POSF Emiss by Zone'!$D$7*'POSF Zone Def'!$AP46</f>
        <v>0</v>
      </c>
      <c r="CT57" s="524">
        <f>'POSF Inventory'!GN49*'POSF Emiss by Zone'!$D$9*'POSF Zone Def'!$AP46</f>
        <v>0</v>
      </c>
      <c r="CU57" s="474">
        <f>'POSF Inventory'!GI49*'POSF Emiss by Zone'!$D$7*'POSF Zone Def'!$AQ46</f>
        <v>0</v>
      </c>
      <c r="CV57" s="474">
        <f>'POSF Inventory'!GJ49*'POSF Emiss by Zone'!$D$9*'POSF Zone Def'!$AQ46</f>
        <v>0</v>
      </c>
      <c r="CW57" s="474">
        <f>'POSF Inventory'!GK49*'POSF Emiss by Zone'!$D$7*'POSF Zone Def'!$AQ46</f>
        <v>0</v>
      </c>
      <c r="CX57" s="474">
        <f>'POSF Inventory'!GL49*'POSF Emiss by Zone'!$D$9*'POSF Zone Def'!$AQ46</f>
        <v>0</v>
      </c>
      <c r="CY57" s="474">
        <f>'POSF Inventory'!GM49*'POSF Emiss by Zone'!$D$7*'POSF Zone Def'!$AQ46</f>
        <v>0</v>
      </c>
      <c r="CZ57" s="134">
        <f>'POSF Inventory'!GN49*'POSF Emiss by Zone'!$D$9*'POSF Zone Def'!$AQ46</f>
        <v>0</v>
      </c>
      <c r="DA57" s="529">
        <f>SUM('POSF Inventory'!GQ49,'POSF Inventory'!GS49)*'POSF Emiss by Zone'!$D$7*'POSF Zone Def'!$Y46</f>
        <v>5.819610510751545</v>
      </c>
      <c r="DB57" s="529">
        <f>SUM('POSF Inventory'!GR49,'POSF Inventory'!GT49)*'POSF Emiss by Zone'!$D$9*'POSF Zone Def'!$Y46</f>
        <v>236.10386694923506</v>
      </c>
      <c r="DC57" s="529"/>
      <c r="DD57" s="529"/>
      <c r="DE57" s="529">
        <f>'POSF Inventory'!GU49*'POSF Emiss by Zone'!$D$7*'POSF Zone Def'!$Y46</f>
        <v>0</v>
      </c>
      <c r="DF57" s="524">
        <f>'POSF Inventory'!GV49*'POSF Emiss by Zone'!$D$9*'POSF Zone Def'!$Y46</f>
        <v>0</v>
      </c>
      <c r="DG57" s="474">
        <f>SUM('POSF Inventory'!GQ49,'POSF Inventory'!GS49)*'POSF Emiss by Zone'!$D$7*'POSF Zone Def'!$Z46</f>
        <v>0.646623390083505</v>
      </c>
      <c r="DH57" s="474">
        <f>SUM('POSF Inventory'!GR49,'POSF Inventory'!GT49)*'POSF Emiss by Zone'!$D$9*'POSF Zone Def'!$Z46</f>
        <v>26.233762994359452</v>
      </c>
      <c r="DI57" s="474"/>
      <c r="DJ57" s="474"/>
      <c r="DK57" s="474">
        <f>'POSF Inventory'!GU49*'POSF Emiss by Zone'!$D$7*'POSF Zone Def'!$Z46</f>
        <v>0</v>
      </c>
      <c r="DL57" s="485">
        <f>'POSF Inventory'!GV49*'POSF Emiss by Zone'!$D$9*'POSF Zone Def'!$Z46</f>
        <v>0</v>
      </c>
      <c r="DM57" s="705">
        <f>SUM('POSF Inventory'!$GQ49,'POSF Inventory'!$GS49)*'POSF Emiss by Zone'!$D$7*'POSF Zone Def'!$AC46</f>
        <v>0</v>
      </c>
      <c r="DN57" s="705">
        <f>SUM('POSF Inventory'!$GR49,'POSF Inventory'!$GT49)*'POSF Emiss by Zone'!$D$9*'POSF Zone Def'!$AC46</f>
        <v>0</v>
      </c>
      <c r="DO57" s="705"/>
      <c r="DP57" s="705"/>
      <c r="DQ57" s="705">
        <f>'POSF Inventory'!$GU49*'POSF Emiss by Zone'!$D$7*'POSF Zone Def'!$AC46</f>
        <v>0</v>
      </c>
      <c r="DR57" s="708">
        <f>'POSF Inventory'!$GV49*'POSF Emiss by Zone'!$D$9*'POSF Zone Def'!$AC46</f>
        <v>0</v>
      </c>
      <c r="DS57" s="529">
        <f>SUM('POSF Inventory'!GW49,'POSF Inventory'!GY49)*$D$7*'POSF Zone Def'!$BB46</f>
        <v>0</v>
      </c>
      <c r="DT57" s="529">
        <f>SUM('POSF Inventory'!GX49,'POSF Inventory'!GZ49)*$D$9*'POSF Zone Def'!$BB46</f>
        <v>0</v>
      </c>
      <c r="DU57" s="529"/>
      <c r="DV57" s="529"/>
      <c r="DW57" s="529">
        <f>'POSF Inventory'!HA49*'POSF Emiss by Zone'!$D$7*'POSF Zone Def'!$BB46</f>
        <v>0</v>
      </c>
      <c r="DX57" s="524">
        <f>'POSF Inventory'!HB49*'POSF Emiss by Zone'!$D$9*'POSF Zone Def'!$BB46</f>
        <v>0</v>
      </c>
      <c r="DY57" s="474">
        <f>SUM('POSF Inventory'!GW49,'POSF Inventory'!GY49)*$D$7*'POSF Zone Def'!$BC46</f>
        <v>0</v>
      </c>
      <c r="DZ57" s="474">
        <f>SUM('POSF Inventory'!GX49,'POSF Inventory'!GZ49)*$D$9*'POSF Zone Def'!$BC46</f>
        <v>0</v>
      </c>
      <c r="EA57" s="474"/>
      <c r="EB57" s="474"/>
      <c r="EC57" s="474">
        <f>'POSF Inventory'!HA49*'POSF Emiss by Zone'!$D$7*'POSF Zone Def'!$BC46</f>
        <v>0</v>
      </c>
      <c r="ED57" s="134">
        <f>'POSF Inventory'!HB49*'POSF Emiss by Zone'!$D$9*'POSF Zone Def'!$BC46</f>
        <v>0</v>
      </c>
      <c r="EE57" s="235">
        <f>'POSF Inventory'!$CF49*'POSF Emiss by Zone'!$D$7*'POSF Zone Def'!$CE46</f>
        <v>0</v>
      </c>
      <c r="EF57" s="235">
        <f>'POSF Inventory'!$CG49*'POSF Emiss by Zone'!$D$9*'POSF Zone Def'!$CE46</f>
        <v>0</v>
      </c>
      <c r="EG57" s="235">
        <f>'POSF Inventory'!$CH49*'POSF Emiss by Zone'!$D$7*'POSF Zone Def'!$CE46</f>
        <v>0</v>
      </c>
      <c r="EH57" s="235">
        <f>'POSF Inventory'!$CI49*'POSF Emiss by Zone'!$D$9*'POSF Zone Def'!$CE46</f>
        <v>0</v>
      </c>
      <c r="EI57" s="235">
        <f>'POSF Inventory'!$CJ49*'POSF Emiss by Zone'!$D$7*'POSF Zone Def'!$CE46</f>
        <v>0</v>
      </c>
      <c r="EJ57" s="580">
        <f>'POSF Inventory'!$CK49*'POSF Emiss by Zone'!$D$9*'POSF Zone Def'!$CE46</f>
        <v>0</v>
      </c>
      <c r="EK57" s="235">
        <f>'POSF Inventory'!$CF49*'POSF Emiss by Zone'!$D$7*'POSF Zone Def'!$CF46</f>
        <v>0</v>
      </c>
      <c r="EL57" s="235">
        <f>'POSF Inventory'!$CG49*'POSF Emiss by Zone'!$D$9*'POSF Zone Def'!$CF46</f>
        <v>0</v>
      </c>
      <c r="EM57" s="235">
        <f>'POSF Inventory'!$CH49*'POSF Emiss by Zone'!$D$7*'POSF Zone Def'!$CF46</f>
        <v>0</v>
      </c>
      <c r="EN57" s="235">
        <f>'POSF Inventory'!$CI49*'POSF Emiss by Zone'!$D$9*'POSF Zone Def'!$CF46</f>
        <v>0</v>
      </c>
      <c r="EO57" s="235">
        <f>'POSF Inventory'!$CJ49*'POSF Emiss by Zone'!$D$7*'POSF Zone Def'!$CF46</f>
        <v>0</v>
      </c>
      <c r="EP57" s="580">
        <f>'POSF Inventory'!$CK49*'POSF Emiss by Zone'!$D$9*'POSF Zone Def'!$CF46</f>
        <v>0</v>
      </c>
      <c r="EQ57" s="235">
        <f>'POSF Inventory'!$CF49*'POSF Emiss by Zone'!$D$7*'POSF Zone Def'!$CG46</f>
        <v>1.5890335427425875E-5</v>
      </c>
      <c r="ER57" s="235">
        <f>'POSF Inventory'!$CG49*'POSF Emiss by Zone'!$D$9*'POSF Zone Def'!$CG46</f>
        <v>1.964442717215524E-5</v>
      </c>
      <c r="ES57" s="235">
        <f>'POSF Inventory'!$CH49*'POSF Emiss by Zone'!$D$7*'POSF Zone Def'!$CG46</f>
        <v>0</v>
      </c>
      <c r="ET57" s="235">
        <f>'POSF Inventory'!$CI49*'POSF Emiss by Zone'!$D$9*'POSF Zone Def'!$CG46</f>
        <v>0</v>
      </c>
      <c r="EU57" s="235">
        <f>'POSF Inventory'!$CJ49*'POSF Emiss by Zone'!$D$7*'POSF Zone Def'!$CG46</f>
        <v>1.4301301884683289E-4</v>
      </c>
      <c r="EV57" s="580">
        <f>'POSF Inventory'!$CK49*'POSF Emiss by Zone'!$D$9*'POSF Zone Def'!$CG46</f>
        <v>1.7679984454939719E-4</v>
      </c>
      <c r="EW57" s="235">
        <f>'POSF Inventory'!$CF49*'POSF Emiss by Zone'!$D$7*'POSF Zone Def'!$CH46</f>
        <v>0.20896683188787551</v>
      </c>
      <c r="EX57" s="235">
        <f>'POSF Inventory'!$CG49*'POSF Emiss by Zone'!$D$9*'POSF Zone Def'!$CH46</f>
        <v>0.25833524592138613</v>
      </c>
      <c r="EY57" s="235">
        <f>'POSF Inventory'!$CH49*'POSF Emiss by Zone'!$D$7*'POSF Zone Def'!$CH46</f>
        <v>0</v>
      </c>
      <c r="EZ57" s="235">
        <f>'POSF Inventory'!$CI49*'POSF Emiss by Zone'!$D$9*'POSF Zone Def'!$CH46</f>
        <v>0</v>
      </c>
      <c r="FA57" s="235">
        <f>'POSF Inventory'!$CJ49*'POSF Emiss by Zone'!$D$7*'POSF Zone Def'!$CH46</f>
        <v>1.8807014869908796</v>
      </c>
      <c r="FB57" s="580">
        <f>'POSF Inventory'!$CK49*'POSF Emiss by Zone'!$D$9*'POSF Zone Def'!$CH46</f>
        <v>2.3250172132924751</v>
      </c>
      <c r="FC57" s="235">
        <f>'POSF Inventory'!$CF49*'POSF Emiss by Zone'!$D$7*'POSF Zone Def'!$CI46</f>
        <v>0.19101727777669708</v>
      </c>
      <c r="FD57" s="235">
        <f>'POSF Inventory'!$CG49*'POSF Emiss by Zone'!$D$9*'POSF Zone Def'!$CI46</f>
        <v>0.23614510965144175</v>
      </c>
      <c r="FE57" s="235">
        <f>'POSF Inventory'!$CH49*'POSF Emiss by Zone'!$D$7*'POSF Zone Def'!$CI46</f>
        <v>0</v>
      </c>
      <c r="FF57" s="235">
        <f>'POSF Inventory'!$CI49*'POSF Emiss by Zone'!$D$9*'POSF Zone Def'!$CI46</f>
        <v>0</v>
      </c>
      <c r="FG57" s="235">
        <f>'POSF Inventory'!$CJ49*'POSF Emiss by Zone'!$D$7*'POSF Zone Def'!$CI46</f>
        <v>1.7191554999902736</v>
      </c>
      <c r="FH57" s="577">
        <f>'POSF Inventory'!$CK49*'POSF Emiss by Zone'!$D$9*'POSF Zone Def'!$CI46</f>
        <v>2.1253059868629762</v>
      </c>
      <c r="FI57" s="595"/>
      <c r="FJ57" s="595"/>
      <c r="FM57" s="592">
        <v>40</v>
      </c>
      <c r="FN57" s="592">
        <f t="shared" si="98"/>
        <v>1994</v>
      </c>
      <c r="FO57" s="587">
        <v>37</v>
      </c>
      <c r="FP57" s="551">
        <f t="shared" si="20"/>
        <v>9.1756340324999996</v>
      </c>
      <c r="FQ57" s="529">
        <f t="shared" si="21"/>
        <v>9.1973515094999989</v>
      </c>
      <c r="FR57" s="529">
        <f t="shared" si="22"/>
        <v>0</v>
      </c>
      <c r="FS57" s="529">
        <f t="shared" si="23"/>
        <v>0</v>
      </c>
      <c r="FT57" s="529">
        <f t="shared" si="24"/>
        <v>6.7967659500000011</v>
      </c>
      <c r="FU57" s="524">
        <f t="shared" si="25"/>
        <v>6.8128529700000007</v>
      </c>
      <c r="FV57" s="474">
        <f t="shared" si="26"/>
        <v>9.1756340324999996</v>
      </c>
      <c r="FW57" s="474">
        <f t="shared" si="27"/>
        <v>9.1973515094999989</v>
      </c>
      <c r="FX57" s="474">
        <f t="shared" si="28"/>
        <v>0</v>
      </c>
      <c r="FY57" s="474">
        <f t="shared" si="29"/>
        <v>0</v>
      </c>
      <c r="FZ57" s="474">
        <f t="shared" si="30"/>
        <v>6.7967659500000011</v>
      </c>
      <c r="GA57" s="134">
        <f t="shared" si="31"/>
        <v>6.8128529700000007</v>
      </c>
      <c r="GB57" s="529">
        <f t="shared" si="32"/>
        <v>0</v>
      </c>
      <c r="GC57" s="529">
        <f t="shared" si="33"/>
        <v>0</v>
      </c>
      <c r="GD57" s="529">
        <f t="shared" si="34"/>
        <v>15.593311277614543</v>
      </c>
      <c r="GE57" s="529">
        <f t="shared" si="35"/>
        <v>101.33793318361555</v>
      </c>
      <c r="GF57" s="529">
        <f t="shared" si="36"/>
        <v>11.282812001992033</v>
      </c>
      <c r="GG57" s="524">
        <f t="shared" si="37"/>
        <v>11.30951688247012</v>
      </c>
      <c r="GH57" s="474">
        <f t="shared" si="38"/>
        <v>0</v>
      </c>
      <c r="GI57" s="474">
        <f t="shared" si="39"/>
        <v>0</v>
      </c>
      <c r="GJ57" s="474">
        <f t="shared" si="40"/>
        <v>7.1483399029133468</v>
      </c>
      <c r="GK57" s="474">
        <f t="shared" si="41"/>
        <v>16.688338457320718</v>
      </c>
      <c r="GL57" s="474">
        <f t="shared" si="42"/>
        <v>11.282812001992033</v>
      </c>
      <c r="GM57" s="705">
        <f t="shared" si="43"/>
        <v>11.30951688247012</v>
      </c>
      <c r="GN57" s="705">
        <f t="shared" si="44"/>
        <v>0</v>
      </c>
      <c r="GO57" s="705">
        <f t="shared" si="45"/>
        <v>0</v>
      </c>
      <c r="GP57" s="705">
        <f t="shared" si="46"/>
        <v>0</v>
      </c>
      <c r="GQ57" s="705">
        <f t="shared" si="47"/>
        <v>0</v>
      </c>
      <c r="GR57" s="705">
        <f t="shared" si="48"/>
        <v>0</v>
      </c>
      <c r="GS57" s="134">
        <f t="shared" si="49"/>
        <v>0</v>
      </c>
      <c r="GT57" s="529">
        <f t="shared" si="50"/>
        <v>0.12145437450162563</v>
      </c>
      <c r="GU57" s="529">
        <f t="shared" si="51"/>
        <v>4.8924935560061442</v>
      </c>
      <c r="GV57" s="529">
        <f t="shared" si="52"/>
        <v>1.3331076334661355E-2</v>
      </c>
      <c r="GW57" s="529">
        <f t="shared" si="53"/>
        <v>1.6480543118725099E-2</v>
      </c>
      <c r="GX57" s="529">
        <f t="shared" si="54"/>
        <v>4.8880613227091634E-2</v>
      </c>
      <c r="GY57" s="524">
        <f t="shared" si="55"/>
        <v>0.24171463240796814</v>
      </c>
      <c r="GZ57" s="474">
        <f t="shared" si="56"/>
        <v>1.4284920208901299E-2</v>
      </c>
      <c r="HA57" s="474">
        <f t="shared" si="57"/>
        <v>0.54458701988919989</v>
      </c>
      <c r="HB57" s="474">
        <f t="shared" si="58"/>
        <v>1.3331076334661355E-2</v>
      </c>
      <c r="HC57" s="474">
        <f t="shared" si="59"/>
        <v>1.6480543118725099E-2</v>
      </c>
      <c r="HD57" s="474">
        <f t="shared" si="60"/>
        <v>4.8880613227091634E-2</v>
      </c>
      <c r="HE57" s="549">
        <f t="shared" si="61"/>
        <v>0.24171463240796814</v>
      </c>
      <c r="HF57" s="235">
        <f t="shared" si="62"/>
        <v>1.6460108410879393E-5</v>
      </c>
      <c r="HG57" s="235">
        <f t="shared" si="63"/>
        <v>2.0348809022949652E-5</v>
      </c>
      <c r="HH57" s="235">
        <f t="shared" si="64"/>
        <v>0</v>
      </c>
      <c r="HI57" s="235">
        <f t="shared" si="65"/>
        <v>0</v>
      </c>
      <c r="HJ57" s="235">
        <f t="shared" si="66"/>
        <v>1.4814097569791455E-4</v>
      </c>
      <c r="HK57" s="580">
        <f t="shared" si="67"/>
        <v>1.8313928120654687E-4</v>
      </c>
      <c r="HL57" s="235">
        <f t="shared" si="68"/>
        <v>0.21645966649740092</v>
      </c>
      <c r="HM57" s="235">
        <f t="shared" si="69"/>
        <v>0.26759826270741194</v>
      </c>
      <c r="HN57" s="235">
        <f t="shared" si="70"/>
        <v>0</v>
      </c>
      <c r="HO57" s="235">
        <f t="shared" si="71"/>
        <v>0</v>
      </c>
      <c r="HP57" s="235">
        <f t="shared" si="72"/>
        <v>1.9481369984766084</v>
      </c>
      <c r="HQ57" s="580">
        <f t="shared" si="73"/>
        <v>2.4083843643667073</v>
      </c>
      <c r="HR57" s="235">
        <f t="shared" si="74"/>
        <v>0.19786650287625993</v>
      </c>
      <c r="HS57" s="235">
        <f t="shared" si="75"/>
        <v>0.24461246418077631</v>
      </c>
      <c r="HT57" s="235">
        <f t="shared" si="76"/>
        <v>0</v>
      </c>
      <c r="HU57" s="235">
        <f t="shared" si="77"/>
        <v>0</v>
      </c>
      <c r="HV57" s="235">
        <f t="shared" si="78"/>
        <v>1.7807985258863392</v>
      </c>
      <c r="HW57" s="577">
        <f t="shared" si="79"/>
        <v>2.2015121776269875</v>
      </c>
      <c r="HX57" s="235">
        <f t="shared" si="80"/>
        <v>6.454832872551779</v>
      </c>
      <c r="HY57" s="235">
        <f t="shared" si="81"/>
        <v>260.01721521881882</v>
      </c>
      <c r="HZ57" s="235">
        <f t="shared" si="82"/>
        <v>0.70849543381673297</v>
      </c>
      <c r="IA57" s="235">
        <f t="shared" si="83"/>
        <v>0.87587748005593613</v>
      </c>
      <c r="IB57" s="235">
        <f t="shared" si="84"/>
        <v>2.5978165906613544</v>
      </c>
      <c r="IC57" s="235">
        <f t="shared" si="85"/>
        <v>12.846203040820397</v>
      </c>
      <c r="ID57" s="235">
        <f t="shared" si="86"/>
        <v>0.75918856710230054</v>
      </c>
      <c r="IE57" s="235">
        <f t="shared" si="87"/>
        <v>28.942705541649854</v>
      </c>
      <c r="IF57" s="235">
        <f t="shared" si="88"/>
        <v>0.70849543381673297</v>
      </c>
      <c r="IG57" s="235">
        <f t="shared" si="89"/>
        <v>0.87587748005593613</v>
      </c>
      <c r="IH57" s="235">
        <f t="shared" si="90"/>
        <v>2.5978165906613544</v>
      </c>
      <c r="II57" s="235">
        <f t="shared" si="91"/>
        <v>12.846203040820397</v>
      </c>
      <c r="IJ57" s="235">
        <f t="shared" si="92"/>
        <v>0</v>
      </c>
      <c r="IK57" s="235">
        <f t="shared" si="93"/>
        <v>0</v>
      </c>
      <c r="IL57" s="235">
        <f t="shared" si="94"/>
        <v>0</v>
      </c>
      <c r="IM57" s="235">
        <f t="shared" si="95"/>
        <v>0</v>
      </c>
      <c r="IN57" s="235">
        <f t="shared" si="96"/>
        <v>0</v>
      </c>
      <c r="IO57" s="235">
        <f t="shared" si="97"/>
        <v>0</v>
      </c>
    </row>
    <row r="58" spans="1:249" ht="18" x14ac:dyDescent="0.25">
      <c r="A58" s="18">
        <v>1995</v>
      </c>
      <c r="B58" s="564"/>
      <c r="C58" s="529">
        <f>'POSF Inventory'!AD50*$D$5*'POSF Zone Def'!$M47</f>
        <v>12.23305507125</v>
      </c>
      <c r="D58" s="529">
        <f>'POSF Inventory'!AE50*$D$6*'POSF Zone Def'!$M47</f>
        <v>12.26200904775</v>
      </c>
      <c r="E58" s="529">
        <f>'POSF Inventory'!AF50*$D$5*'POSF Zone Def'!$M47</f>
        <v>0</v>
      </c>
      <c r="F58" s="529">
        <f>'POSF Inventory'!AG50*$D$6*'POSF Zone Def'!$M47</f>
        <v>0</v>
      </c>
      <c r="G58" s="529">
        <f>'POSF Inventory'!AH50*$D$5*'POSF Zone Def'!$M47</f>
        <v>9.0615222750000015</v>
      </c>
      <c r="H58" s="524">
        <f>'POSF Inventory'!AI50*$D$6*'POSF Zone Def'!$M47</f>
        <v>9.0829696650000002</v>
      </c>
      <c r="I58" s="474">
        <f>'POSF Inventory'!AD50*$D$5*'POSF Zone Def'!$N47</f>
        <v>12.23305507125</v>
      </c>
      <c r="J58" s="474">
        <f>'POSF Inventory'!AE50*$D$6*'POSF Zone Def'!$N47</f>
        <v>12.26200904775</v>
      </c>
      <c r="K58" s="474">
        <f>'POSF Inventory'!AF50*$D$5*'POSF Zone Def'!$N47</f>
        <v>0</v>
      </c>
      <c r="L58" s="474">
        <f>'POSF Inventory'!AG50*$D$6*'POSF Zone Def'!$N47</f>
        <v>0</v>
      </c>
      <c r="M58" s="474">
        <f>'POSF Inventory'!AH50*$D$5*'POSF Zone Def'!$N47</f>
        <v>9.0615222750000015</v>
      </c>
      <c r="N58" s="485">
        <f>'POSF Inventory'!AI50*$D$6*'POSF Zone Def'!$N47</f>
        <v>9.0829696650000002</v>
      </c>
      <c r="O58" s="529">
        <f>'POSF Inventory'!AJ50*$D$5*'POSF Zone Def'!$AP47</f>
        <v>0</v>
      </c>
      <c r="P58" s="529">
        <f>'POSF Inventory'!AK50*$D$6*'POSF Zone Def'!$AP47</f>
        <v>0</v>
      </c>
      <c r="Q58" s="529">
        <f>'POSF Inventory'!AL50*$D$5*'POSF Zone Def'!$AP47</f>
        <v>0</v>
      </c>
      <c r="R58" s="529">
        <f>'POSF Inventory'!AM50*$D$6*'POSF Zone Def'!$AP47</f>
        <v>0</v>
      </c>
      <c r="S58" s="529">
        <f>'POSF Inventory'!AN50*$D$5*'POSF Zone Def'!$AP47</f>
        <v>0</v>
      </c>
      <c r="T58" s="524">
        <f>'POSF Inventory'!AO50*$D$6*'POSF Zone Def'!$AP47</f>
        <v>0</v>
      </c>
      <c r="U58" s="474">
        <f>'POSF Inventory'!AJ50*$D$5*'POSF Zone Def'!$AQ47</f>
        <v>0</v>
      </c>
      <c r="V58" s="474">
        <f>'POSF Inventory'!AK50*$D$6*'POSF Zone Def'!$AQ47</f>
        <v>0</v>
      </c>
      <c r="W58" s="474">
        <f>'POSF Inventory'!AL50*$D$5*'POSF Zone Def'!$AQ47</f>
        <v>0</v>
      </c>
      <c r="X58" s="474">
        <f>'POSF Inventory'!AM50*$D$6*'POSF Zone Def'!$AQ47</f>
        <v>0</v>
      </c>
      <c r="Y58" s="474">
        <f>'POSF Inventory'!AN50*$D$5*'POSF Zone Def'!$AQ47</f>
        <v>0</v>
      </c>
      <c r="Z58" s="134">
        <f>'POSF Inventory'!AO50*$D$6*'POSF Zone Def'!$AQ47</f>
        <v>0</v>
      </c>
      <c r="AA58" s="529">
        <f>'POSF Inventory'!AV50*'POSF Emiss by Zone'!$D$5*'POSF Zone Def'!$M47</f>
        <v>0</v>
      </c>
      <c r="AB58" s="529">
        <f>'POSF Inventory'!AW50*'POSF Emiss by Zone'!$D$6*'POSF Zone Def'!$M47</f>
        <v>0</v>
      </c>
      <c r="AC58" s="529">
        <f>'POSF Inventory'!AX50*'POSF Emiss by Zone'!$D$5*'POSF Zone Def'!$M47</f>
        <v>8.1553700474999999</v>
      </c>
      <c r="AD58" s="529">
        <f>'POSF Inventory'!AY50*'POSF Emiss by Zone'!$D$6*'POSF Zone Def'!$M47</f>
        <v>8.1746726985000002</v>
      </c>
      <c r="AE58" s="529">
        <f>'POSF Inventory'!AZ50*'POSF Emiss by Zone'!$D$5*'POSF Zone Def'!$M47</f>
        <v>15.102537125000001</v>
      </c>
      <c r="AF58" s="524">
        <f>'POSF Inventory'!BA50*'POSF Emiss by Zone'!$D$6*'POSF Zone Def'!$M47</f>
        <v>15.138282775000002</v>
      </c>
      <c r="AG58" s="474">
        <f>'POSF Inventory'!AV50*'POSF Emiss by Zone'!$D$5*'POSF Zone Def'!$N47</f>
        <v>0</v>
      </c>
      <c r="AH58" s="474">
        <f>'POSF Inventory'!AW50*'POSF Emiss by Zone'!$D$6*'POSF Zone Def'!$N47</f>
        <v>0</v>
      </c>
      <c r="AI58" s="474">
        <f>'POSF Inventory'!AX50*'POSF Emiss by Zone'!$D$5*'POSF Zone Def'!$N47</f>
        <v>8.1553700474999999</v>
      </c>
      <c r="AJ58" s="474">
        <f>'POSF Inventory'!AY50*'POSF Emiss by Zone'!$D$6*'POSF Zone Def'!$N47</f>
        <v>8.1746726985000002</v>
      </c>
      <c r="AK58" s="474">
        <f>'POSF Inventory'!AZ50*'POSF Emiss by Zone'!$D$5*'POSF Zone Def'!$N47</f>
        <v>15.102537125000001</v>
      </c>
      <c r="AL58" s="549">
        <f>'POSF Inventory'!BA50*'POSF Emiss by Zone'!$D$6*'POSF Zone Def'!$N47</f>
        <v>15.138282775000002</v>
      </c>
      <c r="AM58" s="529">
        <f>'POSF Inventory'!BB50*'POSF Emiss by Zone'!$D$5*'POSF Zone Def'!$AP47</f>
        <v>0</v>
      </c>
      <c r="AN58" s="529">
        <f>'POSF Inventory'!BC50*'POSF Emiss by Zone'!$D$6*'POSF Zone Def'!$AP47</f>
        <v>0</v>
      </c>
      <c r="AO58" s="529">
        <f>'POSF Inventory'!BD50*'POSF Emiss by Zone'!$D$5*'POSF Zone Def'!$AP47</f>
        <v>0</v>
      </c>
      <c r="AP58" s="529">
        <f>'POSF Inventory'!BE50*'POSF Emiss by Zone'!$D$6*'POSF Zone Def'!$AP47</f>
        <v>0</v>
      </c>
      <c r="AQ58" s="529">
        <f>'POSF Inventory'!BF50*'POSF Emiss by Zone'!$D$5*'POSF Zone Def'!$AP47</f>
        <v>0</v>
      </c>
      <c r="AR58" s="524">
        <f>'POSF Inventory'!BG50*'POSF Emiss by Zone'!$D$6*'POSF Zone Def'!$AP47</f>
        <v>0</v>
      </c>
      <c r="AS58" s="474">
        <f>'POSF Inventory'!BB50*'POSF Emiss by Zone'!$D$5*'POSF Zone Def'!$AQ47</f>
        <v>0</v>
      </c>
      <c r="AT58" s="474">
        <f>'POSF Inventory'!BC50*'POSF Emiss by Zone'!$D$6*'POSF Zone Def'!$AQ47</f>
        <v>0</v>
      </c>
      <c r="AU58" s="474">
        <f>'POSF Inventory'!BD50*'POSF Emiss by Zone'!$D$5*'POSF Zone Def'!$AQ47</f>
        <v>0</v>
      </c>
      <c r="AV58" s="474">
        <f>'POSF Inventory'!BE50*'POSF Emiss by Zone'!$D$6*'POSF Zone Def'!$AQ47</f>
        <v>0</v>
      </c>
      <c r="AW58" s="474">
        <f>'POSF Inventory'!BF50*'POSF Emiss by Zone'!$D$5*'POSF Zone Def'!$AQ47</f>
        <v>0</v>
      </c>
      <c r="AX58" s="134">
        <f>'POSF Inventory'!BG50*'POSF Emiss by Zone'!$D$6*'POSF Zone Def'!$AQ47</f>
        <v>0</v>
      </c>
      <c r="AY58" s="529">
        <f>'POSF Inventory'!EA50*'POSF Emiss by Zone'!$D$5*'POSF Zone Def'!$Y47</f>
        <v>0</v>
      </c>
      <c r="AZ58" s="529">
        <f>'POSF Inventory'!EB50*'POSF Emiss by Zone'!$D$6*'POSF Zone Def'!$Y47</f>
        <v>0</v>
      </c>
      <c r="BA58" s="529">
        <f>'POSF Inventory'!EC50*'POSF Emiss by Zone'!$D$5*'POSF Zone Def'!$Y47</f>
        <v>11.120646425118752</v>
      </c>
      <c r="BB58" s="529">
        <f>'POSF Inventory'!ED50*'POSF Emiss by Zone'!$D$6*'POSF Zone Def'!$Y47</f>
        <v>111.46967481746252</v>
      </c>
      <c r="BC58" s="529">
        <f>'POSF Inventory'!EE50*'POSF Emiss by Zone'!$D$5*'POSF Zone Def'!$Y47</f>
        <v>0</v>
      </c>
      <c r="BD58" s="524">
        <f>'POSF Inventory'!EF50*'POSF Emiss by Zone'!$D$6*'POSF Zone Def'!$Y47</f>
        <v>0</v>
      </c>
      <c r="BE58" s="474">
        <f>'POSF Inventory'!EA50*'POSF Emiss by Zone'!$D$5*'POSF Zone Def'!$Z47</f>
        <v>0</v>
      </c>
      <c r="BF58" s="474">
        <f>'POSF Inventory'!EB50*'POSF Emiss by Zone'!$D$6*'POSF Zone Def'!$Z47</f>
        <v>0</v>
      </c>
      <c r="BG58" s="474">
        <f>'POSF Inventory'!EC50*'POSF Emiss by Zone'!$D$5*'POSF Zone Def'!$Z47</f>
        <v>1.2356273805687503</v>
      </c>
      <c r="BH58" s="474">
        <f>'POSF Inventory'!ED50*'POSF Emiss by Zone'!$D$6*'POSF Zone Def'!$Z47</f>
        <v>12.385519424162503</v>
      </c>
      <c r="BI58" s="474">
        <f>'POSF Inventory'!EE50*'POSF Emiss by Zone'!$D$5*'POSF Zone Def'!$Z47</f>
        <v>0</v>
      </c>
      <c r="BJ58" s="549">
        <f>'POSF Inventory'!EF50*'POSF Emiss by Zone'!$D$6*'POSF Zone Def'!$Z47</f>
        <v>0</v>
      </c>
      <c r="BK58" s="705">
        <f>'POSF Inventory'!$EA50*'POSF Emiss by Zone'!$D$5*'POSF Zone Def'!$AC47</f>
        <v>0</v>
      </c>
      <c r="BL58" s="705">
        <f>'POSF Inventory'!$EB50*'POSF Emiss by Zone'!$D$6*'POSF Zone Def'!$AC47</f>
        <v>0</v>
      </c>
      <c r="BM58" s="705">
        <f>'POSF Inventory'!$EC50*'POSF Emiss by Zone'!$D$5*'POSF Zone Def'!$AC47</f>
        <v>0</v>
      </c>
      <c r="BN58" s="705">
        <f>'POSF Inventory'!$ED50*'POSF Emiss by Zone'!$D$6*'POSF Zone Def'!$AC47</f>
        <v>0</v>
      </c>
      <c r="BO58" s="705">
        <f>'POSF Inventory'!$EE50*'POSF Emiss by Zone'!$D$5*'POSF Zone Def'!$AC47</f>
        <v>0</v>
      </c>
      <c r="BP58" s="708">
        <f>'POSF Inventory'!$EF50*'POSF Emiss by Zone'!$D$6*'POSF Zone Def'!$AC47</f>
        <v>0</v>
      </c>
      <c r="BQ58" s="529">
        <f>'POSF Inventory'!EG50*'POSF Emiss by Zone'!$D$5*'POSF Zone Def'!$BB47</f>
        <v>0</v>
      </c>
      <c r="BR58" s="529">
        <f>'POSF Inventory'!EH50*'POSF Emiss by Zone'!$D$6*'POSF Zone Def'!$BB47</f>
        <v>0</v>
      </c>
      <c r="BS58" s="529">
        <f>'POSF Inventory'!EI50*'POSF Emiss by Zone'!$D$5*'POSF Zone Def'!$BB47</f>
        <v>0</v>
      </c>
      <c r="BT58" s="529">
        <f>'POSF Inventory'!EJ50*'POSF Emiss by Zone'!$D$6*'POSF Zone Def'!$BB47</f>
        <v>0</v>
      </c>
      <c r="BU58" s="529">
        <f>'POSF Inventory'!EK50*'POSF Emiss by Zone'!$D$5*'POSF Zone Def'!$BB47</f>
        <v>0</v>
      </c>
      <c r="BV58" s="524">
        <f>'POSF Inventory'!EL50*'POSF Emiss by Zone'!$D$6*'POSF Zone Def'!$BB47</f>
        <v>0</v>
      </c>
      <c r="BW58" s="474">
        <f>'POSF Inventory'!EG50*'POSF Emiss by Zone'!$D$5*'POSF Zone Def'!$BC47</f>
        <v>0</v>
      </c>
      <c r="BX58" s="474">
        <f>'POSF Inventory'!EH50*'POSF Emiss by Zone'!$D$6*'POSF Zone Def'!$BC47</f>
        <v>0</v>
      </c>
      <c r="BY58" s="474">
        <f>'POSF Inventory'!EI50*'POSF Emiss by Zone'!$D$5*'POSF Zone Def'!$BC47</f>
        <v>0</v>
      </c>
      <c r="BZ58" s="474">
        <f>'POSF Inventory'!EJ50*'POSF Emiss by Zone'!$D$6*'POSF Zone Def'!$BC47</f>
        <v>0</v>
      </c>
      <c r="CA58" s="474">
        <f>'POSF Inventory'!EK50*'POSF Emiss by Zone'!$D$5*'POSF Zone Def'!$BC47</f>
        <v>0</v>
      </c>
      <c r="CB58" s="134">
        <f>'POSF Inventory'!EL50*'POSF Emiss by Zone'!$D$6*'POSF Zone Def'!$BC47</f>
        <v>0</v>
      </c>
      <c r="CC58" s="529">
        <f>'POSF Inventory'!GC50*'POSF Emiss by Zone'!$D$7*'POSF Zone Def'!$M47</f>
        <v>5.7193040000000007E-2</v>
      </c>
      <c r="CD58" s="529">
        <f>'POSF Inventory'!GD50*'POSF Emiss by Zone'!$D$9*'POSF Zone Def'!$M47</f>
        <v>7.070489570000002E-2</v>
      </c>
      <c r="CE58" s="529">
        <f>'POSF Inventory'!GE50*'POSF Emiss by Zone'!$D$7*'POSF Zone Def'!$M47</f>
        <v>0.85789559999999998</v>
      </c>
      <c r="CF58" s="529">
        <f>'POSF Inventory'!GF50*'POSF Emiss by Zone'!$D$9*'POSF Zone Def'!$M47</f>
        <v>1.0605734355000001</v>
      </c>
      <c r="CG58" s="529">
        <f>'POSF Inventory'!GG50*'POSF Emiss by Zone'!$D$7*'POSF Zone Def'!$M47</f>
        <v>3.1456172000000002</v>
      </c>
      <c r="CH58" s="524">
        <f>'POSF Inventory'!GH50*'POSF Emiss by Zone'!$D$9*'POSF Zone Def'!$M47</f>
        <v>15.555077054000002</v>
      </c>
      <c r="CI58" s="474">
        <f>'POSF Inventory'!GC50*'POSF Emiss by Zone'!$D$7*'POSF Zone Def'!$N47</f>
        <v>5.7193040000000007E-2</v>
      </c>
      <c r="CJ58" s="474">
        <f>'POSF Inventory'!GD50*'POSF Emiss by Zone'!$D$9*'POSF Zone Def'!$N47</f>
        <v>7.070489570000002E-2</v>
      </c>
      <c r="CK58" s="474">
        <f>'POSF Inventory'!GE50*'POSF Emiss by Zone'!$D$7*'POSF Zone Def'!$N47</f>
        <v>0.85789559999999998</v>
      </c>
      <c r="CL58" s="474">
        <f>'POSF Inventory'!GF50*'POSF Emiss by Zone'!$D$9*'POSF Zone Def'!$N47</f>
        <v>1.0605734355000001</v>
      </c>
      <c r="CM58" s="474">
        <f>'POSF Inventory'!GG50*'POSF Emiss by Zone'!$D$7*'POSF Zone Def'!$N47</f>
        <v>3.1456172000000002</v>
      </c>
      <c r="CN58" s="485">
        <f>'POSF Inventory'!GH50*'POSF Emiss by Zone'!$D$9*'POSF Zone Def'!$N47</f>
        <v>15.555077054000002</v>
      </c>
      <c r="CO58" s="529">
        <f>'POSF Inventory'!GI50*'POSF Emiss by Zone'!$D$7*'POSF Zone Def'!$AP47</f>
        <v>0</v>
      </c>
      <c r="CP58" s="529">
        <f>'POSF Inventory'!GJ50*'POSF Emiss by Zone'!$D$9*'POSF Zone Def'!$AP47</f>
        <v>0</v>
      </c>
      <c r="CQ58" s="529">
        <f>'POSF Inventory'!GK50*'POSF Emiss by Zone'!$D$7*'POSF Zone Def'!$AP47</f>
        <v>0</v>
      </c>
      <c r="CR58" s="529">
        <f>'POSF Inventory'!GL50*'POSF Emiss by Zone'!$D$9*'POSF Zone Def'!$AP47</f>
        <v>0</v>
      </c>
      <c r="CS58" s="529">
        <f>'POSF Inventory'!GM50*'POSF Emiss by Zone'!$D$7*'POSF Zone Def'!$AP47</f>
        <v>0</v>
      </c>
      <c r="CT58" s="524">
        <f>'POSF Inventory'!GN50*'POSF Emiss by Zone'!$D$9*'POSF Zone Def'!$AP47</f>
        <v>0</v>
      </c>
      <c r="CU58" s="474">
        <f>'POSF Inventory'!GI50*'POSF Emiss by Zone'!$D$7*'POSF Zone Def'!$AQ47</f>
        <v>0</v>
      </c>
      <c r="CV58" s="474">
        <f>'POSF Inventory'!GJ50*'POSF Emiss by Zone'!$D$9*'POSF Zone Def'!$AQ47</f>
        <v>0</v>
      </c>
      <c r="CW58" s="474">
        <f>'POSF Inventory'!GK50*'POSF Emiss by Zone'!$D$7*'POSF Zone Def'!$AQ47</f>
        <v>0</v>
      </c>
      <c r="CX58" s="474">
        <f>'POSF Inventory'!GL50*'POSF Emiss by Zone'!$D$9*'POSF Zone Def'!$AQ47</f>
        <v>0</v>
      </c>
      <c r="CY58" s="474">
        <f>'POSF Inventory'!GM50*'POSF Emiss by Zone'!$D$7*'POSF Zone Def'!$AQ47</f>
        <v>0</v>
      </c>
      <c r="CZ58" s="134">
        <f>'POSF Inventory'!GN50*'POSF Emiss by Zone'!$D$9*'POSF Zone Def'!$AQ47</f>
        <v>0</v>
      </c>
      <c r="DA58" s="529">
        <f>SUM('POSF Inventory'!GQ50,'POSF Inventory'!GS50)*'POSF Emiss by Zone'!$D$7*'POSF Zone Def'!$Y47</f>
        <v>6.7744549575682322</v>
      </c>
      <c r="DB58" s="529">
        <f>SUM('POSF Inventory'!GR50,'POSF Inventory'!GT50)*'POSF Emiss by Zone'!$D$9*'POSF Zone Def'!$Y47</f>
        <v>268.84502833759797</v>
      </c>
      <c r="DC58" s="529"/>
      <c r="DD58" s="529"/>
      <c r="DE58" s="529">
        <f>'POSF Inventory'!GU50*'POSF Emiss by Zone'!$D$7*'POSF Zone Def'!$Y47</f>
        <v>0</v>
      </c>
      <c r="DF58" s="524">
        <f>'POSF Inventory'!GV50*'POSF Emiss by Zone'!$D$9*'POSF Zone Def'!$Y47</f>
        <v>0</v>
      </c>
      <c r="DG58" s="474">
        <f>SUM('POSF Inventory'!GQ50,'POSF Inventory'!GS50)*'POSF Emiss by Zone'!$D$7*'POSF Zone Def'!$Z47</f>
        <v>0.75271721750758136</v>
      </c>
      <c r="DH58" s="474">
        <f>SUM('POSF Inventory'!GR50,'POSF Inventory'!GT50)*'POSF Emiss by Zone'!$D$9*'POSF Zone Def'!$Z47</f>
        <v>29.871669815288666</v>
      </c>
      <c r="DI58" s="474"/>
      <c r="DJ58" s="474"/>
      <c r="DK58" s="474">
        <f>'POSF Inventory'!GU50*'POSF Emiss by Zone'!$D$7*'POSF Zone Def'!$Z47</f>
        <v>0</v>
      </c>
      <c r="DL58" s="485">
        <f>'POSF Inventory'!GV50*'POSF Emiss by Zone'!$D$9*'POSF Zone Def'!$Z47</f>
        <v>0</v>
      </c>
      <c r="DM58" s="705">
        <f>SUM('POSF Inventory'!$GQ50,'POSF Inventory'!$GS50)*'POSF Emiss by Zone'!$D$7*'POSF Zone Def'!$AC47</f>
        <v>0</v>
      </c>
      <c r="DN58" s="705">
        <f>SUM('POSF Inventory'!$GR50,'POSF Inventory'!$GT50)*'POSF Emiss by Zone'!$D$9*'POSF Zone Def'!$AC47</f>
        <v>0</v>
      </c>
      <c r="DO58" s="705"/>
      <c r="DP58" s="705"/>
      <c r="DQ58" s="705">
        <f>'POSF Inventory'!$GU50*'POSF Emiss by Zone'!$D$7*'POSF Zone Def'!$AC47</f>
        <v>0</v>
      </c>
      <c r="DR58" s="708">
        <f>'POSF Inventory'!$GV50*'POSF Emiss by Zone'!$D$9*'POSF Zone Def'!$AC47</f>
        <v>0</v>
      </c>
      <c r="DS58" s="529">
        <f>SUM('POSF Inventory'!GW50,'POSF Inventory'!GY50)*$D$7*'POSF Zone Def'!$BB47</f>
        <v>0</v>
      </c>
      <c r="DT58" s="529">
        <f>SUM('POSF Inventory'!GX50,'POSF Inventory'!GZ50)*$D$9*'POSF Zone Def'!$BB47</f>
        <v>0</v>
      </c>
      <c r="DU58" s="529"/>
      <c r="DV58" s="529"/>
      <c r="DW58" s="529">
        <f>'POSF Inventory'!HA50*'POSF Emiss by Zone'!$D$7*'POSF Zone Def'!$BB47</f>
        <v>0</v>
      </c>
      <c r="DX58" s="524">
        <f>'POSF Inventory'!HB50*'POSF Emiss by Zone'!$D$9*'POSF Zone Def'!$BB47</f>
        <v>0</v>
      </c>
      <c r="DY58" s="474">
        <f>SUM('POSF Inventory'!GW50,'POSF Inventory'!GY50)*$D$7*'POSF Zone Def'!$BC47</f>
        <v>0</v>
      </c>
      <c r="DZ58" s="474">
        <f>SUM('POSF Inventory'!GX50,'POSF Inventory'!GZ50)*$D$9*'POSF Zone Def'!$BC47</f>
        <v>0</v>
      </c>
      <c r="EA58" s="474"/>
      <c r="EB58" s="474"/>
      <c r="EC58" s="474">
        <f>'POSF Inventory'!HA50*'POSF Emiss by Zone'!$D$7*'POSF Zone Def'!$BC47</f>
        <v>0</v>
      </c>
      <c r="ED58" s="134">
        <f>'POSF Inventory'!HB50*'POSF Emiss by Zone'!$D$9*'POSF Zone Def'!$BC47</f>
        <v>0</v>
      </c>
      <c r="EE58" s="235">
        <f>'POSF Inventory'!$CF50*'POSF Emiss by Zone'!$D$7*'POSF Zone Def'!$CE47</f>
        <v>0</v>
      </c>
      <c r="EF58" s="235">
        <f>'POSF Inventory'!$CG50*'POSF Emiss by Zone'!$D$9*'POSF Zone Def'!$CE47</f>
        <v>0</v>
      </c>
      <c r="EG58" s="235">
        <f>'POSF Inventory'!$CH50*'POSF Emiss by Zone'!$D$7*'POSF Zone Def'!$CE47</f>
        <v>0</v>
      </c>
      <c r="EH58" s="235">
        <f>'POSF Inventory'!$CI50*'POSF Emiss by Zone'!$D$9*'POSF Zone Def'!$CE47</f>
        <v>0</v>
      </c>
      <c r="EI58" s="235">
        <f>'POSF Inventory'!$CJ50*'POSF Emiss by Zone'!$D$7*'POSF Zone Def'!$CE47</f>
        <v>0</v>
      </c>
      <c r="EJ58" s="580">
        <f>'POSF Inventory'!$CK50*'POSF Emiss by Zone'!$D$9*'POSF Zone Def'!$CE47</f>
        <v>0</v>
      </c>
      <c r="EK58" s="235">
        <f>'POSF Inventory'!$CF50*'POSF Emiss by Zone'!$D$7*'POSF Zone Def'!$CF47</f>
        <v>0</v>
      </c>
      <c r="EL58" s="235">
        <f>'POSF Inventory'!$CG50*'POSF Emiss by Zone'!$D$9*'POSF Zone Def'!$CF47</f>
        <v>0</v>
      </c>
      <c r="EM58" s="235">
        <f>'POSF Inventory'!$CH50*'POSF Emiss by Zone'!$D$7*'POSF Zone Def'!$CF47</f>
        <v>0</v>
      </c>
      <c r="EN58" s="235">
        <f>'POSF Inventory'!$CI50*'POSF Emiss by Zone'!$D$9*'POSF Zone Def'!$CF47</f>
        <v>0</v>
      </c>
      <c r="EO58" s="235">
        <f>'POSF Inventory'!$CJ50*'POSF Emiss by Zone'!$D$7*'POSF Zone Def'!$CF47</f>
        <v>0</v>
      </c>
      <c r="EP58" s="580">
        <f>'POSF Inventory'!$CK50*'POSF Emiss by Zone'!$D$9*'POSF Zone Def'!$CF47</f>
        <v>0</v>
      </c>
      <c r="EQ58" s="235">
        <f>'POSF Inventory'!$CF50*'POSF Emiss by Zone'!$D$7*'POSF Zone Def'!$CG47</f>
        <v>2.3835503141138817E-5</v>
      </c>
      <c r="ER58" s="235">
        <f>'POSF Inventory'!$CG50*'POSF Emiss by Zone'!$D$9*'POSF Zone Def'!$CG47</f>
        <v>2.9466640758232862E-5</v>
      </c>
      <c r="ES58" s="235">
        <f>'POSF Inventory'!$CH50*'POSF Emiss by Zone'!$D$7*'POSF Zone Def'!$CG47</f>
        <v>0</v>
      </c>
      <c r="ET58" s="235">
        <f>'POSF Inventory'!$CI50*'POSF Emiss by Zone'!$D$9*'POSF Zone Def'!$CG47</f>
        <v>0</v>
      </c>
      <c r="EU58" s="235">
        <f>'POSF Inventory'!$CJ50*'POSF Emiss by Zone'!$D$7*'POSF Zone Def'!$CG47</f>
        <v>2.1451952827024933E-4</v>
      </c>
      <c r="EV58" s="580">
        <f>'POSF Inventory'!$CK50*'POSF Emiss by Zone'!$D$9*'POSF Zone Def'!$CG47</f>
        <v>2.6519976682409574E-4</v>
      </c>
      <c r="EW58" s="235">
        <f>'POSF Inventory'!$CF50*'POSF Emiss by Zone'!$D$7*'POSF Zone Def'!$CH47</f>
        <v>0.3134502478318133</v>
      </c>
      <c r="EX58" s="235">
        <f>'POSF Inventory'!$CG50*'POSF Emiss by Zone'!$D$9*'POSF Zone Def'!$CH47</f>
        <v>0.38750286888207919</v>
      </c>
      <c r="EY58" s="235">
        <f>'POSF Inventory'!$CH50*'POSF Emiss by Zone'!$D$7*'POSF Zone Def'!$CH47</f>
        <v>0</v>
      </c>
      <c r="EZ58" s="235">
        <f>'POSF Inventory'!$CI50*'POSF Emiss by Zone'!$D$9*'POSF Zone Def'!$CH47</f>
        <v>0</v>
      </c>
      <c r="FA58" s="235">
        <f>'POSF Inventory'!$CJ50*'POSF Emiss by Zone'!$D$7*'POSF Zone Def'!$CH47</f>
        <v>2.8210522304863197</v>
      </c>
      <c r="FB58" s="580">
        <f>'POSF Inventory'!$CK50*'POSF Emiss by Zone'!$D$9*'POSF Zone Def'!$CH47</f>
        <v>3.4875258199387127</v>
      </c>
      <c r="FC58" s="235">
        <f>'POSF Inventory'!$CF50*'POSF Emiss by Zone'!$D$7*'POSF Zone Def'!$CI47</f>
        <v>0.28652591666504562</v>
      </c>
      <c r="FD58" s="235">
        <f>'POSF Inventory'!$CG50*'POSF Emiss by Zone'!$D$9*'POSF Zone Def'!$CI47</f>
        <v>0.35421766447716269</v>
      </c>
      <c r="FE58" s="235">
        <f>'POSF Inventory'!$CH50*'POSF Emiss by Zone'!$D$7*'POSF Zone Def'!$CI47</f>
        <v>0</v>
      </c>
      <c r="FF58" s="235">
        <f>'POSF Inventory'!$CI50*'POSF Emiss by Zone'!$D$9*'POSF Zone Def'!$CI47</f>
        <v>0</v>
      </c>
      <c r="FG58" s="235">
        <f>'POSF Inventory'!$CJ50*'POSF Emiss by Zone'!$D$7*'POSF Zone Def'!$CI47</f>
        <v>2.5787332499854103</v>
      </c>
      <c r="FH58" s="577">
        <f>'POSF Inventory'!$CK50*'POSF Emiss by Zone'!$D$9*'POSF Zone Def'!$CI47</f>
        <v>3.1879589802944639</v>
      </c>
      <c r="FI58" s="595"/>
      <c r="FJ58" s="595"/>
      <c r="FM58" s="592">
        <v>41</v>
      </c>
      <c r="FN58" s="592">
        <f t="shared" si="98"/>
        <v>1995</v>
      </c>
      <c r="FO58" s="587">
        <v>38</v>
      </c>
      <c r="FP58" s="551">
        <f t="shared" si="20"/>
        <v>12.23305507125</v>
      </c>
      <c r="FQ58" s="529">
        <f t="shared" si="21"/>
        <v>12.26200904775</v>
      </c>
      <c r="FR58" s="529">
        <f t="shared" si="22"/>
        <v>0</v>
      </c>
      <c r="FS58" s="529">
        <f t="shared" si="23"/>
        <v>0</v>
      </c>
      <c r="FT58" s="529">
        <f t="shared" si="24"/>
        <v>9.0615222750000015</v>
      </c>
      <c r="FU58" s="524">
        <f t="shared" si="25"/>
        <v>9.0829696650000002</v>
      </c>
      <c r="FV58" s="474">
        <f t="shared" si="26"/>
        <v>12.23305507125</v>
      </c>
      <c r="FW58" s="474">
        <f t="shared" si="27"/>
        <v>12.26200904775</v>
      </c>
      <c r="FX58" s="474">
        <f t="shared" si="28"/>
        <v>0</v>
      </c>
      <c r="FY58" s="474">
        <f t="shared" si="29"/>
        <v>0</v>
      </c>
      <c r="FZ58" s="474">
        <f t="shared" si="30"/>
        <v>9.0615222750000015</v>
      </c>
      <c r="GA58" s="134">
        <f t="shared" si="31"/>
        <v>9.0829696650000002</v>
      </c>
      <c r="GB58" s="529">
        <f t="shared" si="32"/>
        <v>0</v>
      </c>
      <c r="GC58" s="529">
        <f t="shared" si="33"/>
        <v>0</v>
      </c>
      <c r="GD58" s="529">
        <f t="shared" si="34"/>
        <v>19.199219594241782</v>
      </c>
      <c r="GE58" s="529">
        <f t="shared" si="35"/>
        <v>119.16767680872761</v>
      </c>
      <c r="GF58" s="529">
        <f t="shared" si="36"/>
        <v>15.042367654382472</v>
      </c>
      <c r="GG58" s="524">
        <f t="shared" si="37"/>
        <v>15.077970891434266</v>
      </c>
      <c r="GH58" s="474">
        <f t="shared" si="38"/>
        <v>0</v>
      </c>
      <c r="GI58" s="474">
        <f t="shared" si="39"/>
        <v>0</v>
      </c>
      <c r="GJ58" s="474">
        <f t="shared" si="40"/>
        <v>9.3535830956860071</v>
      </c>
      <c r="GK58" s="474">
        <f t="shared" si="41"/>
        <v>20.478279006635958</v>
      </c>
      <c r="GL58" s="474">
        <f t="shared" si="42"/>
        <v>15.042367654382472</v>
      </c>
      <c r="GM58" s="705">
        <f t="shared" si="43"/>
        <v>15.077970891434266</v>
      </c>
      <c r="GN58" s="705">
        <f t="shared" si="44"/>
        <v>0</v>
      </c>
      <c r="GO58" s="705">
        <f t="shared" si="45"/>
        <v>0</v>
      </c>
      <c r="GP58" s="705">
        <f t="shared" si="46"/>
        <v>0</v>
      </c>
      <c r="GQ58" s="705">
        <f t="shared" si="47"/>
        <v>0</v>
      </c>
      <c r="GR58" s="705">
        <f t="shared" si="48"/>
        <v>0</v>
      </c>
      <c r="GS58" s="134">
        <f t="shared" si="49"/>
        <v>0</v>
      </c>
      <c r="GT58" s="529">
        <f t="shared" si="50"/>
        <v>0.14153214975041756</v>
      </c>
      <c r="GU58" s="529">
        <f t="shared" si="51"/>
        <v>5.5711626008492008</v>
      </c>
      <c r="GV58" s="529">
        <f t="shared" si="52"/>
        <v>1.7773135936254979E-2</v>
      </c>
      <c r="GW58" s="529">
        <f t="shared" si="53"/>
        <v>2.197203930119522E-2</v>
      </c>
      <c r="GX58" s="529">
        <f t="shared" si="54"/>
        <v>6.5168165099601605E-2</v>
      </c>
      <c r="GY58" s="524">
        <f t="shared" si="55"/>
        <v>0.32225657641752992</v>
      </c>
      <c r="GZ58" s="474">
        <f t="shared" si="56"/>
        <v>1.6779017287009652E-2</v>
      </c>
      <c r="HA58" s="474">
        <f t="shared" si="57"/>
        <v>0.62032011353442651</v>
      </c>
      <c r="HB58" s="474">
        <f t="shared" si="58"/>
        <v>1.7773135936254979E-2</v>
      </c>
      <c r="HC58" s="474">
        <f t="shared" si="59"/>
        <v>2.197203930119522E-2</v>
      </c>
      <c r="HD58" s="474">
        <f t="shared" si="60"/>
        <v>6.5168165099601605E-2</v>
      </c>
      <c r="HE58" s="549">
        <f t="shared" si="61"/>
        <v>0.32225657641752992</v>
      </c>
      <c r="HF58" s="235">
        <f t="shared" si="62"/>
        <v>2.4690162616319091E-5</v>
      </c>
      <c r="HG58" s="235">
        <f t="shared" si="63"/>
        <v>3.0523213534424476E-5</v>
      </c>
      <c r="HH58" s="235">
        <f t="shared" si="64"/>
        <v>0</v>
      </c>
      <c r="HI58" s="235">
        <f t="shared" si="65"/>
        <v>0</v>
      </c>
      <c r="HJ58" s="235">
        <f t="shared" si="66"/>
        <v>2.222114635468718E-4</v>
      </c>
      <c r="HK58" s="580">
        <f t="shared" si="67"/>
        <v>2.7470892180982029E-4</v>
      </c>
      <c r="HL58" s="235">
        <f t="shared" si="68"/>
        <v>0.3246894997461014</v>
      </c>
      <c r="HM58" s="235">
        <f t="shared" si="69"/>
        <v>0.40139739406111785</v>
      </c>
      <c r="HN58" s="235">
        <f t="shared" si="70"/>
        <v>0</v>
      </c>
      <c r="HO58" s="235">
        <f t="shared" si="71"/>
        <v>0</v>
      </c>
      <c r="HP58" s="235">
        <f t="shared" si="72"/>
        <v>2.9222054977149128</v>
      </c>
      <c r="HQ58" s="580">
        <f t="shared" si="73"/>
        <v>3.612576546550061</v>
      </c>
      <c r="HR58" s="235">
        <f t="shared" si="74"/>
        <v>0.29679975431438987</v>
      </c>
      <c r="HS58" s="235">
        <f t="shared" si="75"/>
        <v>0.36691869627116452</v>
      </c>
      <c r="HT58" s="235">
        <f t="shared" si="76"/>
        <v>0</v>
      </c>
      <c r="HU58" s="235">
        <f t="shared" si="77"/>
        <v>0</v>
      </c>
      <c r="HV58" s="235">
        <f t="shared" si="78"/>
        <v>2.6711977888295086</v>
      </c>
      <c r="HW58" s="577">
        <f t="shared" si="79"/>
        <v>3.3022682664404805</v>
      </c>
      <c r="HX58" s="235">
        <f t="shared" si="80"/>
        <v>7.5218894048125753</v>
      </c>
      <c r="HY58" s="235">
        <f t="shared" si="81"/>
        <v>296.08586468667022</v>
      </c>
      <c r="HZ58" s="235">
        <f t="shared" si="82"/>
        <v>0.94457381679681263</v>
      </c>
      <c r="IA58" s="235">
        <f t="shared" si="83"/>
        <v>1.1677293810150597</v>
      </c>
      <c r="IB58" s="235">
        <f t="shared" si="84"/>
        <v>3.46343732825498</v>
      </c>
      <c r="IC58" s="235">
        <f t="shared" si="85"/>
        <v>17.126697588220875</v>
      </c>
      <c r="ID58" s="235">
        <f t="shared" si="86"/>
        <v>0.89174023412268988</v>
      </c>
      <c r="IE58" s="235">
        <f t="shared" si="87"/>
        <v>32.967628187764248</v>
      </c>
      <c r="IF58" s="235">
        <f t="shared" si="88"/>
        <v>0.94457381679681263</v>
      </c>
      <c r="IG58" s="235">
        <f t="shared" si="89"/>
        <v>1.1677293810150597</v>
      </c>
      <c r="IH58" s="235">
        <f t="shared" si="90"/>
        <v>3.46343732825498</v>
      </c>
      <c r="II58" s="235">
        <f t="shared" si="91"/>
        <v>17.126697588220875</v>
      </c>
      <c r="IJ58" s="235">
        <f t="shared" si="92"/>
        <v>0</v>
      </c>
      <c r="IK58" s="235">
        <f t="shared" si="93"/>
        <v>0</v>
      </c>
      <c r="IL58" s="235">
        <f t="shared" si="94"/>
        <v>0</v>
      </c>
      <c r="IM58" s="235">
        <f t="shared" si="95"/>
        <v>0</v>
      </c>
      <c r="IN58" s="235">
        <f t="shared" si="96"/>
        <v>0</v>
      </c>
      <c r="IO58" s="235">
        <f t="shared" si="97"/>
        <v>0</v>
      </c>
    </row>
    <row r="59" spans="1:249" ht="18" x14ac:dyDescent="0.25">
      <c r="A59" s="18">
        <v>1996</v>
      </c>
      <c r="B59" s="564"/>
      <c r="C59" s="529">
        <f>'POSF Inventory'!AD51*$D$5*'POSF Zone Def'!$M48</f>
        <v>12.23305507125</v>
      </c>
      <c r="D59" s="529">
        <f>'POSF Inventory'!AE51*$D$6*'POSF Zone Def'!$M48</f>
        <v>12.26200904775</v>
      </c>
      <c r="E59" s="529">
        <f>'POSF Inventory'!AF51*$D$5*'POSF Zone Def'!$M48</f>
        <v>0</v>
      </c>
      <c r="F59" s="529">
        <f>'POSF Inventory'!AG51*$D$6*'POSF Zone Def'!$M48</f>
        <v>0</v>
      </c>
      <c r="G59" s="529">
        <f>'POSF Inventory'!AH51*$D$5*'POSF Zone Def'!$M48</f>
        <v>9.0615222750000015</v>
      </c>
      <c r="H59" s="524">
        <f>'POSF Inventory'!AI51*$D$6*'POSF Zone Def'!$M48</f>
        <v>9.0829696650000002</v>
      </c>
      <c r="I59" s="474">
        <f>'POSF Inventory'!AD51*$D$5*'POSF Zone Def'!$N48</f>
        <v>12.23305507125</v>
      </c>
      <c r="J59" s="474">
        <f>'POSF Inventory'!AE51*$D$6*'POSF Zone Def'!$N48</f>
        <v>12.26200904775</v>
      </c>
      <c r="K59" s="474">
        <f>'POSF Inventory'!AF51*$D$5*'POSF Zone Def'!$N48</f>
        <v>0</v>
      </c>
      <c r="L59" s="474">
        <f>'POSF Inventory'!AG51*$D$6*'POSF Zone Def'!$N48</f>
        <v>0</v>
      </c>
      <c r="M59" s="474">
        <f>'POSF Inventory'!AH51*$D$5*'POSF Zone Def'!$N48</f>
        <v>9.0615222750000015</v>
      </c>
      <c r="N59" s="485">
        <f>'POSF Inventory'!AI51*$D$6*'POSF Zone Def'!$N48</f>
        <v>9.0829696650000002</v>
      </c>
      <c r="O59" s="529">
        <f>'POSF Inventory'!AJ51*$D$5*'POSF Zone Def'!$AP48</f>
        <v>0</v>
      </c>
      <c r="P59" s="529">
        <f>'POSF Inventory'!AK51*$D$6*'POSF Zone Def'!$AP48</f>
        <v>0</v>
      </c>
      <c r="Q59" s="529">
        <f>'POSF Inventory'!AL51*$D$5*'POSF Zone Def'!$AP48</f>
        <v>0</v>
      </c>
      <c r="R59" s="529">
        <f>'POSF Inventory'!AM51*$D$6*'POSF Zone Def'!$AP48</f>
        <v>0</v>
      </c>
      <c r="S59" s="529">
        <f>'POSF Inventory'!AN51*$D$5*'POSF Zone Def'!$AP48</f>
        <v>0</v>
      </c>
      <c r="T59" s="524">
        <f>'POSF Inventory'!AO51*$D$6*'POSF Zone Def'!$AP48</f>
        <v>0</v>
      </c>
      <c r="U59" s="474">
        <f>'POSF Inventory'!AJ51*$D$5*'POSF Zone Def'!$AQ48</f>
        <v>0</v>
      </c>
      <c r="V59" s="474">
        <f>'POSF Inventory'!AK51*$D$6*'POSF Zone Def'!$AQ48</f>
        <v>0</v>
      </c>
      <c r="W59" s="474">
        <f>'POSF Inventory'!AL51*$D$5*'POSF Zone Def'!$AQ48</f>
        <v>0</v>
      </c>
      <c r="X59" s="474">
        <f>'POSF Inventory'!AM51*$D$6*'POSF Zone Def'!$AQ48</f>
        <v>0</v>
      </c>
      <c r="Y59" s="474">
        <f>'POSF Inventory'!AN51*$D$5*'POSF Zone Def'!$AQ48</f>
        <v>0</v>
      </c>
      <c r="Z59" s="134">
        <f>'POSF Inventory'!AO51*$D$6*'POSF Zone Def'!$AQ48</f>
        <v>0</v>
      </c>
      <c r="AA59" s="529">
        <f>'POSF Inventory'!AV51*'POSF Emiss by Zone'!$D$5*'POSF Zone Def'!$M48</f>
        <v>0</v>
      </c>
      <c r="AB59" s="529">
        <f>'POSF Inventory'!AW51*'POSF Emiss by Zone'!$D$6*'POSF Zone Def'!$M48</f>
        <v>0</v>
      </c>
      <c r="AC59" s="529">
        <f>'POSF Inventory'!AX51*'POSF Emiss by Zone'!$D$5*'POSF Zone Def'!$M48</f>
        <v>8.1553700474999999</v>
      </c>
      <c r="AD59" s="529">
        <f>'POSF Inventory'!AY51*'POSF Emiss by Zone'!$D$6*'POSF Zone Def'!$M48</f>
        <v>8.1746726985000002</v>
      </c>
      <c r="AE59" s="529">
        <f>'POSF Inventory'!AZ51*'POSF Emiss by Zone'!$D$5*'POSF Zone Def'!$M48</f>
        <v>15.102537125000001</v>
      </c>
      <c r="AF59" s="524">
        <f>'POSF Inventory'!BA51*'POSF Emiss by Zone'!$D$6*'POSF Zone Def'!$M48</f>
        <v>15.138282775000002</v>
      </c>
      <c r="AG59" s="474">
        <f>'POSF Inventory'!AV51*'POSF Emiss by Zone'!$D$5*'POSF Zone Def'!$N48</f>
        <v>0</v>
      </c>
      <c r="AH59" s="474">
        <f>'POSF Inventory'!AW51*'POSF Emiss by Zone'!$D$6*'POSF Zone Def'!$N48</f>
        <v>0</v>
      </c>
      <c r="AI59" s="474">
        <f>'POSF Inventory'!AX51*'POSF Emiss by Zone'!$D$5*'POSF Zone Def'!$N48</f>
        <v>8.1553700474999999</v>
      </c>
      <c r="AJ59" s="474">
        <f>'POSF Inventory'!AY51*'POSF Emiss by Zone'!$D$6*'POSF Zone Def'!$N48</f>
        <v>8.1746726985000002</v>
      </c>
      <c r="AK59" s="474">
        <f>'POSF Inventory'!AZ51*'POSF Emiss by Zone'!$D$5*'POSF Zone Def'!$N48</f>
        <v>15.102537125000001</v>
      </c>
      <c r="AL59" s="549">
        <f>'POSF Inventory'!BA51*'POSF Emiss by Zone'!$D$6*'POSF Zone Def'!$N48</f>
        <v>15.138282775000002</v>
      </c>
      <c r="AM59" s="529">
        <f>'POSF Inventory'!BB51*'POSF Emiss by Zone'!$D$5*'POSF Zone Def'!$AP48</f>
        <v>0</v>
      </c>
      <c r="AN59" s="529">
        <f>'POSF Inventory'!BC51*'POSF Emiss by Zone'!$D$6*'POSF Zone Def'!$AP48</f>
        <v>0</v>
      </c>
      <c r="AO59" s="529">
        <f>'POSF Inventory'!BD51*'POSF Emiss by Zone'!$D$5*'POSF Zone Def'!$AP48</f>
        <v>0</v>
      </c>
      <c r="AP59" s="529">
        <f>'POSF Inventory'!BE51*'POSF Emiss by Zone'!$D$6*'POSF Zone Def'!$AP48</f>
        <v>0</v>
      </c>
      <c r="AQ59" s="529">
        <f>'POSF Inventory'!BF51*'POSF Emiss by Zone'!$D$5*'POSF Zone Def'!$AP48</f>
        <v>0</v>
      </c>
      <c r="AR59" s="524">
        <f>'POSF Inventory'!BG51*'POSF Emiss by Zone'!$D$6*'POSF Zone Def'!$AP48</f>
        <v>0</v>
      </c>
      <c r="AS59" s="474">
        <f>'POSF Inventory'!BB51*'POSF Emiss by Zone'!$D$5*'POSF Zone Def'!$AQ48</f>
        <v>0</v>
      </c>
      <c r="AT59" s="474">
        <f>'POSF Inventory'!BC51*'POSF Emiss by Zone'!$D$6*'POSF Zone Def'!$AQ48</f>
        <v>0</v>
      </c>
      <c r="AU59" s="474">
        <f>'POSF Inventory'!BD51*'POSF Emiss by Zone'!$D$5*'POSF Zone Def'!$AQ48</f>
        <v>0</v>
      </c>
      <c r="AV59" s="474">
        <f>'POSF Inventory'!BE51*'POSF Emiss by Zone'!$D$6*'POSF Zone Def'!$AQ48</f>
        <v>0</v>
      </c>
      <c r="AW59" s="474">
        <f>'POSF Inventory'!BF51*'POSF Emiss by Zone'!$D$5*'POSF Zone Def'!$AQ48</f>
        <v>0</v>
      </c>
      <c r="AX59" s="134">
        <f>'POSF Inventory'!BG51*'POSF Emiss by Zone'!$D$6*'POSF Zone Def'!$AQ48</f>
        <v>0</v>
      </c>
      <c r="AY59" s="529">
        <f>'POSF Inventory'!EA51*'POSF Emiss by Zone'!$D$5*'POSF Zone Def'!$Y48</f>
        <v>0</v>
      </c>
      <c r="AZ59" s="529">
        <f>'POSF Inventory'!EB51*'POSF Emiss by Zone'!$D$6*'POSF Zone Def'!$Y48</f>
        <v>0</v>
      </c>
      <c r="BA59" s="529">
        <f>'POSF Inventory'!EC51*'POSF Emiss by Zone'!$D$5*'POSF Zone Def'!$Y48</f>
        <v>12.702697682512502</v>
      </c>
      <c r="BB59" s="529">
        <f>'POSF Inventory'!ED51*'POSF Emiss by Zone'!$D$6*'POSF Zone Def'!$Y48</f>
        <v>127.32763239157502</v>
      </c>
      <c r="BC59" s="529">
        <f>'POSF Inventory'!EE51*'POSF Emiss by Zone'!$D$5*'POSF Zone Def'!$Y48</f>
        <v>0</v>
      </c>
      <c r="BD59" s="524">
        <f>'POSF Inventory'!EF51*'POSF Emiss by Zone'!$D$6*'POSF Zone Def'!$Y48</f>
        <v>0</v>
      </c>
      <c r="BE59" s="474">
        <f>'POSF Inventory'!EA51*'POSF Emiss by Zone'!$D$5*'POSF Zone Def'!$Z48</f>
        <v>0</v>
      </c>
      <c r="BF59" s="474">
        <f>'POSF Inventory'!EB51*'POSF Emiss by Zone'!$D$6*'POSF Zone Def'!$Z48</f>
        <v>0</v>
      </c>
      <c r="BG59" s="474">
        <f>'POSF Inventory'!EC51*'POSF Emiss by Zone'!$D$5*'POSF Zone Def'!$Z48</f>
        <v>1.4114108536125003</v>
      </c>
      <c r="BH59" s="474">
        <f>'POSF Inventory'!ED51*'POSF Emiss by Zone'!$D$6*'POSF Zone Def'!$Z48</f>
        <v>14.147514710175003</v>
      </c>
      <c r="BI59" s="474">
        <f>'POSF Inventory'!EE51*'POSF Emiss by Zone'!$D$5*'POSF Zone Def'!$Z48</f>
        <v>0</v>
      </c>
      <c r="BJ59" s="549">
        <f>'POSF Inventory'!EF51*'POSF Emiss by Zone'!$D$6*'POSF Zone Def'!$Z48</f>
        <v>0</v>
      </c>
      <c r="BK59" s="705">
        <f>'POSF Inventory'!$EA51*'POSF Emiss by Zone'!$D$5*'POSF Zone Def'!$AC48</f>
        <v>0</v>
      </c>
      <c r="BL59" s="705">
        <f>'POSF Inventory'!$EB51*'POSF Emiss by Zone'!$D$6*'POSF Zone Def'!$AC48</f>
        <v>0</v>
      </c>
      <c r="BM59" s="705">
        <f>'POSF Inventory'!$EC51*'POSF Emiss by Zone'!$D$5*'POSF Zone Def'!$AC48</f>
        <v>0</v>
      </c>
      <c r="BN59" s="705">
        <f>'POSF Inventory'!$ED51*'POSF Emiss by Zone'!$D$6*'POSF Zone Def'!$AC48</f>
        <v>0</v>
      </c>
      <c r="BO59" s="705">
        <f>'POSF Inventory'!$EE51*'POSF Emiss by Zone'!$D$5*'POSF Zone Def'!$AC48</f>
        <v>0</v>
      </c>
      <c r="BP59" s="708">
        <f>'POSF Inventory'!$EF51*'POSF Emiss by Zone'!$D$6*'POSF Zone Def'!$AC48</f>
        <v>0</v>
      </c>
      <c r="BQ59" s="529">
        <f>'POSF Inventory'!EG51*'POSF Emiss by Zone'!$D$5*'POSF Zone Def'!$BB48</f>
        <v>0</v>
      </c>
      <c r="BR59" s="529">
        <f>'POSF Inventory'!EH51*'POSF Emiss by Zone'!$D$6*'POSF Zone Def'!$BB48</f>
        <v>0</v>
      </c>
      <c r="BS59" s="529">
        <f>'POSF Inventory'!EI51*'POSF Emiss by Zone'!$D$5*'POSF Zone Def'!$BB48</f>
        <v>0</v>
      </c>
      <c r="BT59" s="529">
        <f>'POSF Inventory'!EJ51*'POSF Emiss by Zone'!$D$6*'POSF Zone Def'!$BB48</f>
        <v>0</v>
      </c>
      <c r="BU59" s="529">
        <f>'POSF Inventory'!EK51*'POSF Emiss by Zone'!$D$5*'POSF Zone Def'!$BB48</f>
        <v>0</v>
      </c>
      <c r="BV59" s="524">
        <f>'POSF Inventory'!EL51*'POSF Emiss by Zone'!$D$6*'POSF Zone Def'!$BB48</f>
        <v>0</v>
      </c>
      <c r="BW59" s="474">
        <f>'POSF Inventory'!EG51*'POSF Emiss by Zone'!$D$5*'POSF Zone Def'!$BC48</f>
        <v>0</v>
      </c>
      <c r="BX59" s="474">
        <f>'POSF Inventory'!EH51*'POSF Emiss by Zone'!$D$6*'POSF Zone Def'!$BC48</f>
        <v>0</v>
      </c>
      <c r="BY59" s="474">
        <f>'POSF Inventory'!EI51*'POSF Emiss by Zone'!$D$5*'POSF Zone Def'!$BC48</f>
        <v>0</v>
      </c>
      <c r="BZ59" s="474">
        <f>'POSF Inventory'!EJ51*'POSF Emiss by Zone'!$D$6*'POSF Zone Def'!$BC48</f>
        <v>0</v>
      </c>
      <c r="CA59" s="474">
        <f>'POSF Inventory'!EK51*'POSF Emiss by Zone'!$D$5*'POSF Zone Def'!$BC48</f>
        <v>0</v>
      </c>
      <c r="CB59" s="134">
        <f>'POSF Inventory'!EL51*'POSF Emiss by Zone'!$D$6*'POSF Zone Def'!$BC48</f>
        <v>0</v>
      </c>
      <c r="CC59" s="529">
        <f>'POSF Inventory'!GC51*'POSF Emiss by Zone'!$D$7*'POSF Zone Def'!$M48</f>
        <v>5.7193040000000007E-2</v>
      </c>
      <c r="CD59" s="529">
        <f>'POSF Inventory'!GD51*'POSF Emiss by Zone'!$D$9*'POSF Zone Def'!$M48</f>
        <v>7.070489570000002E-2</v>
      </c>
      <c r="CE59" s="529">
        <f>'POSF Inventory'!GE51*'POSF Emiss by Zone'!$D$7*'POSF Zone Def'!$M48</f>
        <v>0.85789559999999998</v>
      </c>
      <c r="CF59" s="529">
        <f>'POSF Inventory'!GF51*'POSF Emiss by Zone'!$D$9*'POSF Zone Def'!$M48</f>
        <v>1.0605734355000001</v>
      </c>
      <c r="CG59" s="529">
        <f>'POSF Inventory'!GG51*'POSF Emiss by Zone'!$D$7*'POSF Zone Def'!$M48</f>
        <v>3.1456172000000002</v>
      </c>
      <c r="CH59" s="524">
        <f>'POSF Inventory'!GH51*'POSF Emiss by Zone'!$D$9*'POSF Zone Def'!$M48</f>
        <v>15.555077054000002</v>
      </c>
      <c r="CI59" s="474">
        <f>'POSF Inventory'!GC51*'POSF Emiss by Zone'!$D$7*'POSF Zone Def'!$N48</f>
        <v>5.7193040000000007E-2</v>
      </c>
      <c r="CJ59" s="474">
        <f>'POSF Inventory'!GD51*'POSF Emiss by Zone'!$D$9*'POSF Zone Def'!$N48</f>
        <v>7.070489570000002E-2</v>
      </c>
      <c r="CK59" s="474">
        <f>'POSF Inventory'!GE51*'POSF Emiss by Zone'!$D$7*'POSF Zone Def'!$N48</f>
        <v>0.85789559999999998</v>
      </c>
      <c r="CL59" s="474">
        <f>'POSF Inventory'!GF51*'POSF Emiss by Zone'!$D$9*'POSF Zone Def'!$N48</f>
        <v>1.0605734355000001</v>
      </c>
      <c r="CM59" s="474">
        <f>'POSF Inventory'!GG51*'POSF Emiss by Zone'!$D$7*'POSF Zone Def'!$N48</f>
        <v>3.1456172000000002</v>
      </c>
      <c r="CN59" s="485">
        <f>'POSF Inventory'!GH51*'POSF Emiss by Zone'!$D$9*'POSF Zone Def'!$N48</f>
        <v>15.555077054000002</v>
      </c>
      <c r="CO59" s="529">
        <f>'POSF Inventory'!GI51*'POSF Emiss by Zone'!$D$7*'POSF Zone Def'!$AP48</f>
        <v>0</v>
      </c>
      <c r="CP59" s="529">
        <f>'POSF Inventory'!GJ51*'POSF Emiss by Zone'!$D$9*'POSF Zone Def'!$AP48</f>
        <v>0</v>
      </c>
      <c r="CQ59" s="529">
        <f>'POSF Inventory'!GK51*'POSF Emiss by Zone'!$D$7*'POSF Zone Def'!$AP48</f>
        <v>0</v>
      </c>
      <c r="CR59" s="529">
        <f>'POSF Inventory'!GL51*'POSF Emiss by Zone'!$D$9*'POSF Zone Def'!$AP48</f>
        <v>0</v>
      </c>
      <c r="CS59" s="529">
        <f>'POSF Inventory'!GM51*'POSF Emiss by Zone'!$D$7*'POSF Zone Def'!$AP48</f>
        <v>0</v>
      </c>
      <c r="CT59" s="524">
        <f>'POSF Inventory'!GN51*'POSF Emiss by Zone'!$D$9*'POSF Zone Def'!$AP48</f>
        <v>0</v>
      </c>
      <c r="CU59" s="474">
        <f>'POSF Inventory'!GI51*'POSF Emiss by Zone'!$D$7*'POSF Zone Def'!$AQ48</f>
        <v>0</v>
      </c>
      <c r="CV59" s="474">
        <f>'POSF Inventory'!GJ51*'POSF Emiss by Zone'!$D$9*'POSF Zone Def'!$AQ48</f>
        <v>0</v>
      </c>
      <c r="CW59" s="474">
        <f>'POSF Inventory'!GK51*'POSF Emiss by Zone'!$D$7*'POSF Zone Def'!$AQ48</f>
        <v>0</v>
      </c>
      <c r="CX59" s="474">
        <f>'POSF Inventory'!GL51*'POSF Emiss by Zone'!$D$9*'POSF Zone Def'!$AQ48</f>
        <v>0</v>
      </c>
      <c r="CY59" s="474">
        <f>'POSF Inventory'!GM51*'POSF Emiss by Zone'!$D$7*'POSF Zone Def'!$AQ48</f>
        <v>0</v>
      </c>
      <c r="CZ59" s="134">
        <f>'POSF Inventory'!GN51*'POSF Emiss by Zone'!$D$9*'POSF Zone Def'!$AQ48</f>
        <v>0</v>
      </c>
      <c r="DA59" s="529">
        <f>SUM('POSF Inventory'!GQ51,'POSF Inventory'!GS51)*'POSF Emiss by Zone'!$D$7*'POSF Zone Def'!$Y48</f>
        <v>7.7292899993849167</v>
      </c>
      <c r="DB59" s="529">
        <f>SUM('POSF Inventory'!GR51,'POSF Inventory'!GT51)*'POSF Emiss by Zone'!$D$9*'POSF Zone Def'!$Y48</f>
        <v>301.58037626033598</v>
      </c>
      <c r="DC59" s="529"/>
      <c r="DD59" s="529"/>
      <c r="DE59" s="529">
        <f>'POSF Inventory'!GU51*'POSF Emiss by Zone'!$D$7*'POSF Zone Def'!$Y48</f>
        <v>0</v>
      </c>
      <c r="DF59" s="524">
        <f>'POSF Inventory'!GV51*'POSF Emiss by Zone'!$D$9*'POSF Zone Def'!$Y48</f>
        <v>0</v>
      </c>
      <c r="DG59" s="474">
        <f>SUM('POSF Inventory'!GQ51,'POSF Inventory'!GS51)*'POSF Emiss by Zone'!$D$7*'POSF Zone Def'!$Z48</f>
        <v>0.85880999993165741</v>
      </c>
      <c r="DH59" s="474">
        <f>SUM('POSF Inventory'!GR51,'POSF Inventory'!GT51)*'POSF Emiss by Zone'!$D$9*'POSF Zone Def'!$Z48</f>
        <v>33.508930695592888</v>
      </c>
      <c r="DI59" s="474"/>
      <c r="DJ59" s="474"/>
      <c r="DK59" s="474">
        <f>'POSF Inventory'!GU51*'POSF Emiss by Zone'!$D$7*'POSF Zone Def'!$Z48</f>
        <v>0</v>
      </c>
      <c r="DL59" s="485">
        <f>'POSF Inventory'!GV51*'POSF Emiss by Zone'!$D$9*'POSF Zone Def'!$Z48</f>
        <v>0</v>
      </c>
      <c r="DM59" s="705">
        <f>SUM('POSF Inventory'!$GQ51,'POSF Inventory'!$GS51)*'POSF Emiss by Zone'!$D$7*'POSF Zone Def'!$AC48</f>
        <v>0</v>
      </c>
      <c r="DN59" s="705">
        <f>SUM('POSF Inventory'!$GR51,'POSF Inventory'!$GT51)*'POSF Emiss by Zone'!$D$9*'POSF Zone Def'!$AC48</f>
        <v>0</v>
      </c>
      <c r="DO59" s="705"/>
      <c r="DP59" s="705"/>
      <c r="DQ59" s="705">
        <f>'POSF Inventory'!$GU51*'POSF Emiss by Zone'!$D$7*'POSF Zone Def'!$AC48</f>
        <v>0</v>
      </c>
      <c r="DR59" s="708">
        <f>'POSF Inventory'!$GV51*'POSF Emiss by Zone'!$D$9*'POSF Zone Def'!$AC48</f>
        <v>0</v>
      </c>
      <c r="DS59" s="529">
        <f>SUM('POSF Inventory'!GW51,'POSF Inventory'!GY51)*$D$7*'POSF Zone Def'!$BB48</f>
        <v>0</v>
      </c>
      <c r="DT59" s="529">
        <f>SUM('POSF Inventory'!GX51,'POSF Inventory'!GZ51)*$D$9*'POSF Zone Def'!$BB48</f>
        <v>0</v>
      </c>
      <c r="DU59" s="529"/>
      <c r="DV59" s="529"/>
      <c r="DW59" s="529">
        <f>'POSF Inventory'!HA51*'POSF Emiss by Zone'!$D$7*'POSF Zone Def'!$BB48</f>
        <v>0</v>
      </c>
      <c r="DX59" s="524">
        <f>'POSF Inventory'!HB51*'POSF Emiss by Zone'!$D$9*'POSF Zone Def'!$BB48</f>
        <v>0</v>
      </c>
      <c r="DY59" s="474">
        <f>SUM('POSF Inventory'!GW51,'POSF Inventory'!GY51)*$D$7*'POSF Zone Def'!$BC48</f>
        <v>0</v>
      </c>
      <c r="DZ59" s="474">
        <f>SUM('POSF Inventory'!GX51,'POSF Inventory'!GZ51)*$D$9*'POSF Zone Def'!$BC48</f>
        <v>0</v>
      </c>
      <c r="EA59" s="474"/>
      <c r="EB59" s="474"/>
      <c r="EC59" s="474">
        <f>'POSF Inventory'!HA51*'POSF Emiss by Zone'!$D$7*'POSF Zone Def'!$BC48</f>
        <v>0</v>
      </c>
      <c r="ED59" s="134">
        <f>'POSF Inventory'!HB51*'POSF Emiss by Zone'!$D$9*'POSF Zone Def'!$BC48</f>
        <v>0</v>
      </c>
      <c r="EE59" s="235">
        <f>'POSF Inventory'!$CF51*'POSF Emiss by Zone'!$D$7*'POSF Zone Def'!$CE48</f>
        <v>0</v>
      </c>
      <c r="EF59" s="235">
        <f>'POSF Inventory'!$CG51*'POSF Emiss by Zone'!$D$9*'POSF Zone Def'!$CE48</f>
        <v>0</v>
      </c>
      <c r="EG59" s="235">
        <f>'POSF Inventory'!$CH51*'POSF Emiss by Zone'!$D$7*'POSF Zone Def'!$CE48</f>
        <v>0</v>
      </c>
      <c r="EH59" s="235">
        <f>'POSF Inventory'!$CI51*'POSF Emiss by Zone'!$D$9*'POSF Zone Def'!$CE48</f>
        <v>0</v>
      </c>
      <c r="EI59" s="235">
        <f>'POSF Inventory'!$CJ51*'POSF Emiss by Zone'!$D$7*'POSF Zone Def'!$CE48</f>
        <v>0</v>
      </c>
      <c r="EJ59" s="580">
        <f>'POSF Inventory'!$CK51*'POSF Emiss by Zone'!$D$9*'POSF Zone Def'!$CE48</f>
        <v>0</v>
      </c>
      <c r="EK59" s="235">
        <f>'POSF Inventory'!$CF51*'POSF Emiss by Zone'!$D$7*'POSF Zone Def'!$CF48</f>
        <v>0</v>
      </c>
      <c r="EL59" s="235">
        <f>'POSF Inventory'!$CG51*'POSF Emiss by Zone'!$D$9*'POSF Zone Def'!$CF48</f>
        <v>0</v>
      </c>
      <c r="EM59" s="235">
        <f>'POSF Inventory'!$CH51*'POSF Emiss by Zone'!$D$7*'POSF Zone Def'!$CF48</f>
        <v>0</v>
      </c>
      <c r="EN59" s="235">
        <f>'POSF Inventory'!$CI51*'POSF Emiss by Zone'!$D$9*'POSF Zone Def'!$CF48</f>
        <v>0</v>
      </c>
      <c r="EO59" s="235">
        <f>'POSF Inventory'!$CJ51*'POSF Emiss by Zone'!$D$7*'POSF Zone Def'!$CF48</f>
        <v>0</v>
      </c>
      <c r="EP59" s="580">
        <f>'POSF Inventory'!$CK51*'POSF Emiss by Zone'!$D$9*'POSF Zone Def'!$CF48</f>
        <v>0</v>
      </c>
      <c r="EQ59" s="235">
        <f>'POSF Inventory'!$CF51*'POSF Emiss by Zone'!$D$7*'POSF Zone Def'!$CG48</f>
        <v>3.1780670854851749E-5</v>
      </c>
      <c r="ER59" s="235">
        <f>'POSF Inventory'!$CG51*'POSF Emiss by Zone'!$D$9*'POSF Zone Def'!$CG48</f>
        <v>3.928885434431048E-5</v>
      </c>
      <c r="ES59" s="235">
        <f>'POSF Inventory'!$CH51*'POSF Emiss by Zone'!$D$7*'POSF Zone Def'!$CG48</f>
        <v>0</v>
      </c>
      <c r="ET59" s="235">
        <f>'POSF Inventory'!$CI51*'POSF Emiss by Zone'!$D$9*'POSF Zone Def'!$CG48</f>
        <v>0</v>
      </c>
      <c r="EU59" s="235">
        <f>'POSF Inventory'!$CJ51*'POSF Emiss by Zone'!$D$7*'POSF Zone Def'!$CG48</f>
        <v>2.8602603769366578E-4</v>
      </c>
      <c r="EV59" s="580">
        <f>'POSF Inventory'!$CK51*'POSF Emiss by Zone'!$D$9*'POSF Zone Def'!$CG48</f>
        <v>3.5359968909879437E-4</v>
      </c>
      <c r="EW59" s="235">
        <f>'POSF Inventory'!$CF51*'POSF Emiss by Zone'!$D$7*'POSF Zone Def'!$CH48</f>
        <v>0.41793366377575103</v>
      </c>
      <c r="EX59" s="235">
        <f>'POSF Inventory'!$CG51*'POSF Emiss by Zone'!$D$9*'POSF Zone Def'!$CH48</f>
        <v>0.51667049184277225</v>
      </c>
      <c r="EY59" s="235">
        <f>'POSF Inventory'!$CH51*'POSF Emiss by Zone'!$D$7*'POSF Zone Def'!$CH48</f>
        <v>0</v>
      </c>
      <c r="EZ59" s="235">
        <f>'POSF Inventory'!$CI51*'POSF Emiss by Zone'!$D$9*'POSF Zone Def'!$CH48</f>
        <v>0</v>
      </c>
      <c r="FA59" s="235">
        <f>'POSF Inventory'!$CJ51*'POSF Emiss by Zone'!$D$7*'POSF Zone Def'!$CH48</f>
        <v>3.7614029739817592</v>
      </c>
      <c r="FB59" s="580">
        <f>'POSF Inventory'!$CK51*'POSF Emiss by Zone'!$D$9*'POSF Zone Def'!$CH48</f>
        <v>4.6500344265849503</v>
      </c>
      <c r="FC59" s="235">
        <f>'POSF Inventory'!$CF51*'POSF Emiss by Zone'!$D$7*'POSF Zone Def'!$CI48</f>
        <v>0.38203455555339416</v>
      </c>
      <c r="FD59" s="235">
        <f>'POSF Inventory'!$CG51*'POSF Emiss by Zone'!$D$9*'POSF Zone Def'!$CI48</f>
        <v>0.47229021930288351</v>
      </c>
      <c r="FE59" s="235">
        <f>'POSF Inventory'!$CH51*'POSF Emiss by Zone'!$D$7*'POSF Zone Def'!$CI48</f>
        <v>0</v>
      </c>
      <c r="FF59" s="235">
        <f>'POSF Inventory'!$CI51*'POSF Emiss by Zone'!$D$9*'POSF Zone Def'!$CI48</f>
        <v>0</v>
      </c>
      <c r="FG59" s="235">
        <f>'POSF Inventory'!$CJ51*'POSF Emiss by Zone'!$D$7*'POSF Zone Def'!$CI48</f>
        <v>3.4383109999805472</v>
      </c>
      <c r="FH59" s="577">
        <f>'POSF Inventory'!$CK51*'POSF Emiss by Zone'!$D$9*'POSF Zone Def'!$CI48</f>
        <v>4.2506119737259525</v>
      </c>
      <c r="FI59" s="595"/>
      <c r="FJ59" s="595"/>
      <c r="FM59" s="592">
        <v>42</v>
      </c>
      <c r="FN59" s="592">
        <f t="shared" si="98"/>
        <v>1996</v>
      </c>
      <c r="FO59" s="587">
        <v>39</v>
      </c>
      <c r="FP59" s="551">
        <f t="shared" si="20"/>
        <v>12.23305507125</v>
      </c>
      <c r="FQ59" s="529">
        <f t="shared" si="21"/>
        <v>12.26200904775</v>
      </c>
      <c r="FR59" s="529">
        <f t="shared" si="22"/>
        <v>0</v>
      </c>
      <c r="FS59" s="529">
        <f t="shared" si="23"/>
        <v>0</v>
      </c>
      <c r="FT59" s="529">
        <f t="shared" si="24"/>
        <v>9.0615222750000015</v>
      </c>
      <c r="FU59" s="524">
        <f t="shared" si="25"/>
        <v>9.0829696650000002</v>
      </c>
      <c r="FV59" s="474">
        <f t="shared" si="26"/>
        <v>12.23305507125</v>
      </c>
      <c r="FW59" s="474">
        <f t="shared" si="27"/>
        <v>12.26200904775</v>
      </c>
      <c r="FX59" s="474">
        <f t="shared" si="28"/>
        <v>0</v>
      </c>
      <c r="FY59" s="474">
        <f t="shared" si="29"/>
        <v>0</v>
      </c>
      <c r="FZ59" s="474">
        <f t="shared" si="30"/>
        <v>9.0615222750000015</v>
      </c>
      <c r="GA59" s="134">
        <f t="shared" si="31"/>
        <v>9.0829696650000002</v>
      </c>
      <c r="GB59" s="529">
        <f t="shared" si="32"/>
        <v>0</v>
      </c>
      <c r="GC59" s="529">
        <f t="shared" si="33"/>
        <v>0</v>
      </c>
      <c r="GD59" s="529">
        <f t="shared" si="34"/>
        <v>20.774967858578187</v>
      </c>
      <c r="GE59" s="529">
        <f t="shared" si="35"/>
        <v>134.96245526899904</v>
      </c>
      <c r="GF59" s="529">
        <f t="shared" si="36"/>
        <v>15.042367654382472</v>
      </c>
      <c r="GG59" s="524">
        <f t="shared" si="37"/>
        <v>15.077970891434266</v>
      </c>
      <c r="GH59" s="474">
        <f t="shared" si="38"/>
        <v>0</v>
      </c>
      <c r="GI59" s="474">
        <f t="shared" si="39"/>
        <v>0</v>
      </c>
      <c r="GJ59" s="474">
        <f t="shared" si="40"/>
        <v>9.5286662361678278</v>
      </c>
      <c r="GK59" s="474">
        <f t="shared" si="41"/>
        <v>22.23325439111056</v>
      </c>
      <c r="GL59" s="474">
        <f t="shared" si="42"/>
        <v>15.042367654382472</v>
      </c>
      <c r="GM59" s="705">
        <f t="shared" si="43"/>
        <v>15.077970891434266</v>
      </c>
      <c r="GN59" s="705">
        <f t="shared" si="44"/>
        <v>0</v>
      </c>
      <c r="GO59" s="705">
        <f t="shared" si="45"/>
        <v>0</v>
      </c>
      <c r="GP59" s="705">
        <f t="shared" si="46"/>
        <v>0</v>
      </c>
      <c r="GQ59" s="705">
        <f t="shared" si="47"/>
        <v>0</v>
      </c>
      <c r="GR59" s="705">
        <f t="shared" si="48"/>
        <v>0</v>
      </c>
      <c r="GS59" s="134">
        <f t="shared" si="49"/>
        <v>0</v>
      </c>
      <c r="GT59" s="529">
        <f t="shared" si="50"/>
        <v>0.16131359284781502</v>
      </c>
      <c r="GU59" s="529">
        <f t="shared" si="51"/>
        <v>6.2493451076150883</v>
      </c>
      <c r="GV59" s="529">
        <f t="shared" si="52"/>
        <v>1.7773135936254979E-2</v>
      </c>
      <c r="GW59" s="529">
        <f t="shared" si="53"/>
        <v>2.197203930119522E-2</v>
      </c>
      <c r="GX59" s="529">
        <f t="shared" si="54"/>
        <v>6.5168165099601605E-2</v>
      </c>
      <c r="GY59" s="524">
        <f t="shared" si="55"/>
        <v>0.32225657641752992</v>
      </c>
      <c r="GZ59" s="474">
        <f t="shared" si="56"/>
        <v>1.8976955408942703E-2</v>
      </c>
      <c r="HA59" s="474">
        <f t="shared" si="57"/>
        <v>0.69567372539730288</v>
      </c>
      <c r="HB59" s="474">
        <f t="shared" si="58"/>
        <v>1.7773135936254979E-2</v>
      </c>
      <c r="HC59" s="474">
        <f t="shared" si="59"/>
        <v>2.197203930119522E-2</v>
      </c>
      <c r="HD59" s="474">
        <f t="shared" si="60"/>
        <v>6.5168165099601605E-2</v>
      </c>
      <c r="HE59" s="549">
        <f t="shared" si="61"/>
        <v>0.32225657641752992</v>
      </c>
      <c r="HF59" s="235">
        <f t="shared" si="62"/>
        <v>3.2920216821758786E-5</v>
      </c>
      <c r="HG59" s="235">
        <f t="shared" si="63"/>
        <v>4.0697618045899303E-5</v>
      </c>
      <c r="HH59" s="235">
        <f t="shared" si="64"/>
        <v>0</v>
      </c>
      <c r="HI59" s="235">
        <f t="shared" si="65"/>
        <v>0</v>
      </c>
      <c r="HJ59" s="235">
        <f t="shared" si="66"/>
        <v>2.9628195139582911E-4</v>
      </c>
      <c r="HK59" s="580">
        <f t="shared" si="67"/>
        <v>3.6627856241309374E-4</v>
      </c>
      <c r="HL59" s="235">
        <f t="shared" si="68"/>
        <v>0.43291933299480184</v>
      </c>
      <c r="HM59" s="235">
        <f t="shared" si="69"/>
        <v>0.53519652541482388</v>
      </c>
      <c r="HN59" s="235">
        <f t="shared" si="70"/>
        <v>0</v>
      </c>
      <c r="HO59" s="235">
        <f t="shared" si="71"/>
        <v>0</v>
      </c>
      <c r="HP59" s="235">
        <f t="shared" si="72"/>
        <v>3.8962739969532167</v>
      </c>
      <c r="HQ59" s="580">
        <f t="shared" si="73"/>
        <v>4.8167687287334147</v>
      </c>
      <c r="HR59" s="235">
        <f t="shared" si="74"/>
        <v>0.39573300575251985</v>
      </c>
      <c r="HS59" s="235">
        <f t="shared" si="75"/>
        <v>0.48922492836155262</v>
      </c>
      <c r="HT59" s="235">
        <f t="shared" si="76"/>
        <v>0</v>
      </c>
      <c r="HU59" s="235">
        <f t="shared" si="77"/>
        <v>0</v>
      </c>
      <c r="HV59" s="235">
        <f t="shared" si="78"/>
        <v>3.5615970517726785</v>
      </c>
      <c r="HW59" s="577">
        <f t="shared" si="79"/>
        <v>4.403024355253975</v>
      </c>
      <c r="HX59" s="235">
        <f t="shared" si="80"/>
        <v>8.5731970229657986</v>
      </c>
      <c r="HY59" s="235">
        <f t="shared" si="81"/>
        <v>332.12865652702027</v>
      </c>
      <c r="HZ59" s="235">
        <f t="shared" si="82"/>
        <v>0.94457381679681263</v>
      </c>
      <c r="IA59" s="235">
        <f t="shared" si="83"/>
        <v>1.1677293810150597</v>
      </c>
      <c r="IB59" s="235">
        <f t="shared" si="84"/>
        <v>3.46343732825498</v>
      </c>
      <c r="IC59" s="235">
        <f t="shared" si="85"/>
        <v>17.126697588220875</v>
      </c>
      <c r="ID59" s="235">
        <f t="shared" si="86"/>
        <v>1.0085521916952702</v>
      </c>
      <c r="IE59" s="235">
        <f t="shared" si="87"/>
        <v>36.972382836692042</v>
      </c>
      <c r="IF59" s="235">
        <f t="shared" si="88"/>
        <v>0.94457381679681263</v>
      </c>
      <c r="IG59" s="235">
        <f t="shared" si="89"/>
        <v>1.1677293810150597</v>
      </c>
      <c r="IH59" s="235">
        <f t="shared" si="90"/>
        <v>3.46343732825498</v>
      </c>
      <c r="II59" s="235">
        <f t="shared" si="91"/>
        <v>17.126697588220875</v>
      </c>
      <c r="IJ59" s="235">
        <f t="shared" si="92"/>
        <v>0</v>
      </c>
      <c r="IK59" s="235">
        <f t="shared" si="93"/>
        <v>0</v>
      </c>
      <c r="IL59" s="235">
        <f t="shared" si="94"/>
        <v>0</v>
      </c>
      <c r="IM59" s="235">
        <f t="shared" si="95"/>
        <v>0</v>
      </c>
      <c r="IN59" s="235">
        <f t="shared" si="96"/>
        <v>0</v>
      </c>
      <c r="IO59" s="235">
        <f t="shared" si="97"/>
        <v>0</v>
      </c>
    </row>
    <row r="60" spans="1:249" ht="18" x14ac:dyDescent="0.25">
      <c r="A60" s="18">
        <v>1997</v>
      </c>
      <c r="B60" s="564"/>
      <c r="C60" s="529">
        <f>'POSF Inventory'!AD52*$D$5*'POSF Zone Def'!$M49</f>
        <v>12.23305507125</v>
      </c>
      <c r="D60" s="529">
        <f>'POSF Inventory'!AE52*$D$6*'POSF Zone Def'!$M49</f>
        <v>12.26200904775</v>
      </c>
      <c r="E60" s="529">
        <f>'POSF Inventory'!AF52*$D$5*'POSF Zone Def'!$M49</f>
        <v>0</v>
      </c>
      <c r="F60" s="529">
        <f>'POSF Inventory'!AG52*$D$6*'POSF Zone Def'!$M49</f>
        <v>0</v>
      </c>
      <c r="G60" s="529">
        <f>'POSF Inventory'!AH52*$D$5*'POSF Zone Def'!$M49</f>
        <v>9.0615222750000015</v>
      </c>
      <c r="H60" s="524">
        <f>'POSF Inventory'!AI52*$D$6*'POSF Zone Def'!$M49</f>
        <v>9.0829696650000002</v>
      </c>
      <c r="I60" s="474">
        <f>'POSF Inventory'!AD52*$D$5*'POSF Zone Def'!$N49</f>
        <v>12.23305507125</v>
      </c>
      <c r="J60" s="474">
        <f>'POSF Inventory'!AE52*$D$6*'POSF Zone Def'!$N49</f>
        <v>12.26200904775</v>
      </c>
      <c r="K60" s="474">
        <f>'POSF Inventory'!AF52*$D$5*'POSF Zone Def'!$N49</f>
        <v>0</v>
      </c>
      <c r="L60" s="474">
        <f>'POSF Inventory'!AG52*$D$6*'POSF Zone Def'!$N49</f>
        <v>0</v>
      </c>
      <c r="M60" s="474">
        <f>'POSF Inventory'!AH52*$D$5*'POSF Zone Def'!$N49</f>
        <v>9.0615222750000015</v>
      </c>
      <c r="N60" s="485">
        <f>'POSF Inventory'!AI52*$D$6*'POSF Zone Def'!$N49</f>
        <v>9.0829696650000002</v>
      </c>
      <c r="O60" s="529">
        <f>'POSF Inventory'!AJ52*$D$5*'POSF Zone Def'!$AP49</f>
        <v>0</v>
      </c>
      <c r="P60" s="529">
        <f>'POSF Inventory'!AK52*$D$6*'POSF Zone Def'!$AP49</f>
        <v>0</v>
      </c>
      <c r="Q60" s="529">
        <f>'POSF Inventory'!AL52*$D$5*'POSF Zone Def'!$AP49</f>
        <v>0</v>
      </c>
      <c r="R60" s="529">
        <f>'POSF Inventory'!AM52*$D$6*'POSF Zone Def'!$AP49</f>
        <v>0</v>
      </c>
      <c r="S60" s="529">
        <f>'POSF Inventory'!AN52*$D$5*'POSF Zone Def'!$AP49</f>
        <v>0</v>
      </c>
      <c r="T60" s="524">
        <f>'POSF Inventory'!AO52*$D$6*'POSF Zone Def'!$AP49</f>
        <v>0</v>
      </c>
      <c r="U60" s="474">
        <f>'POSF Inventory'!AJ52*$D$5*'POSF Zone Def'!$AQ49</f>
        <v>0</v>
      </c>
      <c r="V60" s="474">
        <f>'POSF Inventory'!AK52*$D$6*'POSF Zone Def'!$AQ49</f>
        <v>0</v>
      </c>
      <c r="W60" s="474">
        <f>'POSF Inventory'!AL52*$D$5*'POSF Zone Def'!$AQ49</f>
        <v>0</v>
      </c>
      <c r="X60" s="474">
        <f>'POSF Inventory'!AM52*$D$6*'POSF Zone Def'!$AQ49</f>
        <v>0</v>
      </c>
      <c r="Y60" s="474">
        <f>'POSF Inventory'!AN52*$D$5*'POSF Zone Def'!$AQ49</f>
        <v>0</v>
      </c>
      <c r="Z60" s="134">
        <f>'POSF Inventory'!AO52*$D$6*'POSF Zone Def'!$AQ49</f>
        <v>0</v>
      </c>
      <c r="AA60" s="529">
        <f>'POSF Inventory'!AV52*'POSF Emiss by Zone'!$D$5*'POSF Zone Def'!$M49</f>
        <v>0</v>
      </c>
      <c r="AB60" s="529">
        <f>'POSF Inventory'!AW52*'POSF Emiss by Zone'!$D$6*'POSF Zone Def'!$M49</f>
        <v>0</v>
      </c>
      <c r="AC60" s="529">
        <f>'POSF Inventory'!AX52*'POSF Emiss by Zone'!$D$5*'POSF Zone Def'!$M49</f>
        <v>8.1553700474999999</v>
      </c>
      <c r="AD60" s="529">
        <f>'POSF Inventory'!AY52*'POSF Emiss by Zone'!$D$6*'POSF Zone Def'!$M49</f>
        <v>8.1746726985000002</v>
      </c>
      <c r="AE60" s="529">
        <f>'POSF Inventory'!AZ52*'POSF Emiss by Zone'!$D$5*'POSF Zone Def'!$M49</f>
        <v>15.102537125000001</v>
      </c>
      <c r="AF60" s="524">
        <f>'POSF Inventory'!BA52*'POSF Emiss by Zone'!$D$6*'POSF Zone Def'!$M49</f>
        <v>15.138282775000002</v>
      </c>
      <c r="AG60" s="474">
        <f>'POSF Inventory'!AV52*'POSF Emiss by Zone'!$D$5*'POSF Zone Def'!$N49</f>
        <v>0</v>
      </c>
      <c r="AH60" s="474">
        <f>'POSF Inventory'!AW52*'POSF Emiss by Zone'!$D$6*'POSF Zone Def'!$N49</f>
        <v>0</v>
      </c>
      <c r="AI60" s="474">
        <f>'POSF Inventory'!AX52*'POSF Emiss by Zone'!$D$5*'POSF Zone Def'!$N49</f>
        <v>8.1553700474999999</v>
      </c>
      <c r="AJ60" s="474">
        <f>'POSF Inventory'!AY52*'POSF Emiss by Zone'!$D$6*'POSF Zone Def'!$N49</f>
        <v>8.1746726985000002</v>
      </c>
      <c r="AK60" s="474">
        <f>'POSF Inventory'!AZ52*'POSF Emiss by Zone'!$D$5*'POSF Zone Def'!$N49</f>
        <v>15.102537125000001</v>
      </c>
      <c r="AL60" s="549">
        <f>'POSF Inventory'!BA52*'POSF Emiss by Zone'!$D$6*'POSF Zone Def'!$N49</f>
        <v>15.138282775000002</v>
      </c>
      <c r="AM60" s="529">
        <f>'POSF Inventory'!BB52*'POSF Emiss by Zone'!$D$5*'POSF Zone Def'!$AP49</f>
        <v>0</v>
      </c>
      <c r="AN60" s="529">
        <f>'POSF Inventory'!BC52*'POSF Emiss by Zone'!$D$6*'POSF Zone Def'!$AP49</f>
        <v>0</v>
      </c>
      <c r="AO60" s="529">
        <f>'POSF Inventory'!BD52*'POSF Emiss by Zone'!$D$5*'POSF Zone Def'!$AP49</f>
        <v>0</v>
      </c>
      <c r="AP60" s="529">
        <f>'POSF Inventory'!BE52*'POSF Emiss by Zone'!$D$6*'POSF Zone Def'!$AP49</f>
        <v>0</v>
      </c>
      <c r="AQ60" s="529">
        <f>'POSF Inventory'!BF52*'POSF Emiss by Zone'!$D$5*'POSF Zone Def'!$AP49</f>
        <v>0</v>
      </c>
      <c r="AR60" s="524">
        <f>'POSF Inventory'!BG52*'POSF Emiss by Zone'!$D$6*'POSF Zone Def'!$AP49</f>
        <v>0</v>
      </c>
      <c r="AS60" s="474">
        <f>'POSF Inventory'!BB52*'POSF Emiss by Zone'!$D$5*'POSF Zone Def'!$AQ49</f>
        <v>0</v>
      </c>
      <c r="AT60" s="474">
        <f>'POSF Inventory'!BC52*'POSF Emiss by Zone'!$D$6*'POSF Zone Def'!$AQ49</f>
        <v>0</v>
      </c>
      <c r="AU60" s="474">
        <f>'POSF Inventory'!BD52*'POSF Emiss by Zone'!$D$5*'POSF Zone Def'!$AQ49</f>
        <v>0</v>
      </c>
      <c r="AV60" s="474">
        <f>'POSF Inventory'!BE52*'POSF Emiss by Zone'!$D$6*'POSF Zone Def'!$AQ49</f>
        <v>0</v>
      </c>
      <c r="AW60" s="474">
        <f>'POSF Inventory'!BF52*'POSF Emiss by Zone'!$D$5*'POSF Zone Def'!$AQ49</f>
        <v>0</v>
      </c>
      <c r="AX60" s="134">
        <f>'POSF Inventory'!BG52*'POSF Emiss by Zone'!$D$6*'POSF Zone Def'!$AQ49</f>
        <v>0</v>
      </c>
      <c r="AY60" s="529">
        <f>'POSF Inventory'!EA52*'POSF Emiss by Zone'!$D$5*'POSF Zone Def'!$Y49</f>
        <v>0</v>
      </c>
      <c r="AZ60" s="529">
        <f>'POSF Inventory'!EB52*'POSF Emiss by Zone'!$D$6*'POSF Zone Def'!$Y49</f>
        <v>0</v>
      </c>
      <c r="BA60" s="529">
        <f>'POSF Inventory'!EC52*'POSF Emiss by Zone'!$D$5*'POSF Zone Def'!$Y49</f>
        <v>12.693191432512501</v>
      </c>
      <c r="BB60" s="529">
        <f>'POSF Inventory'!ED52*'POSF Emiss by Zone'!$D$6*'POSF Zone Def'!$Y49</f>
        <v>127.23234489157502</v>
      </c>
      <c r="BC60" s="529">
        <f>'POSF Inventory'!EE52*'POSF Emiss by Zone'!$D$5*'POSF Zone Def'!$Y49</f>
        <v>0</v>
      </c>
      <c r="BD60" s="524">
        <f>'POSF Inventory'!EF52*'POSF Emiss by Zone'!$D$6*'POSF Zone Def'!$Y49</f>
        <v>0</v>
      </c>
      <c r="BE60" s="474">
        <f>'POSF Inventory'!$EA52*'POSF Emiss by Zone'!$D$5*'POSF Zone Def'!$Z49</f>
        <v>0</v>
      </c>
      <c r="BF60" s="474">
        <f>'POSF Inventory'!$EB52*'POSF Emiss by Zone'!$D$6*'POSF Zone Def'!$Z49</f>
        <v>0</v>
      </c>
      <c r="BG60" s="474">
        <f>'POSF Inventory'!$EC52*'POSF Emiss by Zone'!$D$5*'POSF Zone Def'!$Z49</f>
        <v>1.4103546036125003</v>
      </c>
      <c r="BH60" s="474">
        <f>'POSF Inventory'!$ED52*'POSF Emiss by Zone'!$D$6*'POSF Zone Def'!$Z49</f>
        <v>14.136927210175003</v>
      </c>
      <c r="BI60" s="474">
        <f>'POSF Inventory'!$EE52*'POSF Emiss by Zone'!$D$5*'POSF Zone Def'!$Z49</f>
        <v>0</v>
      </c>
      <c r="BJ60" s="549">
        <f>'POSF Inventory'!$EF52*'POSF Emiss by Zone'!$D$6*'POSF Zone Def'!$Z49</f>
        <v>0</v>
      </c>
      <c r="BK60" s="705">
        <f>'POSF Inventory'!$EA52*'POSF Emiss by Zone'!$D$5*'POSF Zone Def'!$AC49</f>
        <v>0</v>
      </c>
      <c r="BL60" s="705">
        <f>'POSF Inventory'!$EB52*'POSF Emiss by Zone'!$D$6*'POSF Zone Def'!$AC49</f>
        <v>0</v>
      </c>
      <c r="BM60" s="705">
        <f>'POSF Inventory'!$EC52*'POSF Emiss by Zone'!$D$5*'POSF Zone Def'!$AC49</f>
        <v>0</v>
      </c>
      <c r="BN60" s="705">
        <f>'POSF Inventory'!$ED52*'POSF Emiss by Zone'!$D$6*'POSF Zone Def'!$AC49</f>
        <v>0</v>
      </c>
      <c r="BO60" s="705">
        <f>'POSF Inventory'!$EE52*'POSF Emiss by Zone'!$D$5*'POSF Zone Def'!$AC49</f>
        <v>0</v>
      </c>
      <c r="BP60" s="708">
        <f>'POSF Inventory'!$EF52*'POSF Emiss by Zone'!$D$6*'POSF Zone Def'!$AC49</f>
        <v>0</v>
      </c>
      <c r="BQ60" s="529">
        <f>'POSF Inventory'!EG52*'POSF Emiss by Zone'!$D$5*'POSF Zone Def'!$BB49</f>
        <v>0</v>
      </c>
      <c r="BR60" s="529">
        <f>'POSF Inventory'!EH52*'POSF Emiss by Zone'!$D$6*'POSF Zone Def'!$BB49</f>
        <v>0</v>
      </c>
      <c r="BS60" s="529">
        <f>'POSF Inventory'!EI52*'POSF Emiss by Zone'!$D$5*'POSF Zone Def'!$BB49</f>
        <v>0</v>
      </c>
      <c r="BT60" s="529">
        <f>'POSF Inventory'!EJ52*'POSF Emiss by Zone'!$D$6*'POSF Zone Def'!$BB49</f>
        <v>0</v>
      </c>
      <c r="BU60" s="529">
        <f>'POSF Inventory'!EK52*'POSF Emiss by Zone'!$D$5*'POSF Zone Def'!$BB49</f>
        <v>0</v>
      </c>
      <c r="BV60" s="524">
        <f>'POSF Inventory'!EL52*'POSF Emiss by Zone'!$D$6*'POSF Zone Def'!$BB49</f>
        <v>0</v>
      </c>
      <c r="BW60" s="474">
        <f>'POSF Inventory'!EG52*'POSF Emiss by Zone'!$D$5*'POSF Zone Def'!$BC49</f>
        <v>0</v>
      </c>
      <c r="BX60" s="474">
        <f>'POSF Inventory'!EH52*'POSF Emiss by Zone'!$D$6*'POSF Zone Def'!$BC49</f>
        <v>0</v>
      </c>
      <c r="BY60" s="474">
        <f>'POSF Inventory'!EI52*'POSF Emiss by Zone'!$D$5*'POSF Zone Def'!$BC49</f>
        <v>0</v>
      </c>
      <c r="BZ60" s="474">
        <f>'POSF Inventory'!EJ52*'POSF Emiss by Zone'!$D$6*'POSF Zone Def'!$BC49</f>
        <v>0</v>
      </c>
      <c r="CA60" s="474">
        <f>'POSF Inventory'!EK52*'POSF Emiss by Zone'!$D$5*'POSF Zone Def'!$BC49</f>
        <v>0</v>
      </c>
      <c r="CB60" s="134">
        <f>'POSF Inventory'!EL52*'POSF Emiss by Zone'!$D$6*'POSF Zone Def'!$BC49</f>
        <v>0</v>
      </c>
      <c r="CC60" s="529">
        <f>'POSF Inventory'!GC52*'POSF Emiss by Zone'!$D$7*'POSF Zone Def'!$M49</f>
        <v>5.7193040000000007E-2</v>
      </c>
      <c r="CD60" s="529">
        <f>'POSF Inventory'!GD52*'POSF Emiss by Zone'!$D$9*'POSF Zone Def'!$M49</f>
        <v>7.070489570000002E-2</v>
      </c>
      <c r="CE60" s="529">
        <f>'POSF Inventory'!GE52*'POSF Emiss by Zone'!$D$7*'POSF Zone Def'!$M49</f>
        <v>0.85789559999999998</v>
      </c>
      <c r="CF60" s="529">
        <f>'POSF Inventory'!GF52*'POSF Emiss by Zone'!$D$9*'POSF Zone Def'!$M49</f>
        <v>1.0605734355000001</v>
      </c>
      <c r="CG60" s="529">
        <f>'POSF Inventory'!GG52*'POSF Emiss by Zone'!$D$7*'POSF Zone Def'!$M49</f>
        <v>3.1456172000000002</v>
      </c>
      <c r="CH60" s="524">
        <f>'POSF Inventory'!GH52*'POSF Emiss by Zone'!$D$9*'POSF Zone Def'!$M49</f>
        <v>15.555077054000002</v>
      </c>
      <c r="CI60" s="474">
        <f>'POSF Inventory'!GC52*'POSF Emiss by Zone'!$D$7*'POSF Zone Def'!$N49</f>
        <v>5.7193040000000007E-2</v>
      </c>
      <c r="CJ60" s="474">
        <f>'POSF Inventory'!GD52*'POSF Emiss by Zone'!$D$9*'POSF Zone Def'!$N49</f>
        <v>7.070489570000002E-2</v>
      </c>
      <c r="CK60" s="474">
        <f>'POSF Inventory'!GE52*'POSF Emiss by Zone'!$D$7*'POSF Zone Def'!$N49</f>
        <v>0.85789559999999998</v>
      </c>
      <c r="CL60" s="474">
        <f>'POSF Inventory'!GF52*'POSF Emiss by Zone'!$D$9*'POSF Zone Def'!$N49</f>
        <v>1.0605734355000001</v>
      </c>
      <c r="CM60" s="474">
        <f>'POSF Inventory'!GG52*'POSF Emiss by Zone'!$D$7*'POSF Zone Def'!$N49</f>
        <v>3.1456172000000002</v>
      </c>
      <c r="CN60" s="485">
        <f>'POSF Inventory'!GH52*'POSF Emiss by Zone'!$D$9*'POSF Zone Def'!$N49</f>
        <v>15.555077054000002</v>
      </c>
      <c r="CO60" s="529">
        <f>'POSF Inventory'!GI52*'POSF Emiss by Zone'!$D$7*'POSF Zone Def'!$AP49</f>
        <v>0</v>
      </c>
      <c r="CP60" s="529">
        <f>'POSF Inventory'!GJ52*'POSF Emiss by Zone'!$D$9*'POSF Zone Def'!$AP49</f>
        <v>0</v>
      </c>
      <c r="CQ60" s="529">
        <f>'POSF Inventory'!GK52*'POSF Emiss by Zone'!$D$7*'POSF Zone Def'!$AP49</f>
        <v>0</v>
      </c>
      <c r="CR60" s="529">
        <f>'POSF Inventory'!GL52*'POSF Emiss by Zone'!$D$9*'POSF Zone Def'!$AP49</f>
        <v>0</v>
      </c>
      <c r="CS60" s="529">
        <f>'POSF Inventory'!GM52*'POSF Emiss by Zone'!$D$7*'POSF Zone Def'!$AP49</f>
        <v>0</v>
      </c>
      <c r="CT60" s="524">
        <f>'POSF Inventory'!GN52*'POSF Emiss by Zone'!$D$9*'POSF Zone Def'!$AP49</f>
        <v>0</v>
      </c>
      <c r="CU60" s="474">
        <f>'POSF Inventory'!GI52*'POSF Emiss by Zone'!$D$7*'POSF Zone Def'!$AQ49</f>
        <v>0</v>
      </c>
      <c r="CV60" s="474">
        <f>'POSF Inventory'!GJ52*'POSF Emiss by Zone'!$D$9*'POSF Zone Def'!$AQ49</f>
        <v>0</v>
      </c>
      <c r="CW60" s="474">
        <f>'POSF Inventory'!GK52*'POSF Emiss by Zone'!$D$7*'POSF Zone Def'!$AQ49</f>
        <v>0</v>
      </c>
      <c r="CX60" s="474">
        <f>'POSF Inventory'!GL52*'POSF Emiss by Zone'!$D$9*'POSF Zone Def'!$AQ49</f>
        <v>0</v>
      </c>
      <c r="CY60" s="474">
        <f>'POSF Inventory'!GM52*'POSF Emiss by Zone'!$D$7*'POSF Zone Def'!$AQ49</f>
        <v>0</v>
      </c>
      <c r="CZ60" s="134">
        <f>'POSF Inventory'!GN52*'POSF Emiss by Zone'!$D$9*'POSF Zone Def'!$AQ49</f>
        <v>0</v>
      </c>
      <c r="DA60" s="529">
        <f>SUM('POSF Inventory'!GQ52,'POSF Inventory'!GS52)*'POSF Emiss by Zone'!$D$7*'POSF Zone Def'!$Y49</f>
        <v>7.7278645652592379</v>
      </c>
      <c r="DB60" s="529">
        <f>SUM('POSF Inventory'!GR52,'POSF Inventory'!GT52)*'POSF Emiss by Zone'!$D$9*'POSF Zone Def'!$Y49</f>
        <v>304.04902510936876</v>
      </c>
      <c r="DC60" s="529"/>
      <c r="DD60" s="529"/>
      <c r="DE60" s="529">
        <f>'POSF Inventory'!GU52*'POSF Emiss by Zone'!$D$7*'POSF Zone Def'!$Y49</f>
        <v>0</v>
      </c>
      <c r="DF60" s="524">
        <f>'POSF Inventory'!GV52*'POSF Emiss by Zone'!$D$9*'POSF Zone Def'!$Y49</f>
        <v>0</v>
      </c>
      <c r="DG60" s="474">
        <f>SUM('POSF Inventory'!GQ52,'POSF Inventory'!GS52)*'POSF Emiss by Zone'!$D$7*'POSF Zone Def'!$Z49</f>
        <v>0.85865161836213755</v>
      </c>
      <c r="DH60" s="474">
        <f>SUM('POSF Inventory'!GR52,'POSF Inventory'!GT52)*'POSF Emiss by Zone'!$D$9*'POSF Zone Def'!$Z49</f>
        <v>33.78322501215208</v>
      </c>
      <c r="DI60" s="474"/>
      <c r="DJ60" s="474"/>
      <c r="DK60" s="474">
        <f>'POSF Inventory'!GU52*'POSF Emiss by Zone'!$D$7*'POSF Zone Def'!$Z49</f>
        <v>0</v>
      </c>
      <c r="DL60" s="485">
        <f>'POSF Inventory'!GV52*'POSF Emiss by Zone'!$D$9*'POSF Zone Def'!$Z49</f>
        <v>0</v>
      </c>
      <c r="DM60" s="705">
        <f>SUM('POSF Inventory'!$GQ52,'POSF Inventory'!$GS52)*'POSF Emiss by Zone'!$D$7*'POSF Zone Def'!$AC49</f>
        <v>0</v>
      </c>
      <c r="DN60" s="705">
        <f>SUM('POSF Inventory'!$GR52,'POSF Inventory'!$GT52)*'POSF Emiss by Zone'!$D$9*'POSF Zone Def'!$AC49</f>
        <v>0</v>
      </c>
      <c r="DO60" s="705"/>
      <c r="DP60" s="705"/>
      <c r="DQ60" s="705">
        <f>'POSF Inventory'!$GU52*'POSF Emiss by Zone'!$D$7*'POSF Zone Def'!$AC49</f>
        <v>0</v>
      </c>
      <c r="DR60" s="708">
        <f>'POSF Inventory'!$GV52*'POSF Emiss by Zone'!$D$9*'POSF Zone Def'!$AC49</f>
        <v>0</v>
      </c>
      <c r="DS60" s="529">
        <f>SUM('POSF Inventory'!GW52,'POSF Inventory'!GY52)*$D$7*'POSF Zone Def'!$BB49</f>
        <v>0</v>
      </c>
      <c r="DT60" s="529">
        <f>SUM('POSF Inventory'!GX52,'POSF Inventory'!GZ52)*$D$9*'POSF Zone Def'!$BB49</f>
        <v>0</v>
      </c>
      <c r="DU60" s="529"/>
      <c r="DV60" s="529"/>
      <c r="DW60" s="529">
        <f>'POSF Inventory'!HA52*'POSF Emiss by Zone'!$D$7*'POSF Zone Def'!$BB49</f>
        <v>0</v>
      </c>
      <c r="DX60" s="524">
        <f>'POSF Inventory'!HB52*'POSF Emiss by Zone'!$D$9*'POSF Zone Def'!$BB49</f>
        <v>0</v>
      </c>
      <c r="DY60" s="474">
        <f>SUM('POSF Inventory'!GW52,'POSF Inventory'!GY52)*$D$7*'POSF Zone Def'!$BC49</f>
        <v>0</v>
      </c>
      <c r="DZ60" s="474">
        <f>SUM('POSF Inventory'!GX52,'POSF Inventory'!GZ52)*$D$9*'POSF Zone Def'!$BC49</f>
        <v>0</v>
      </c>
      <c r="EA60" s="474"/>
      <c r="EB60" s="474"/>
      <c r="EC60" s="474">
        <f>'POSF Inventory'!HA52*'POSF Emiss by Zone'!$D$7*'POSF Zone Def'!$BC49</f>
        <v>0</v>
      </c>
      <c r="ED60" s="134">
        <f>'POSF Inventory'!HB52*'POSF Emiss by Zone'!$D$9*'POSF Zone Def'!$BC49</f>
        <v>0</v>
      </c>
      <c r="EE60" s="235">
        <f>'POSF Inventory'!$CF52*'POSF Emiss by Zone'!$D$7*'POSF Zone Def'!$CE49</f>
        <v>0</v>
      </c>
      <c r="EF60" s="235">
        <f>'POSF Inventory'!$CG52*'POSF Emiss by Zone'!$D$9*'POSF Zone Def'!$CE49</f>
        <v>0</v>
      </c>
      <c r="EG60" s="235">
        <f>'POSF Inventory'!$CH52*'POSF Emiss by Zone'!$D$7*'POSF Zone Def'!$CE49</f>
        <v>0</v>
      </c>
      <c r="EH60" s="235">
        <f>'POSF Inventory'!$CI52*'POSF Emiss by Zone'!$D$9*'POSF Zone Def'!$CE49</f>
        <v>0</v>
      </c>
      <c r="EI60" s="235">
        <f>'POSF Inventory'!$CJ52*'POSF Emiss by Zone'!$D$7*'POSF Zone Def'!$CE49</f>
        <v>0</v>
      </c>
      <c r="EJ60" s="580">
        <f>'POSF Inventory'!$CK52*'POSF Emiss by Zone'!$D$9*'POSF Zone Def'!$CE49</f>
        <v>0</v>
      </c>
      <c r="EK60" s="235">
        <f>'POSF Inventory'!$CF52*'POSF Emiss by Zone'!$D$7*'POSF Zone Def'!$CF49</f>
        <v>0</v>
      </c>
      <c r="EL60" s="235">
        <f>'POSF Inventory'!$CG52*'POSF Emiss by Zone'!$D$9*'POSF Zone Def'!$CF49</f>
        <v>0</v>
      </c>
      <c r="EM60" s="235">
        <f>'POSF Inventory'!$CH52*'POSF Emiss by Zone'!$D$7*'POSF Zone Def'!$CF49</f>
        <v>0</v>
      </c>
      <c r="EN60" s="235">
        <f>'POSF Inventory'!$CI52*'POSF Emiss by Zone'!$D$9*'POSF Zone Def'!$CF49</f>
        <v>0</v>
      </c>
      <c r="EO60" s="235">
        <f>'POSF Inventory'!$CJ52*'POSF Emiss by Zone'!$D$7*'POSF Zone Def'!$CF49</f>
        <v>0</v>
      </c>
      <c r="EP60" s="580">
        <f>'POSF Inventory'!$CK52*'POSF Emiss by Zone'!$D$9*'POSF Zone Def'!$CF49</f>
        <v>0</v>
      </c>
      <c r="EQ60" s="235">
        <f>'POSF Inventory'!$CF52*'POSF Emiss by Zone'!$D$7*'POSF Zone Def'!$CG49</f>
        <v>3.9725838568564688E-5</v>
      </c>
      <c r="ER60" s="235">
        <f>'POSF Inventory'!$CG52*'POSF Emiss by Zone'!$D$9*'POSF Zone Def'!$CG49</f>
        <v>4.9111067930388099E-5</v>
      </c>
      <c r="ES60" s="235">
        <f>'POSF Inventory'!$CH52*'POSF Emiss by Zone'!$D$7*'POSF Zone Def'!$CG49</f>
        <v>0</v>
      </c>
      <c r="ET60" s="235">
        <f>'POSF Inventory'!$CI52*'POSF Emiss by Zone'!$D$9*'POSF Zone Def'!$CG49</f>
        <v>0</v>
      </c>
      <c r="EU60" s="235">
        <f>'POSF Inventory'!$CJ52*'POSF Emiss by Zone'!$D$7*'POSF Zone Def'!$CG49</f>
        <v>3.5753254711708219E-4</v>
      </c>
      <c r="EV60" s="580">
        <f>'POSF Inventory'!$CK52*'POSF Emiss by Zone'!$D$9*'POSF Zone Def'!$CG49</f>
        <v>4.419996113734929E-4</v>
      </c>
      <c r="EW60" s="235">
        <f>'POSF Inventory'!$CF52*'POSF Emiss by Zone'!$D$7*'POSF Zone Def'!$CH49</f>
        <v>0.52241707971968876</v>
      </c>
      <c r="EX60" s="235">
        <f>'POSF Inventory'!$CG52*'POSF Emiss by Zone'!$D$9*'POSF Zone Def'!$CH49</f>
        <v>0.64583811480346531</v>
      </c>
      <c r="EY60" s="235">
        <f>'POSF Inventory'!$CH52*'POSF Emiss by Zone'!$D$7*'POSF Zone Def'!$CH49</f>
        <v>0</v>
      </c>
      <c r="EZ60" s="235">
        <f>'POSF Inventory'!$CI52*'POSF Emiss by Zone'!$D$9*'POSF Zone Def'!$CH49</f>
        <v>0</v>
      </c>
      <c r="FA60" s="235">
        <f>'POSF Inventory'!$CJ52*'POSF Emiss by Zone'!$D$7*'POSF Zone Def'!$CH49</f>
        <v>4.7017537174771986</v>
      </c>
      <c r="FB60" s="580">
        <f>'POSF Inventory'!$CK52*'POSF Emiss by Zone'!$D$9*'POSF Zone Def'!$CH49</f>
        <v>5.8125430332311874</v>
      </c>
      <c r="FC60" s="235">
        <f>'POSF Inventory'!$CF52*'POSF Emiss by Zone'!$D$7*'POSF Zone Def'!$CI49</f>
        <v>0.47754319444174265</v>
      </c>
      <c r="FD60" s="235">
        <f>'POSF Inventory'!$CG52*'POSF Emiss by Zone'!$D$9*'POSF Zone Def'!$CI49</f>
        <v>0.59036277412860438</v>
      </c>
      <c r="FE60" s="235">
        <f>'POSF Inventory'!$CH52*'POSF Emiss by Zone'!$D$7*'POSF Zone Def'!$CI49</f>
        <v>0</v>
      </c>
      <c r="FF60" s="235">
        <f>'POSF Inventory'!$CI52*'POSF Emiss by Zone'!$D$9*'POSF Zone Def'!$CI49</f>
        <v>0</v>
      </c>
      <c r="FG60" s="235">
        <f>'POSF Inventory'!$CJ52*'POSF Emiss by Zone'!$D$7*'POSF Zone Def'!$CI49</f>
        <v>4.2978887499756837</v>
      </c>
      <c r="FH60" s="577">
        <f>'POSF Inventory'!$CK52*'POSF Emiss by Zone'!$D$9*'POSF Zone Def'!$CI49</f>
        <v>5.3132649671574397</v>
      </c>
      <c r="FI60" s="595"/>
      <c r="FJ60" s="595"/>
      <c r="FM60" s="592">
        <v>43</v>
      </c>
      <c r="FN60" s="592">
        <f t="shared" si="98"/>
        <v>1997</v>
      </c>
      <c r="FO60" s="587">
        <v>40</v>
      </c>
      <c r="FP60" s="551">
        <f t="shared" si="20"/>
        <v>12.23305507125</v>
      </c>
      <c r="FQ60" s="529">
        <f t="shared" si="21"/>
        <v>12.26200904775</v>
      </c>
      <c r="FR60" s="529">
        <f t="shared" si="22"/>
        <v>0</v>
      </c>
      <c r="FS60" s="529">
        <f t="shared" si="23"/>
        <v>0</v>
      </c>
      <c r="FT60" s="529">
        <f t="shared" si="24"/>
        <v>9.0615222750000015</v>
      </c>
      <c r="FU60" s="524">
        <f t="shared" si="25"/>
        <v>9.0829696650000002</v>
      </c>
      <c r="FV60" s="474">
        <f t="shared" si="26"/>
        <v>12.23305507125</v>
      </c>
      <c r="FW60" s="474">
        <f t="shared" si="27"/>
        <v>12.26200904775</v>
      </c>
      <c r="FX60" s="474">
        <f t="shared" si="28"/>
        <v>0</v>
      </c>
      <c r="FY60" s="474">
        <f t="shared" si="29"/>
        <v>0</v>
      </c>
      <c r="FZ60" s="474">
        <f t="shared" si="30"/>
        <v>9.0615222750000015</v>
      </c>
      <c r="GA60" s="134">
        <f t="shared" si="31"/>
        <v>9.0829696650000002</v>
      </c>
      <c r="GB60" s="529">
        <f t="shared" si="32"/>
        <v>0</v>
      </c>
      <c r="GC60" s="529">
        <f t="shared" si="33"/>
        <v>0</v>
      </c>
      <c r="GD60" s="529">
        <f t="shared" si="34"/>
        <v>20.765499482084163</v>
      </c>
      <c r="GE60" s="529">
        <f t="shared" si="35"/>
        <v>134.86754740047311</v>
      </c>
      <c r="GF60" s="529">
        <f t="shared" si="36"/>
        <v>15.042367654382472</v>
      </c>
      <c r="GG60" s="524">
        <f t="shared" si="37"/>
        <v>15.077970891434266</v>
      </c>
      <c r="GH60" s="474">
        <f t="shared" si="38"/>
        <v>0</v>
      </c>
      <c r="GI60" s="474">
        <f t="shared" si="39"/>
        <v>0</v>
      </c>
      <c r="GJ60" s="474">
        <f t="shared" si="40"/>
        <v>9.5276141943351593</v>
      </c>
      <c r="GK60" s="474">
        <f t="shared" si="41"/>
        <v>22.222709072385459</v>
      </c>
      <c r="GL60" s="474">
        <f t="shared" si="42"/>
        <v>15.042367654382472</v>
      </c>
      <c r="GM60" s="705">
        <f t="shared" si="43"/>
        <v>15.077970891434266</v>
      </c>
      <c r="GN60" s="705">
        <f t="shared" si="44"/>
        <v>0</v>
      </c>
      <c r="GO60" s="705">
        <f t="shared" si="45"/>
        <v>0</v>
      </c>
      <c r="GP60" s="705">
        <f t="shared" si="46"/>
        <v>0</v>
      </c>
      <c r="GQ60" s="705">
        <f t="shared" si="47"/>
        <v>0</v>
      </c>
      <c r="GR60" s="705">
        <f t="shared" si="48"/>
        <v>0</v>
      </c>
      <c r="GS60" s="134">
        <f t="shared" si="49"/>
        <v>0</v>
      </c>
      <c r="GT60" s="529">
        <f t="shared" si="50"/>
        <v>0.16128406194162564</v>
      </c>
      <c r="GU60" s="529">
        <f t="shared" si="51"/>
        <v>6.3004884303838944</v>
      </c>
      <c r="GV60" s="529">
        <f t="shared" si="52"/>
        <v>1.7773135936254979E-2</v>
      </c>
      <c r="GW60" s="529">
        <f t="shared" si="53"/>
        <v>2.197203930119522E-2</v>
      </c>
      <c r="GX60" s="529">
        <f t="shared" si="54"/>
        <v>6.5168165099601605E-2</v>
      </c>
      <c r="GY60" s="524">
        <f t="shared" si="55"/>
        <v>0.32225657641752992</v>
      </c>
      <c r="GZ60" s="474">
        <f t="shared" si="56"/>
        <v>1.8973674197143884E-2</v>
      </c>
      <c r="HA60" s="474">
        <f t="shared" si="57"/>
        <v>0.70135631681605903</v>
      </c>
      <c r="HB60" s="474">
        <f t="shared" si="58"/>
        <v>1.7773135936254979E-2</v>
      </c>
      <c r="HC60" s="474">
        <f t="shared" si="59"/>
        <v>2.197203930119522E-2</v>
      </c>
      <c r="HD60" s="474">
        <f t="shared" si="60"/>
        <v>6.5168165099601605E-2</v>
      </c>
      <c r="HE60" s="549">
        <f t="shared" si="61"/>
        <v>0.32225657641752992</v>
      </c>
      <c r="HF60" s="235">
        <f t="shared" si="62"/>
        <v>4.1150271027198477E-5</v>
      </c>
      <c r="HG60" s="235">
        <f t="shared" si="63"/>
        <v>5.0872022557374124E-5</v>
      </c>
      <c r="HH60" s="235">
        <f t="shared" si="64"/>
        <v>0</v>
      </c>
      <c r="HI60" s="235">
        <f t="shared" si="65"/>
        <v>0</v>
      </c>
      <c r="HJ60" s="235">
        <f t="shared" si="66"/>
        <v>3.7035243924478633E-4</v>
      </c>
      <c r="HK60" s="580">
        <f t="shared" si="67"/>
        <v>4.5784820301636713E-4</v>
      </c>
      <c r="HL60" s="235">
        <f t="shared" si="68"/>
        <v>0.54114916624350229</v>
      </c>
      <c r="HM60" s="235">
        <f t="shared" si="69"/>
        <v>0.66899565676852979</v>
      </c>
      <c r="HN60" s="235">
        <f t="shared" si="70"/>
        <v>0</v>
      </c>
      <c r="HO60" s="235">
        <f t="shared" si="71"/>
        <v>0</v>
      </c>
      <c r="HP60" s="235">
        <f t="shared" si="72"/>
        <v>4.8703424961915207</v>
      </c>
      <c r="HQ60" s="580">
        <f t="shared" si="73"/>
        <v>6.0209609109167674</v>
      </c>
      <c r="HR60" s="235">
        <f t="shared" si="74"/>
        <v>0.49466625719064972</v>
      </c>
      <c r="HS60" s="235">
        <f t="shared" si="75"/>
        <v>0.61153116045194078</v>
      </c>
      <c r="HT60" s="235">
        <f t="shared" si="76"/>
        <v>0</v>
      </c>
      <c r="HU60" s="235">
        <f t="shared" si="77"/>
        <v>0</v>
      </c>
      <c r="HV60" s="235">
        <f t="shared" si="78"/>
        <v>4.4519963147158474</v>
      </c>
      <c r="HW60" s="577">
        <f t="shared" si="79"/>
        <v>5.5037804440674671</v>
      </c>
      <c r="HX60" s="235">
        <f t="shared" si="80"/>
        <v>8.5716275688822421</v>
      </c>
      <c r="HY60" s="235">
        <f t="shared" si="81"/>
        <v>334.84672742709472</v>
      </c>
      <c r="HZ60" s="235">
        <f t="shared" si="82"/>
        <v>0.94457381679681263</v>
      </c>
      <c r="IA60" s="235">
        <f t="shared" si="83"/>
        <v>1.1677293810150597</v>
      </c>
      <c r="IB60" s="235">
        <f t="shared" si="84"/>
        <v>3.46343732825498</v>
      </c>
      <c r="IC60" s="235">
        <f t="shared" si="85"/>
        <v>17.126697588220875</v>
      </c>
      <c r="ID60" s="235">
        <f t="shared" si="86"/>
        <v>1.0083778079082084</v>
      </c>
      <c r="IE60" s="235">
        <f t="shared" si="87"/>
        <v>37.274390714478088</v>
      </c>
      <c r="IF60" s="235">
        <f t="shared" si="88"/>
        <v>0.94457381679681263</v>
      </c>
      <c r="IG60" s="235">
        <f t="shared" si="89"/>
        <v>1.1677293810150597</v>
      </c>
      <c r="IH60" s="235">
        <f t="shared" si="90"/>
        <v>3.46343732825498</v>
      </c>
      <c r="II60" s="235">
        <f t="shared" si="91"/>
        <v>17.126697588220875</v>
      </c>
      <c r="IJ60" s="235">
        <f t="shared" si="92"/>
        <v>0</v>
      </c>
      <c r="IK60" s="235">
        <f t="shared" si="93"/>
        <v>0</v>
      </c>
      <c r="IL60" s="235">
        <f t="shared" si="94"/>
        <v>0</v>
      </c>
      <c r="IM60" s="235">
        <f t="shared" si="95"/>
        <v>0</v>
      </c>
      <c r="IN60" s="235">
        <f t="shared" si="96"/>
        <v>0</v>
      </c>
      <c r="IO60" s="235">
        <f t="shared" si="97"/>
        <v>0</v>
      </c>
    </row>
    <row r="61" spans="1:249" ht="18" x14ac:dyDescent="0.25">
      <c r="A61" s="18">
        <v>1998</v>
      </c>
      <c r="B61" s="564"/>
      <c r="C61" s="529">
        <f>'POSF Inventory'!AD53*$D$5*'POSF Zone Def'!$M50</f>
        <v>3.0205074249999999</v>
      </c>
      <c r="D61" s="529">
        <f>'POSF Inventory'!AE53*$D$6*'POSF Zone Def'!$M50</f>
        <v>3.0276565550000001</v>
      </c>
      <c r="E61" s="529">
        <f>'POSF Inventory'!AF53*$D$5*'POSF Zone Def'!$M50</f>
        <v>0</v>
      </c>
      <c r="F61" s="529">
        <f>'POSF Inventory'!AG53*$D$6*'POSF Zone Def'!$M50</f>
        <v>0</v>
      </c>
      <c r="G61" s="529">
        <f>'POSF Inventory'!AH53*$D$5*'POSF Zone Def'!$M50</f>
        <v>0</v>
      </c>
      <c r="H61" s="524">
        <f>'POSF Inventory'!AI53*$D$6*'POSF Zone Def'!$M50</f>
        <v>0</v>
      </c>
      <c r="I61" s="474">
        <f>'POSF Inventory'!AD53*$D$5*'POSF Zone Def'!$N50</f>
        <v>3.0205074249999999</v>
      </c>
      <c r="J61" s="474">
        <f>'POSF Inventory'!AE53*$D$6*'POSF Zone Def'!$N50</f>
        <v>3.0276565550000001</v>
      </c>
      <c r="K61" s="474">
        <f>'POSF Inventory'!AF53*$D$5*'POSF Zone Def'!$N50</f>
        <v>0</v>
      </c>
      <c r="L61" s="474">
        <f>'POSF Inventory'!AG53*$D$6*'POSF Zone Def'!$N50</f>
        <v>0</v>
      </c>
      <c r="M61" s="474">
        <f>'POSF Inventory'!AH53*$D$5*'POSF Zone Def'!$N50</f>
        <v>0</v>
      </c>
      <c r="N61" s="485">
        <f>'POSF Inventory'!AI53*$D$6*'POSF Zone Def'!$N50</f>
        <v>0</v>
      </c>
      <c r="O61" s="529">
        <f>'POSF Inventory'!AJ53*$D$5*'POSF Zone Def'!$AP50</f>
        <v>0</v>
      </c>
      <c r="P61" s="529">
        <f>'POSF Inventory'!AK53*$D$6*'POSF Zone Def'!$AP50</f>
        <v>0</v>
      </c>
      <c r="Q61" s="529">
        <f>'POSF Inventory'!AL53*$D$5*'POSF Zone Def'!$AP50</f>
        <v>0</v>
      </c>
      <c r="R61" s="529">
        <f>'POSF Inventory'!AM53*$D$6*'POSF Zone Def'!$AP50</f>
        <v>0</v>
      </c>
      <c r="S61" s="529">
        <f>'POSF Inventory'!AN53*$D$5*'POSF Zone Def'!$AP50</f>
        <v>0</v>
      </c>
      <c r="T61" s="524">
        <f>'POSF Inventory'!AO53*$D$6*'POSF Zone Def'!$AP50</f>
        <v>0</v>
      </c>
      <c r="U61" s="474">
        <f>'POSF Inventory'!AJ53*$D$5*'POSF Zone Def'!$AQ50</f>
        <v>0</v>
      </c>
      <c r="V61" s="474">
        <f>'POSF Inventory'!AK53*$D$6*'POSF Zone Def'!$AQ50</f>
        <v>0</v>
      </c>
      <c r="W61" s="474">
        <f>'POSF Inventory'!AL53*$D$5*'POSF Zone Def'!$AQ50</f>
        <v>0</v>
      </c>
      <c r="X61" s="474">
        <f>'POSF Inventory'!AM53*$D$6*'POSF Zone Def'!$AQ50</f>
        <v>0</v>
      </c>
      <c r="Y61" s="474">
        <f>'POSF Inventory'!AN53*$D$5*'POSF Zone Def'!$AQ50</f>
        <v>0</v>
      </c>
      <c r="Z61" s="134">
        <f>'POSF Inventory'!AO53*$D$6*'POSF Zone Def'!$AQ50</f>
        <v>0</v>
      </c>
      <c r="AA61" s="529">
        <f>'POSF Inventory'!AV53*'POSF Emiss by Zone'!$D$5*'POSF Zone Def'!$M50</f>
        <v>0</v>
      </c>
      <c r="AB61" s="529">
        <f>'POSF Inventory'!AW53*'POSF Emiss by Zone'!$D$6*'POSF Zone Def'!$M50</f>
        <v>0</v>
      </c>
      <c r="AC61" s="529">
        <f>'POSF Inventory'!AX53*'POSF Emiss by Zone'!$D$5*'POSF Zone Def'!$M50</f>
        <v>4.07768502375</v>
      </c>
      <c r="AD61" s="529">
        <f>'POSF Inventory'!AY53*'POSF Emiss by Zone'!$D$6*'POSF Zone Def'!$M50</f>
        <v>4.0873363492500001</v>
      </c>
      <c r="AE61" s="529">
        <f>'POSF Inventory'!AZ53*'POSF Emiss by Zone'!$D$5*'POSF Zone Def'!$M50</f>
        <v>0</v>
      </c>
      <c r="AF61" s="524">
        <f>'POSF Inventory'!BA53*'POSF Emiss by Zone'!$D$6*'POSF Zone Def'!$M50</f>
        <v>0</v>
      </c>
      <c r="AG61" s="474">
        <f>'POSF Inventory'!AV53*'POSF Emiss by Zone'!$D$5*'POSF Zone Def'!$N50</f>
        <v>0</v>
      </c>
      <c r="AH61" s="474">
        <f>'POSF Inventory'!AW53*'POSF Emiss by Zone'!$D$6*'POSF Zone Def'!$N50</f>
        <v>0</v>
      </c>
      <c r="AI61" s="474">
        <f>'POSF Inventory'!AX53*'POSF Emiss by Zone'!$D$5*'POSF Zone Def'!$N50</f>
        <v>4.07768502375</v>
      </c>
      <c r="AJ61" s="474">
        <f>'POSF Inventory'!AY53*'POSF Emiss by Zone'!$D$6*'POSF Zone Def'!$N50</f>
        <v>4.0873363492500001</v>
      </c>
      <c r="AK61" s="474">
        <f>'POSF Inventory'!AZ53*'POSF Emiss by Zone'!$D$5*'POSF Zone Def'!$N50</f>
        <v>0</v>
      </c>
      <c r="AL61" s="549">
        <f>'POSF Inventory'!BA53*'POSF Emiss by Zone'!$D$6*'POSF Zone Def'!$N50</f>
        <v>0</v>
      </c>
      <c r="AM61" s="529">
        <f>'POSF Inventory'!BB53*'POSF Emiss by Zone'!$D$5*'POSF Zone Def'!$AP50</f>
        <v>0</v>
      </c>
      <c r="AN61" s="529">
        <f>'POSF Inventory'!BC53*'POSF Emiss by Zone'!$D$6*'POSF Zone Def'!$AP50</f>
        <v>0</v>
      </c>
      <c r="AO61" s="529">
        <f>'POSF Inventory'!BD53*'POSF Emiss by Zone'!$D$5*'POSF Zone Def'!$AP50</f>
        <v>0</v>
      </c>
      <c r="AP61" s="529">
        <f>'POSF Inventory'!BE53*'POSF Emiss by Zone'!$D$6*'POSF Zone Def'!$AP50</f>
        <v>0</v>
      </c>
      <c r="AQ61" s="529">
        <f>'POSF Inventory'!BF53*'POSF Emiss by Zone'!$D$5*'POSF Zone Def'!$AP50</f>
        <v>0</v>
      </c>
      <c r="AR61" s="524">
        <f>'POSF Inventory'!BG53*'POSF Emiss by Zone'!$D$6*'POSF Zone Def'!$AP50</f>
        <v>0</v>
      </c>
      <c r="AS61" s="474">
        <f>'POSF Inventory'!BB53*'POSF Emiss by Zone'!$D$5*'POSF Zone Def'!$AQ50</f>
        <v>0</v>
      </c>
      <c r="AT61" s="474">
        <f>'POSF Inventory'!BC53*'POSF Emiss by Zone'!$D$6*'POSF Zone Def'!$AQ50</f>
        <v>0</v>
      </c>
      <c r="AU61" s="474">
        <f>'POSF Inventory'!BD53*'POSF Emiss by Zone'!$D$5*'POSF Zone Def'!$AQ50</f>
        <v>0</v>
      </c>
      <c r="AV61" s="474">
        <f>'POSF Inventory'!BE53*'POSF Emiss by Zone'!$D$6*'POSF Zone Def'!$AQ50</f>
        <v>0</v>
      </c>
      <c r="AW61" s="474">
        <f>'POSF Inventory'!BF53*'POSF Emiss by Zone'!$D$5*'POSF Zone Def'!$AQ50</f>
        <v>0</v>
      </c>
      <c r="AX61" s="134">
        <f>'POSF Inventory'!BG53*'POSF Emiss by Zone'!$D$6*'POSF Zone Def'!$AQ50</f>
        <v>0</v>
      </c>
      <c r="AY61" s="529">
        <f>'POSF Inventory'!EA53*'POSF Emiss by Zone'!$D$5*'POSF Zone Def'!$Y50</f>
        <v>0</v>
      </c>
      <c r="AZ61" s="529">
        <f>'POSF Inventory'!EB53*'POSF Emiss by Zone'!$D$6*'POSF Zone Def'!$Y50</f>
        <v>0</v>
      </c>
      <c r="BA61" s="529">
        <f>'POSF Inventory'!EC53*'POSF Emiss by Zone'!$D$5*'POSF Zone Def'!$Y50</f>
        <v>12.751646599575002</v>
      </c>
      <c r="BB61" s="529">
        <f>'POSF Inventory'!ED53*'POSF Emiss by Zone'!$D$6*'POSF Zone Def'!$Y50</f>
        <v>127.81828011645001</v>
      </c>
      <c r="BC61" s="529">
        <f>'POSF Inventory'!EE53*'POSF Emiss by Zone'!$D$5*'POSF Zone Def'!$Y50</f>
        <v>0</v>
      </c>
      <c r="BD61" s="524">
        <f>'POSF Inventory'!EF53*'POSF Emiss by Zone'!$D$6*'POSF Zone Def'!$Y50</f>
        <v>0</v>
      </c>
      <c r="BE61" s="474">
        <f>'POSF Inventory'!EA53*'POSF Emiss by Zone'!$D$5*'POSF Zone Def'!$Z50</f>
        <v>0</v>
      </c>
      <c r="BF61" s="474">
        <f>'POSF Inventory'!EB53*'POSF Emiss by Zone'!$D$6*'POSF Zone Def'!$Z50</f>
        <v>0</v>
      </c>
      <c r="BG61" s="474">
        <f>'POSF Inventory'!EC53*'POSF Emiss by Zone'!$D$5*'POSF Zone Def'!$Z50</f>
        <v>1.4168496221750004</v>
      </c>
      <c r="BH61" s="474">
        <f>'POSF Inventory'!ED53*'POSF Emiss by Zone'!$D$6*'POSF Zone Def'!$Z50</f>
        <v>14.202031124050002</v>
      </c>
      <c r="BI61" s="474">
        <f>'POSF Inventory'!EE53*'POSF Emiss by Zone'!$D$5*'POSF Zone Def'!$Z50</f>
        <v>0</v>
      </c>
      <c r="BJ61" s="549">
        <f>'POSF Inventory'!EF53*'POSF Emiss by Zone'!$D$6*'POSF Zone Def'!$Z50</f>
        <v>0</v>
      </c>
      <c r="BK61" s="705">
        <f>'POSF Inventory'!$EA53*'POSF Emiss by Zone'!$D$5*'POSF Zone Def'!$AC50</f>
        <v>0</v>
      </c>
      <c r="BL61" s="705">
        <f>'POSF Inventory'!$EB53*'POSF Emiss by Zone'!$D$6*'POSF Zone Def'!$AC50</f>
        <v>0</v>
      </c>
      <c r="BM61" s="705">
        <f>'POSF Inventory'!$EC53*'POSF Emiss by Zone'!$D$5*'POSF Zone Def'!$AC50</f>
        <v>0</v>
      </c>
      <c r="BN61" s="705">
        <f>'POSF Inventory'!$ED53*'POSF Emiss by Zone'!$D$6*'POSF Zone Def'!$AC50</f>
        <v>0</v>
      </c>
      <c r="BO61" s="705">
        <f>'POSF Inventory'!$EE53*'POSF Emiss by Zone'!$D$5*'POSF Zone Def'!$AC50</f>
        <v>0</v>
      </c>
      <c r="BP61" s="708">
        <f>'POSF Inventory'!$EF53*'POSF Emiss by Zone'!$D$6*'POSF Zone Def'!$AC50</f>
        <v>0</v>
      </c>
      <c r="BQ61" s="529">
        <f>'POSF Inventory'!EG53*'POSF Emiss by Zone'!$D$5*'POSF Zone Def'!$BB50</f>
        <v>0</v>
      </c>
      <c r="BR61" s="529">
        <f>'POSF Inventory'!EH53*'POSF Emiss by Zone'!$D$6*'POSF Zone Def'!$BB50</f>
        <v>0</v>
      </c>
      <c r="BS61" s="529">
        <f>'POSF Inventory'!EI53*'POSF Emiss by Zone'!$D$5*'POSF Zone Def'!$BB50</f>
        <v>0</v>
      </c>
      <c r="BT61" s="529">
        <f>'POSF Inventory'!EJ53*'POSF Emiss by Zone'!$D$6*'POSF Zone Def'!$BB50</f>
        <v>0</v>
      </c>
      <c r="BU61" s="529">
        <f>'POSF Inventory'!EK53*'POSF Emiss by Zone'!$D$5*'POSF Zone Def'!$BB50</f>
        <v>0</v>
      </c>
      <c r="BV61" s="524">
        <f>'POSF Inventory'!EL53*'POSF Emiss by Zone'!$D$6*'POSF Zone Def'!$BB50</f>
        <v>0</v>
      </c>
      <c r="BW61" s="474">
        <f>'POSF Inventory'!EG53*'POSF Emiss by Zone'!$D$5*'POSF Zone Def'!$BC50</f>
        <v>0</v>
      </c>
      <c r="BX61" s="474">
        <f>'POSF Inventory'!EH53*'POSF Emiss by Zone'!$D$6*'POSF Zone Def'!$BC50</f>
        <v>0</v>
      </c>
      <c r="BY61" s="474">
        <f>'POSF Inventory'!EI53*'POSF Emiss by Zone'!$D$5*'POSF Zone Def'!$BC50</f>
        <v>0</v>
      </c>
      <c r="BZ61" s="474">
        <f>'POSF Inventory'!EJ53*'POSF Emiss by Zone'!$D$6*'POSF Zone Def'!$BC50</f>
        <v>0</v>
      </c>
      <c r="CA61" s="474">
        <f>'POSF Inventory'!EK53*'POSF Emiss by Zone'!$D$5*'POSF Zone Def'!$BC50</f>
        <v>0</v>
      </c>
      <c r="CB61" s="134">
        <f>'POSF Inventory'!EL53*'POSF Emiss by Zone'!$D$6*'POSF Zone Def'!$BC50</f>
        <v>0</v>
      </c>
      <c r="CC61" s="529">
        <f>'POSF Inventory'!GC53*'POSF Emiss by Zone'!$D$7*'POSF Zone Def'!$M50</f>
        <v>1.4298260000000002E-2</v>
      </c>
      <c r="CD61" s="529">
        <f>'POSF Inventory'!GD53*'POSF Emiss by Zone'!$D$9*'POSF Zone Def'!$M50</f>
        <v>1.7676223925000005E-2</v>
      </c>
      <c r="CE61" s="529">
        <f>'POSF Inventory'!GE53*'POSF Emiss by Zone'!$D$7*'POSF Zone Def'!$M50</f>
        <v>0.42894779999999999</v>
      </c>
      <c r="CF61" s="529">
        <f>'POSF Inventory'!GF53*'POSF Emiss by Zone'!$D$9*'POSF Zone Def'!$M50</f>
        <v>0.53028671775000003</v>
      </c>
      <c r="CG61" s="529">
        <f>'POSF Inventory'!GG53*'POSF Emiss by Zone'!$D$7*'POSF Zone Def'!$M50</f>
        <v>0</v>
      </c>
      <c r="CH61" s="524">
        <f>'POSF Inventory'!GH53*'POSF Emiss by Zone'!$D$9*'POSF Zone Def'!$M50</f>
        <v>0</v>
      </c>
      <c r="CI61" s="474">
        <f>'POSF Inventory'!GC53*'POSF Emiss by Zone'!$D$7*'POSF Zone Def'!$N50</f>
        <v>1.4298260000000002E-2</v>
      </c>
      <c r="CJ61" s="474">
        <f>'POSF Inventory'!GD53*'POSF Emiss by Zone'!$D$9*'POSF Zone Def'!$N50</f>
        <v>1.7676223925000005E-2</v>
      </c>
      <c r="CK61" s="474">
        <f>'POSF Inventory'!GE53*'POSF Emiss by Zone'!$D$7*'POSF Zone Def'!$N50</f>
        <v>0.42894779999999999</v>
      </c>
      <c r="CL61" s="474">
        <f>'POSF Inventory'!GF53*'POSF Emiss by Zone'!$D$9*'POSF Zone Def'!$N50</f>
        <v>0.53028671775000003</v>
      </c>
      <c r="CM61" s="474">
        <f>'POSF Inventory'!GG53*'POSF Emiss by Zone'!$D$7*'POSF Zone Def'!$N50</f>
        <v>0</v>
      </c>
      <c r="CN61" s="485">
        <f>'POSF Inventory'!GH53*'POSF Emiss by Zone'!$D$9*'POSF Zone Def'!$N50</f>
        <v>0</v>
      </c>
      <c r="CO61" s="529">
        <f>'POSF Inventory'!GI53*'POSF Emiss by Zone'!$D$7*'POSF Zone Def'!$AP50</f>
        <v>0</v>
      </c>
      <c r="CP61" s="529">
        <f>'POSF Inventory'!GJ53*'POSF Emiss by Zone'!$D$9*'POSF Zone Def'!$AP50</f>
        <v>0</v>
      </c>
      <c r="CQ61" s="529">
        <f>'POSF Inventory'!GK53*'POSF Emiss by Zone'!$D$7*'POSF Zone Def'!$AP50</f>
        <v>0</v>
      </c>
      <c r="CR61" s="529">
        <f>'POSF Inventory'!GL53*'POSF Emiss by Zone'!$D$9*'POSF Zone Def'!$AP50</f>
        <v>0</v>
      </c>
      <c r="CS61" s="529">
        <f>'POSF Inventory'!GM53*'POSF Emiss by Zone'!$D$7*'POSF Zone Def'!$AP50</f>
        <v>0</v>
      </c>
      <c r="CT61" s="524">
        <f>'POSF Inventory'!GN53*'POSF Emiss by Zone'!$D$9*'POSF Zone Def'!$AP50</f>
        <v>0</v>
      </c>
      <c r="CU61" s="474">
        <f>'POSF Inventory'!GI53*'POSF Emiss by Zone'!$D$7*'POSF Zone Def'!$AQ50</f>
        <v>0</v>
      </c>
      <c r="CV61" s="474">
        <f>'POSF Inventory'!GJ53*'POSF Emiss by Zone'!$D$9*'POSF Zone Def'!$AQ50</f>
        <v>0</v>
      </c>
      <c r="CW61" s="474">
        <f>'POSF Inventory'!GK53*'POSF Emiss by Zone'!$D$7*'POSF Zone Def'!$AQ50</f>
        <v>0</v>
      </c>
      <c r="CX61" s="474">
        <f>'POSF Inventory'!GL53*'POSF Emiss by Zone'!$D$9*'POSF Zone Def'!$AQ50</f>
        <v>0</v>
      </c>
      <c r="CY61" s="474">
        <f>'POSF Inventory'!GM53*'POSF Emiss by Zone'!$D$7*'POSF Zone Def'!$AQ50</f>
        <v>0</v>
      </c>
      <c r="CZ61" s="134">
        <f>'POSF Inventory'!GN53*'POSF Emiss by Zone'!$D$9*'POSF Zone Def'!$AQ50</f>
        <v>0</v>
      </c>
      <c r="DA61" s="529">
        <f>SUM('POSF Inventory'!GQ53,'POSF Inventory'!GS53)*'POSF Emiss by Zone'!$D$7*'POSF Zone Def'!$Y50</f>
        <v>7.7673972704773959</v>
      </c>
      <c r="DB61" s="529">
        <f>SUM('POSF Inventory'!GR53,'POSF Inventory'!GT53)*'POSF Emiss by Zone'!$D$9*'POSF Zone Def'!$Y50</f>
        <v>307.88715909526115</v>
      </c>
      <c r="DC61" s="529"/>
      <c r="DD61" s="529"/>
      <c r="DE61" s="529">
        <f>'POSF Inventory'!GU53*'POSF Emiss by Zone'!$D$7*'POSF Zone Def'!$Y50</f>
        <v>0</v>
      </c>
      <c r="DF61" s="524">
        <f>'POSF Inventory'!GV53*'POSF Emiss by Zone'!$D$9*'POSF Zone Def'!$Y50</f>
        <v>0</v>
      </c>
      <c r="DG61" s="474">
        <f>SUM('POSF Inventory'!GQ53,'POSF Inventory'!GS53)*'POSF Emiss by Zone'!$D$7*'POSF Zone Def'!$Z50</f>
        <v>0.86304414116415507</v>
      </c>
      <c r="DH61" s="474">
        <f>SUM('POSF Inventory'!GR53,'POSF Inventory'!GT53)*'POSF Emiss by Zone'!$D$9*'POSF Zone Def'!$Z50</f>
        <v>34.209684343917907</v>
      </c>
      <c r="DI61" s="474"/>
      <c r="DJ61" s="474"/>
      <c r="DK61" s="474">
        <f>'POSF Inventory'!GU53*'POSF Emiss by Zone'!$D$7*'POSF Zone Def'!$Z50</f>
        <v>0</v>
      </c>
      <c r="DL61" s="485">
        <f>'POSF Inventory'!GV53*'POSF Emiss by Zone'!$D$9*'POSF Zone Def'!$Z50</f>
        <v>0</v>
      </c>
      <c r="DM61" s="705">
        <f>SUM('POSF Inventory'!$GQ53,'POSF Inventory'!$GS53)*'POSF Emiss by Zone'!$D$7*'POSF Zone Def'!$AC50</f>
        <v>0</v>
      </c>
      <c r="DN61" s="705">
        <f>SUM('POSF Inventory'!$GR53,'POSF Inventory'!$GT53)*'POSF Emiss by Zone'!$D$9*'POSF Zone Def'!$AC50</f>
        <v>0</v>
      </c>
      <c r="DO61" s="705"/>
      <c r="DP61" s="705"/>
      <c r="DQ61" s="705">
        <f>'POSF Inventory'!$GU53*'POSF Emiss by Zone'!$D$7*'POSF Zone Def'!$AC50</f>
        <v>0</v>
      </c>
      <c r="DR61" s="708">
        <f>'POSF Inventory'!$GV53*'POSF Emiss by Zone'!$D$9*'POSF Zone Def'!$AC50</f>
        <v>0</v>
      </c>
      <c r="DS61" s="529">
        <f>SUM('POSF Inventory'!GW53,'POSF Inventory'!GY53)*$D$7*'POSF Zone Def'!$BB50</f>
        <v>0</v>
      </c>
      <c r="DT61" s="529">
        <f>SUM('POSF Inventory'!GX53,'POSF Inventory'!GZ53)*$D$9*'POSF Zone Def'!$BB50</f>
        <v>0</v>
      </c>
      <c r="DU61" s="529"/>
      <c r="DV61" s="529"/>
      <c r="DW61" s="529">
        <f>'POSF Inventory'!HA53*'POSF Emiss by Zone'!$D$7*'POSF Zone Def'!$BB50</f>
        <v>0</v>
      </c>
      <c r="DX61" s="524">
        <f>'POSF Inventory'!HB53*'POSF Emiss by Zone'!$D$9*'POSF Zone Def'!$BB50</f>
        <v>0</v>
      </c>
      <c r="DY61" s="474">
        <f>SUM('POSF Inventory'!GW53,'POSF Inventory'!GY53)*$D$7*'POSF Zone Def'!$BC50</f>
        <v>0</v>
      </c>
      <c r="DZ61" s="474">
        <f>SUM('POSF Inventory'!GX53,'POSF Inventory'!GZ53)*$D$9*'POSF Zone Def'!$BC50</f>
        <v>0</v>
      </c>
      <c r="EA61" s="474"/>
      <c r="EB61" s="474"/>
      <c r="EC61" s="474">
        <f>'POSF Inventory'!HA53*'POSF Emiss by Zone'!$D$7*'POSF Zone Def'!$BC50</f>
        <v>0</v>
      </c>
      <c r="ED61" s="134">
        <f>'POSF Inventory'!HB53*'POSF Emiss by Zone'!$D$9*'POSF Zone Def'!$BC50</f>
        <v>0</v>
      </c>
      <c r="EE61" s="235">
        <f>'POSF Inventory'!$CF53*'POSF Emiss by Zone'!$D$7*'POSF Zone Def'!$CE50</f>
        <v>0</v>
      </c>
      <c r="EF61" s="235">
        <f>'POSF Inventory'!$CG53*'POSF Emiss by Zone'!$D$9*'POSF Zone Def'!$CE50</f>
        <v>0</v>
      </c>
      <c r="EG61" s="235">
        <f>'POSF Inventory'!$CH53*'POSF Emiss by Zone'!$D$7*'POSF Zone Def'!$CE50</f>
        <v>0</v>
      </c>
      <c r="EH61" s="235">
        <f>'POSF Inventory'!$CI53*'POSF Emiss by Zone'!$D$9*'POSF Zone Def'!$CE50</f>
        <v>0</v>
      </c>
      <c r="EI61" s="235">
        <f>'POSF Inventory'!$CJ53*'POSF Emiss by Zone'!$D$7*'POSF Zone Def'!$CE50</f>
        <v>0</v>
      </c>
      <c r="EJ61" s="580">
        <f>'POSF Inventory'!$CK53*'POSF Emiss by Zone'!$D$9*'POSF Zone Def'!$CE50</f>
        <v>0</v>
      </c>
      <c r="EK61" s="235">
        <f>'POSF Inventory'!$CF53*'POSF Emiss by Zone'!$D$7*'POSF Zone Def'!$CF50</f>
        <v>0</v>
      </c>
      <c r="EL61" s="235">
        <f>'POSF Inventory'!$CG53*'POSF Emiss by Zone'!$D$9*'POSF Zone Def'!$CF50</f>
        <v>0</v>
      </c>
      <c r="EM61" s="235">
        <f>'POSF Inventory'!$CH53*'POSF Emiss by Zone'!$D$7*'POSF Zone Def'!$CF50</f>
        <v>0</v>
      </c>
      <c r="EN61" s="235">
        <f>'POSF Inventory'!$CI53*'POSF Emiss by Zone'!$D$9*'POSF Zone Def'!$CF50</f>
        <v>0</v>
      </c>
      <c r="EO61" s="235">
        <f>'POSF Inventory'!$CJ53*'POSF Emiss by Zone'!$D$7*'POSF Zone Def'!$CF50</f>
        <v>0</v>
      </c>
      <c r="EP61" s="580">
        <f>'POSF Inventory'!$CK53*'POSF Emiss by Zone'!$D$9*'POSF Zone Def'!$CF50</f>
        <v>0</v>
      </c>
      <c r="EQ61" s="235">
        <f>'POSF Inventory'!$CF53*'POSF Emiss by Zone'!$D$7*'POSF Zone Def'!$CG50</f>
        <v>4.7671006282277634E-5</v>
      </c>
      <c r="ER61" s="235">
        <f>'POSF Inventory'!$CG53*'POSF Emiss by Zone'!$D$9*'POSF Zone Def'!$CG50</f>
        <v>5.8933281516465724E-5</v>
      </c>
      <c r="ES61" s="235">
        <f>'POSF Inventory'!$CH53*'POSF Emiss by Zone'!$D$7*'POSF Zone Def'!$CG50</f>
        <v>0</v>
      </c>
      <c r="ET61" s="235">
        <f>'POSF Inventory'!$CI53*'POSF Emiss by Zone'!$D$9*'POSF Zone Def'!$CG50</f>
        <v>0</v>
      </c>
      <c r="EU61" s="235">
        <f>'POSF Inventory'!$CJ53*'POSF Emiss by Zone'!$D$7*'POSF Zone Def'!$CG50</f>
        <v>4.2903905654049867E-4</v>
      </c>
      <c r="EV61" s="580">
        <f>'POSF Inventory'!$CK53*'POSF Emiss by Zone'!$D$9*'POSF Zone Def'!$CG50</f>
        <v>5.3039953364819147E-4</v>
      </c>
      <c r="EW61" s="235">
        <f>'POSF Inventory'!$CF53*'POSF Emiss by Zone'!$D$7*'POSF Zone Def'!$CH50</f>
        <v>0.6269004956636266</v>
      </c>
      <c r="EX61" s="235">
        <f>'POSF Inventory'!$CG53*'POSF Emiss by Zone'!$D$9*'POSF Zone Def'!$CH50</f>
        <v>0.77500573776415838</v>
      </c>
      <c r="EY61" s="235">
        <f>'POSF Inventory'!$CH53*'POSF Emiss by Zone'!$D$7*'POSF Zone Def'!$CH50</f>
        <v>0</v>
      </c>
      <c r="EZ61" s="235">
        <f>'POSF Inventory'!$CI53*'POSF Emiss by Zone'!$D$9*'POSF Zone Def'!$CH50</f>
        <v>0</v>
      </c>
      <c r="FA61" s="235">
        <f>'POSF Inventory'!$CJ53*'POSF Emiss by Zone'!$D$7*'POSF Zone Def'!$CH50</f>
        <v>5.6421044609726394</v>
      </c>
      <c r="FB61" s="580">
        <f>'POSF Inventory'!$CK53*'POSF Emiss by Zone'!$D$9*'POSF Zone Def'!$CH50</f>
        <v>6.9750516398774254</v>
      </c>
      <c r="FC61" s="235">
        <f>'POSF Inventory'!$CF53*'POSF Emiss by Zone'!$D$7*'POSF Zone Def'!$CI50</f>
        <v>0.57305183333009124</v>
      </c>
      <c r="FD61" s="235">
        <f>'POSF Inventory'!$CG53*'POSF Emiss by Zone'!$D$9*'POSF Zone Def'!$CI50</f>
        <v>0.70843532895432537</v>
      </c>
      <c r="FE61" s="235">
        <f>'POSF Inventory'!$CH53*'POSF Emiss by Zone'!$D$7*'POSF Zone Def'!$CI50</f>
        <v>0</v>
      </c>
      <c r="FF61" s="235">
        <f>'POSF Inventory'!$CI53*'POSF Emiss by Zone'!$D$9*'POSF Zone Def'!$CI50</f>
        <v>0</v>
      </c>
      <c r="FG61" s="235">
        <f>'POSF Inventory'!$CJ53*'POSF Emiss by Zone'!$D$7*'POSF Zone Def'!$CI50</f>
        <v>5.1574664999708206</v>
      </c>
      <c r="FH61" s="577">
        <f>'POSF Inventory'!$CK53*'POSF Emiss by Zone'!$D$9*'POSF Zone Def'!$CI50</f>
        <v>6.3759179605889278</v>
      </c>
      <c r="FI61" s="595"/>
      <c r="FJ61" s="595"/>
      <c r="FM61" s="592">
        <v>44</v>
      </c>
      <c r="FN61" s="592">
        <f t="shared" si="98"/>
        <v>1998</v>
      </c>
      <c r="FO61" s="587">
        <v>41</v>
      </c>
      <c r="FP61" s="551">
        <f t="shared" si="20"/>
        <v>3.0205074249999999</v>
      </c>
      <c r="FQ61" s="529">
        <f t="shared" si="21"/>
        <v>3.0276565550000001</v>
      </c>
      <c r="FR61" s="529">
        <f t="shared" si="22"/>
        <v>0</v>
      </c>
      <c r="FS61" s="529">
        <f t="shared" si="23"/>
        <v>0</v>
      </c>
      <c r="FT61" s="529">
        <f t="shared" si="24"/>
        <v>0</v>
      </c>
      <c r="FU61" s="524">
        <f t="shared" si="25"/>
        <v>0</v>
      </c>
      <c r="FV61" s="474">
        <f t="shared" si="26"/>
        <v>3.0205074249999999</v>
      </c>
      <c r="FW61" s="474">
        <f t="shared" si="27"/>
        <v>3.0276565550000001</v>
      </c>
      <c r="FX61" s="474">
        <f t="shared" si="28"/>
        <v>0</v>
      </c>
      <c r="FY61" s="474">
        <f t="shared" si="29"/>
        <v>0</v>
      </c>
      <c r="FZ61" s="474">
        <f t="shared" si="30"/>
        <v>0</v>
      </c>
      <c r="GA61" s="134">
        <f t="shared" si="31"/>
        <v>0</v>
      </c>
      <c r="GB61" s="529">
        <f t="shared" si="32"/>
        <v>0</v>
      </c>
      <c r="GC61" s="529">
        <f t="shared" si="33"/>
        <v>0</v>
      </c>
      <c r="GD61" s="529">
        <f t="shared" si="34"/>
        <v>16.762282493351599</v>
      </c>
      <c r="GE61" s="529">
        <f t="shared" si="35"/>
        <v>131.38009608137452</v>
      </c>
      <c r="GF61" s="529">
        <f t="shared" si="36"/>
        <v>0</v>
      </c>
      <c r="GG61" s="524">
        <f t="shared" si="37"/>
        <v>0</v>
      </c>
      <c r="GH61" s="474">
        <f t="shared" si="38"/>
        <v>0</v>
      </c>
      <c r="GI61" s="474">
        <f t="shared" si="39"/>
        <v>0</v>
      </c>
      <c r="GJ61" s="474">
        <f t="shared" si="40"/>
        <v>5.4726440696464147</v>
      </c>
      <c r="GK61" s="474">
        <f t="shared" si="41"/>
        <v>18.216501467430284</v>
      </c>
      <c r="GL61" s="474">
        <f t="shared" si="42"/>
        <v>0</v>
      </c>
      <c r="GM61" s="705">
        <f t="shared" si="43"/>
        <v>0</v>
      </c>
      <c r="GN61" s="705">
        <f t="shared" si="44"/>
        <v>0</v>
      </c>
      <c r="GO61" s="705">
        <f t="shared" si="45"/>
        <v>0</v>
      </c>
      <c r="GP61" s="705">
        <f t="shared" si="46"/>
        <v>0</v>
      </c>
      <c r="GQ61" s="705">
        <f t="shared" si="47"/>
        <v>0</v>
      </c>
      <c r="GR61" s="705">
        <f t="shared" si="48"/>
        <v>0</v>
      </c>
      <c r="GS61" s="134">
        <f t="shared" si="49"/>
        <v>0</v>
      </c>
      <c r="GT61" s="529">
        <f t="shared" si="50"/>
        <v>0.16121440939634443</v>
      </c>
      <c r="GU61" s="529">
        <f t="shared" si="51"/>
        <v>6.3789049548197934</v>
      </c>
      <c r="GV61" s="529">
        <f t="shared" si="52"/>
        <v>8.8865679681274894E-3</v>
      </c>
      <c r="GW61" s="529">
        <f t="shared" si="53"/>
        <v>1.098601965059761E-2</v>
      </c>
      <c r="GX61" s="529">
        <f t="shared" si="54"/>
        <v>0</v>
      </c>
      <c r="GY61" s="524">
        <f t="shared" si="55"/>
        <v>0</v>
      </c>
      <c r="GZ61" s="474">
        <f t="shared" si="56"/>
        <v>1.8176017872723532E-2</v>
      </c>
      <c r="HA61" s="474">
        <f t="shared" si="57"/>
        <v>0.7090927288955502</v>
      </c>
      <c r="HB61" s="474">
        <f t="shared" si="58"/>
        <v>8.8865679681274894E-3</v>
      </c>
      <c r="HC61" s="474">
        <f t="shared" si="59"/>
        <v>1.098601965059761E-2</v>
      </c>
      <c r="HD61" s="474">
        <f t="shared" si="60"/>
        <v>0</v>
      </c>
      <c r="HE61" s="549">
        <f t="shared" si="61"/>
        <v>0</v>
      </c>
      <c r="HF61" s="235">
        <f t="shared" si="62"/>
        <v>4.9380325232638182E-5</v>
      </c>
      <c r="HG61" s="235">
        <f t="shared" si="63"/>
        <v>6.1046427068848952E-5</v>
      </c>
      <c r="HH61" s="235">
        <f t="shared" si="64"/>
        <v>0</v>
      </c>
      <c r="HI61" s="235">
        <f t="shared" si="65"/>
        <v>0</v>
      </c>
      <c r="HJ61" s="235">
        <f t="shared" si="66"/>
        <v>4.4442292709374361E-4</v>
      </c>
      <c r="HK61" s="580">
        <f t="shared" si="67"/>
        <v>5.4941784361964058E-4</v>
      </c>
      <c r="HL61" s="235">
        <f t="shared" si="68"/>
        <v>0.64937899949220279</v>
      </c>
      <c r="HM61" s="235">
        <f t="shared" si="69"/>
        <v>0.8027947881222357</v>
      </c>
      <c r="HN61" s="235">
        <f t="shared" si="70"/>
        <v>0</v>
      </c>
      <c r="HO61" s="235">
        <f t="shared" si="71"/>
        <v>0</v>
      </c>
      <c r="HP61" s="235">
        <f t="shared" si="72"/>
        <v>5.8444109954298256</v>
      </c>
      <c r="HQ61" s="580">
        <f t="shared" si="73"/>
        <v>7.225153093100122</v>
      </c>
      <c r="HR61" s="235">
        <f t="shared" si="74"/>
        <v>0.59359950862877975</v>
      </c>
      <c r="HS61" s="235">
        <f t="shared" si="75"/>
        <v>0.73383739254232905</v>
      </c>
      <c r="HT61" s="235">
        <f t="shared" si="76"/>
        <v>0</v>
      </c>
      <c r="HU61" s="235">
        <f t="shared" si="77"/>
        <v>0</v>
      </c>
      <c r="HV61" s="235">
        <f t="shared" si="78"/>
        <v>5.3423955776590173</v>
      </c>
      <c r="HW61" s="577">
        <f t="shared" si="79"/>
        <v>6.6045365328809611</v>
      </c>
      <c r="HX61" s="235">
        <f t="shared" si="80"/>
        <v>8.5679258039949513</v>
      </c>
      <c r="HY61" s="235">
        <f t="shared" si="81"/>
        <v>339.01426409884567</v>
      </c>
      <c r="HZ61" s="235">
        <f t="shared" si="82"/>
        <v>0.47228690839840631</v>
      </c>
      <c r="IA61" s="235">
        <f t="shared" si="83"/>
        <v>0.58386469050752987</v>
      </c>
      <c r="IB61" s="235">
        <f t="shared" si="84"/>
        <v>0</v>
      </c>
      <c r="IC61" s="235">
        <f t="shared" si="85"/>
        <v>0</v>
      </c>
      <c r="ID61" s="235">
        <f t="shared" si="86"/>
        <v>0.96598544217420668</v>
      </c>
      <c r="IE61" s="235">
        <f t="shared" si="87"/>
        <v>37.685551261071971</v>
      </c>
      <c r="IF61" s="235">
        <f t="shared" si="88"/>
        <v>0.47228690839840631</v>
      </c>
      <c r="IG61" s="235">
        <f t="shared" si="89"/>
        <v>0.58386469050752987</v>
      </c>
      <c r="IH61" s="235">
        <f t="shared" si="90"/>
        <v>0</v>
      </c>
      <c r="II61" s="235">
        <f t="shared" si="91"/>
        <v>0</v>
      </c>
      <c r="IJ61" s="235">
        <f t="shared" si="92"/>
        <v>0</v>
      </c>
      <c r="IK61" s="235">
        <f t="shared" si="93"/>
        <v>0</v>
      </c>
      <c r="IL61" s="235">
        <f t="shared" si="94"/>
        <v>0</v>
      </c>
      <c r="IM61" s="235">
        <f t="shared" si="95"/>
        <v>0</v>
      </c>
      <c r="IN61" s="235">
        <f t="shared" si="96"/>
        <v>0</v>
      </c>
      <c r="IO61" s="235">
        <f t="shared" si="97"/>
        <v>0</v>
      </c>
    </row>
    <row r="62" spans="1:249" ht="18" x14ac:dyDescent="0.25">
      <c r="A62" s="18">
        <v>1999</v>
      </c>
      <c r="B62" s="564"/>
      <c r="C62" s="529">
        <f>'POSF Inventory'!AD54*$D$5*'POSF Zone Def'!$M51</f>
        <v>3.0205074249999999</v>
      </c>
      <c r="D62" s="529">
        <f>'POSF Inventory'!AE54*$D$6*'POSF Zone Def'!$M51</f>
        <v>3.0276565550000001</v>
      </c>
      <c r="E62" s="529">
        <f>'POSF Inventory'!AF54*$D$5*'POSF Zone Def'!$M51</f>
        <v>0</v>
      </c>
      <c r="F62" s="529">
        <f>'POSF Inventory'!AG54*$D$6*'POSF Zone Def'!$M51</f>
        <v>0</v>
      </c>
      <c r="G62" s="529">
        <f>'POSF Inventory'!AH54*$D$5*'POSF Zone Def'!$M51</f>
        <v>0</v>
      </c>
      <c r="H62" s="524">
        <f>'POSF Inventory'!AI54*$D$6*'POSF Zone Def'!$M51</f>
        <v>0</v>
      </c>
      <c r="I62" s="474">
        <f>'POSF Inventory'!AD54*$D$5*'POSF Zone Def'!$N51</f>
        <v>3.0205074249999999</v>
      </c>
      <c r="J62" s="474">
        <f>'POSF Inventory'!AE54*$D$6*'POSF Zone Def'!$N51</f>
        <v>3.0276565550000001</v>
      </c>
      <c r="K62" s="474">
        <f>'POSF Inventory'!AF54*$D$5*'POSF Zone Def'!$N51</f>
        <v>0</v>
      </c>
      <c r="L62" s="474">
        <f>'POSF Inventory'!AG54*$D$6*'POSF Zone Def'!$N51</f>
        <v>0</v>
      </c>
      <c r="M62" s="474">
        <f>'POSF Inventory'!AH54*$D$5*'POSF Zone Def'!$N51</f>
        <v>0</v>
      </c>
      <c r="N62" s="485">
        <f>'POSF Inventory'!AI54*$D$6*'POSF Zone Def'!$N51</f>
        <v>0</v>
      </c>
      <c r="O62" s="529">
        <f>'POSF Inventory'!AJ54*$D$5*'POSF Zone Def'!$AP51</f>
        <v>0</v>
      </c>
      <c r="P62" s="529">
        <f>'POSF Inventory'!AK54*$D$6*'POSF Zone Def'!$AP51</f>
        <v>0</v>
      </c>
      <c r="Q62" s="529">
        <f>'POSF Inventory'!AL54*$D$5*'POSF Zone Def'!$AP51</f>
        <v>0</v>
      </c>
      <c r="R62" s="529">
        <f>'POSF Inventory'!AM54*$D$6*'POSF Zone Def'!$AP51</f>
        <v>0</v>
      </c>
      <c r="S62" s="529">
        <f>'POSF Inventory'!AN54*$D$5*'POSF Zone Def'!$AP51</f>
        <v>0</v>
      </c>
      <c r="T62" s="524">
        <f>'POSF Inventory'!AO54*$D$6*'POSF Zone Def'!$AP51</f>
        <v>0</v>
      </c>
      <c r="U62" s="474">
        <f>'POSF Inventory'!AJ54*$D$5*'POSF Zone Def'!$AQ51</f>
        <v>0</v>
      </c>
      <c r="V62" s="474">
        <f>'POSF Inventory'!AK54*$D$6*'POSF Zone Def'!$AQ51</f>
        <v>0</v>
      </c>
      <c r="W62" s="474">
        <f>'POSF Inventory'!AL54*$D$5*'POSF Zone Def'!$AQ51</f>
        <v>0</v>
      </c>
      <c r="X62" s="474">
        <f>'POSF Inventory'!AM54*$D$6*'POSF Zone Def'!$AQ51</f>
        <v>0</v>
      </c>
      <c r="Y62" s="474">
        <f>'POSF Inventory'!AN54*$D$5*'POSF Zone Def'!$AQ51</f>
        <v>0</v>
      </c>
      <c r="Z62" s="134">
        <f>'POSF Inventory'!AO54*$D$6*'POSF Zone Def'!$AQ51</f>
        <v>0</v>
      </c>
      <c r="AA62" s="529">
        <f>'POSF Inventory'!AV54*'POSF Emiss by Zone'!$D$5*'POSF Zone Def'!$M51</f>
        <v>0</v>
      </c>
      <c r="AB62" s="529">
        <f>'POSF Inventory'!AW54*'POSF Emiss by Zone'!$D$6*'POSF Zone Def'!$M51</f>
        <v>0</v>
      </c>
      <c r="AC62" s="529">
        <f>'POSF Inventory'!AX54*'POSF Emiss by Zone'!$D$5*'POSF Zone Def'!$M51</f>
        <v>4.07768502375</v>
      </c>
      <c r="AD62" s="529">
        <f>'POSF Inventory'!AY54*'POSF Emiss by Zone'!$D$6*'POSF Zone Def'!$M51</f>
        <v>4.0873363492500001</v>
      </c>
      <c r="AE62" s="529">
        <f>'POSF Inventory'!AZ54*'POSF Emiss by Zone'!$D$5*'POSF Zone Def'!$M51</f>
        <v>0</v>
      </c>
      <c r="AF62" s="524">
        <f>'POSF Inventory'!BA54*'POSF Emiss by Zone'!$D$6*'POSF Zone Def'!$M51</f>
        <v>0</v>
      </c>
      <c r="AG62" s="474">
        <f>'POSF Inventory'!AV54*'POSF Emiss by Zone'!$D$5*'POSF Zone Def'!$N51</f>
        <v>0</v>
      </c>
      <c r="AH62" s="474">
        <f>'POSF Inventory'!AW54*'POSF Emiss by Zone'!$D$6*'POSF Zone Def'!$N51</f>
        <v>0</v>
      </c>
      <c r="AI62" s="474">
        <f>'POSF Inventory'!AX54*'POSF Emiss by Zone'!$D$5*'POSF Zone Def'!$N51</f>
        <v>4.07768502375</v>
      </c>
      <c r="AJ62" s="474">
        <f>'POSF Inventory'!AY54*'POSF Emiss by Zone'!$D$6*'POSF Zone Def'!$N51</f>
        <v>4.0873363492500001</v>
      </c>
      <c r="AK62" s="474">
        <f>'POSF Inventory'!AZ54*'POSF Emiss by Zone'!$D$5*'POSF Zone Def'!$N51</f>
        <v>0</v>
      </c>
      <c r="AL62" s="549">
        <f>'POSF Inventory'!BA54*'POSF Emiss by Zone'!$D$6*'POSF Zone Def'!$N51</f>
        <v>0</v>
      </c>
      <c r="AM62" s="529">
        <f>'POSF Inventory'!BB54*'POSF Emiss by Zone'!$D$5*'POSF Zone Def'!$AP51</f>
        <v>0</v>
      </c>
      <c r="AN62" s="529">
        <f>'POSF Inventory'!BC54*'POSF Emiss by Zone'!$D$6*'POSF Zone Def'!$AP51</f>
        <v>0</v>
      </c>
      <c r="AO62" s="529">
        <f>'POSF Inventory'!BD54*'POSF Emiss by Zone'!$D$5*'POSF Zone Def'!$AP51</f>
        <v>0</v>
      </c>
      <c r="AP62" s="529">
        <f>'POSF Inventory'!BE54*'POSF Emiss by Zone'!$D$6*'POSF Zone Def'!$AP51</f>
        <v>0</v>
      </c>
      <c r="AQ62" s="529">
        <f>'POSF Inventory'!BF54*'POSF Emiss by Zone'!$D$5*'POSF Zone Def'!$AP51</f>
        <v>0</v>
      </c>
      <c r="AR62" s="524">
        <f>'POSF Inventory'!BG54*'POSF Emiss by Zone'!$D$6*'POSF Zone Def'!$AP51</f>
        <v>0</v>
      </c>
      <c r="AS62" s="474">
        <f>'POSF Inventory'!BB54*'POSF Emiss by Zone'!$D$5*'POSF Zone Def'!$AQ51</f>
        <v>0</v>
      </c>
      <c r="AT62" s="474">
        <f>'POSF Inventory'!BC54*'POSF Emiss by Zone'!$D$6*'POSF Zone Def'!$AQ51</f>
        <v>0</v>
      </c>
      <c r="AU62" s="474">
        <f>'POSF Inventory'!BD54*'POSF Emiss by Zone'!$D$5*'POSF Zone Def'!$AQ51</f>
        <v>0</v>
      </c>
      <c r="AV62" s="474">
        <f>'POSF Inventory'!BE54*'POSF Emiss by Zone'!$D$6*'POSF Zone Def'!$AQ51</f>
        <v>0</v>
      </c>
      <c r="AW62" s="474">
        <f>'POSF Inventory'!BF54*'POSF Emiss by Zone'!$D$5*'POSF Zone Def'!$AQ51</f>
        <v>0</v>
      </c>
      <c r="AX62" s="134">
        <f>'POSF Inventory'!BG54*'POSF Emiss by Zone'!$D$6*'POSF Zone Def'!$AQ51</f>
        <v>0</v>
      </c>
      <c r="AY62" s="529">
        <f>'POSF Inventory'!EA54*'POSF Emiss by Zone'!$D$5*'POSF Zone Def'!$Y51</f>
        <v>0</v>
      </c>
      <c r="AZ62" s="529">
        <f>'POSF Inventory'!EB54*'POSF Emiss by Zone'!$D$6*'POSF Zone Def'!$Y51</f>
        <v>0</v>
      </c>
      <c r="BA62" s="529">
        <f>'POSF Inventory'!EC54*'POSF Emiss by Zone'!$D$5*'POSF Zone Def'!$Y51</f>
        <v>12.810101766637501</v>
      </c>
      <c r="BB62" s="529">
        <f>'POSF Inventory'!ED54*'POSF Emiss by Zone'!$D$6*'POSF Zone Def'!$Y51</f>
        <v>128.40421534132503</v>
      </c>
      <c r="BC62" s="529">
        <f>'POSF Inventory'!EE54*'POSF Emiss by Zone'!$D$5*'POSF Zone Def'!$Y51</f>
        <v>0</v>
      </c>
      <c r="BD62" s="524">
        <f>'POSF Inventory'!EF54*'POSF Emiss by Zone'!$D$6*'POSF Zone Def'!$Y51</f>
        <v>0</v>
      </c>
      <c r="BE62" s="474">
        <f>'POSF Inventory'!EA54*'POSF Emiss by Zone'!$D$5*'POSF Zone Def'!$Z51</f>
        <v>0</v>
      </c>
      <c r="BF62" s="474">
        <f>'POSF Inventory'!EB54*'POSF Emiss by Zone'!$D$6*'POSF Zone Def'!$Z51</f>
        <v>0</v>
      </c>
      <c r="BG62" s="474">
        <f>'POSF Inventory'!EC54*'POSF Emiss by Zone'!$D$5*'POSF Zone Def'!$Z51</f>
        <v>1.4233446407375003</v>
      </c>
      <c r="BH62" s="474">
        <f>'POSF Inventory'!ED54*'POSF Emiss by Zone'!$D$6*'POSF Zone Def'!$Z51</f>
        <v>14.267135037925001</v>
      </c>
      <c r="BI62" s="474">
        <f>'POSF Inventory'!EE54*'POSF Emiss by Zone'!$D$5*'POSF Zone Def'!$Z51</f>
        <v>0</v>
      </c>
      <c r="BJ62" s="549">
        <f>'POSF Inventory'!EF54*'POSF Emiss by Zone'!$D$6*'POSF Zone Def'!$Z51</f>
        <v>0</v>
      </c>
      <c r="BK62" s="705">
        <f>'POSF Inventory'!$EA54*'POSF Emiss by Zone'!$D$5*'POSF Zone Def'!$AC51</f>
        <v>0</v>
      </c>
      <c r="BL62" s="705">
        <f>'POSF Inventory'!$EB54*'POSF Emiss by Zone'!$D$6*'POSF Zone Def'!$AC51</f>
        <v>0</v>
      </c>
      <c r="BM62" s="705">
        <f>'POSF Inventory'!$EC54*'POSF Emiss by Zone'!$D$5*'POSF Zone Def'!$AC51</f>
        <v>0</v>
      </c>
      <c r="BN62" s="705">
        <f>'POSF Inventory'!$ED54*'POSF Emiss by Zone'!$D$6*'POSF Zone Def'!$AC51</f>
        <v>0</v>
      </c>
      <c r="BO62" s="705">
        <f>'POSF Inventory'!$EE54*'POSF Emiss by Zone'!$D$5*'POSF Zone Def'!$AC51</f>
        <v>0</v>
      </c>
      <c r="BP62" s="708">
        <f>'POSF Inventory'!$EF54*'POSF Emiss by Zone'!$D$6*'POSF Zone Def'!$AC51</f>
        <v>0</v>
      </c>
      <c r="BQ62" s="529">
        <f>'POSF Inventory'!EG54*'POSF Emiss by Zone'!$D$5*'POSF Zone Def'!$BB51</f>
        <v>0</v>
      </c>
      <c r="BR62" s="529">
        <f>'POSF Inventory'!EH54*'POSF Emiss by Zone'!$D$6*'POSF Zone Def'!$BB51</f>
        <v>0</v>
      </c>
      <c r="BS62" s="529">
        <f>'POSF Inventory'!EI54*'POSF Emiss by Zone'!$D$5*'POSF Zone Def'!$BB51</f>
        <v>0</v>
      </c>
      <c r="BT62" s="529">
        <f>'POSF Inventory'!EJ54*'POSF Emiss by Zone'!$D$6*'POSF Zone Def'!$BB51</f>
        <v>0</v>
      </c>
      <c r="BU62" s="529">
        <f>'POSF Inventory'!EK54*'POSF Emiss by Zone'!$D$5*'POSF Zone Def'!$BB51</f>
        <v>0</v>
      </c>
      <c r="BV62" s="524">
        <f>'POSF Inventory'!EL54*'POSF Emiss by Zone'!$D$6*'POSF Zone Def'!$BB51</f>
        <v>0</v>
      </c>
      <c r="BW62" s="474">
        <f>'POSF Inventory'!EG54*'POSF Emiss by Zone'!$D$5*'POSF Zone Def'!$BC51</f>
        <v>0</v>
      </c>
      <c r="BX62" s="474">
        <f>'POSF Inventory'!EH54*'POSF Emiss by Zone'!$D$6*'POSF Zone Def'!$BC51</f>
        <v>0</v>
      </c>
      <c r="BY62" s="474">
        <f>'POSF Inventory'!EI54*'POSF Emiss by Zone'!$D$5*'POSF Zone Def'!$BC51</f>
        <v>0</v>
      </c>
      <c r="BZ62" s="474">
        <f>'POSF Inventory'!EJ54*'POSF Emiss by Zone'!$D$6*'POSF Zone Def'!$BC51</f>
        <v>0</v>
      </c>
      <c r="CA62" s="474">
        <f>'POSF Inventory'!EK54*'POSF Emiss by Zone'!$D$5*'POSF Zone Def'!$BC51</f>
        <v>0</v>
      </c>
      <c r="CB62" s="134">
        <f>'POSF Inventory'!EL54*'POSF Emiss by Zone'!$D$6*'POSF Zone Def'!$BC51</f>
        <v>0</v>
      </c>
      <c r="CC62" s="529">
        <f>'POSF Inventory'!GC54*'POSF Emiss by Zone'!$D$7*'POSF Zone Def'!$M51</f>
        <v>1.4298260000000002E-2</v>
      </c>
      <c r="CD62" s="529">
        <f>'POSF Inventory'!GD54*'POSF Emiss by Zone'!$D$9*'POSF Zone Def'!$M51</f>
        <v>1.7676223925000005E-2</v>
      </c>
      <c r="CE62" s="529">
        <f>'POSF Inventory'!GE54*'POSF Emiss by Zone'!$D$7*'POSF Zone Def'!$M51</f>
        <v>0.42894779999999999</v>
      </c>
      <c r="CF62" s="529">
        <f>'POSF Inventory'!GF54*'POSF Emiss by Zone'!$D$9*'POSF Zone Def'!$M51</f>
        <v>0.53028671775000003</v>
      </c>
      <c r="CG62" s="529">
        <f>'POSF Inventory'!GG54*'POSF Emiss by Zone'!$D$7*'POSF Zone Def'!$M51</f>
        <v>0</v>
      </c>
      <c r="CH62" s="524">
        <f>'POSF Inventory'!GH54*'POSF Emiss by Zone'!$D$9*'POSF Zone Def'!$M51</f>
        <v>0</v>
      </c>
      <c r="CI62" s="474">
        <f>'POSF Inventory'!GC54*'POSF Emiss by Zone'!$D$7*'POSF Zone Def'!$N51</f>
        <v>1.4298260000000002E-2</v>
      </c>
      <c r="CJ62" s="474">
        <f>'POSF Inventory'!GD54*'POSF Emiss by Zone'!$D$9*'POSF Zone Def'!$N51</f>
        <v>1.7676223925000005E-2</v>
      </c>
      <c r="CK62" s="474">
        <f>'POSF Inventory'!GE54*'POSF Emiss by Zone'!$D$7*'POSF Zone Def'!$N51</f>
        <v>0.42894779999999999</v>
      </c>
      <c r="CL62" s="474">
        <f>'POSF Inventory'!GF54*'POSF Emiss by Zone'!$D$9*'POSF Zone Def'!$N51</f>
        <v>0.53028671775000003</v>
      </c>
      <c r="CM62" s="474">
        <f>'POSF Inventory'!GG54*'POSF Emiss by Zone'!$D$7*'POSF Zone Def'!$N51</f>
        <v>0</v>
      </c>
      <c r="CN62" s="485">
        <f>'POSF Inventory'!GH54*'POSF Emiss by Zone'!$D$9*'POSF Zone Def'!$N51</f>
        <v>0</v>
      </c>
      <c r="CO62" s="529">
        <f>'POSF Inventory'!GI54*'POSF Emiss by Zone'!$D$7*'POSF Zone Def'!$AP51</f>
        <v>0</v>
      </c>
      <c r="CP62" s="529">
        <f>'POSF Inventory'!GJ54*'POSF Emiss by Zone'!$D$9*'POSF Zone Def'!$AP51</f>
        <v>0</v>
      </c>
      <c r="CQ62" s="529">
        <f>'POSF Inventory'!GK54*'POSF Emiss by Zone'!$D$7*'POSF Zone Def'!$AP51</f>
        <v>0</v>
      </c>
      <c r="CR62" s="529">
        <f>'POSF Inventory'!GL54*'POSF Emiss by Zone'!$D$9*'POSF Zone Def'!$AP51</f>
        <v>0</v>
      </c>
      <c r="CS62" s="529">
        <f>'POSF Inventory'!GM54*'POSF Emiss by Zone'!$D$7*'POSF Zone Def'!$AP51</f>
        <v>0</v>
      </c>
      <c r="CT62" s="524">
        <f>'POSF Inventory'!GN54*'POSF Emiss by Zone'!$D$9*'POSF Zone Def'!$AP51</f>
        <v>0</v>
      </c>
      <c r="CU62" s="474">
        <f>'POSF Inventory'!GI54*'POSF Emiss by Zone'!$D$7*'POSF Zone Def'!$AQ51</f>
        <v>0</v>
      </c>
      <c r="CV62" s="474">
        <f>'POSF Inventory'!GJ54*'POSF Emiss by Zone'!$D$9*'POSF Zone Def'!$AQ51</f>
        <v>0</v>
      </c>
      <c r="CW62" s="474">
        <f>'POSF Inventory'!GK54*'POSF Emiss by Zone'!$D$7*'POSF Zone Def'!$AQ51</f>
        <v>0</v>
      </c>
      <c r="CX62" s="474">
        <f>'POSF Inventory'!GL54*'POSF Emiss by Zone'!$D$9*'POSF Zone Def'!$AQ51</f>
        <v>0</v>
      </c>
      <c r="CY62" s="474">
        <f>'POSF Inventory'!GM54*'POSF Emiss by Zone'!$D$7*'POSF Zone Def'!$AQ51</f>
        <v>0</v>
      </c>
      <c r="CZ62" s="134">
        <f>'POSF Inventory'!GN54*'POSF Emiss by Zone'!$D$9*'POSF Zone Def'!$AQ51</f>
        <v>0</v>
      </c>
      <c r="DA62" s="529">
        <f>SUM('POSF Inventory'!GQ54,'POSF Inventory'!GS54)*'POSF Emiss by Zone'!$D$7*'POSF Zone Def'!$Y51</f>
        <v>7.8069205706955547</v>
      </c>
      <c r="DB62" s="529">
        <f>SUM('POSF Inventory'!GR54,'POSF Inventory'!GT54)*'POSF Emiss by Zone'!$D$9*'POSF Zone Def'!$Y51</f>
        <v>311.71947961552866</v>
      </c>
      <c r="DC62" s="529"/>
      <c r="DD62" s="529"/>
      <c r="DE62" s="529">
        <f>'POSF Inventory'!GU54*'POSF Emiss by Zone'!$D$7*'POSF Zone Def'!$Y51</f>
        <v>0</v>
      </c>
      <c r="DF62" s="524">
        <f>'POSF Inventory'!GV54*'POSF Emiss by Zone'!$D$9*'POSF Zone Def'!$Y51</f>
        <v>0</v>
      </c>
      <c r="DG62" s="474">
        <f>SUM('POSF Inventory'!GQ54,'POSF Inventory'!GS54)*'POSF Emiss by Zone'!$D$7*'POSF Zone Def'!$Z51</f>
        <v>0.86743561896617283</v>
      </c>
      <c r="DH62" s="474">
        <f>SUM('POSF Inventory'!GR54,'POSF Inventory'!GT54)*'POSF Emiss by Zone'!$D$9*'POSF Zone Def'!$Z51</f>
        <v>34.635497735058742</v>
      </c>
      <c r="DI62" s="474"/>
      <c r="DJ62" s="474"/>
      <c r="DK62" s="474">
        <f>'POSF Inventory'!GU54*'POSF Emiss by Zone'!$D$7*'POSF Zone Def'!$Z51</f>
        <v>0</v>
      </c>
      <c r="DL62" s="485">
        <f>'POSF Inventory'!GV54*'POSF Emiss by Zone'!$D$9*'POSF Zone Def'!$Z51</f>
        <v>0</v>
      </c>
      <c r="DM62" s="705">
        <f>SUM('POSF Inventory'!$GQ54,'POSF Inventory'!$GS54)*'POSF Emiss by Zone'!$D$7*'POSF Zone Def'!$AC51</f>
        <v>0</v>
      </c>
      <c r="DN62" s="705">
        <f>SUM('POSF Inventory'!$GR54,'POSF Inventory'!$GT54)*'POSF Emiss by Zone'!$D$9*'POSF Zone Def'!$AC51</f>
        <v>0</v>
      </c>
      <c r="DO62" s="705"/>
      <c r="DP62" s="705"/>
      <c r="DQ62" s="705">
        <f>'POSF Inventory'!$GU54*'POSF Emiss by Zone'!$D$7*'POSF Zone Def'!$AC51</f>
        <v>0</v>
      </c>
      <c r="DR62" s="708">
        <f>'POSF Inventory'!$GV54*'POSF Emiss by Zone'!$D$9*'POSF Zone Def'!$AC51</f>
        <v>0</v>
      </c>
      <c r="DS62" s="529">
        <f>SUM('POSF Inventory'!GW54,'POSF Inventory'!GY54)*$D$7*'POSF Zone Def'!$BB51</f>
        <v>0</v>
      </c>
      <c r="DT62" s="529">
        <f>SUM('POSF Inventory'!GX54,'POSF Inventory'!GZ54)*$D$9*'POSF Zone Def'!$BB51</f>
        <v>0</v>
      </c>
      <c r="DU62" s="529"/>
      <c r="DV62" s="529"/>
      <c r="DW62" s="529">
        <f>'POSF Inventory'!HA54*'POSF Emiss by Zone'!$D$7*'POSF Zone Def'!$BB51</f>
        <v>0</v>
      </c>
      <c r="DX62" s="524">
        <f>'POSF Inventory'!HB54*'POSF Emiss by Zone'!$D$9*'POSF Zone Def'!$BB51</f>
        <v>0</v>
      </c>
      <c r="DY62" s="474">
        <f>SUM('POSF Inventory'!GW54,'POSF Inventory'!GY54)*$D$7*'POSF Zone Def'!$BC51</f>
        <v>0</v>
      </c>
      <c r="DZ62" s="474">
        <f>SUM('POSF Inventory'!GX54,'POSF Inventory'!GZ54)*$D$9*'POSF Zone Def'!$BC51</f>
        <v>0</v>
      </c>
      <c r="EA62" s="474"/>
      <c r="EB62" s="474"/>
      <c r="EC62" s="474">
        <f>'POSF Inventory'!HA54*'POSF Emiss by Zone'!$D$7*'POSF Zone Def'!$BC51</f>
        <v>0</v>
      </c>
      <c r="ED62" s="134">
        <f>'POSF Inventory'!HB54*'POSF Emiss by Zone'!$D$9*'POSF Zone Def'!$BC51</f>
        <v>0</v>
      </c>
      <c r="EE62" s="235">
        <f>'POSF Inventory'!$CF54*'POSF Emiss by Zone'!$D$7*'POSF Zone Def'!$CE51</f>
        <v>0</v>
      </c>
      <c r="EF62" s="235">
        <f>'POSF Inventory'!$CG54*'POSF Emiss by Zone'!$D$9*'POSF Zone Def'!$CE51</f>
        <v>0</v>
      </c>
      <c r="EG62" s="235">
        <f>'POSF Inventory'!$CH54*'POSF Emiss by Zone'!$D$7*'POSF Zone Def'!$CE51</f>
        <v>0</v>
      </c>
      <c r="EH62" s="235">
        <f>'POSF Inventory'!$CI54*'POSF Emiss by Zone'!$D$9*'POSF Zone Def'!$CE51</f>
        <v>0</v>
      </c>
      <c r="EI62" s="235">
        <f>'POSF Inventory'!$CJ54*'POSF Emiss by Zone'!$D$7*'POSF Zone Def'!$CE51</f>
        <v>0</v>
      </c>
      <c r="EJ62" s="580">
        <f>'POSF Inventory'!$CK54*'POSF Emiss by Zone'!$D$9*'POSF Zone Def'!$CE51</f>
        <v>0</v>
      </c>
      <c r="EK62" s="235">
        <f>'POSF Inventory'!$CF54*'POSF Emiss by Zone'!$D$7*'POSF Zone Def'!$CF51</f>
        <v>0</v>
      </c>
      <c r="EL62" s="235">
        <f>'POSF Inventory'!$CG54*'POSF Emiss by Zone'!$D$9*'POSF Zone Def'!$CF51</f>
        <v>0</v>
      </c>
      <c r="EM62" s="235">
        <f>'POSF Inventory'!$CH54*'POSF Emiss by Zone'!$D$7*'POSF Zone Def'!$CF51</f>
        <v>0</v>
      </c>
      <c r="EN62" s="235">
        <f>'POSF Inventory'!$CI54*'POSF Emiss by Zone'!$D$9*'POSF Zone Def'!$CF51</f>
        <v>0</v>
      </c>
      <c r="EO62" s="235">
        <f>'POSF Inventory'!$CJ54*'POSF Emiss by Zone'!$D$7*'POSF Zone Def'!$CF51</f>
        <v>0</v>
      </c>
      <c r="EP62" s="580">
        <f>'POSF Inventory'!$CK54*'POSF Emiss by Zone'!$D$9*'POSF Zone Def'!$CF51</f>
        <v>0</v>
      </c>
      <c r="EQ62" s="235">
        <f>'POSF Inventory'!$CF54*'POSF Emiss by Zone'!$D$7*'POSF Zone Def'!$CG51</f>
        <v>5.5616173995990566E-5</v>
      </c>
      <c r="ER62" s="235">
        <f>'POSF Inventory'!$CG54*'POSF Emiss by Zone'!$D$9*'POSF Zone Def'!$CG51</f>
        <v>6.8755495102543342E-5</v>
      </c>
      <c r="ES62" s="235">
        <f>'POSF Inventory'!$CH54*'POSF Emiss by Zone'!$D$7*'POSF Zone Def'!$CG51</f>
        <v>0</v>
      </c>
      <c r="ET62" s="235">
        <f>'POSF Inventory'!$CI54*'POSF Emiss by Zone'!$D$9*'POSF Zone Def'!$CG51</f>
        <v>0</v>
      </c>
      <c r="EU62" s="235">
        <f>'POSF Inventory'!$CJ54*'POSF Emiss by Zone'!$D$7*'POSF Zone Def'!$CG51</f>
        <v>5.0054556596391508E-4</v>
      </c>
      <c r="EV62" s="580">
        <f>'POSF Inventory'!$CK54*'POSF Emiss by Zone'!$D$9*'POSF Zone Def'!$CG51</f>
        <v>6.1879945592289011E-4</v>
      </c>
      <c r="EW62" s="235">
        <f>'POSF Inventory'!$CF54*'POSF Emiss by Zone'!$D$7*'POSF Zone Def'!$CH51</f>
        <v>0.73138391160756433</v>
      </c>
      <c r="EX62" s="235">
        <f>'POSF Inventory'!$CG54*'POSF Emiss by Zone'!$D$9*'POSF Zone Def'!$CH51</f>
        <v>0.90417336072485144</v>
      </c>
      <c r="EY62" s="235">
        <f>'POSF Inventory'!$CH54*'POSF Emiss by Zone'!$D$7*'POSF Zone Def'!$CH51</f>
        <v>0</v>
      </c>
      <c r="EZ62" s="235">
        <f>'POSF Inventory'!$CI54*'POSF Emiss by Zone'!$D$9*'POSF Zone Def'!$CH51</f>
        <v>0</v>
      </c>
      <c r="FA62" s="235">
        <f>'POSF Inventory'!$CJ54*'POSF Emiss by Zone'!$D$7*'POSF Zone Def'!$CH51</f>
        <v>6.5824552044680793</v>
      </c>
      <c r="FB62" s="580">
        <f>'POSF Inventory'!$CK54*'POSF Emiss by Zone'!$D$9*'POSF Zone Def'!$CH51</f>
        <v>8.1375602465236625</v>
      </c>
      <c r="FC62" s="235">
        <f>'POSF Inventory'!$CF54*'POSF Emiss by Zone'!$D$7*'POSF Zone Def'!$CI51</f>
        <v>0.66856047221843973</v>
      </c>
      <c r="FD62" s="235">
        <f>'POSF Inventory'!$CG54*'POSF Emiss by Zone'!$D$9*'POSF Zone Def'!$CI51</f>
        <v>0.82650788378004625</v>
      </c>
      <c r="FE62" s="235">
        <f>'POSF Inventory'!$CH54*'POSF Emiss by Zone'!$D$7*'POSF Zone Def'!$CI51</f>
        <v>0</v>
      </c>
      <c r="FF62" s="235">
        <f>'POSF Inventory'!$CI54*'POSF Emiss by Zone'!$D$9*'POSF Zone Def'!$CI51</f>
        <v>0</v>
      </c>
      <c r="FG62" s="235">
        <f>'POSF Inventory'!$CJ54*'POSF Emiss by Zone'!$D$7*'POSF Zone Def'!$CI51</f>
        <v>6.0170442499659584</v>
      </c>
      <c r="FH62" s="577">
        <f>'POSF Inventory'!$CK54*'POSF Emiss by Zone'!$D$9*'POSF Zone Def'!$CI51</f>
        <v>7.4385709540204159</v>
      </c>
      <c r="FI62" s="595"/>
      <c r="FJ62" s="595"/>
      <c r="FM62" s="592">
        <v>45</v>
      </c>
      <c r="FN62" s="592">
        <f t="shared" si="98"/>
        <v>1999</v>
      </c>
      <c r="FO62" s="587">
        <v>42</v>
      </c>
      <c r="FP62" s="551">
        <f t="shared" si="20"/>
        <v>3.0205074249999999</v>
      </c>
      <c r="FQ62" s="529">
        <f t="shared" si="21"/>
        <v>3.0276565550000001</v>
      </c>
      <c r="FR62" s="529">
        <f t="shared" si="22"/>
        <v>0</v>
      </c>
      <c r="FS62" s="529">
        <f t="shared" si="23"/>
        <v>0</v>
      </c>
      <c r="FT62" s="529">
        <f t="shared" si="24"/>
        <v>0</v>
      </c>
      <c r="FU62" s="524">
        <f t="shared" si="25"/>
        <v>0</v>
      </c>
      <c r="FV62" s="474">
        <f t="shared" si="26"/>
        <v>3.0205074249999999</v>
      </c>
      <c r="FW62" s="474">
        <f t="shared" si="27"/>
        <v>3.0276565550000001</v>
      </c>
      <c r="FX62" s="474">
        <f t="shared" si="28"/>
        <v>0</v>
      </c>
      <c r="FY62" s="474">
        <f t="shared" si="29"/>
        <v>0</v>
      </c>
      <c r="FZ62" s="474">
        <f t="shared" si="30"/>
        <v>0</v>
      </c>
      <c r="GA62" s="134">
        <f t="shared" si="31"/>
        <v>0</v>
      </c>
      <c r="GB62" s="529">
        <f t="shared" si="32"/>
        <v>0</v>
      </c>
      <c r="GC62" s="529">
        <f t="shared" si="33"/>
        <v>0</v>
      </c>
      <c r="GD62" s="529">
        <f t="shared" si="34"/>
        <v>16.820504771302293</v>
      </c>
      <c r="GE62" s="529">
        <f t="shared" si="35"/>
        <v>131.96369690296316</v>
      </c>
      <c r="GF62" s="529">
        <f t="shared" si="36"/>
        <v>0</v>
      </c>
      <c r="GG62" s="524">
        <f t="shared" si="37"/>
        <v>0</v>
      </c>
      <c r="GH62" s="474">
        <f t="shared" si="38"/>
        <v>0</v>
      </c>
      <c r="GI62" s="474">
        <f t="shared" si="39"/>
        <v>0</v>
      </c>
      <c r="GJ62" s="474">
        <f t="shared" si="40"/>
        <v>5.4791132116409367</v>
      </c>
      <c r="GK62" s="474">
        <f t="shared" si="41"/>
        <v>18.281346003162355</v>
      </c>
      <c r="GL62" s="474">
        <f t="shared" si="42"/>
        <v>0</v>
      </c>
      <c r="GM62" s="705">
        <f t="shared" si="43"/>
        <v>0</v>
      </c>
      <c r="GN62" s="705">
        <f t="shared" si="44"/>
        <v>0</v>
      </c>
      <c r="GO62" s="705">
        <f t="shared" si="45"/>
        <v>0</v>
      </c>
      <c r="GP62" s="705">
        <f t="shared" si="46"/>
        <v>0</v>
      </c>
      <c r="GQ62" s="705">
        <f t="shared" si="47"/>
        <v>0</v>
      </c>
      <c r="GR62" s="705">
        <f t="shared" si="48"/>
        <v>0</v>
      </c>
      <c r="GS62" s="134">
        <f t="shared" si="49"/>
        <v>0</v>
      </c>
      <c r="GT62" s="529">
        <f t="shared" si="50"/>
        <v>0.16203321880325453</v>
      </c>
      <c r="GU62" s="529">
        <f t="shared" si="51"/>
        <v>6.45829964288908</v>
      </c>
      <c r="GV62" s="529">
        <f t="shared" si="52"/>
        <v>8.8865679681274894E-3</v>
      </c>
      <c r="GW62" s="529">
        <f t="shared" si="53"/>
        <v>1.098601965059761E-2</v>
      </c>
      <c r="GX62" s="529">
        <f t="shared" si="54"/>
        <v>0</v>
      </c>
      <c r="GY62" s="524">
        <f t="shared" si="55"/>
        <v>0</v>
      </c>
      <c r="GZ62" s="474">
        <f t="shared" si="56"/>
        <v>1.8266996695713539E-2</v>
      </c>
      <c r="HA62" s="474">
        <f t="shared" si="57"/>
        <v>0.71791436090324878</v>
      </c>
      <c r="HB62" s="474">
        <f t="shared" si="58"/>
        <v>8.8865679681274894E-3</v>
      </c>
      <c r="HC62" s="474">
        <f t="shared" si="59"/>
        <v>1.098601965059761E-2</v>
      </c>
      <c r="HD62" s="474">
        <f t="shared" si="60"/>
        <v>0</v>
      </c>
      <c r="HE62" s="549">
        <f t="shared" si="61"/>
        <v>0</v>
      </c>
      <c r="HF62" s="235">
        <f t="shared" si="62"/>
        <v>5.7610379438077874E-5</v>
      </c>
      <c r="HG62" s="235">
        <f t="shared" si="63"/>
        <v>7.1220831580323779E-5</v>
      </c>
      <c r="HH62" s="235">
        <f t="shared" si="64"/>
        <v>0</v>
      </c>
      <c r="HI62" s="235">
        <f t="shared" si="65"/>
        <v>0</v>
      </c>
      <c r="HJ62" s="235">
        <f t="shared" si="66"/>
        <v>5.1849341494270083E-4</v>
      </c>
      <c r="HK62" s="580">
        <f t="shared" si="67"/>
        <v>6.4098748422291402E-4</v>
      </c>
      <c r="HL62" s="235">
        <f t="shared" si="68"/>
        <v>0.75760883274090329</v>
      </c>
      <c r="HM62" s="235">
        <f t="shared" si="69"/>
        <v>0.93659391947594173</v>
      </c>
      <c r="HN62" s="235">
        <f t="shared" si="70"/>
        <v>0</v>
      </c>
      <c r="HO62" s="235">
        <f t="shared" si="71"/>
        <v>0</v>
      </c>
      <c r="HP62" s="235">
        <f t="shared" si="72"/>
        <v>6.8184794946681295</v>
      </c>
      <c r="HQ62" s="580">
        <f t="shared" si="73"/>
        <v>8.4293452752834757</v>
      </c>
      <c r="HR62" s="235">
        <f t="shared" si="74"/>
        <v>0.69253276006690967</v>
      </c>
      <c r="HS62" s="235">
        <f t="shared" si="75"/>
        <v>0.8561436246327172</v>
      </c>
      <c r="HT62" s="235">
        <f t="shared" si="76"/>
        <v>0</v>
      </c>
      <c r="HU62" s="235">
        <f t="shared" si="77"/>
        <v>0</v>
      </c>
      <c r="HV62" s="235">
        <f t="shared" si="78"/>
        <v>6.232794840602188</v>
      </c>
      <c r="HW62" s="577">
        <f t="shared" si="79"/>
        <v>7.7052926216944542</v>
      </c>
      <c r="HX62" s="235">
        <f t="shared" si="80"/>
        <v>8.6114423747052715</v>
      </c>
      <c r="HY62" s="235">
        <f t="shared" si="81"/>
        <v>343.23378640554336</v>
      </c>
      <c r="HZ62" s="235">
        <f t="shared" si="82"/>
        <v>0.47228690839840631</v>
      </c>
      <c r="IA62" s="235">
        <f t="shared" si="83"/>
        <v>0.58386469050752987</v>
      </c>
      <c r="IB62" s="235">
        <f t="shared" si="84"/>
        <v>0</v>
      </c>
      <c r="IC62" s="235">
        <f t="shared" si="85"/>
        <v>0</v>
      </c>
      <c r="ID62" s="235">
        <f t="shared" si="86"/>
        <v>0.97082061669757569</v>
      </c>
      <c r="IE62" s="235">
        <f t="shared" si="87"/>
        <v>38.154387072927278</v>
      </c>
      <c r="IF62" s="235">
        <f t="shared" si="88"/>
        <v>0.47228690839840631</v>
      </c>
      <c r="IG62" s="235">
        <f t="shared" si="89"/>
        <v>0.58386469050752987</v>
      </c>
      <c r="IH62" s="235">
        <f t="shared" si="90"/>
        <v>0</v>
      </c>
      <c r="II62" s="235">
        <f t="shared" si="91"/>
        <v>0</v>
      </c>
      <c r="IJ62" s="235">
        <f t="shared" si="92"/>
        <v>0</v>
      </c>
      <c r="IK62" s="235">
        <f t="shared" si="93"/>
        <v>0</v>
      </c>
      <c r="IL62" s="235">
        <f t="shared" si="94"/>
        <v>0</v>
      </c>
      <c r="IM62" s="235">
        <f t="shared" si="95"/>
        <v>0</v>
      </c>
      <c r="IN62" s="235">
        <f t="shared" si="96"/>
        <v>0</v>
      </c>
      <c r="IO62" s="235">
        <f t="shared" si="97"/>
        <v>0</v>
      </c>
    </row>
    <row r="63" spans="1:249" ht="18" x14ac:dyDescent="0.25">
      <c r="A63" s="18">
        <v>2000</v>
      </c>
      <c r="B63" s="564"/>
      <c r="C63" s="529">
        <f>'POSF Inventory'!AD55*$D$5*'POSF Zone Def'!$M52</f>
        <v>3.6355955999999998</v>
      </c>
      <c r="D63" s="529">
        <f>'POSF Inventory'!AE55*$D$6*'POSF Zone Def'!$M52</f>
        <v>3.6442005599999998</v>
      </c>
      <c r="E63" s="529">
        <f>'POSF Inventory'!AF55*$D$5*'POSF Zone Def'!$M52</f>
        <v>0</v>
      </c>
      <c r="F63" s="529">
        <f>'POSF Inventory'!AG55*$D$6*'POSF Zone Def'!$M52</f>
        <v>0</v>
      </c>
      <c r="G63" s="529">
        <f>'POSF Inventory'!AH55*$D$5*'POSF Zone Def'!$M52</f>
        <v>0</v>
      </c>
      <c r="H63" s="524">
        <f>'POSF Inventory'!AI55*$D$6*'POSF Zone Def'!$M52</f>
        <v>0</v>
      </c>
      <c r="I63" s="474">
        <f>'POSF Inventory'!AD55*$D$5*'POSF Zone Def'!$N52</f>
        <v>3.6355955999999998</v>
      </c>
      <c r="J63" s="474">
        <f>'POSF Inventory'!AE55*$D$6*'POSF Zone Def'!$N52</f>
        <v>3.6442005599999998</v>
      </c>
      <c r="K63" s="474">
        <f>'POSF Inventory'!AF55*$D$5*'POSF Zone Def'!$N52</f>
        <v>0</v>
      </c>
      <c r="L63" s="474">
        <f>'POSF Inventory'!AG55*$D$6*'POSF Zone Def'!$N52</f>
        <v>0</v>
      </c>
      <c r="M63" s="474">
        <f>'POSF Inventory'!AH55*$D$5*'POSF Zone Def'!$N52</f>
        <v>0</v>
      </c>
      <c r="N63" s="485">
        <f>'POSF Inventory'!AI55*$D$6*'POSF Zone Def'!$N52</f>
        <v>0</v>
      </c>
      <c r="O63" s="529">
        <f>'POSF Inventory'!AJ55*$D$5*'POSF Zone Def'!$AP52</f>
        <v>0</v>
      </c>
      <c r="P63" s="529">
        <f>'POSF Inventory'!AK55*$D$6*'POSF Zone Def'!$AP52</f>
        <v>0</v>
      </c>
      <c r="Q63" s="529">
        <f>'POSF Inventory'!AL55*$D$5*'POSF Zone Def'!$AP52</f>
        <v>0</v>
      </c>
      <c r="R63" s="529">
        <f>'POSF Inventory'!AM55*$D$6*'POSF Zone Def'!$AP52</f>
        <v>0</v>
      </c>
      <c r="S63" s="529">
        <f>'POSF Inventory'!AN55*$D$5*'POSF Zone Def'!$AP52</f>
        <v>0</v>
      </c>
      <c r="T63" s="524">
        <f>'POSF Inventory'!AO55*$D$6*'POSF Zone Def'!$AP52</f>
        <v>0</v>
      </c>
      <c r="U63" s="474">
        <f>'POSF Inventory'!AJ55*$D$5*'POSF Zone Def'!$AQ52</f>
        <v>0</v>
      </c>
      <c r="V63" s="474">
        <f>'POSF Inventory'!AK55*$D$6*'POSF Zone Def'!$AQ52</f>
        <v>0</v>
      </c>
      <c r="W63" s="474">
        <f>'POSF Inventory'!AL55*$D$5*'POSF Zone Def'!$AQ52</f>
        <v>0</v>
      </c>
      <c r="X63" s="474">
        <f>'POSF Inventory'!AM55*$D$6*'POSF Zone Def'!$AQ52</f>
        <v>0</v>
      </c>
      <c r="Y63" s="474">
        <f>'POSF Inventory'!AN55*$D$5*'POSF Zone Def'!$AQ52</f>
        <v>0</v>
      </c>
      <c r="Z63" s="134">
        <f>'POSF Inventory'!AO55*$D$6*'POSF Zone Def'!$AQ52</f>
        <v>0</v>
      </c>
      <c r="AA63" s="529">
        <f>'POSF Inventory'!AV55*'POSF Emiss by Zone'!$D$5*'POSF Zone Def'!$M52</f>
        <v>0</v>
      </c>
      <c r="AB63" s="529">
        <f>'POSF Inventory'!AW55*'POSF Emiss by Zone'!$D$6*'POSF Zone Def'!$M52</f>
        <v>0</v>
      </c>
      <c r="AC63" s="529">
        <f>'POSF Inventory'!AX55*'POSF Emiss by Zone'!$D$5*'POSF Zone Def'!$M52</f>
        <v>4.9080540599999996</v>
      </c>
      <c r="AD63" s="529">
        <f>'POSF Inventory'!AY55*'POSF Emiss by Zone'!$D$6*'POSF Zone Def'!$M52</f>
        <v>4.9196707559999995</v>
      </c>
      <c r="AE63" s="529">
        <f>'POSF Inventory'!AZ55*'POSF Emiss by Zone'!$D$5*'POSF Zone Def'!$M52</f>
        <v>0</v>
      </c>
      <c r="AF63" s="524">
        <f>'POSF Inventory'!BA55*'POSF Emiss by Zone'!$D$6*'POSF Zone Def'!$M52</f>
        <v>0</v>
      </c>
      <c r="AG63" s="474">
        <f>'POSF Inventory'!AV55*'POSF Emiss by Zone'!$D$5*'POSF Zone Def'!$N52</f>
        <v>0</v>
      </c>
      <c r="AH63" s="474">
        <f>'POSF Inventory'!AW55*'POSF Emiss by Zone'!$D$6*'POSF Zone Def'!$N52</f>
        <v>0</v>
      </c>
      <c r="AI63" s="474">
        <f>'POSF Inventory'!AX55*'POSF Emiss by Zone'!$D$5*'POSF Zone Def'!$N52</f>
        <v>4.9080540599999996</v>
      </c>
      <c r="AJ63" s="474">
        <f>'POSF Inventory'!AY55*'POSF Emiss by Zone'!$D$6*'POSF Zone Def'!$N52</f>
        <v>4.9196707559999995</v>
      </c>
      <c r="AK63" s="474">
        <f>'POSF Inventory'!AZ55*'POSF Emiss by Zone'!$D$5*'POSF Zone Def'!$N52</f>
        <v>0</v>
      </c>
      <c r="AL63" s="549">
        <f>'POSF Inventory'!BA55*'POSF Emiss by Zone'!$D$6*'POSF Zone Def'!$N52</f>
        <v>0</v>
      </c>
      <c r="AM63" s="529">
        <f>'POSF Inventory'!BB55*'POSF Emiss by Zone'!$D$5*'POSF Zone Def'!$AP52</f>
        <v>0</v>
      </c>
      <c r="AN63" s="529">
        <f>'POSF Inventory'!BC55*'POSF Emiss by Zone'!$D$6*'POSF Zone Def'!$AP52</f>
        <v>0</v>
      </c>
      <c r="AO63" s="529">
        <f>'POSF Inventory'!BD55*'POSF Emiss by Zone'!$D$5*'POSF Zone Def'!$AP52</f>
        <v>0</v>
      </c>
      <c r="AP63" s="529">
        <f>'POSF Inventory'!BE55*'POSF Emiss by Zone'!$D$6*'POSF Zone Def'!$AP52</f>
        <v>0</v>
      </c>
      <c r="AQ63" s="529">
        <f>'POSF Inventory'!BF55*'POSF Emiss by Zone'!$D$5*'POSF Zone Def'!$AP52</f>
        <v>0</v>
      </c>
      <c r="AR63" s="524">
        <f>'POSF Inventory'!BG55*'POSF Emiss by Zone'!$D$6*'POSF Zone Def'!$AP52</f>
        <v>0</v>
      </c>
      <c r="AS63" s="474">
        <f>'POSF Inventory'!BB55*'POSF Emiss by Zone'!$D$5*'POSF Zone Def'!$AQ52</f>
        <v>0</v>
      </c>
      <c r="AT63" s="474">
        <f>'POSF Inventory'!BC55*'POSF Emiss by Zone'!$D$6*'POSF Zone Def'!$AQ52</f>
        <v>0</v>
      </c>
      <c r="AU63" s="474">
        <f>'POSF Inventory'!BD55*'POSF Emiss by Zone'!$D$5*'POSF Zone Def'!$AQ52</f>
        <v>0</v>
      </c>
      <c r="AV63" s="474">
        <f>'POSF Inventory'!BE55*'POSF Emiss by Zone'!$D$6*'POSF Zone Def'!$AQ52</f>
        <v>0</v>
      </c>
      <c r="AW63" s="474">
        <f>'POSF Inventory'!BF55*'POSF Emiss by Zone'!$D$5*'POSF Zone Def'!$AQ52</f>
        <v>0</v>
      </c>
      <c r="AX63" s="134">
        <f>'POSF Inventory'!BG55*'POSF Emiss by Zone'!$D$6*'POSF Zone Def'!$AQ52</f>
        <v>0</v>
      </c>
      <c r="AY63" s="529">
        <f>'POSF Inventory'!EA55*'POSF Emiss by Zone'!$D$5*'POSF Zone Def'!$Y52</f>
        <v>0</v>
      </c>
      <c r="AZ63" s="529">
        <f>'POSF Inventory'!EB55*'POSF Emiss by Zone'!$D$6*'POSF Zone Def'!$Y52</f>
        <v>0</v>
      </c>
      <c r="BA63" s="529">
        <f>'POSF Inventory'!EC55*'POSF Emiss by Zone'!$D$5*'POSF Zone Def'!$Y52</f>
        <v>14.111194645518752</v>
      </c>
      <c r="BB63" s="529">
        <f>'POSF Inventory'!ED55*'POSF Emiss by Zone'!$D$6*'POSF Zone Def'!$Y52</f>
        <v>141.44593922786251</v>
      </c>
      <c r="BC63" s="529">
        <f>'POSF Inventory'!EE55*'POSF Emiss by Zone'!$D$5*'POSF Zone Def'!$Y52</f>
        <v>0</v>
      </c>
      <c r="BD63" s="524">
        <f>'POSF Inventory'!EF55*'POSF Emiss by Zone'!$D$6*'POSF Zone Def'!$Y52</f>
        <v>0</v>
      </c>
      <c r="BE63" s="474">
        <f>'POSF Inventory'!EA55*'POSF Emiss by Zone'!$D$5*'POSF Zone Def'!$Z52</f>
        <v>0</v>
      </c>
      <c r="BF63" s="474">
        <f>'POSF Inventory'!EB55*'POSF Emiss by Zone'!$D$6*'POSF Zone Def'!$Z52</f>
        <v>0</v>
      </c>
      <c r="BG63" s="474">
        <f>'POSF Inventory'!EC55*'POSF Emiss by Zone'!$D$5*'POSF Zone Def'!$Z52</f>
        <v>1.5679105161687503</v>
      </c>
      <c r="BH63" s="474">
        <f>'POSF Inventory'!ED55*'POSF Emiss by Zone'!$D$6*'POSF Zone Def'!$Z52</f>
        <v>15.716215469762501</v>
      </c>
      <c r="BI63" s="474">
        <f>'POSF Inventory'!EE55*'POSF Emiss by Zone'!$D$5*'POSF Zone Def'!$Z52</f>
        <v>0</v>
      </c>
      <c r="BJ63" s="549">
        <f>'POSF Inventory'!EF55*'POSF Emiss by Zone'!$D$6*'POSF Zone Def'!$Z52</f>
        <v>0</v>
      </c>
      <c r="BK63" s="705">
        <f>'POSF Inventory'!$EA55*'POSF Emiss by Zone'!$D$5*'POSF Zone Def'!$AC52</f>
        <v>0</v>
      </c>
      <c r="BL63" s="705">
        <f>'POSF Inventory'!$EB55*'POSF Emiss by Zone'!$D$6*'POSF Zone Def'!$AC52</f>
        <v>0</v>
      </c>
      <c r="BM63" s="705">
        <f>'POSF Inventory'!$EC55*'POSF Emiss by Zone'!$D$5*'POSF Zone Def'!$AC52</f>
        <v>0</v>
      </c>
      <c r="BN63" s="705">
        <f>'POSF Inventory'!$ED55*'POSF Emiss by Zone'!$D$6*'POSF Zone Def'!$AC52</f>
        <v>0</v>
      </c>
      <c r="BO63" s="705">
        <f>'POSF Inventory'!$EE55*'POSF Emiss by Zone'!$D$5*'POSF Zone Def'!$AC52</f>
        <v>0</v>
      </c>
      <c r="BP63" s="708">
        <f>'POSF Inventory'!$EF55*'POSF Emiss by Zone'!$D$6*'POSF Zone Def'!$AC52</f>
        <v>0</v>
      </c>
      <c r="BQ63" s="529">
        <f>'POSF Inventory'!EG55*'POSF Emiss by Zone'!$D$5*'POSF Zone Def'!$BB52</f>
        <v>0</v>
      </c>
      <c r="BR63" s="529">
        <f>'POSF Inventory'!EH55*'POSF Emiss by Zone'!$D$6*'POSF Zone Def'!$BB52</f>
        <v>0</v>
      </c>
      <c r="BS63" s="529">
        <f>'POSF Inventory'!EI55*'POSF Emiss by Zone'!$D$5*'POSF Zone Def'!$BB52</f>
        <v>0</v>
      </c>
      <c r="BT63" s="529">
        <f>'POSF Inventory'!EJ55*'POSF Emiss by Zone'!$D$6*'POSF Zone Def'!$BB52</f>
        <v>0</v>
      </c>
      <c r="BU63" s="529">
        <f>'POSF Inventory'!EK55*'POSF Emiss by Zone'!$D$5*'POSF Zone Def'!$BB52</f>
        <v>0</v>
      </c>
      <c r="BV63" s="524">
        <f>'POSF Inventory'!EL55*'POSF Emiss by Zone'!$D$6*'POSF Zone Def'!$BB52</f>
        <v>0</v>
      </c>
      <c r="BW63" s="474">
        <f>'POSF Inventory'!EG55*'POSF Emiss by Zone'!$D$5*'POSF Zone Def'!$BC52</f>
        <v>0</v>
      </c>
      <c r="BX63" s="474">
        <f>'POSF Inventory'!EH55*'POSF Emiss by Zone'!$D$6*'POSF Zone Def'!$BC52</f>
        <v>0</v>
      </c>
      <c r="BY63" s="474">
        <f>'POSF Inventory'!EI55*'POSF Emiss by Zone'!$D$5*'POSF Zone Def'!$BC52</f>
        <v>0</v>
      </c>
      <c r="BZ63" s="474">
        <f>'POSF Inventory'!EJ55*'POSF Emiss by Zone'!$D$6*'POSF Zone Def'!$BC52</f>
        <v>0</v>
      </c>
      <c r="CA63" s="474">
        <f>'POSF Inventory'!EK55*'POSF Emiss by Zone'!$D$5*'POSF Zone Def'!$BC52</f>
        <v>0</v>
      </c>
      <c r="CB63" s="134">
        <f>'POSF Inventory'!EL55*'POSF Emiss by Zone'!$D$6*'POSF Zone Def'!$BC52</f>
        <v>0</v>
      </c>
      <c r="CC63" s="529">
        <f>'POSF Inventory'!GC55*'POSF Emiss by Zone'!$D$7*'POSF Zone Def'!$M52</f>
        <v>1.720992E-2</v>
      </c>
      <c r="CD63" s="529">
        <f>'POSF Inventory'!GD55*'POSF Emiss by Zone'!$D$9*'POSF Zone Def'!$M52</f>
        <v>2.1275763600000004E-2</v>
      </c>
      <c r="CE63" s="529">
        <f>'POSF Inventory'!GE55*'POSF Emiss by Zone'!$D$7*'POSF Zone Def'!$M52</f>
        <v>0.51629759999999991</v>
      </c>
      <c r="CF63" s="529">
        <f>'POSF Inventory'!GF55*'POSF Emiss by Zone'!$D$9*'POSF Zone Def'!$M52</f>
        <v>0.63827290799999992</v>
      </c>
      <c r="CG63" s="529">
        <f>'POSF Inventory'!GG55*'POSF Emiss by Zone'!$D$7*'POSF Zone Def'!$M52</f>
        <v>0</v>
      </c>
      <c r="CH63" s="524">
        <f>'POSF Inventory'!GH55*'POSF Emiss by Zone'!$D$9*'POSF Zone Def'!$M52</f>
        <v>0</v>
      </c>
      <c r="CI63" s="474">
        <f>'POSF Inventory'!GC55*'POSF Emiss by Zone'!$D$7*'POSF Zone Def'!$N52</f>
        <v>1.720992E-2</v>
      </c>
      <c r="CJ63" s="474">
        <f>'POSF Inventory'!GD55*'POSF Emiss by Zone'!$D$9*'POSF Zone Def'!$N52</f>
        <v>2.1275763600000004E-2</v>
      </c>
      <c r="CK63" s="474">
        <f>'POSF Inventory'!GE55*'POSF Emiss by Zone'!$D$7*'POSF Zone Def'!$N52</f>
        <v>0.51629759999999991</v>
      </c>
      <c r="CL63" s="474">
        <f>'POSF Inventory'!GF55*'POSF Emiss by Zone'!$D$9*'POSF Zone Def'!$N52</f>
        <v>0.63827290799999992</v>
      </c>
      <c r="CM63" s="474">
        <f>'POSF Inventory'!GG55*'POSF Emiss by Zone'!$D$7*'POSF Zone Def'!$N52</f>
        <v>0</v>
      </c>
      <c r="CN63" s="485">
        <f>'POSF Inventory'!GH55*'POSF Emiss by Zone'!$D$9*'POSF Zone Def'!$N52</f>
        <v>0</v>
      </c>
      <c r="CO63" s="529">
        <f>'POSF Inventory'!GI55*'POSF Emiss by Zone'!$D$7*'POSF Zone Def'!$AP52</f>
        <v>0</v>
      </c>
      <c r="CP63" s="529">
        <f>'POSF Inventory'!GJ55*'POSF Emiss by Zone'!$D$9*'POSF Zone Def'!$AP52</f>
        <v>0</v>
      </c>
      <c r="CQ63" s="529">
        <f>'POSF Inventory'!GK55*'POSF Emiss by Zone'!$D$7*'POSF Zone Def'!$AP52</f>
        <v>0</v>
      </c>
      <c r="CR63" s="529">
        <f>'POSF Inventory'!GL55*'POSF Emiss by Zone'!$D$9*'POSF Zone Def'!$AP52</f>
        <v>0</v>
      </c>
      <c r="CS63" s="529">
        <f>'POSF Inventory'!GM55*'POSF Emiss by Zone'!$D$7*'POSF Zone Def'!$AP52</f>
        <v>0</v>
      </c>
      <c r="CT63" s="524">
        <f>'POSF Inventory'!GN55*'POSF Emiss by Zone'!$D$9*'POSF Zone Def'!$AP52</f>
        <v>0</v>
      </c>
      <c r="CU63" s="474">
        <f>'POSF Inventory'!GI55*'POSF Emiss by Zone'!$D$7*'POSF Zone Def'!$AQ52</f>
        <v>0</v>
      </c>
      <c r="CV63" s="474">
        <f>'POSF Inventory'!GJ55*'POSF Emiss by Zone'!$D$9*'POSF Zone Def'!$AQ52</f>
        <v>0</v>
      </c>
      <c r="CW63" s="474">
        <f>'POSF Inventory'!GK55*'POSF Emiss by Zone'!$D$7*'POSF Zone Def'!$AQ52</f>
        <v>0</v>
      </c>
      <c r="CX63" s="474">
        <f>'POSF Inventory'!GL55*'POSF Emiss by Zone'!$D$9*'POSF Zone Def'!$AQ52</f>
        <v>0</v>
      </c>
      <c r="CY63" s="474">
        <f>'POSF Inventory'!GM55*'POSF Emiss by Zone'!$D$7*'POSF Zone Def'!$AQ52</f>
        <v>0</v>
      </c>
      <c r="CZ63" s="134">
        <f>'POSF Inventory'!GN55*'POSF Emiss by Zone'!$D$9*'POSF Zone Def'!$AQ52</f>
        <v>0</v>
      </c>
      <c r="DA63" s="529">
        <f>SUM('POSF Inventory'!GQ55,'POSF Inventory'!GS55)*'POSF Emiss by Zone'!$D$7*'POSF Zone Def'!$Y52</f>
        <v>8.5944543140095337</v>
      </c>
      <c r="DB63" s="529">
        <f>SUM('POSF Inventory'!GR55,'POSF Inventory'!GT55)*'POSF Emiss by Zone'!$D$9*'POSF Zone Def'!$Y52</f>
        <v>340.04384394277577</v>
      </c>
      <c r="DC63" s="529"/>
      <c r="DD63" s="529"/>
      <c r="DE63" s="529">
        <f>'POSF Inventory'!GU55*'POSF Emiss by Zone'!$D$7*'POSF Zone Def'!$Y52</f>
        <v>0</v>
      </c>
      <c r="DF63" s="524">
        <f>'POSF Inventory'!GV55*'POSF Emiss by Zone'!$D$9*'POSF Zone Def'!$Y52</f>
        <v>0</v>
      </c>
      <c r="DG63" s="474">
        <f>SUM('POSF Inventory'!GQ55,'POSF Inventory'!GS55)*'POSF Emiss by Zone'!$D$7*'POSF Zone Def'!$Z52</f>
        <v>0.95493936822328152</v>
      </c>
      <c r="DH63" s="474">
        <f>SUM('POSF Inventory'!GR55,'POSF Inventory'!GT55)*'POSF Emiss by Zone'!$D$9*'POSF Zone Def'!$Z52</f>
        <v>37.782649326975083</v>
      </c>
      <c r="DI63" s="474"/>
      <c r="DJ63" s="474"/>
      <c r="DK63" s="474">
        <f>'POSF Inventory'!GU55*'POSF Emiss by Zone'!$D$7*'POSF Zone Def'!$Z52</f>
        <v>0</v>
      </c>
      <c r="DL63" s="485">
        <f>'POSF Inventory'!GV55*'POSF Emiss by Zone'!$D$9*'POSF Zone Def'!$Z52</f>
        <v>0</v>
      </c>
      <c r="DM63" s="705">
        <f>SUM('POSF Inventory'!$GQ55,'POSF Inventory'!$GS55)*'POSF Emiss by Zone'!$D$7*'POSF Zone Def'!$AC52</f>
        <v>0</v>
      </c>
      <c r="DN63" s="705">
        <f>SUM('POSF Inventory'!$GR55,'POSF Inventory'!$GT55)*'POSF Emiss by Zone'!$D$9*'POSF Zone Def'!$AC52</f>
        <v>0</v>
      </c>
      <c r="DO63" s="705"/>
      <c r="DP63" s="705"/>
      <c r="DQ63" s="705">
        <f>'POSF Inventory'!$GU55*'POSF Emiss by Zone'!$D$7*'POSF Zone Def'!$AC52</f>
        <v>0</v>
      </c>
      <c r="DR63" s="708">
        <f>'POSF Inventory'!$GV55*'POSF Emiss by Zone'!$D$9*'POSF Zone Def'!$AC52</f>
        <v>0</v>
      </c>
      <c r="DS63" s="529">
        <f>SUM('POSF Inventory'!GW55,'POSF Inventory'!GY55)*$D$7*'POSF Zone Def'!$BB52</f>
        <v>0</v>
      </c>
      <c r="DT63" s="529">
        <f>SUM('POSF Inventory'!GX55,'POSF Inventory'!GZ55)*$D$9*'POSF Zone Def'!$BB52</f>
        <v>0</v>
      </c>
      <c r="DU63" s="529"/>
      <c r="DV63" s="529"/>
      <c r="DW63" s="529">
        <f>'POSF Inventory'!HA55*'POSF Emiss by Zone'!$D$7*'POSF Zone Def'!$BB52</f>
        <v>0</v>
      </c>
      <c r="DX63" s="524">
        <f>'POSF Inventory'!HB55*'POSF Emiss by Zone'!$D$9*'POSF Zone Def'!$BB52</f>
        <v>0</v>
      </c>
      <c r="DY63" s="474">
        <f>SUM('POSF Inventory'!GW55,'POSF Inventory'!GY55)*$D$7*'POSF Zone Def'!$BC52</f>
        <v>0</v>
      </c>
      <c r="DZ63" s="474">
        <f>SUM('POSF Inventory'!GX55,'POSF Inventory'!GZ55)*$D$9*'POSF Zone Def'!$BC52</f>
        <v>0</v>
      </c>
      <c r="EA63" s="474"/>
      <c r="EB63" s="474"/>
      <c r="EC63" s="474">
        <f>'POSF Inventory'!HA55*'POSF Emiss by Zone'!$D$7*'POSF Zone Def'!$BC52</f>
        <v>0</v>
      </c>
      <c r="ED63" s="134">
        <f>'POSF Inventory'!HB55*'POSF Emiss by Zone'!$D$9*'POSF Zone Def'!$BC52</f>
        <v>0</v>
      </c>
      <c r="EE63" s="235">
        <f>'POSF Inventory'!$CF55*'POSF Emiss by Zone'!$D$7*'POSF Zone Def'!$CE52</f>
        <v>0</v>
      </c>
      <c r="EF63" s="235">
        <f>'POSF Inventory'!$CG55*'POSF Emiss by Zone'!$D$9*'POSF Zone Def'!$CE52</f>
        <v>0</v>
      </c>
      <c r="EG63" s="235">
        <f>'POSF Inventory'!$CH55*'POSF Emiss by Zone'!$D$7*'POSF Zone Def'!$CE52</f>
        <v>0</v>
      </c>
      <c r="EH63" s="235">
        <f>'POSF Inventory'!$CI55*'POSF Emiss by Zone'!$D$9*'POSF Zone Def'!$CE52</f>
        <v>0</v>
      </c>
      <c r="EI63" s="235">
        <f>'POSF Inventory'!$CJ55*'POSF Emiss by Zone'!$D$7*'POSF Zone Def'!$CE52</f>
        <v>0</v>
      </c>
      <c r="EJ63" s="580">
        <f>'POSF Inventory'!$CK55*'POSF Emiss by Zone'!$D$9*'POSF Zone Def'!$CE52</f>
        <v>0</v>
      </c>
      <c r="EK63" s="235">
        <f>'POSF Inventory'!$CF55*'POSF Emiss by Zone'!$D$7*'POSF Zone Def'!$CF52</f>
        <v>0</v>
      </c>
      <c r="EL63" s="235">
        <f>'POSF Inventory'!$CG55*'POSF Emiss by Zone'!$D$9*'POSF Zone Def'!$CF52</f>
        <v>0</v>
      </c>
      <c r="EM63" s="235">
        <f>'POSF Inventory'!$CH55*'POSF Emiss by Zone'!$D$7*'POSF Zone Def'!$CF52</f>
        <v>0</v>
      </c>
      <c r="EN63" s="235">
        <f>'POSF Inventory'!$CI55*'POSF Emiss by Zone'!$D$9*'POSF Zone Def'!$CF52</f>
        <v>0</v>
      </c>
      <c r="EO63" s="235">
        <f>'POSF Inventory'!$CJ55*'POSF Emiss by Zone'!$D$7*'POSF Zone Def'!$CF52</f>
        <v>0</v>
      </c>
      <c r="EP63" s="580">
        <f>'POSF Inventory'!$CK55*'POSF Emiss by Zone'!$D$9*'POSF Zone Def'!$CF52</f>
        <v>0</v>
      </c>
      <c r="EQ63" s="235">
        <f>'POSF Inventory'!$CF55*'POSF Emiss by Zone'!$D$7*'POSF Zone Def'!$CG52</f>
        <v>6.3561341709703498E-5</v>
      </c>
      <c r="ER63" s="235">
        <f>'POSF Inventory'!$CG55*'POSF Emiss by Zone'!$D$9*'POSF Zone Def'!$CG52</f>
        <v>7.8577708688620961E-5</v>
      </c>
      <c r="ES63" s="235">
        <f>'POSF Inventory'!$CH55*'POSF Emiss by Zone'!$D$7*'POSF Zone Def'!$CG52</f>
        <v>0</v>
      </c>
      <c r="ET63" s="235">
        <f>'POSF Inventory'!$CI55*'POSF Emiss by Zone'!$D$9*'POSF Zone Def'!$CG52</f>
        <v>0</v>
      </c>
      <c r="EU63" s="235">
        <f>'POSF Inventory'!$CJ55*'POSF Emiss by Zone'!$D$7*'POSF Zone Def'!$CG52</f>
        <v>5.7205207538733155E-4</v>
      </c>
      <c r="EV63" s="580">
        <f>'POSF Inventory'!$CK55*'POSF Emiss by Zone'!$D$9*'POSF Zone Def'!$CG52</f>
        <v>7.0719937819758874E-4</v>
      </c>
      <c r="EW63" s="235">
        <f>'POSF Inventory'!$CF55*'POSF Emiss by Zone'!$D$7*'POSF Zone Def'!$CH52</f>
        <v>0.83586732755150206</v>
      </c>
      <c r="EX63" s="235">
        <f>'POSF Inventory'!$CG55*'POSF Emiss by Zone'!$D$9*'POSF Zone Def'!$CH52</f>
        <v>1.0333409836855445</v>
      </c>
      <c r="EY63" s="235">
        <f>'POSF Inventory'!$CH55*'POSF Emiss by Zone'!$D$7*'POSF Zone Def'!$CH52</f>
        <v>0</v>
      </c>
      <c r="EZ63" s="235">
        <f>'POSF Inventory'!$CI55*'POSF Emiss by Zone'!$D$9*'POSF Zone Def'!$CH52</f>
        <v>0</v>
      </c>
      <c r="FA63" s="235">
        <f>'POSF Inventory'!$CJ55*'POSF Emiss by Zone'!$D$7*'POSF Zone Def'!$CH52</f>
        <v>7.5228059479635183</v>
      </c>
      <c r="FB63" s="580">
        <f>'POSF Inventory'!$CK55*'POSF Emiss by Zone'!$D$9*'POSF Zone Def'!$CH52</f>
        <v>9.3000688531699005</v>
      </c>
      <c r="FC63" s="235">
        <f>'POSF Inventory'!$CF55*'POSF Emiss by Zone'!$D$7*'POSF Zone Def'!$CI52</f>
        <v>0.76406911110678832</v>
      </c>
      <c r="FD63" s="235">
        <f>'POSF Inventory'!$CG55*'POSF Emiss by Zone'!$D$9*'POSF Zone Def'!$CI52</f>
        <v>0.94458043860576701</v>
      </c>
      <c r="FE63" s="235">
        <f>'POSF Inventory'!$CH55*'POSF Emiss by Zone'!$D$7*'POSF Zone Def'!$CI52</f>
        <v>0</v>
      </c>
      <c r="FF63" s="235">
        <f>'POSF Inventory'!$CI55*'POSF Emiss by Zone'!$D$9*'POSF Zone Def'!$CI52</f>
        <v>0</v>
      </c>
      <c r="FG63" s="235">
        <f>'POSF Inventory'!$CJ55*'POSF Emiss by Zone'!$D$7*'POSF Zone Def'!$CI52</f>
        <v>6.8766219999610945</v>
      </c>
      <c r="FH63" s="577">
        <f>'POSF Inventory'!$CK55*'POSF Emiss by Zone'!$D$9*'POSF Zone Def'!$CI52</f>
        <v>8.5012239474519049</v>
      </c>
      <c r="FI63" s="595"/>
      <c r="FJ63" s="595"/>
      <c r="FM63" s="592">
        <v>46</v>
      </c>
      <c r="FN63" s="592">
        <f t="shared" si="98"/>
        <v>2000</v>
      </c>
      <c r="FO63" s="587">
        <v>43</v>
      </c>
      <c r="FP63" s="551">
        <f t="shared" si="20"/>
        <v>3.6355955999999998</v>
      </c>
      <c r="FQ63" s="529">
        <f t="shared" si="21"/>
        <v>3.6442005599999998</v>
      </c>
      <c r="FR63" s="529">
        <f t="shared" si="22"/>
        <v>0</v>
      </c>
      <c r="FS63" s="529">
        <f t="shared" si="23"/>
        <v>0</v>
      </c>
      <c r="FT63" s="529">
        <f t="shared" si="24"/>
        <v>0</v>
      </c>
      <c r="FU63" s="524">
        <f t="shared" si="25"/>
        <v>0</v>
      </c>
      <c r="FV63" s="474">
        <f t="shared" si="26"/>
        <v>3.6355955999999998</v>
      </c>
      <c r="FW63" s="474">
        <f t="shared" si="27"/>
        <v>3.6442005599999998</v>
      </c>
      <c r="FX63" s="474">
        <f t="shared" si="28"/>
        <v>0</v>
      </c>
      <c r="FY63" s="474">
        <f t="shared" si="29"/>
        <v>0</v>
      </c>
      <c r="FZ63" s="474">
        <f t="shared" si="30"/>
        <v>0</v>
      </c>
      <c r="GA63" s="134">
        <f t="shared" si="31"/>
        <v>0</v>
      </c>
      <c r="GB63" s="529">
        <f t="shared" si="32"/>
        <v>0</v>
      </c>
      <c r="GC63" s="529">
        <f t="shared" si="33"/>
        <v>0</v>
      </c>
      <c r="GD63" s="529">
        <f t="shared" si="34"/>
        <v>18.943474806293576</v>
      </c>
      <c r="GE63" s="529">
        <f t="shared" si="35"/>
        <v>145.78248006360806</v>
      </c>
      <c r="GF63" s="529">
        <f t="shared" si="36"/>
        <v>0</v>
      </c>
      <c r="GG63" s="524">
        <f t="shared" si="37"/>
        <v>0</v>
      </c>
      <c r="GH63" s="474">
        <f t="shared" si="38"/>
        <v>0</v>
      </c>
      <c r="GI63" s="474">
        <f t="shared" si="39"/>
        <v>0</v>
      </c>
      <c r="GJ63" s="474">
        <f t="shared" si="40"/>
        <v>6.4501639204868022</v>
      </c>
      <c r="GK63" s="474">
        <f t="shared" si="41"/>
        <v>20.553671539604085</v>
      </c>
      <c r="GL63" s="474">
        <f t="shared" si="42"/>
        <v>0</v>
      </c>
      <c r="GM63" s="705">
        <f t="shared" si="43"/>
        <v>0</v>
      </c>
      <c r="GN63" s="705">
        <f t="shared" si="44"/>
        <v>0</v>
      </c>
      <c r="GO63" s="705">
        <f t="shared" si="45"/>
        <v>0</v>
      </c>
      <c r="GP63" s="705">
        <f t="shared" si="46"/>
        <v>0</v>
      </c>
      <c r="GQ63" s="705">
        <f t="shared" si="47"/>
        <v>0</v>
      </c>
      <c r="GR63" s="705">
        <f t="shared" si="48"/>
        <v>0</v>
      </c>
      <c r="GS63" s="134">
        <f t="shared" si="49"/>
        <v>0</v>
      </c>
      <c r="GT63" s="529">
        <f t="shared" si="50"/>
        <v>0.17840898014681106</v>
      </c>
      <c r="GU63" s="529">
        <f t="shared" si="51"/>
        <v>7.0451737947137607</v>
      </c>
      <c r="GV63" s="529">
        <f t="shared" si="52"/>
        <v>1.069620525896414E-2</v>
      </c>
      <c r="GW63" s="529">
        <f t="shared" si="53"/>
        <v>1.322318375139442E-2</v>
      </c>
      <c r="GX63" s="529">
        <f t="shared" si="54"/>
        <v>0</v>
      </c>
      <c r="GY63" s="524">
        <f t="shared" si="55"/>
        <v>0</v>
      </c>
      <c r="GZ63" s="474">
        <f t="shared" si="56"/>
        <v>2.014014461657794E-2</v>
      </c>
      <c r="HA63" s="474">
        <f t="shared" si="57"/>
        <v>0.78318888633860717</v>
      </c>
      <c r="HB63" s="474">
        <f t="shared" si="58"/>
        <v>1.069620525896414E-2</v>
      </c>
      <c r="HC63" s="474">
        <f t="shared" si="59"/>
        <v>1.322318375139442E-2</v>
      </c>
      <c r="HD63" s="474">
        <f t="shared" si="60"/>
        <v>0</v>
      </c>
      <c r="HE63" s="549">
        <f t="shared" si="61"/>
        <v>0</v>
      </c>
      <c r="HF63" s="235">
        <f t="shared" si="62"/>
        <v>6.5840433643517572E-5</v>
      </c>
      <c r="HG63" s="235">
        <f t="shared" si="63"/>
        <v>8.1395236091798607E-5</v>
      </c>
      <c r="HH63" s="235">
        <f t="shared" si="64"/>
        <v>0</v>
      </c>
      <c r="HI63" s="235">
        <f t="shared" si="65"/>
        <v>0</v>
      </c>
      <c r="HJ63" s="235">
        <f t="shared" si="66"/>
        <v>5.9256390279165821E-4</v>
      </c>
      <c r="HK63" s="580">
        <f t="shared" si="67"/>
        <v>7.3255712482618747E-4</v>
      </c>
      <c r="HL63" s="235">
        <f t="shared" si="68"/>
        <v>0.86583866598960368</v>
      </c>
      <c r="HM63" s="235">
        <f t="shared" si="69"/>
        <v>1.0703930508296478</v>
      </c>
      <c r="HN63" s="235">
        <f t="shared" si="70"/>
        <v>0</v>
      </c>
      <c r="HO63" s="235">
        <f t="shared" si="71"/>
        <v>0</v>
      </c>
      <c r="HP63" s="235">
        <f t="shared" si="72"/>
        <v>7.7925479939064335</v>
      </c>
      <c r="HQ63" s="580">
        <f t="shared" si="73"/>
        <v>9.6335374574668293</v>
      </c>
      <c r="HR63" s="235">
        <f t="shared" si="74"/>
        <v>0.7914660115050397</v>
      </c>
      <c r="HS63" s="235">
        <f t="shared" si="75"/>
        <v>0.97844985672310525</v>
      </c>
      <c r="HT63" s="235">
        <f t="shared" si="76"/>
        <v>0</v>
      </c>
      <c r="HU63" s="235">
        <f t="shared" si="77"/>
        <v>0</v>
      </c>
      <c r="HV63" s="235">
        <f t="shared" si="78"/>
        <v>7.123194103545357</v>
      </c>
      <c r="HW63" s="577">
        <f t="shared" si="79"/>
        <v>8.8060487105079499</v>
      </c>
      <c r="HX63" s="235">
        <f t="shared" si="80"/>
        <v>9.4817511064178284</v>
      </c>
      <c r="HY63" s="235">
        <f t="shared" si="81"/>
        <v>374.42389036674894</v>
      </c>
      <c r="HZ63" s="235">
        <f t="shared" si="82"/>
        <v>0.5684621702629481</v>
      </c>
      <c r="IA63" s="235">
        <f t="shared" si="83"/>
        <v>0.70276135798756956</v>
      </c>
      <c r="IB63" s="235">
        <f t="shared" si="84"/>
        <v>0</v>
      </c>
      <c r="IC63" s="235">
        <f t="shared" si="85"/>
        <v>0</v>
      </c>
      <c r="ID63" s="235">
        <f t="shared" si="86"/>
        <v>1.0703712242764385</v>
      </c>
      <c r="IE63" s="235">
        <f t="shared" si="87"/>
        <v>41.623477043949521</v>
      </c>
      <c r="IF63" s="235">
        <f t="shared" si="88"/>
        <v>0.5684621702629481</v>
      </c>
      <c r="IG63" s="235">
        <f t="shared" si="89"/>
        <v>0.70276135798756956</v>
      </c>
      <c r="IH63" s="235">
        <f t="shared" si="90"/>
        <v>0</v>
      </c>
      <c r="II63" s="235">
        <f t="shared" si="91"/>
        <v>0</v>
      </c>
      <c r="IJ63" s="235">
        <f t="shared" si="92"/>
        <v>0</v>
      </c>
      <c r="IK63" s="235">
        <f t="shared" si="93"/>
        <v>0</v>
      </c>
      <c r="IL63" s="235">
        <f t="shared" si="94"/>
        <v>0</v>
      </c>
      <c r="IM63" s="235">
        <f t="shared" si="95"/>
        <v>0</v>
      </c>
      <c r="IN63" s="235">
        <f t="shared" si="96"/>
        <v>0</v>
      </c>
      <c r="IO63" s="235">
        <f t="shared" si="97"/>
        <v>0</v>
      </c>
    </row>
    <row r="64" spans="1:249" ht="18" x14ac:dyDescent="0.25">
      <c r="A64" s="18">
        <v>2001</v>
      </c>
      <c r="B64" s="564"/>
      <c r="C64" s="529">
        <f>'POSF Inventory'!AD56*$D$5*'POSF Zone Def'!$M53</f>
        <v>0.18144684999999999</v>
      </c>
      <c r="D64" s="529">
        <f>'POSF Inventory'!AE56*$D$6*'POSF Zone Def'!$M53</f>
        <v>0.18187630999999999</v>
      </c>
      <c r="E64" s="529">
        <f>'POSF Inventory'!AF56*$D$5*'POSF Zone Def'!$M53</f>
        <v>0</v>
      </c>
      <c r="F64" s="529">
        <f>'POSF Inventory'!AG56*$D$6*'POSF Zone Def'!$M53</f>
        <v>0</v>
      </c>
      <c r="G64" s="529">
        <f>'POSF Inventory'!AH56*$D$5*'POSF Zone Def'!$M53</f>
        <v>0</v>
      </c>
      <c r="H64" s="524">
        <f>'POSF Inventory'!AI56*$D$6*'POSF Zone Def'!$M53</f>
        <v>0</v>
      </c>
      <c r="I64" s="474">
        <f>'POSF Inventory'!AD56*$D$5*'POSF Zone Def'!$N53</f>
        <v>0.18144684999999999</v>
      </c>
      <c r="J64" s="474">
        <f>'POSF Inventory'!AE56*$D$6*'POSF Zone Def'!$N53</f>
        <v>0.18187630999999999</v>
      </c>
      <c r="K64" s="474">
        <f>'POSF Inventory'!AF56*$D$5*'POSF Zone Def'!$N53</f>
        <v>0</v>
      </c>
      <c r="L64" s="474">
        <f>'POSF Inventory'!AG56*$D$6*'POSF Zone Def'!$N53</f>
        <v>0</v>
      </c>
      <c r="M64" s="474">
        <f>'POSF Inventory'!AH56*$D$5*'POSF Zone Def'!$N53</f>
        <v>0</v>
      </c>
      <c r="N64" s="485">
        <f>'POSF Inventory'!AI56*$D$6*'POSF Zone Def'!$N53</f>
        <v>0</v>
      </c>
      <c r="O64" s="529">
        <f>'POSF Inventory'!AJ56*$D$5*'POSF Zone Def'!$AP53</f>
        <v>0</v>
      </c>
      <c r="P64" s="529">
        <f>'POSF Inventory'!AK56*$D$6*'POSF Zone Def'!$AP53</f>
        <v>0</v>
      </c>
      <c r="Q64" s="529">
        <f>'POSF Inventory'!AL56*$D$5*'POSF Zone Def'!$AP53</f>
        <v>0</v>
      </c>
      <c r="R64" s="529">
        <f>'POSF Inventory'!AM56*$D$6*'POSF Zone Def'!$AP53</f>
        <v>0</v>
      </c>
      <c r="S64" s="529">
        <f>'POSF Inventory'!AN56*$D$5*'POSF Zone Def'!$AP53</f>
        <v>0</v>
      </c>
      <c r="T64" s="524">
        <f>'POSF Inventory'!AO56*$D$6*'POSF Zone Def'!$AP53</f>
        <v>0</v>
      </c>
      <c r="U64" s="474">
        <f>'POSF Inventory'!AJ56*$D$5*'POSF Zone Def'!$AQ53</f>
        <v>0</v>
      </c>
      <c r="V64" s="474">
        <f>'POSF Inventory'!AK56*$D$6*'POSF Zone Def'!$AQ53</f>
        <v>0</v>
      </c>
      <c r="W64" s="474">
        <f>'POSF Inventory'!AL56*$D$5*'POSF Zone Def'!$AQ53</f>
        <v>0</v>
      </c>
      <c r="X64" s="474">
        <f>'POSF Inventory'!AM56*$D$6*'POSF Zone Def'!$AQ53</f>
        <v>0</v>
      </c>
      <c r="Y64" s="474">
        <f>'POSF Inventory'!AN56*$D$5*'POSF Zone Def'!$AQ53</f>
        <v>0</v>
      </c>
      <c r="Z64" s="134">
        <f>'POSF Inventory'!AO56*$D$6*'POSF Zone Def'!$AQ53</f>
        <v>0</v>
      </c>
      <c r="AA64" s="529">
        <f>'POSF Inventory'!AV56*'POSF Emiss by Zone'!$D$5*'POSF Zone Def'!$M53</f>
        <v>0</v>
      </c>
      <c r="AB64" s="529">
        <f>'POSF Inventory'!AW56*'POSF Emiss by Zone'!$D$6*'POSF Zone Def'!$M53</f>
        <v>0</v>
      </c>
      <c r="AC64" s="529">
        <f>'POSF Inventory'!AX56*'POSF Emiss by Zone'!$D$5*'POSF Zone Def'!$M53</f>
        <v>0.2449532475</v>
      </c>
      <c r="AD64" s="529">
        <f>'POSF Inventory'!AY56*'POSF Emiss by Zone'!$D$6*'POSF Zone Def'!$M53</f>
        <v>0.24553301850000001</v>
      </c>
      <c r="AE64" s="529">
        <f>'POSF Inventory'!AZ56*'POSF Emiss by Zone'!$D$5*'POSF Zone Def'!$M53</f>
        <v>0</v>
      </c>
      <c r="AF64" s="524">
        <f>'POSF Inventory'!BA56*'POSF Emiss by Zone'!$D$6*'POSF Zone Def'!$M53</f>
        <v>0</v>
      </c>
      <c r="AG64" s="474">
        <f>'POSF Inventory'!AV56*'POSF Emiss by Zone'!$D$5*'POSF Zone Def'!$N53</f>
        <v>0</v>
      </c>
      <c r="AH64" s="474">
        <f>'POSF Inventory'!AW56*'POSF Emiss by Zone'!$D$6*'POSF Zone Def'!$N53</f>
        <v>0</v>
      </c>
      <c r="AI64" s="474">
        <f>'POSF Inventory'!AX56*'POSF Emiss by Zone'!$D$5*'POSF Zone Def'!$N53</f>
        <v>0.2449532475</v>
      </c>
      <c r="AJ64" s="474">
        <f>'POSF Inventory'!AY56*'POSF Emiss by Zone'!$D$6*'POSF Zone Def'!$N53</f>
        <v>0.24553301850000001</v>
      </c>
      <c r="AK64" s="474">
        <f>'POSF Inventory'!AZ56*'POSF Emiss by Zone'!$D$5*'POSF Zone Def'!$N53</f>
        <v>0</v>
      </c>
      <c r="AL64" s="549">
        <f>'POSF Inventory'!BA56*'POSF Emiss by Zone'!$D$6*'POSF Zone Def'!$N53</f>
        <v>0</v>
      </c>
      <c r="AM64" s="529">
        <f>'POSF Inventory'!BB56*'POSF Emiss by Zone'!$D$5*'POSF Zone Def'!$AP53</f>
        <v>0</v>
      </c>
      <c r="AN64" s="529">
        <f>'POSF Inventory'!BC56*'POSF Emiss by Zone'!$D$6*'POSF Zone Def'!$AP53</f>
        <v>0</v>
      </c>
      <c r="AO64" s="529">
        <f>'POSF Inventory'!BD56*'POSF Emiss by Zone'!$D$5*'POSF Zone Def'!$AP53</f>
        <v>0</v>
      </c>
      <c r="AP64" s="529">
        <f>'POSF Inventory'!BE56*'POSF Emiss by Zone'!$D$6*'POSF Zone Def'!$AP53</f>
        <v>0</v>
      </c>
      <c r="AQ64" s="529">
        <f>'POSF Inventory'!BF56*'POSF Emiss by Zone'!$D$5*'POSF Zone Def'!$AP53</f>
        <v>0</v>
      </c>
      <c r="AR64" s="524">
        <f>'POSF Inventory'!BG56*'POSF Emiss by Zone'!$D$6*'POSF Zone Def'!$AP53</f>
        <v>0</v>
      </c>
      <c r="AS64" s="474">
        <f>'POSF Inventory'!BB56*'POSF Emiss by Zone'!$D$5*'POSF Zone Def'!$AQ53</f>
        <v>0</v>
      </c>
      <c r="AT64" s="474">
        <f>'POSF Inventory'!BC56*'POSF Emiss by Zone'!$D$6*'POSF Zone Def'!$AQ53</f>
        <v>0</v>
      </c>
      <c r="AU64" s="474">
        <f>'POSF Inventory'!BD56*'POSF Emiss by Zone'!$D$5*'POSF Zone Def'!$AQ53</f>
        <v>0</v>
      </c>
      <c r="AV64" s="474">
        <f>'POSF Inventory'!BE56*'POSF Emiss by Zone'!$D$6*'POSF Zone Def'!$AQ53</f>
        <v>0</v>
      </c>
      <c r="AW64" s="474">
        <f>'POSF Inventory'!BF56*'POSF Emiss by Zone'!$D$5*'POSF Zone Def'!$AQ53</f>
        <v>0</v>
      </c>
      <c r="AX64" s="134">
        <f>'POSF Inventory'!BG56*'POSF Emiss by Zone'!$D$6*'POSF Zone Def'!$AQ53</f>
        <v>0</v>
      </c>
      <c r="AY64" s="529">
        <f>'POSF Inventory'!EA56*'POSF Emiss by Zone'!$D$5*'POSF Zone Def'!$Y53</f>
        <v>0</v>
      </c>
      <c r="AZ64" s="529">
        <f>'POSF Inventory'!EB56*'POSF Emiss by Zone'!$D$6*'POSF Zone Def'!$Y53</f>
        <v>0</v>
      </c>
      <c r="BA64" s="529">
        <f>'POSF Inventory'!EC56*'POSF Emiss by Zone'!$D$5*'POSF Zone Def'!$Y53</f>
        <v>11.5110203247</v>
      </c>
      <c r="BB64" s="529">
        <f>'POSF Inventory'!ED56*'POSF Emiss by Zone'!$D$6*'POSF Zone Def'!$Y53</f>
        <v>115.38265343220002</v>
      </c>
      <c r="BC64" s="529">
        <f>'POSF Inventory'!EE56*'POSF Emiss by Zone'!$D$5*'POSF Zone Def'!$Y53</f>
        <v>0</v>
      </c>
      <c r="BD64" s="524">
        <f>'POSF Inventory'!EF56*'POSF Emiss by Zone'!$D$6*'POSF Zone Def'!$Y53</f>
        <v>0</v>
      </c>
      <c r="BE64" s="474">
        <f>'POSF Inventory'!EA56*'POSF Emiss by Zone'!$D$5*'POSF Zone Def'!$Z53</f>
        <v>0</v>
      </c>
      <c r="BF64" s="474">
        <f>'POSF Inventory'!EB56*'POSF Emiss by Zone'!$D$6*'POSF Zone Def'!$Z53</f>
        <v>0</v>
      </c>
      <c r="BG64" s="474">
        <f>'POSF Inventory'!EC56*'POSF Emiss by Zone'!$D$5*'POSF Zone Def'!$Z53</f>
        <v>1.2790022583000002</v>
      </c>
      <c r="BH64" s="474">
        <f>'POSF Inventory'!ED56*'POSF Emiss by Zone'!$D$6*'POSF Zone Def'!$Z53</f>
        <v>12.820294825800003</v>
      </c>
      <c r="BI64" s="474">
        <f>'POSF Inventory'!EE56*'POSF Emiss by Zone'!$D$5*'POSF Zone Def'!$Z53</f>
        <v>0</v>
      </c>
      <c r="BJ64" s="549">
        <f>'POSF Inventory'!EF56*'POSF Emiss by Zone'!$D$6*'POSF Zone Def'!$Z53</f>
        <v>0</v>
      </c>
      <c r="BK64" s="705">
        <f>'POSF Inventory'!$EA56*'POSF Emiss by Zone'!$D$5*'POSF Zone Def'!$AC53</f>
        <v>0</v>
      </c>
      <c r="BL64" s="705">
        <f>'POSF Inventory'!$EB56*'POSF Emiss by Zone'!$D$6*'POSF Zone Def'!$AC53</f>
        <v>0</v>
      </c>
      <c r="BM64" s="705">
        <f>'POSF Inventory'!$EC56*'POSF Emiss by Zone'!$D$5*'POSF Zone Def'!$AC53</f>
        <v>0</v>
      </c>
      <c r="BN64" s="705">
        <f>'POSF Inventory'!$ED56*'POSF Emiss by Zone'!$D$6*'POSF Zone Def'!$AC53</f>
        <v>0</v>
      </c>
      <c r="BO64" s="705">
        <f>'POSF Inventory'!$EE56*'POSF Emiss by Zone'!$D$5*'POSF Zone Def'!$AC53</f>
        <v>0</v>
      </c>
      <c r="BP64" s="708">
        <f>'POSF Inventory'!$EF56*'POSF Emiss by Zone'!$D$6*'POSF Zone Def'!$AC53</f>
        <v>0</v>
      </c>
      <c r="BQ64" s="529">
        <f>'POSF Inventory'!EG56*'POSF Emiss by Zone'!$D$5*'POSF Zone Def'!$BB53</f>
        <v>0</v>
      </c>
      <c r="BR64" s="529">
        <f>'POSF Inventory'!EH56*'POSF Emiss by Zone'!$D$6*'POSF Zone Def'!$BB53</f>
        <v>0</v>
      </c>
      <c r="BS64" s="529">
        <f>'POSF Inventory'!EI56*'POSF Emiss by Zone'!$D$5*'POSF Zone Def'!$BB53</f>
        <v>0</v>
      </c>
      <c r="BT64" s="529">
        <f>'POSF Inventory'!EJ56*'POSF Emiss by Zone'!$D$6*'POSF Zone Def'!$BB53</f>
        <v>0</v>
      </c>
      <c r="BU64" s="529">
        <f>'POSF Inventory'!EK56*'POSF Emiss by Zone'!$D$5*'POSF Zone Def'!$BB53</f>
        <v>0</v>
      </c>
      <c r="BV64" s="524">
        <f>'POSF Inventory'!EL56*'POSF Emiss by Zone'!$D$6*'POSF Zone Def'!$BB53</f>
        <v>0</v>
      </c>
      <c r="BW64" s="474">
        <f>'POSF Inventory'!EG56*'POSF Emiss by Zone'!$D$5*'POSF Zone Def'!$BC53</f>
        <v>0</v>
      </c>
      <c r="BX64" s="474">
        <f>'POSF Inventory'!EH56*'POSF Emiss by Zone'!$D$6*'POSF Zone Def'!$BC53</f>
        <v>0</v>
      </c>
      <c r="BY64" s="474">
        <f>'POSF Inventory'!EI56*'POSF Emiss by Zone'!$D$5*'POSF Zone Def'!$BC53</f>
        <v>0</v>
      </c>
      <c r="BZ64" s="474">
        <f>'POSF Inventory'!EJ56*'POSF Emiss by Zone'!$D$6*'POSF Zone Def'!$BC53</f>
        <v>0</v>
      </c>
      <c r="CA64" s="474">
        <f>'POSF Inventory'!EK56*'POSF Emiss by Zone'!$D$5*'POSF Zone Def'!$BC53</f>
        <v>0</v>
      </c>
      <c r="CB64" s="134">
        <f>'POSF Inventory'!EL56*'POSF Emiss by Zone'!$D$6*'POSF Zone Def'!$BC53</f>
        <v>0</v>
      </c>
      <c r="CC64" s="529">
        <f>'POSF Inventory'!GC56*'POSF Emiss by Zone'!$D$7*'POSF Zone Def'!$M53</f>
        <v>8.5892E-4</v>
      </c>
      <c r="CD64" s="529">
        <f>'POSF Inventory'!GD56*'POSF Emiss by Zone'!$D$9*'POSF Zone Def'!$M53</f>
        <v>1.06183985E-3</v>
      </c>
      <c r="CE64" s="529">
        <f>'POSF Inventory'!GE56*'POSF Emiss by Zone'!$D$7*'POSF Zone Def'!$M53</f>
        <v>2.5767599999999998E-2</v>
      </c>
      <c r="CF64" s="529">
        <f>'POSF Inventory'!GF56*'POSF Emiss by Zone'!$D$9*'POSF Zone Def'!$M53</f>
        <v>3.1855195499999996E-2</v>
      </c>
      <c r="CG64" s="529">
        <f>'POSF Inventory'!GG56*'POSF Emiss by Zone'!$D$7*'POSF Zone Def'!$M53</f>
        <v>0</v>
      </c>
      <c r="CH64" s="524">
        <f>'POSF Inventory'!GH56*'POSF Emiss by Zone'!$D$9*'POSF Zone Def'!$M53</f>
        <v>0</v>
      </c>
      <c r="CI64" s="474">
        <f>'POSF Inventory'!GC56*'POSF Emiss by Zone'!$D$7*'POSF Zone Def'!$N53</f>
        <v>8.5892E-4</v>
      </c>
      <c r="CJ64" s="474">
        <f>'POSF Inventory'!GD56*'POSF Emiss by Zone'!$D$9*'POSF Zone Def'!$N53</f>
        <v>1.06183985E-3</v>
      </c>
      <c r="CK64" s="474">
        <f>'POSF Inventory'!GE56*'POSF Emiss by Zone'!$D$7*'POSF Zone Def'!$N53</f>
        <v>2.5767599999999998E-2</v>
      </c>
      <c r="CL64" s="474">
        <f>'POSF Inventory'!GF56*'POSF Emiss by Zone'!$D$9*'POSF Zone Def'!$N53</f>
        <v>3.1855195499999996E-2</v>
      </c>
      <c r="CM64" s="474">
        <f>'POSF Inventory'!GG56*'POSF Emiss by Zone'!$D$7*'POSF Zone Def'!$N53</f>
        <v>0</v>
      </c>
      <c r="CN64" s="485">
        <f>'POSF Inventory'!GH56*'POSF Emiss by Zone'!$D$9*'POSF Zone Def'!$N53</f>
        <v>0</v>
      </c>
      <c r="CO64" s="529">
        <f>'POSF Inventory'!GI56*'POSF Emiss by Zone'!$D$7*'POSF Zone Def'!$AP53</f>
        <v>0</v>
      </c>
      <c r="CP64" s="529">
        <f>'POSF Inventory'!GJ56*'POSF Emiss by Zone'!$D$9*'POSF Zone Def'!$AP53</f>
        <v>0</v>
      </c>
      <c r="CQ64" s="529">
        <f>'POSF Inventory'!GK56*'POSF Emiss by Zone'!$D$7*'POSF Zone Def'!$AP53</f>
        <v>0</v>
      </c>
      <c r="CR64" s="529">
        <f>'POSF Inventory'!GL56*'POSF Emiss by Zone'!$D$9*'POSF Zone Def'!$AP53</f>
        <v>0</v>
      </c>
      <c r="CS64" s="529">
        <f>'POSF Inventory'!GM56*'POSF Emiss by Zone'!$D$7*'POSF Zone Def'!$AP53</f>
        <v>0</v>
      </c>
      <c r="CT64" s="524">
        <f>'POSF Inventory'!GN56*'POSF Emiss by Zone'!$D$9*'POSF Zone Def'!$AP53</f>
        <v>0</v>
      </c>
      <c r="CU64" s="474">
        <f>'POSF Inventory'!GI56*'POSF Emiss by Zone'!$D$7*'POSF Zone Def'!$AQ53</f>
        <v>0</v>
      </c>
      <c r="CV64" s="474">
        <f>'POSF Inventory'!GJ56*'POSF Emiss by Zone'!$D$9*'POSF Zone Def'!$AQ53</f>
        <v>0</v>
      </c>
      <c r="CW64" s="474">
        <f>'POSF Inventory'!GK56*'POSF Emiss by Zone'!$D$7*'POSF Zone Def'!$AQ53</f>
        <v>0</v>
      </c>
      <c r="CX64" s="474">
        <f>'POSF Inventory'!GL56*'POSF Emiss by Zone'!$D$9*'POSF Zone Def'!$AQ53</f>
        <v>0</v>
      </c>
      <c r="CY64" s="474">
        <f>'POSF Inventory'!GM56*'POSF Emiss by Zone'!$D$7*'POSF Zone Def'!$AQ53</f>
        <v>0</v>
      </c>
      <c r="CZ64" s="134">
        <f>'POSF Inventory'!GN56*'POSF Emiss by Zone'!$D$9*'POSF Zone Def'!$AQ53</f>
        <v>0</v>
      </c>
      <c r="DA64" s="529">
        <f>SUM('POSF Inventory'!GQ56,'POSF Inventory'!GS56)*'POSF Emiss by Zone'!$D$7*'POSF Zone Def'!$Y53</f>
        <v>5.1056176571298906</v>
      </c>
      <c r="DB64" s="529">
        <f>SUM('POSF Inventory'!GR56,'POSF Inventory'!GT56)*'POSF Emiss by Zone'!$D$9*'POSF Zone Def'!$Y53</f>
        <v>224.24065213269483</v>
      </c>
      <c r="DC64" s="529"/>
      <c r="DD64" s="529"/>
      <c r="DE64" s="529">
        <f>'POSF Inventory'!GU56*'POSF Emiss by Zone'!$D$7*'POSF Zone Def'!$Y53</f>
        <v>0</v>
      </c>
      <c r="DF64" s="524">
        <f>'POSF Inventory'!GV56*'POSF Emiss by Zone'!$D$9*'POSF Zone Def'!$Y53</f>
        <v>0</v>
      </c>
      <c r="DG64" s="474">
        <f>SUM('POSF Inventory'!GQ56,'POSF Inventory'!GS56)*'POSF Emiss by Zone'!$D$7*'POSF Zone Def'!$Z53</f>
        <v>0.56729085079221009</v>
      </c>
      <c r="DH64" s="474">
        <f>SUM('POSF Inventory'!GR56,'POSF Inventory'!GT56)*'POSF Emiss by Zone'!$D$9*'POSF Zone Def'!$Z53</f>
        <v>24.915628014743874</v>
      </c>
      <c r="DI64" s="474"/>
      <c r="DJ64" s="474"/>
      <c r="DK64" s="474">
        <f>'POSF Inventory'!GU56*'POSF Emiss by Zone'!$D$7*'POSF Zone Def'!$Z53</f>
        <v>0</v>
      </c>
      <c r="DL64" s="485">
        <f>'POSF Inventory'!GV56*'POSF Emiss by Zone'!$D$9*'POSF Zone Def'!$Z53</f>
        <v>0</v>
      </c>
      <c r="DM64" s="705">
        <f>SUM('POSF Inventory'!$GQ56,'POSF Inventory'!$GS56)*'POSF Emiss by Zone'!$D$7*'POSF Zone Def'!$AC53</f>
        <v>0</v>
      </c>
      <c r="DN64" s="705">
        <f>SUM('POSF Inventory'!$GR56,'POSF Inventory'!$GT56)*'POSF Emiss by Zone'!$D$9*'POSF Zone Def'!$AC53</f>
        <v>0</v>
      </c>
      <c r="DO64" s="705"/>
      <c r="DP64" s="705"/>
      <c r="DQ64" s="705">
        <f>'POSF Inventory'!$GU56*'POSF Emiss by Zone'!$D$7*'POSF Zone Def'!$AC53</f>
        <v>0</v>
      </c>
      <c r="DR64" s="708">
        <f>'POSF Inventory'!$GV56*'POSF Emiss by Zone'!$D$9*'POSF Zone Def'!$AC53</f>
        <v>0</v>
      </c>
      <c r="DS64" s="529">
        <f>SUM('POSF Inventory'!GW56,'POSF Inventory'!GY56)*$D$7*'POSF Zone Def'!$BB53</f>
        <v>0</v>
      </c>
      <c r="DT64" s="529">
        <f>SUM('POSF Inventory'!GX56,'POSF Inventory'!GZ56)*$D$9*'POSF Zone Def'!$BB53</f>
        <v>0</v>
      </c>
      <c r="DU64" s="529"/>
      <c r="DV64" s="529"/>
      <c r="DW64" s="529">
        <f>'POSF Inventory'!HA56*'POSF Emiss by Zone'!$D$7*'POSF Zone Def'!$BB53</f>
        <v>0</v>
      </c>
      <c r="DX64" s="524">
        <f>'POSF Inventory'!HB56*'POSF Emiss by Zone'!$D$9*'POSF Zone Def'!$BB53</f>
        <v>0</v>
      </c>
      <c r="DY64" s="474">
        <f>SUM('POSF Inventory'!GW56,'POSF Inventory'!GY56)*$D$7*'POSF Zone Def'!$BC53</f>
        <v>0</v>
      </c>
      <c r="DZ64" s="474">
        <f>SUM('POSF Inventory'!GX56,'POSF Inventory'!GZ56)*$D$9*'POSF Zone Def'!$BC53</f>
        <v>0</v>
      </c>
      <c r="EA64" s="474"/>
      <c r="EB64" s="474"/>
      <c r="EC64" s="474">
        <f>'POSF Inventory'!HA56*'POSF Emiss by Zone'!$D$7*'POSF Zone Def'!$BC53</f>
        <v>0</v>
      </c>
      <c r="ED64" s="134">
        <f>'POSF Inventory'!HB56*'POSF Emiss by Zone'!$D$9*'POSF Zone Def'!$BC53</f>
        <v>0</v>
      </c>
      <c r="EE64" s="235">
        <f>'POSF Inventory'!$CF56*'POSF Emiss by Zone'!$D$7*'POSF Zone Def'!$CE53</f>
        <v>0</v>
      </c>
      <c r="EF64" s="235">
        <f>'POSF Inventory'!$CG56*'POSF Emiss by Zone'!$D$9*'POSF Zone Def'!$CE53</f>
        <v>0</v>
      </c>
      <c r="EG64" s="235">
        <f>'POSF Inventory'!$CH56*'POSF Emiss by Zone'!$D$7*'POSF Zone Def'!$CE53</f>
        <v>0</v>
      </c>
      <c r="EH64" s="235">
        <f>'POSF Inventory'!$CI56*'POSF Emiss by Zone'!$D$9*'POSF Zone Def'!$CE53</f>
        <v>0</v>
      </c>
      <c r="EI64" s="235">
        <f>'POSF Inventory'!$CJ56*'POSF Emiss by Zone'!$D$7*'POSF Zone Def'!$CE53</f>
        <v>0</v>
      </c>
      <c r="EJ64" s="580">
        <f>'POSF Inventory'!$CK56*'POSF Emiss by Zone'!$D$9*'POSF Zone Def'!$CE53</f>
        <v>0</v>
      </c>
      <c r="EK64" s="235">
        <f>'POSF Inventory'!$CF56*'POSF Emiss by Zone'!$D$7*'POSF Zone Def'!$CF53</f>
        <v>0</v>
      </c>
      <c r="EL64" s="235">
        <f>'POSF Inventory'!$CG56*'POSF Emiss by Zone'!$D$9*'POSF Zone Def'!$CF53</f>
        <v>0</v>
      </c>
      <c r="EM64" s="235">
        <f>'POSF Inventory'!$CH56*'POSF Emiss by Zone'!$D$7*'POSF Zone Def'!$CF53</f>
        <v>0</v>
      </c>
      <c r="EN64" s="235">
        <f>'POSF Inventory'!$CI56*'POSF Emiss by Zone'!$D$9*'POSF Zone Def'!$CF53</f>
        <v>0</v>
      </c>
      <c r="EO64" s="235">
        <f>'POSF Inventory'!$CJ56*'POSF Emiss by Zone'!$D$7*'POSF Zone Def'!$CF53</f>
        <v>0</v>
      </c>
      <c r="EP64" s="580">
        <f>'POSF Inventory'!$CK56*'POSF Emiss by Zone'!$D$9*'POSF Zone Def'!$CF53</f>
        <v>0</v>
      </c>
      <c r="EQ64" s="235">
        <f>'POSF Inventory'!$CF56*'POSF Emiss by Zone'!$D$7*'POSF Zone Def'!$CG53</f>
        <v>7.1506509423416444E-5</v>
      </c>
      <c r="ER64" s="235">
        <f>'POSF Inventory'!$CG56*'POSF Emiss by Zone'!$D$9*'POSF Zone Def'!$CG53</f>
        <v>8.8399922274698593E-5</v>
      </c>
      <c r="ES64" s="235">
        <f>'POSF Inventory'!$CH56*'POSF Emiss by Zone'!$D$7*'POSF Zone Def'!$CG53</f>
        <v>0</v>
      </c>
      <c r="ET64" s="235">
        <f>'POSF Inventory'!$CI56*'POSF Emiss by Zone'!$D$9*'POSF Zone Def'!$CG53</f>
        <v>0</v>
      </c>
      <c r="EU64" s="235">
        <f>'POSF Inventory'!$CJ56*'POSF Emiss by Zone'!$D$7*'POSF Zone Def'!$CG53</f>
        <v>6.4355858481074792E-4</v>
      </c>
      <c r="EV64" s="580">
        <f>'POSF Inventory'!$CK56*'POSF Emiss by Zone'!$D$9*'POSF Zone Def'!$CG53</f>
        <v>7.9559930047228727E-4</v>
      </c>
      <c r="EW64" s="235">
        <f>'POSF Inventory'!$CF56*'POSF Emiss by Zone'!$D$7*'POSF Zone Def'!$CH53</f>
        <v>0.94035074349543979</v>
      </c>
      <c r="EX64" s="235">
        <f>'POSF Inventory'!$CG56*'POSF Emiss by Zone'!$D$9*'POSF Zone Def'!$CH53</f>
        <v>1.1625086066462376</v>
      </c>
      <c r="EY64" s="235">
        <f>'POSF Inventory'!$CH56*'POSF Emiss by Zone'!$D$7*'POSF Zone Def'!$CH53</f>
        <v>0</v>
      </c>
      <c r="EZ64" s="235">
        <f>'POSF Inventory'!$CI56*'POSF Emiss by Zone'!$D$9*'POSF Zone Def'!$CH53</f>
        <v>0</v>
      </c>
      <c r="FA64" s="235">
        <f>'POSF Inventory'!$CJ56*'POSF Emiss by Zone'!$D$7*'POSF Zone Def'!$CH53</f>
        <v>8.4631566914589573</v>
      </c>
      <c r="FB64" s="580">
        <f>'POSF Inventory'!$CK56*'POSF Emiss by Zone'!$D$9*'POSF Zone Def'!$CH53</f>
        <v>10.462577459816139</v>
      </c>
      <c r="FC64" s="235">
        <f>'POSF Inventory'!$CF56*'POSF Emiss by Zone'!$D$7*'POSF Zone Def'!$CI53</f>
        <v>0.85957774999513681</v>
      </c>
      <c r="FD64" s="235">
        <f>'POSF Inventory'!$CG56*'POSF Emiss by Zone'!$D$9*'POSF Zone Def'!$CI53</f>
        <v>1.0626529934314881</v>
      </c>
      <c r="FE64" s="235">
        <f>'POSF Inventory'!$CH56*'POSF Emiss by Zone'!$D$7*'POSF Zone Def'!$CI53</f>
        <v>0</v>
      </c>
      <c r="FF64" s="235">
        <f>'POSF Inventory'!$CI56*'POSF Emiss by Zone'!$D$9*'POSF Zone Def'!$CI53</f>
        <v>0</v>
      </c>
      <c r="FG64" s="235">
        <f>'POSF Inventory'!$CJ56*'POSF Emiss by Zone'!$D$7*'POSF Zone Def'!$CI53</f>
        <v>7.7361997499562305</v>
      </c>
      <c r="FH64" s="577">
        <f>'POSF Inventory'!$CK56*'POSF Emiss by Zone'!$D$9*'POSF Zone Def'!$CI53</f>
        <v>9.5638769408833912</v>
      </c>
      <c r="FI64" s="595"/>
      <c r="FJ64" s="595"/>
      <c r="FM64" s="592">
        <v>47</v>
      </c>
      <c r="FN64" s="592">
        <f t="shared" si="98"/>
        <v>2001</v>
      </c>
      <c r="FO64" s="587">
        <v>44</v>
      </c>
      <c r="FP64" s="551">
        <f t="shared" si="20"/>
        <v>0.18144684999999999</v>
      </c>
      <c r="FQ64" s="529">
        <f t="shared" si="21"/>
        <v>0.18187630999999999</v>
      </c>
      <c r="FR64" s="529">
        <f t="shared" si="22"/>
        <v>0</v>
      </c>
      <c r="FS64" s="529">
        <f t="shared" si="23"/>
        <v>0</v>
      </c>
      <c r="FT64" s="529">
        <f t="shared" si="24"/>
        <v>0</v>
      </c>
      <c r="FU64" s="524">
        <f t="shared" si="25"/>
        <v>0</v>
      </c>
      <c r="FV64" s="474">
        <f t="shared" si="26"/>
        <v>0.18144684999999999</v>
      </c>
      <c r="FW64" s="474">
        <f t="shared" si="27"/>
        <v>0.18187630999999999</v>
      </c>
      <c r="FX64" s="474">
        <f t="shared" si="28"/>
        <v>0</v>
      </c>
      <c r="FY64" s="474">
        <f t="shared" si="29"/>
        <v>0</v>
      </c>
      <c r="FZ64" s="474">
        <f t="shared" si="30"/>
        <v>0</v>
      </c>
      <c r="GA64" s="134">
        <f t="shared" si="31"/>
        <v>0</v>
      </c>
      <c r="GB64" s="529">
        <f t="shared" si="32"/>
        <v>0</v>
      </c>
      <c r="GC64" s="529">
        <f t="shared" si="33"/>
        <v>0</v>
      </c>
      <c r="GD64" s="529">
        <f t="shared" si="34"/>
        <v>11.709137024103587</v>
      </c>
      <c r="GE64" s="529">
        <f t="shared" si="35"/>
        <v>115.16751638515937</v>
      </c>
      <c r="GF64" s="529">
        <f t="shared" si="36"/>
        <v>0</v>
      </c>
      <c r="GG64" s="524">
        <f t="shared" si="37"/>
        <v>0</v>
      </c>
      <c r="GH64" s="474">
        <f t="shared" si="38"/>
        <v>0</v>
      </c>
      <c r="GI64" s="474">
        <f t="shared" si="39"/>
        <v>0</v>
      </c>
      <c r="GJ64" s="474">
        <f t="shared" si="40"/>
        <v>1.517883969920319</v>
      </c>
      <c r="GK64" s="474">
        <f t="shared" si="41"/>
        <v>13.013772753286856</v>
      </c>
      <c r="GL64" s="474">
        <f t="shared" si="42"/>
        <v>0</v>
      </c>
      <c r="GM64" s="705">
        <f t="shared" si="43"/>
        <v>0</v>
      </c>
      <c r="GN64" s="705">
        <f t="shared" si="44"/>
        <v>0</v>
      </c>
      <c r="GO64" s="705">
        <f t="shared" si="45"/>
        <v>0</v>
      </c>
      <c r="GP64" s="705">
        <f t="shared" si="46"/>
        <v>0</v>
      </c>
      <c r="GQ64" s="705">
        <f t="shared" si="47"/>
        <v>0</v>
      </c>
      <c r="GR64" s="705">
        <f t="shared" si="48"/>
        <v>0</v>
      </c>
      <c r="GS64" s="134">
        <f t="shared" si="49"/>
        <v>0</v>
      </c>
      <c r="GT64" s="529">
        <f t="shared" si="50"/>
        <v>0.1057915466178304</v>
      </c>
      <c r="GU64" s="529">
        <f t="shared" si="51"/>
        <v>4.645645070347542</v>
      </c>
      <c r="GV64" s="529">
        <f t="shared" si="52"/>
        <v>5.3383075697211152E-4</v>
      </c>
      <c r="GW64" s="529">
        <f t="shared" si="53"/>
        <v>6.5994827330677277E-4</v>
      </c>
      <c r="GX64" s="529">
        <f t="shared" si="54"/>
        <v>0</v>
      </c>
      <c r="GY64" s="524">
        <f t="shared" si="55"/>
        <v>0</v>
      </c>
      <c r="GZ64" s="474">
        <f t="shared" si="56"/>
        <v>1.1770433498484034E-2</v>
      </c>
      <c r="HA64" s="474">
        <f t="shared" si="57"/>
        <v>0.51620233961708417</v>
      </c>
      <c r="HB64" s="474">
        <f t="shared" si="58"/>
        <v>5.3383075697211152E-4</v>
      </c>
      <c r="HC64" s="474">
        <f t="shared" si="59"/>
        <v>6.5994827330677277E-4</v>
      </c>
      <c r="HD64" s="474">
        <f t="shared" si="60"/>
        <v>0</v>
      </c>
      <c r="HE64" s="549">
        <f t="shared" si="61"/>
        <v>0</v>
      </c>
      <c r="HF64" s="235">
        <f t="shared" si="62"/>
        <v>7.4070487848957277E-5</v>
      </c>
      <c r="HG64" s="235">
        <f t="shared" si="63"/>
        <v>9.1569640603273434E-5</v>
      </c>
      <c r="HH64" s="235">
        <f t="shared" si="64"/>
        <v>0</v>
      </c>
      <c r="HI64" s="235">
        <f t="shared" si="65"/>
        <v>0</v>
      </c>
      <c r="HJ64" s="235">
        <f t="shared" si="66"/>
        <v>6.6663439064061538E-4</v>
      </c>
      <c r="HK64" s="580">
        <f t="shared" si="67"/>
        <v>8.2412676542946092E-4</v>
      </c>
      <c r="HL64" s="235">
        <f t="shared" si="68"/>
        <v>0.97406849923830419</v>
      </c>
      <c r="HM64" s="235">
        <f t="shared" si="69"/>
        <v>1.2041921821833537</v>
      </c>
      <c r="HN64" s="235">
        <f t="shared" si="70"/>
        <v>0</v>
      </c>
      <c r="HO64" s="235">
        <f t="shared" si="71"/>
        <v>0</v>
      </c>
      <c r="HP64" s="235">
        <f t="shared" si="72"/>
        <v>8.7666164931447366</v>
      </c>
      <c r="HQ64" s="580">
        <f t="shared" si="73"/>
        <v>10.837729639650183</v>
      </c>
      <c r="HR64" s="235">
        <f t="shared" si="74"/>
        <v>0.89039926294316962</v>
      </c>
      <c r="HS64" s="235">
        <f t="shared" si="75"/>
        <v>1.1007560888134937</v>
      </c>
      <c r="HT64" s="235">
        <f t="shared" si="76"/>
        <v>0</v>
      </c>
      <c r="HU64" s="235">
        <f t="shared" si="77"/>
        <v>0</v>
      </c>
      <c r="HV64" s="235">
        <f t="shared" si="78"/>
        <v>8.013593366488525</v>
      </c>
      <c r="HW64" s="577">
        <f t="shared" si="79"/>
        <v>9.9068047993214403</v>
      </c>
      <c r="HX64" s="235">
        <f t="shared" si="80"/>
        <v>5.6224138121737708</v>
      </c>
      <c r="HY64" s="235">
        <f t="shared" si="81"/>
        <v>246.89816762331668</v>
      </c>
      <c r="HZ64" s="235">
        <f t="shared" si="82"/>
        <v>2.83710515378486E-2</v>
      </c>
      <c r="IA64" s="235">
        <f t="shared" si="83"/>
        <v>3.5073712463665328E-2</v>
      </c>
      <c r="IB64" s="235">
        <f t="shared" si="84"/>
        <v>0</v>
      </c>
      <c r="IC64" s="235">
        <f t="shared" si="85"/>
        <v>0</v>
      </c>
      <c r="ID64" s="235">
        <f t="shared" si="86"/>
        <v>0.62555326954635515</v>
      </c>
      <c r="IE64" s="235">
        <f t="shared" si="87"/>
        <v>27.43416895703411</v>
      </c>
      <c r="IF64" s="235">
        <f t="shared" si="88"/>
        <v>2.83710515378486E-2</v>
      </c>
      <c r="IG64" s="235">
        <f t="shared" si="89"/>
        <v>3.5073712463665328E-2</v>
      </c>
      <c r="IH64" s="235">
        <f t="shared" si="90"/>
        <v>0</v>
      </c>
      <c r="II64" s="235">
        <f t="shared" si="91"/>
        <v>0</v>
      </c>
      <c r="IJ64" s="235">
        <f t="shared" si="92"/>
        <v>0</v>
      </c>
      <c r="IK64" s="235">
        <f t="shared" si="93"/>
        <v>0</v>
      </c>
      <c r="IL64" s="235">
        <f t="shared" si="94"/>
        <v>0</v>
      </c>
      <c r="IM64" s="235">
        <f t="shared" si="95"/>
        <v>0</v>
      </c>
      <c r="IN64" s="235">
        <f t="shared" si="96"/>
        <v>0</v>
      </c>
      <c r="IO64" s="235">
        <f t="shared" si="97"/>
        <v>0</v>
      </c>
    </row>
    <row r="65" spans="1:249" ht="18" x14ac:dyDescent="0.25">
      <c r="A65" s="18">
        <v>2002</v>
      </c>
      <c r="B65" s="564"/>
      <c r="C65" s="529">
        <f>'POSF Inventory'!AD57*$D$5*'POSF Zone Def'!$M54</f>
        <v>0.12568107499999998</v>
      </c>
      <c r="D65" s="529">
        <f>'POSF Inventory'!AE57*$D$6*'POSF Zone Def'!$M54</f>
        <v>0.12597854499999997</v>
      </c>
      <c r="E65" s="529">
        <f>'POSF Inventory'!AF57*$D$5*'POSF Zone Def'!$M54</f>
        <v>0</v>
      </c>
      <c r="F65" s="529">
        <f>'POSF Inventory'!AG57*$D$6*'POSF Zone Def'!$M54</f>
        <v>0</v>
      </c>
      <c r="G65" s="529">
        <f>'POSF Inventory'!AH57*$D$5*'POSF Zone Def'!$M54</f>
        <v>0</v>
      </c>
      <c r="H65" s="524">
        <f>'POSF Inventory'!AI57*$D$6*'POSF Zone Def'!$M54</f>
        <v>0</v>
      </c>
      <c r="I65" s="474">
        <f>'POSF Inventory'!AD57*$D$5*'POSF Zone Def'!$N54</f>
        <v>0.12568107499999998</v>
      </c>
      <c r="J65" s="474">
        <f>'POSF Inventory'!AE57*$D$6*'POSF Zone Def'!$N54</f>
        <v>0.12597854499999997</v>
      </c>
      <c r="K65" s="474">
        <f>'POSF Inventory'!AF57*$D$5*'POSF Zone Def'!$N54</f>
        <v>0</v>
      </c>
      <c r="L65" s="474">
        <f>'POSF Inventory'!AG57*$D$6*'POSF Zone Def'!$N54</f>
        <v>0</v>
      </c>
      <c r="M65" s="474">
        <f>'POSF Inventory'!AH57*$D$5*'POSF Zone Def'!$N54</f>
        <v>0</v>
      </c>
      <c r="N65" s="485">
        <f>'POSF Inventory'!AI57*$D$6*'POSF Zone Def'!$N54</f>
        <v>0</v>
      </c>
      <c r="O65" s="529">
        <f>'POSF Inventory'!AJ57*$D$5*'POSF Zone Def'!$AP54</f>
        <v>6.0676492499999991E-2</v>
      </c>
      <c r="P65" s="529">
        <f>'POSF Inventory'!AK57*$D$6*'POSF Zone Def'!$AP54</f>
        <v>6.0820105499999985E-2</v>
      </c>
      <c r="Q65" s="529">
        <f>'POSF Inventory'!AL57*$D$5*'POSF Zone Def'!$AP54</f>
        <v>0</v>
      </c>
      <c r="R65" s="529">
        <f>'POSF Inventory'!AM57*$D$6*'POSF Zone Def'!$AP54</f>
        <v>0</v>
      </c>
      <c r="S65" s="529">
        <f>'POSF Inventory'!AN57*$D$5*'POSF Zone Def'!$AP54</f>
        <v>4.4945549999999994E-2</v>
      </c>
      <c r="T65" s="524">
        <f>'POSF Inventory'!AO57*$D$6*'POSF Zone Def'!$AP54</f>
        <v>4.5051929999999997E-2</v>
      </c>
      <c r="U65" s="474">
        <f>'POSF Inventory'!AJ57*$D$5*'POSF Zone Def'!$AQ54</f>
        <v>0.14157848249999996</v>
      </c>
      <c r="V65" s="474">
        <f>'POSF Inventory'!AK57*$D$6*'POSF Zone Def'!$AQ54</f>
        <v>0.14191357949999997</v>
      </c>
      <c r="W65" s="474">
        <f>'POSF Inventory'!AL57*$D$5*'POSF Zone Def'!$AQ54</f>
        <v>0</v>
      </c>
      <c r="X65" s="474">
        <f>'POSF Inventory'!AM57*$D$6*'POSF Zone Def'!$AQ54</f>
        <v>0</v>
      </c>
      <c r="Y65" s="474">
        <f>'POSF Inventory'!AN57*$D$5*'POSF Zone Def'!$AQ54</f>
        <v>0.10487294999999999</v>
      </c>
      <c r="Z65" s="134">
        <f>'POSF Inventory'!AO57*$D$6*'POSF Zone Def'!$AQ54</f>
        <v>0.10512117</v>
      </c>
      <c r="AA65" s="529">
        <f>'POSF Inventory'!AV57*'POSF Emiss by Zone'!$D$5*'POSF Zone Def'!$M54</f>
        <v>0</v>
      </c>
      <c r="AB65" s="529">
        <f>'POSF Inventory'!AW57*'POSF Emiss by Zone'!$D$6*'POSF Zone Def'!$M54</f>
        <v>0</v>
      </c>
      <c r="AC65" s="529">
        <f>'POSF Inventory'!AX57*'POSF Emiss by Zone'!$D$5*'POSF Zone Def'!$M54</f>
        <v>0.16966945124999996</v>
      </c>
      <c r="AD65" s="529">
        <f>'POSF Inventory'!AY57*'POSF Emiss by Zone'!$D$6*'POSF Zone Def'!$M54</f>
        <v>0.17007103574999999</v>
      </c>
      <c r="AE65" s="529">
        <f>'POSF Inventory'!AZ57*'POSF Emiss by Zone'!$D$5*'POSF Zone Def'!$M54</f>
        <v>0</v>
      </c>
      <c r="AF65" s="524">
        <f>'POSF Inventory'!BA57*'POSF Emiss by Zone'!$D$6*'POSF Zone Def'!$M54</f>
        <v>0</v>
      </c>
      <c r="AG65" s="474">
        <f>'POSF Inventory'!AV57*'POSF Emiss by Zone'!$D$5*'POSF Zone Def'!$N54</f>
        <v>0</v>
      </c>
      <c r="AH65" s="474">
        <f>'POSF Inventory'!AW57*'POSF Emiss by Zone'!$D$6*'POSF Zone Def'!$N54</f>
        <v>0</v>
      </c>
      <c r="AI65" s="474">
        <f>'POSF Inventory'!AX57*'POSF Emiss by Zone'!$D$5*'POSF Zone Def'!$N54</f>
        <v>0.16966945124999996</v>
      </c>
      <c r="AJ65" s="474">
        <f>'POSF Inventory'!AY57*'POSF Emiss by Zone'!$D$6*'POSF Zone Def'!$N54</f>
        <v>0.17007103574999999</v>
      </c>
      <c r="AK65" s="474">
        <f>'POSF Inventory'!AZ57*'POSF Emiss by Zone'!$D$5*'POSF Zone Def'!$N54</f>
        <v>0</v>
      </c>
      <c r="AL65" s="549">
        <f>'POSF Inventory'!BA57*'POSF Emiss by Zone'!$D$6*'POSF Zone Def'!$N54</f>
        <v>0</v>
      </c>
      <c r="AM65" s="529">
        <f>'POSF Inventory'!BB57*'POSF Emiss by Zone'!$D$5*'POSF Zone Def'!$AP54</f>
        <v>0</v>
      </c>
      <c r="AN65" s="529">
        <f>'POSF Inventory'!BC57*'POSF Emiss by Zone'!$D$6*'POSF Zone Def'!$AP54</f>
        <v>0</v>
      </c>
      <c r="AO65" s="529">
        <f>'POSF Inventory'!BD57*'POSF Emiss by Zone'!$D$5*'POSF Zone Def'!$AP54</f>
        <v>4.0450994999999997E-2</v>
      </c>
      <c r="AP65" s="529">
        <f>'POSF Inventory'!BE57*'POSF Emiss by Zone'!$D$6*'POSF Zone Def'!$AP54</f>
        <v>4.0546736999999999E-2</v>
      </c>
      <c r="AQ65" s="529">
        <f>'POSF Inventory'!BF57*'POSF Emiss by Zone'!$D$5*'POSF Zone Def'!$AP54</f>
        <v>7.4909249999999997E-2</v>
      </c>
      <c r="AR65" s="524">
        <f>'POSF Inventory'!BG57*'POSF Emiss by Zone'!$D$6*'POSF Zone Def'!$AP54</f>
        <v>7.5086550000000002E-2</v>
      </c>
      <c r="AS65" s="474">
        <f>'POSF Inventory'!BB57*'POSF Emiss by Zone'!$D$5*'POSF Zone Def'!$AQ54</f>
        <v>0</v>
      </c>
      <c r="AT65" s="474">
        <f>'POSF Inventory'!BC57*'POSF Emiss by Zone'!$D$6*'POSF Zone Def'!$AQ54</f>
        <v>0</v>
      </c>
      <c r="AU65" s="474">
        <f>'POSF Inventory'!BD57*'POSF Emiss by Zone'!$D$5*'POSF Zone Def'!$AQ54</f>
        <v>9.4385654999999999E-2</v>
      </c>
      <c r="AV65" s="474">
        <f>'POSF Inventory'!BE57*'POSF Emiss by Zone'!$D$6*'POSF Zone Def'!$AQ54</f>
        <v>9.4609052999999999E-2</v>
      </c>
      <c r="AW65" s="474">
        <f>'POSF Inventory'!BF57*'POSF Emiss by Zone'!$D$5*'POSF Zone Def'!$AQ54</f>
        <v>0.17478825000000001</v>
      </c>
      <c r="AX65" s="134">
        <f>'POSF Inventory'!BG57*'POSF Emiss by Zone'!$D$6*'POSF Zone Def'!$AQ54</f>
        <v>0.17520195</v>
      </c>
      <c r="AY65" s="529">
        <f>'POSF Inventory'!EA57*'POSF Emiss by Zone'!$D$5*'POSF Zone Def'!$Y54</f>
        <v>0</v>
      </c>
      <c r="AZ65" s="529">
        <f>'POSF Inventory'!EB57*'POSF Emiss by Zone'!$D$6*'POSF Zone Def'!$Y54</f>
        <v>0</v>
      </c>
      <c r="BA65" s="529">
        <f>'POSF Inventory'!EC57*'POSF Emiss by Zone'!$D$5*'POSF Zone Def'!$Y54</f>
        <v>7.6049999999999995</v>
      </c>
      <c r="BB65" s="529">
        <f>'POSF Inventory'!ED57*'POSF Emiss by Zone'!$D$6*'POSF Zone Def'!$Y54</f>
        <v>76.23</v>
      </c>
      <c r="BC65" s="529">
        <f>'POSF Inventory'!EE57*'POSF Emiss by Zone'!$D$5*'POSF Zone Def'!$Y54</f>
        <v>0</v>
      </c>
      <c r="BD65" s="524">
        <f>'POSF Inventory'!EF57*'POSF Emiss by Zone'!$D$6*'POSF Zone Def'!$Y54</f>
        <v>0</v>
      </c>
      <c r="BE65" s="474">
        <f>'POSF Inventory'!EA57*'POSF Emiss by Zone'!$D$5*'POSF Zone Def'!$Z54</f>
        <v>0</v>
      </c>
      <c r="BF65" s="474">
        <f>'POSF Inventory'!EB57*'POSF Emiss by Zone'!$D$6*'POSF Zone Def'!$Z54</f>
        <v>0</v>
      </c>
      <c r="BG65" s="474">
        <f>'POSF Inventory'!EC57*'POSF Emiss by Zone'!$D$5*'POSF Zone Def'!$Z54</f>
        <v>0.84499999999999997</v>
      </c>
      <c r="BH65" s="474">
        <f>'POSF Inventory'!ED57*'POSF Emiss by Zone'!$D$6*'POSF Zone Def'!$Z54</f>
        <v>8.4700000000000006</v>
      </c>
      <c r="BI65" s="474">
        <f>'POSF Inventory'!EE57*'POSF Emiss by Zone'!$D$5*'POSF Zone Def'!$Z54</f>
        <v>0</v>
      </c>
      <c r="BJ65" s="549">
        <f>'POSF Inventory'!EF57*'POSF Emiss by Zone'!$D$6*'POSF Zone Def'!$Z54</f>
        <v>0</v>
      </c>
      <c r="BK65" s="705">
        <f>'POSF Inventory'!$EA57*'POSF Emiss by Zone'!$D$5*'POSF Zone Def'!$AC54</f>
        <v>0</v>
      </c>
      <c r="BL65" s="705">
        <f>'POSF Inventory'!$EB57*'POSF Emiss by Zone'!$D$6*'POSF Zone Def'!$AC54</f>
        <v>0</v>
      </c>
      <c r="BM65" s="705">
        <f>'POSF Inventory'!$EC57*'POSF Emiss by Zone'!$D$5*'POSF Zone Def'!$AC54</f>
        <v>0</v>
      </c>
      <c r="BN65" s="705">
        <f>'POSF Inventory'!$ED57*'POSF Emiss by Zone'!$D$6*'POSF Zone Def'!$AC54</f>
        <v>0</v>
      </c>
      <c r="BO65" s="705">
        <f>'POSF Inventory'!$EE57*'POSF Emiss by Zone'!$D$5*'POSF Zone Def'!$AC54</f>
        <v>0</v>
      </c>
      <c r="BP65" s="708">
        <f>'POSF Inventory'!$EF57*'POSF Emiss by Zone'!$D$6*'POSF Zone Def'!$AC54</f>
        <v>0</v>
      </c>
      <c r="BQ65" s="529">
        <f>'POSF Inventory'!EG57*'POSF Emiss by Zone'!$D$5*'POSF Zone Def'!$BB54</f>
        <v>0</v>
      </c>
      <c r="BR65" s="529">
        <f>'POSF Inventory'!EH57*'POSF Emiss by Zone'!$D$6*'POSF Zone Def'!$BB54</f>
        <v>0</v>
      </c>
      <c r="BS65" s="529">
        <f>'POSF Inventory'!EI57*'POSF Emiss by Zone'!$D$5*'POSF Zone Def'!$BB54</f>
        <v>4.7275373437500002E-3</v>
      </c>
      <c r="BT65" s="529">
        <f>'POSF Inventory'!EJ57*'POSF Emiss by Zone'!$D$6*'POSF Zone Def'!$BB54</f>
        <v>4.7387267812500002E-2</v>
      </c>
      <c r="BU65" s="529">
        <f>'POSF Inventory'!EK57*'POSF Emiss by Zone'!$D$5*'POSF Zone Def'!$BB54</f>
        <v>0</v>
      </c>
      <c r="BV65" s="524">
        <f>'POSF Inventory'!EL57*'POSF Emiss by Zone'!$D$6*'POSF Zone Def'!$BB54</f>
        <v>0</v>
      </c>
      <c r="BW65" s="474">
        <f>'POSF Inventory'!EG57*'POSF Emiss by Zone'!$D$5*'POSF Zone Def'!$BC54</f>
        <v>0</v>
      </c>
      <c r="BX65" s="474">
        <f>'POSF Inventory'!EH57*'POSF Emiss by Zone'!$D$6*'POSF Zone Def'!$BC54</f>
        <v>0</v>
      </c>
      <c r="BY65" s="474">
        <f>'POSF Inventory'!EI57*'POSF Emiss by Zone'!$D$5*'POSF Zone Def'!$BC54</f>
        <v>1.103092046875E-2</v>
      </c>
      <c r="BZ65" s="474">
        <f>'POSF Inventory'!EJ57*'POSF Emiss by Zone'!$D$6*'POSF Zone Def'!$BC54</f>
        <v>0.11057029156249999</v>
      </c>
      <c r="CA65" s="474">
        <f>'POSF Inventory'!EK57*'POSF Emiss by Zone'!$D$5*'POSF Zone Def'!$BC54</f>
        <v>0</v>
      </c>
      <c r="CB65" s="134">
        <f>'POSF Inventory'!EL57*'POSF Emiss by Zone'!$D$6*'POSF Zone Def'!$BC54</f>
        <v>0</v>
      </c>
      <c r="CC65" s="529">
        <f>'POSF Inventory'!GC57*'POSF Emiss by Zone'!$D$7*'POSF Zone Def'!$M54</f>
        <v>5.9493999999999997E-4</v>
      </c>
      <c r="CD65" s="529">
        <f>'POSF Inventory'!GD57*'POSF Emiss by Zone'!$D$9*'POSF Zone Def'!$M54</f>
        <v>7.3549457500000004E-4</v>
      </c>
      <c r="CE65" s="529">
        <f>'POSF Inventory'!GE57*'POSF Emiss by Zone'!$D$7*'POSF Zone Def'!$M54</f>
        <v>1.7848199999999998E-2</v>
      </c>
      <c r="CF65" s="529">
        <f>'POSF Inventory'!GF57*'POSF Emiss by Zone'!$D$9*'POSF Zone Def'!$M54</f>
        <v>2.206483725E-2</v>
      </c>
      <c r="CG65" s="529">
        <f>'POSF Inventory'!GG57*'POSF Emiss by Zone'!$D$7*'POSF Zone Def'!$M54</f>
        <v>0</v>
      </c>
      <c r="CH65" s="524">
        <f>'POSF Inventory'!GH57*'POSF Emiss by Zone'!$D$9*'POSF Zone Def'!$M54</f>
        <v>0</v>
      </c>
      <c r="CI65" s="474">
        <f>'POSF Inventory'!GC57*'POSF Emiss by Zone'!$D$7*'POSF Zone Def'!$N54</f>
        <v>5.9493999999999997E-4</v>
      </c>
      <c r="CJ65" s="474">
        <f>'POSF Inventory'!GD57*'POSF Emiss by Zone'!$D$9*'POSF Zone Def'!$N54</f>
        <v>7.3549457500000004E-4</v>
      </c>
      <c r="CK65" s="474">
        <f>'POSF Inventory'!GE57*'POSF Emiss by Zone'!$D$7*'POSF Zone Def'!$N54</f>
        <v>1.7848199999999998E-2</v>
      </c>
      <c r="CL65" s="474">
        <f>'POSF Inventory'!GF57*'POSF Emiss by Zone'!$D$9*'POSF Zone Def'!$N54</f>
        <v>2.206483725E-2</v>
      </c>
      <c r="CM65" s="474">
        <f>'POSF Inventory'!GG57*'POSF Emiss by Zone'!$D$7*'POSF Zone Def'!$N54</f>
        <v>0</v>
      </c>
      <c r="CN65" s="485">
        <f>'POSF Inventory'!GH57*'POSF Emiss by Zone'!$D$9*'POSF Zone Def'!$N54</f>
        <v>0</v>
      </c>
      <c r="CO65" s="529">
        <f>'POSF Inventory'!GI57*'POSF Emiss by Zone'!$D$7*'POSF Zone Def'!$AP54</f>
        <v>2.8368000000000002E-4</v>
      </c>
      <c r="CP65" s="529">
        <f>'POSF Inventory'!GJ57*'POSF Emiss by Zone'!$D$9*'POSF Zone Def'!$AP54</f>
        <v>3.5069940000000008E-4</v>
      </c>
      <c r="CQ65" s="529">
        <f>'POSF Inventory'!GK57*'POSF Emiss by Zone'!$D$7*'POSF Zone Def'!$AP54</f>
        <v>4.2551999999999998E-3</v>
      </c>
      <c r="CR65" s="529">
        <f>'POSF Inventory'!GL57*'POSF Emiss by Zone'!$D$9*'POSF Zone Def'!$AP54</f>
        <v>5.260491E-3</v>
      </c>
      <c r="CS65" s="529">
        <f>'POSF Inventory'!GM57*'POSF Emiss by Zone'!$D$7*'POSF Zone Def'!$AP54</f>
        <v>1.5602399999999999E-2</v>
      </c>
      <c r="CT65" s="524">
        <f>'POSF Inventory'!GN57*'POSF Emiss by Zone'!$D$9*'POSF Zone Def'!$AP54</f>
        <v>7.7153868E-2</v>
      </c>
      <c r="CU65" s="474">
        <f>'POSF Inventory'!GI57*'POSF Emiss by Zone'!$D$7*'POSF Zone Def'!$AQ54</f>
        <v>6.6192000000000009E-4</v>
      </c>
      <c r="CV65" s="474">
        <f>'POSF Inventory'!GJ57*'POSF Emiss by Zone'!$D$9*'POSF Zone Def'!$AQ54</f>
        <v>8.1829860000000017E-4</v>
      </c>
      <c r="CW65" s="474">
        <f>'POSF Inventory'!GK57*'POSF Emiss by Zone'!$D$7*'POSF Zone Def'!$AQ54</f>
        <v>9.9287999999999998E-3</v>
      </c>
      <c r="CX65" s="474">
        <f>'POSF Inventory'!GL57*'POSF Emiss by Zone'!$D$9*'POSF Zone Def'!$AQ54</f>
        <v>1.2274479E-2</v>
      </c>
      <c r="CY65" s="474">
        <f>'POSF Inventory'!GM57*'POSF Emiss by Zone'!$D$7*'POSF Zone Def'!$AQ54</f>
        <v>3.6405599999999996E-2</v>
      </c>
      <c r="CZ65" s="134">
        <f>'POSF Inventory'!GN57*'POSF Emiss by Zone'!$D$9*'POSF Zone Def'!$AQ54</f>
        <v>0.18002569200000001</v>
      </c>
      <c r="DA65" s="529">
        <f>SUM('POSF Inventory'!GQ57,'POSF Inventory'!GS57)*'POSF Emiss by Zone'!$D$7*'POSF Zone Def'!$Y54</f>
        <v>0.7509121753495499</v>
      </c>
      <c r="DB65" s="529">
        <f>SUM('POSF Inventory'!GR57,'POSF Inventory'!GT57)*'POSF Emiss by Zone'!$D$9*'POSF Zone Def'!$Y54</f>
        <v>81.004661207335204</v>
      </c>
      <c r="DC65" s="529"/>
      <c r="DD65" s="529"/>
      <c r="DE65" s="529">
        <f>'POSF Inventory'!GU57*'POSF Emiss by Zone'!$D$7*'POSF Zone Def'!$Y54</f>
        <v>0</v>
      </c>
      <c r="DF65" s="524">
        <f>'POSF Inventory'!GV57*'POSF Emiss by Zone'!$D$9*'POSF Zone Def'!$Y54</f>
        <v>0</v>
      </c>
      <c r="DG65" s="474">
        <f>SUM('POSF Inventory'!GQ57,'POSF Inventory'!GS57)*'POSF Emiss by Zone'!$D$7*'POSF Zone Def'!$Z54</f>
        <v>8.3434686149949991E-2</v>
      </c>
      <c r="DH65" s="474">
        <f>SUM('POSF Inventory'!GR57,'POSF Inventory'!GT57)*'POSF Emiss by Zone'!$D$9*'POSF Zone Def'!$Z54</f>
        <v>9.0005179119261332</v>
      </c>
      <c r="DI65" s="474"/>
      <c r="DJ65" s="474"/>
      <c r="DK65" s="474">
        <f>'POSF Inventory'!GU57*'POSF Emiss by Zone'!$D$7*'POSF Zone Def'!$Z54</f>
        <v>0</v>
      </c>
      <c r="DL65" s="485">
        <f>'POSF Inventory'!GV57*'POSF Emiss by Zone'!$D$9*'POSF Zone Def'!$Z54</f>
        <v>0</v>
      </c>
      <c r="DM65" s="705">
        <f>SUM('POSF Inventory'!$GQ57,'POSF Inventory'!$GS57)*'POSF Emiss by Zone'!$D$7*'POSF Zone Def'!$AC54</f>
        <v>0</v>
      </c>
      <c r="DN65" s="705">
        <f>SUM('POSF Inventory'!$GR57,'POSF Inventory'!$GT57)*'POSF Emiss by Zone'!$D$9*'POSF Zone Def'!$AC54</f>
        <v>0</v>
      </c>
      <c r="DO65" s="705"/>
      <c r="DP65" s="705"/>
      <c r="DQ65" s="705">
        <f>'POSF Inventory'!$GU57*'POSF Emiss by Zone'!$D$7*'POSF Zone Def'!$AC54</f>
        <v>0</v>
      </c>
      <c r="DR65" s="708">
        <f>'POSF Inventory'!$GV57*'POSF Emiss by Zone'!$D$9*'POSF Zone Def'!$AC54</f>
        <v>0</v>
      </c>
      <c r="DS65" s="529">
        <f>SUM('POSF Inventory'!GW57,'POSF Inventory'!GY57)*$D$7*'POSF Zone Def'!$BB54</f>
        <v>1.1658834403125002E-3</v>
      </c>
      <c r="DT65" s="529">
        <f>SUM('POSF Inventory'!GX57,'POSF Inventory'!GZ57)*$D$9*'POSF Zone Def'!$BB54</f>
        <v>3.8732237906250008E-2</v>
      </c>
      <c r="DU65" s="529"/>
      <c r="DV65" s="529"/>
      <c r="DW65" s="529">
        <f>'POSF Inventory'!HA57*'POSF Emiss by Zone'!$D$7*'POSF Zone Def'!$BB54</f>
        <v>0</v>
      </c>
      <c r="DX65" s="524">
        <f>'POSF Inventory'!HB57*'POSF Emiss by Zone'!$D$9*'POSF Zone Def'!$BB54</f>
        <v>0</v>
      </c>
      <c r="DY65" s="474">
        <f>SUM('POSF Inventory'!GW57,'POSF Inventory'!GY57)*$D$7*'POSF Zone Def'!$BC54</f>
        <v>2.7203946940625003E-3</v>
      </c>
      <c r="DZ65" s="474">
        <f>SUM('POSF Inventory'!GX57,'POSF Inventory'!GZ57)*$D$9*'POSF Zone Def'!$BC54</f>
        <v>9.0375221781250015E-2</v>
      </c>
      <c r="EA65" s="474"/>
      <c r="EB65" s="474"/>
      <c r="EC65" s="474">
        <f>'POSF Inventory'!HA57*'POSF Emiss by Zone'!$D$7*'POSF Zone Def'!$BC54</f>
        <v>0</v>
      </c>
      <c r="ED65" s="134">
        <f>'POSF Inventory'!HB57*'POSF Emiss by Zone'!$D$9*'POSF Zone Def'!$BC54</f>
        <v>0</v>
      </c>
      <c r="EE65" s="235">
        <f>'POSF Inventory'!$CF57*'POSF Emiss by Zone'!$D$7*'POSF Zone Def'!$CE54</f>
        <v>0</v>
      </c>
      <c r="EF65" s="235">
        <f>'POSF Inventory'!$CG57*'POSF Emiss by Zone'!$D$9*'POSF Zone Def'!$CE54</f>
        <v>0</v>
      </c>
      <c r="EG65" s="235">
        <f>'POSF Inventory'!$CH57*'POSF Emiss by Zone'!$D$7*'POSF Zone Def'!$CE54</f>
        <v>0</v>
      </c>
      <c r="EH65" s="235">
        <f>'POSF Inventory'!$CI57*'POSF Emiss by Zone'!$D$9*'POSF Zone Def'!$CE54</f>
        <v>0</v>
      </c>
      <c r="EI65" s="235">
        <f>'POSF Inventory'!$CJ57*'POSF Emiss by Zone'!$D$7*'POSF Zone Def'!$CE54</f>
        <v>0</v>
      </c>
      <c r="EJ65" s="580">
        <f>'POSF Inventory'!$CK57*'POSF Emiss by Zone'!$D$9*'POSF Zone Def'!$CE54</f>
        <v>0</v>
      </c>
      <c r="EK65" s="235">
        <f>'POSF Inventory'!$CF57*'POSF Emiss by Zone'!$D$7*'POSF Zone Def'!$CF54</f>
        <v>0</v>
      </c>
      <c r="EL65" s="235">
        <f>'POSF Inventory'!$CG57*'POSF Emiss by Zone'!$D$9*'POSF Zone Def'!$CF54</f>
        <v>0</v>
      </c>
      <c r="EM65" s="235">
        <f>'POSF Inventory'!$CH57*'POSF Emiss by Zone'!$D$7*'POSF Zone Def'!$CF54</f>
        <v>0</v>
      </c>
      <c r="EN65" s="235">
        <f>'POSF Inventory'!$CI57*'POSF Emiss by Zone'!$D$9*'POSF Zone Def'!$CF54</f>
        <v>0</v>
      </c>
      <c r="EO65" s="235">
        <f>'POSF Inventory'!$CJ57*'POSF Emiss by Zone'!$D$7*'POSF Zone Def'!$CF54</f>
        <v>0</v>
      </c>
      <c r="EP65" s="580">
        <f>'POSF Inventory'!$CK57*'POSF Emiss by Zone'!$D$9*'POSF Zone Def'!$CF54</f>
        <v>0</v>
      </c>
      <c r="EQ65" s="235">
        <f>'POSF Inventory'!$CF57*'POSF Emiss by Zone'!$D$7*'POSF Zone Def'!$CG54</f>
        <v>7.9451677137129376E-5</v>
      </c>
      <c r="ER65" s="235">
        <f>'POSF Inventory'!$CG57*'POSF Emiss by Zone'!$D$9*'POSF Zone Def'!$CG54</f>
        <v>9.8222135860776198E-5</v>
      </c>
      <c r="ES65" s="235">
        <f>'POSF Inventory'!$CH57*'POSF Emiss by Zone'!$D$7*'POSF Zone Def'!$CG54</f>
        <v>0</v>
      </c>
      <c r="ET65" s="235">
        <f>'POSF Inventory'!$CI57*'POSF Emiss by Zone'!$D$9*'POSF Zone Def'!$CG54</f>
        <v>0</v>
      </c>
      <c r="EU65" s="235">
        <f>'POSF Inventory'!$CJ57*'POSF Emiss by Zone'!$D$7*'POSF Zone Def'!$CG54</f>
        <v>7.1506509423416439E-4</v>
      </c>
      <c r="EV65" s="580">
        <f>'POSF Inventory'!$CK57*'POSF Emiss by Zone'!$D$9*'POSF Zone Def'!$CG54</f>
        <v>8.8399922274698579E-4</v>
      </c>
      <c r="EW65" s="235">
        <f>'POSF Inventory'!$CF57*'POSF Emiss by Zone'!$D$7*'POSF Zone Def'!$CH54</f>
        <v>1.0448341594393775</v>
      </c>
      <c r="EX65" s="235">
        <f>'POSF Inventory'!$CG57*'POSF Emiss by Zone'!$D$9*'POSF Zone Def'!$CH54</f>
        <v>1.2916762296069306</v>
      </c>
      <c r="EY65" s="235">
        <f>'POSF Inventory'!$CH57*'POSF Emiss by Zone'!$D$7*'POSF Zone Def'!$CH54</f>
        <v>0</v>
      </c>
      <c r="EZ65" s="235">
        <f>'POSF Inventory'!$CI57*'POSF Emiss by Zone'!$D$9*'POSF Zone Def'!$CH54</f>
        <v>0</v>
      </c>
      <c r="FA65" s="235">
        <f>'POSF Inventory'!$CJ57*'POSF Emiss by Zone'!$D$7*'POSF Zone Def'!$CH54</f>
        <v>9.4035074349543972</v>
      </c>
      <c r="FB65" s="580">
        <f>'POSF Inventory'!$CK57*'POSF Emiss by Zone'!$D$9*'POSF Zone Def'!$CH54</f>
        <v>11.625086066462375</v>
      </c>
      <c r="FC65" s="235">
        <f>'POSF Inventory'!$CF57*'POSF Emiss by Zone'!$D$7*'POSF Zone Def'!$CI54</f>
        <v>0.95508638888348529</v>
      </c>
      <c r="FD65" s="235">
        <f>'POSF Inventory'!$CG57*'POSF Emiss by Zone'!$D$9*'POSF Zone Def'!$CI54</f>
        <v>1.1807255482572088</v>
      </c>
      <c r="FE65" s="235">
        <f>'POSF Inventory'!$CH57*'POSF Emiss by Zone'!$D$7*'POSF Zone Def'!$CI54</f>
        <v>0</v>
      </c>
      <c r="FF65" s="235">
        <f>'POSF Inventory'!$CI57*'POSF Emiss by Zone'!$D$9*'POSF Zone Def'!$CI54</f>
        <v>0</v>
      </c>
      <c r="FG65" s="235">
        <f>'POSF Inventory'!$CJ57*'POSF Emiss by Zone'!$D$7*'POSF Zone Def'!$CI54</f>
        <v>8.5957774999513674</v>
      </c>
      <c r="FH65" s="577">
        <f>'POSF Inventory'!$CK57*'POSF Emiss by Zone'!$D$9*'POSF Zone Def'!$CI54</f>
        <v>10.626529934314879</v>
      </c>
      <c r="FI65" s="595"/>
      <c r="FJ65" s="595"/>
      <c r="FM65" s="592">
        <v>48</v>
      </c>
      <c r="FN65" s="592">
        <f t="shared" si="98"/>
        <v>2002</v>
      </c>
      <c r="FO65" s="587">
        <v>45</v>
      </c>
      <c r="FP65" s="551">
        <f t="shared" si="20"/>
        <v>0.18635756749999996</v>
      </c>
      <c r="FQ65" s="529">
        <f t="shared" si="21"/>
        <v>0.18679865049999994</v>
      </c>
      <c r="FR65" s="529">
        <f t="shared" si="22"/>
        <v>0</v>
      </c>
      <c r="FS65" s="529">
        <f t="shared" si="23"/>
        <v>0</v>
      </c>
      <c r="FT65" s="529">
        <f t="shared" si="24"/>
        <v>4.4945549999999994E-2</v>
      </c>
      <c r="FU65" s="524">
        <f t="shared" si="25"/>
        <v>4.5051929999999997E-2</v>
      </c>
      <c r="FV65" s="474">
        <f t="shared" si="26"/>
        <v>0.26725955749999997</v>
      </c>
      <c r="FW65" s="474">
        <f t="shared" si="27"/>
        <v>0.26789212449999994</v>
      </c>
      <c r="FX65" s="474">
        <f t="shared" si="28"/>
        <v>0</v>
      </c>
      <c r="FY65" s="474">
        <f t="shared" si="29"/>
        <v>0</v>
      </c>
      <c r="FZ65" s="474">
        <f t="shared" si="30"/>
        <v>0.10487294999999999</v>
      </c>
      <c r="GA65" s="134">
        <f t="shared" si="31"/>
        <v>0.10512117</v>
      </c>
      <c r="GB65" s="529">
        <f t="shared" si="32"/>
        <v>0</v>
      </c>
      <c r="GC65" s="529">
        <f t="shared" si="33"/>
        <v>0</v>
      </c>
      <c r="GD65" s="529">
        <f t="shared" si="34"/>
        <v>7.7886932107507469</v>
      </c>
      <c r="GE65" s="529">
        <f t="shared" si="35"/>
        <v>76.183271952751497</v>
      </c>
      <c r="GF65" s="529">
        <f t="shared" si="36"/>
        <v>7.4610806772908364E-2</v>
      </c>
      <c r="GG65" s="524">
        <f t="shared" si="37"/>
        <v>7.4787400398406381E-2</v>
      </c>
      <c r="GH65" s="474">
        <f t="shared" si="38"/>
        <v>0</v>
      </c>
      <c r="GI65" s="474">
        <f t="shared" si="39"/>
        <v>0</v>
      </c>
      <c r="GJ65" s="474">
        <f t="shared" si="40"/>
        <v>1.1156235325883965</v>
      </c>
      <c r="GK65" s="474">
        <f t="shared" si="41"/>
        <v>8.8100103389566726</v>
      </c>
      <c r="GL65" s="474">
        <f t="shared" si="42"/>
        <v>0.17409188247011953</v>
      </c>
      <c r="GM65" s="705">
        <f t="shared" si="43"/>
        <v>0.17450393426294819</v>
      </c>
      <c r="GN65" s="705">
        <f t="shared" si="44"/>
        <v>0</v>
      </c>
      <c r="GO65" s="705">
        <f t="shared" si="45"/>
        <v>0</v>
      </c>
      <c r="GP65" s="705">
        <f t="shared" si="46"/>
        <v>0</v>
      </c>
      <c r="GQ65" s="705">
        <f t="shared" si="47"/>
        <v>0</v>
      </c>
      <c r="GR65" s="705">
        <f t="shared" si="48"/>
        <v>0</v>
      </c>
      <c r="GS65" s="134">
        <f t="shared" si="49"/>
        <v>0</v>
      </c>
      <c r="GT65" s="529">
        <f t="shared" si="50"/>
        <v>1.5599102508793962E-2</v>
      </c>
      <c r="GU65" s="529">
        <f t="shared" si="51"/>
        <v>1.6790091399359584</v>
      </c>
      <c r="GV65" s="529">
        <f t="shared" si="52"/>
        <v>4.5791904382470118E-4</v>
      </c>
      <c r="GW65" s="529">
        <f t="shared" si="53"/>
        <v>5.6610241792828689E-4</v>
      </c>
      <c r="GX65" s="529">
        <f t="shared" si="54"/>
        <v>3.2323697211155376E-4</v>
      </c>
      <c r="GY65" s="524">
        <f t="shared" si="55"/>
        <v>1.5984068270916334E-3</v>
      </c>
      <c r="GZ65" s="474">
        <f t="shared" si="56"/>
        <v>1.8109246708719719E-3</v>
      </c>
      <c r="HA65" s="474">
        <f t="shared" si="57"/>
        <v>0.18836941840553145</v>
      </c>
      <c r="HB65" s="474">
        <f t="shared" si="58"/>
        <v>5.754597609561753E-4</v>
      </c>
      <c r="HC65" s="474">
        <f t="shared" si="59"/>
        <v>7.1141212948207168E-4</v>
      </c>
      <c r="HD65" s="474">
        <f t="shared" si="60"/>
        <v>7.5421960159362538E-4</v>
      </c>
      <c r="HE65" s="549">
        <f t="shared" si="61"/>
        <v>3.7296159298804781E-3</v>
      </c>
      <c r="HF65" s="235">
        <f t="shared" si="62"/>
        <v>8.2300542054396955E-5</v>
      </c>
      <c r="HG65" s="235">
        <f t="shared" si="63"/>
        <v>1.0174404511474825E-4</v>
      </c>
      <c r="HH65" s="235">
        <f t="shared" si="64"/>
        <v>0</v>
      </c>
      <c r="HI65" s="235">
        <f t="shared" si="65"/>
        <v>0</v>
      </c>
      <c r="HJ65" s="235">
        <f t="shared" si="66"/>
        <v>7.4070487848957266E-4</v>
      </c>
      <c r="HK65" s="580">
        <f t="shared" si="67"/>
        <v>9.1569640603273426E-4</v>
      </c>
      <c r="HL65" s="235">
        <f t="shared" si="68"/>
        <v>1.0822983324870046</v>
      </c>
      <c r="HM65" s="235">
        <f t="shared" si="69"/>
        <v>1.3379913135370596</v>
      </c>
      <c r="HN65" s="235">
        <f t="shared" si="70"/>
        <v>0</v>
      </c>
      <c r="HO65" s="235">
        <f t="shared" si="71"/>
        <v>0</v>
      </c>
      <c r="HP65" s="235">
        <f t="shared" si="72"/>
        <v>9.7406849923830414</v>
      </c>
      <c r="HQ65" s="580">
        <f t="shared" si="73"/>
        <v>12.041921821833535</v>
      </c>
      <c r="HR65" s="235">
        <f t="shared" si="74"/>
        <v>0.98933251438129943</v>
      </c>
      <c r="HS65" s="235">
        <f t="shared" si="75"/>
        <v>1.2230623209038816</v>
      </c>
      <c r="HT65" s="235">
        <f t="shared" si="76"/>
        <v>0</v>
      </c>
      <c r="HU65" s="235">
        <f t="shared" si="77"/>
        <v>0</v>
      </c>
      <c r="HV65" s="235">
        <f t="shared" si="78"/>
        <v>8.9039926294316949</v>
      </c>
      <c r="HW65" s="577">
        <f t="shared" si="79"/>
        <v>11.007560888134934</v>
      </c>
      <c r="HX65" s="235">
        <f t="shared" si="80"/>
        <v>0.82903230179428833</v>
      </c>
      <c r="HY65" s="235">
        <f t="shared" si="81"/>
        <v>89.232878060134894</v>
      </c>
      <c r="HZ65" s="235">
        <f t="shared" si="82"/>
        <v>2.4336635952191231E-2</v>
      </c>
      <c r="IA65" s="235">
        <f t="shared" si="83"/>
        <v>3.0086166195896411E-2</v>
      </c>
      <c r="IB65" s="235">
        <f t="shared" si="84"/>
        <v>1.7178801848605575E-2</v>
      </c>
      <c r="IC65" s="235">
        <f t="shared" si="85"/>
        <v>8.4949175141354569E-2</v>
      </c>
      <c r="ID65" s="235">
        <f t="shared" si="86"/>
        <v>9.624368116195732E-2</v>
      </c>
      <c r="IE65" s="235">
        <f t="shared" si="87"/>
        <v>10.011110090490899</v>
      </c>
      <c r="IF65" s="235">
        <f t="shared" si="88"/>
        <v>3.05834729880478E-2</v>
      </c>
      <c r="IG65" s="235">
        <f t="shared" si="89"/>
        <v>3.7808818481474098E-2</v>
      </c>
      <c r="IH65" s="235">
        <f t="shared" si="90"/>
        <v>4.0083870980079671E-2</v>
      </c>
      <c r="II65" s="235">
        <f t="shared" si="91"/>
        <v>0.198214741996494</v>
      </c>
      <c r="IJ65" s="235">
        <f t="shared" si="92"/>
        <v>0</v>
      </c>
      <c r="IK65" s="235">
        <f t="shared" si="93"/>
        <v>0</v>
      </c>
      <c r="IL65" s="235">
        <f t="shared" si="94"/>
        <v>0</v>
      </c>
      <c r="IM65" s="235">
        <f t="shared" si="95"/>
        <v>0</v>
      </c>
      <c r="IN65" s="235">
        <f t="shared" si="96"/>
        <v>0</v>
      </c>
      <c r="IO65" s="235">
        <f t="shared" si="97"/>
        <v>0</v>
      </c>
    </row>
    <row r="66" spans="1:249" ht="18" x14ac:dyDescent="0.25">
      <c r="A66" s="9">
        <v>2003</v>
      </c>
      <c r="B66" s="564"/>
      <c r="C66" s="530">
        <f>'POSF Inventory'!AD58*$D$5*'POSF Zone Def'!$M55</f>
        <v>4.161625E-2</v>
      </c>
      <c r="D66" s="530">
        <f>'POSF Inventory'!AE58*$D$6*'POSF Zone Def'!$M55</f>
        <v>0.1334872</v>
      </c>
      <c r="E66" s="530">
        <f>'POSF Inventory'!AF58*$D$5*'POSF Zone Def'!$M55</f>
        <v>0</v>
      </c>
      <c r="F66" s="530">
        <f>'POSF Inventory'!AG58*$D$6*'POSF Zone Def'!$M55</f>
        <v>0</v>
      </c>
      <c r="G66" s="530">
        <f>'POSF Inventory'!AH58*$D$5*'POSF Zone Def'!$M55</f>
        <v>0</v>
      </c>
      <c r="H66" s="531">
        <f>'POSF Inventory'!AI58*$D$6*'POSF Zone Def'!$M55</f>
        <v>0</v>
      </c>
      <c r="I66" s="57">
        <f>'POSF Inventory'!AD58*$D$5*'POSF Zone Def'!$N55</f>
        <v>4.161625E-2</v>
      </c>
      <c r="J66" s="57">
        <f>'POSF Inventory'!AE58*$D$6*'POSF Zone Def'!$N55</f>
        <v>0.1334872</v>
      </c>
      <c r="K66" s="57">
        <f>'POSF Inventory'!AF58*$D$5*'POSF Zone Def'!$N55</f>
        <v>0</v>
      </c>
      <c r="L66" s="57">
        <f>'POSF Inventory'!AG58*$D$6*'POSF Zone Def'!$N55</f>
        <v>0</v>
      </c>
      <c r="M66" s="57">
        <f>'POSF Inventory'!AH58*$D$5*'POSF Zone Def'!$N55</f>
        <v>0</v>
      </c>
      <c r="N66" s="127">
        <f>'POSF Inventory'!AI58*$D$6*'POSF Zone Def'!$N55</f>
        <v>0</v>
      </c>
      <c r="O66" s="530">
        <f>'POSF Inventory'!AJ58*$D$5*'POSF Zone Def'!$AP55</f>
        <v>0.10112748749999999</v>
      </c>
      <c r="P66" s="530">
        <f>'POSF Inventory'!AK58*$D$6*'POSF Zone Def'!$AP55</f>
        <v>0.1013668425</v>
      </c>
      <c r="Q66" s="530">
        <f>'POSF Inventory'!AL58*$D$5*'POSF Zone Def'!$AP55</f>
        <v>0</v>
      </c>
      <c r="R66" s="530">
        <f>'POSF Inventory'!AM58*$D$6*'POSF Zone Def'!$AP55</f>
        <v>0</v>
      </c>
      <c r="S66" s="530">
        <f>'POSF Inventory'!AN58*$D$5*'POSF Zone Def'!$AP55</f>
        <v>7.4909249999999997E-2</v>
      </c>
      <c r="T66" s="531">
        <f>'POSF Inventory'!AO58*$D$6*'POSF Zone Def'!$AP55</f>
        <v>7.5086549999999988E-2</v>
      </c>
      <c r="U66" s="57">
        <f>'POSF Inventory'!AJ58*$D$5*'POSF Zone Def'!$AQ55</f>
        <v>0.23596413749999995</v>
      </c>
      <c r="V66" s="57">
        <f>'POSF Inventory'!AK58*$D$6*'POSF Zone Def'!$AQ55</f>
        <v>0.23652263249999997</v>
      </c>
      <c r="W66" s="57">
        <f>'POSF Inventory'!AL58*$D$5*'POSF Zone Def'!$AQ55</f>
        <v>0</v>
      </c>
      <c r="X66" s="57">
        <f>'POSF Inventory'!AM58*$D$6*'POSF Zone Def'!$AQ55</f>
        <v>0</v>
      </c>
      <c r="Y66" s="57">
        <f>'POSF Inventory'!AN58*$D$5*'POSF Zone Def'!$AQ55</f>
        <v>0.17478824999999998</v>
      </c>
      <c r="Z66" s="81">
        <f>'POSF Inventory'!AO58*$D$6*'POSF Zone Def'!$AQ55</f>
        <v>0.17520194999999997</v>
      </c>
      <c r="AA66" s="530">
        <f>'POSF Inventory'!AV58*'POSF Emiss by Zone'!$D$5*'POSF Zone Def'!$M55</f>
        <v>0</v>
      </c>
      <c r="AB66" s="530">
        <f>'POSF Inventory'!AW58*'POSF Emiss by Zone'!$D$6*'POSF Zone Def'!$M55</f>
        <v>0</v>
      </c>
      <c r="AC66" s="530">
        <f>'POSF Inventory'!AX58*'POSF Emiss by Zone'!$D$5*'POSF Zone Def'!$M55</f>
        <v>5.6181937500000001E-2</v>
      </c>
      <c r="AD66" s="530">
        <f>'POSF Inventory'!AY58*'POSF Emiss by Zone'!$D$6*'POSF Zone Def'!$M55</f>
        <v>0.18020771999999999</v>
      </c>
      <c r="AE66" s="530">
        <f>'POSF Inventory'!AZ58*'POSF Emiss by Zone'!$D$5*'POSF Zone Def'!$M55</f>
        <v>0</v>
      </c>
      <c r="AF66" s="531">
        <f>'POSF Inventory'!BA58*'POSF Emiss by Zone'!$D$6*'POSF Zone Def'!$M55</f>
        <v>0</v>
      </c>
      <c r="AG66" s="57">
        <f>'POSF Inventory'!AV58*'POSF Emiss by Zone'!$D$5*'POSF Zone Def'!$N55</f>
        <v>0</v>
      </c>
      <c r="AH66" s="57">
        <f>'POSF Inventory'!AW58*'POSF Emiss by Zone'!$D$6*'POSF Zone Def'!$N55</f>
        <v>0</v>
      </c>
      <c r="AI66" s="57">
        <f>'POSF Inventory'!AX58*'POSF Emiss by Zone'!$D$5*'POSF Zone Def'!$N55</f>
        <v>5.6181937500000001E-2</v>
      </c>
      <c r="AJ66" s="57">
        <f>'POSF Inventory'!AY58*'POSF Emiss by Zone'!$D$6*'POSF Zone Def'!$N55</f>
        <v>0.18020771999999999</v>
      </c>
      <c r="AK66" s="57">
        <f>'POSF Inventory'!AZ58*'POSF Emiss by Zone'!$D$5*'POSF Zone Def'!$N55</f>
        <v>0</v>
      </c>
      <c r="AL66" s="127">
        <f>'POSF Inventory'!BA58*'POSF Emiss by Zone'!$D$6*'POSF Zone Def'!$N55</f>
        <v>0</v>
      </c>
      <c r="AM66" s="530">
        <f>'POSF Inventory'!BB58*'POSF Emiss by Zone'!$D$5*'POSF Zone Def'!$AP55</f>
        <v>0</v>
      </c>
      <c r="AN66" s="530">
        <f>'POSF Inventory'!BC58*'POSF Emiss by Zone'!$D$6*'POSF Zone Def'!$AP55</f>
        <v>0</v>
      </c>
      <c r="AO66" s="530">
        <f>'POSF Inventory'!BD58*'POSF Emiss by Zone'!$D$5*'POSF Zone Def'!$AP55</f>
        <v>6.7418325000000001E-2</v>
      </c>
      <c r="AP66" s="530">
        <f>'POSF Inventory'!BE58*'POSF Emiss by Zone'!$D$6*'POSF Zone Def'!$AP55</f>
        <v>6.7577894999999999E-2</v>
      </c>
      <c r="AQ66" s="530">
        <f>'POSF Inventory'!BF58*'POSF Emiss by Zone'!$D$5*'POSF Zone Def'!$AP55</f>
        <v>0.12484874999999999</v>
      </c>
      <c r="AR66" s="531">
        <f>'POSF Inventory'!BG58*'POSF Emiss by Zone'!$D$6*'POSF Zone Def'!$AP55</f>
        <v>0.12514424999999998</v>
      </c>
      <c r="AS66" s="57">
        <f>'POSF Inventory'!BB58*'POSF Emiss by Zone'!$D$5*'POSF Zone Def'!$AQ55</f>
        <v>0</v>
      </c>
      <c r="AT66" s="57">
        <f>'POSF Inventory'!BC58*'POSF Emiss by Zone'!$D$6*'POSF Zone Def'!$AQ55</f>
        <v>0</v>
      </c>
      <c r="AU66" s="57">
        <f>'POSF Inventory'!BD58*'POSF Emiss by Zone'!$D$5*'POSF Zone Def'!$AQ55</f>
        <v>0.157309425</v>
      </c>
      <c r="AV66" s="57">
        <f>'POSF Inventory'!BE58*'POSF Emiss by Zone'!$D$6*'POSF Zone Def'!$AQ55</f>
        <v>0.15768175500000001</v>
      </c>
      <c r="AW66" s="57">
        <f>'POSF Inventory'!BF58*'POSF Emiss by Zone'!$D$5*'POSF Zone Def'!$AQ55</f>
        <v>0.29131374999999998</v>
      </c>
      <c r="AX66" s="81">
        <f>'POSF Inventory'!BG58*'POSF Emiss by Zone'!$D$6*'POSF Zone Def'!$AQ55</f>
        <v>0.29200324999999999</v>
      </c>
      <c r="AY66" s="530">
        <f>'POSF Inventory'!EA58*'POSF Emiss by Zone'!$D$5*'POSF Zone Def'!$Y55</f>
        <v>0</v>
      </c>
      <c r="AZ66" s="530">
        <f>'POSF Inventory'!EB58*'POSF Emiss by Zone'!$D$6*'POSF Zone Def'!$Y55</f>
        <v>0</v>
      </c>
      <c r="BA66" s="530">
        <f>'POSF Inventory'!EC58*'POSF Emiss by Zone'!$D$5*'POSF Zone Def'!$Y55</f>
        <v>5.5759764937500007</v>
      </c>
      <c r="BB66" s="530">
        <f>'POSF Inventory'!ED58*'POSF Emiss by Zone'!$D$6*'POSF Zone Def'!$Y55</f>
        <v>87.889873994999988</v>
      </c>
      <c r="BC66" s="530">
        <f>'POSF Inventory'!EE58*'POSF Emiss by Zone'!$D$5*'POSF Zone Def'!$Y55</f>
        <v>0</v>
      </c>
      <c r="BD66" s="531">
        <f>'POSF Inventory'!EF58*'POSF Emiss by Zone'!$D$6*'POSF Zone Def'!$Y55</f>
        <v>0</v>
      </c>
      <c r="BE66" s="57">
        <f>'POSF Inventory'!EA58*'POSF Emiss by Zone'!$D$5*'POSF Zone Def'!$Z55</f>
        <v>0</v>
      </c>
      <c r="BF66" s="57">
        <f>'POSF Inventory'!EB58*'POSF Emiss by Zone'!$D$6*'POSF Zone Def'!$Z55</f>
        <v>0</v>
      </c>
      <c r="BG66" s="57">
        <f>'POSF Inventory'!EC58*'POSF Emiss by Zone'!$D$5*'POSF Zone Def'!$Z55</f>
        <v>0.61955294375000003</v>
      </c>
      <c r="BH66" s="57">
        <f>'POSF Inventory'!ED58*'POSF Emiss by Zone'!$D$6*'POSF Zone Def'!$Z55</f>
        <v>9.7655415549999987</v>
      </c>
      <c r="BI66" s="57">
        <f>'POSF Inventory'!EE58*'POSF Emiss by Zone'!$D$5*'POSF Zone Def'!$Z55</f>
        <v>0</v>
      </c>
      <c r="BJ66" s="127">
        <f>'POSF Inventory'!EF58*'POSF Emiss by Zone'!$D$6*'POSF Zone Def'!$Z55</f>
        <v>0</v>
      </c>
      <c r="BK66" s="57">
        <f>'POSF Inventory'!$EA58*'POSF Emiss by Zone'!$D$5*'POSF Zone Def'!$AC55</f>
        <v>0</v>
      </c>
      <c r="BL66" s="57">
        <f>'POSF Inventory'!$EB58*'POSF Emiss by Zone'!$D$6*'POSF Zone Def'!$AC55</f>
        <v>0</v>
      </c>
      <c r="BM66" s="57">
        <f>'POSF Inventory'!$EC58*'POSF Emiss by Zone'!$D$5*'POSF Zone Def'!$AC55</f>
        <v>0</v>
      </c>
      <c r="BN66" s="57">
        <f>'POSF Inventory'!$ED58*'POSF Emiss by Zone'!$D$6*'POSF Zone Def'!$AC55</f>
        <v>0</v>
      </c>
      <c r="BO66" s="57">
        <f>'POSF Inventory'!$EE58*'POSF Emiss by Zone'!$D$5*'POSF Zone Def'!$AC55</f>
        <v>0</v>
      </c>
      <c r="BP66" s="127">
        <f>'POSF Inventory'!$EF58*'POSF Emiss by Zone'!$D$6*'POSF Zone Def'!$AC55</f>
        <v>0</v>
      </c>
      <c r="BQ66" s="530">
        <f>'POSF Inventory'!EG58*'POSF Emiss by Zone'!$D$5*'POSF Zone Def'!$BB55</f>
        <v>0</v>
      </c>
      <c r="BR66" s="530">
        <f>'POSF Inventory'!EH58*'POSF Emiss by Zone'!$D$6*'POSF Zone Def'!$BB55</f>
        <v>0</v>
      </c>
      <c r="BS66" s="530">
        <f>'POSF Inventory'!EI58*'POSF Emiss by Zone'!$D$5*'POSF Zone Def'!$BB55</f>
        <v>3.5052078749999993E-2</v>
      </c>
      <c r="BT66" s="530">
        <f>'POSF Inventory'!EJ58*'POSF Emiss by Zone'!$D$6*'POSF Zone Def'!$BB55</f>
        <v>0.35135042249999998</v>
      </c>
      <c r="BU66" s="530">
        <f>'POSF Inventory'!EK58*'POSF Emiss by Zone'!$D$5*'POSF Zone Def'!$BB55</f>
        <v>0</v>
      </c>
      <c r="BV66" s="531">
        <f>'POSF Inventory'!EL58*'POSF Emiss by Zone'!$D$6*'POSF Zone Def'!$BB55</f>
        <v>0</v>
      </c>
      <c r="BW66" s="57">
        <f>'POSF Inventory'!EG58*'POSF Emiss by Zone'!$D$5*'POSF Zone Def'!$BC55</f>
        <v>0</v>
      </c>
      <c r="BX66" s="57">
        <f>'POSF Inventory'!EH58*'POSF Emiss by Zone'!$D$6*'POSF Zone Def'!$BC55</f>
        <v>0</v>
      </c>
      <c r="BY66" s="57">
        <f>'POSF Inventory'!EI58*'POSF Emiss by Zone'!$D$5*'POSF Zone Def'!$BC55</f>
        <v>8.1788183749999979E-2</v>
      </c>
      <c r="BZ66" s="57">
        <f>'POSF Inventory'!EJ58*'POSF Emiss by Zone'!$D$6*'POSF Zone Def'!$BC55</f>
        <v>0.81981765249999994</v>
      </c>
      <c r="CA66" s="57">
        <f>'POSF Inventory'!EK58*'POSF Emiss by Zone'!$D$5*'POSF Zone Def'!$BC55</f>
        <v>0</v>
      </c>
      <c r="CB66" s="81">
        <f>'POSF Inventory'!EL58*'POSF Emiss by Zone'!$D$6*'POSF Zone Def'!$BC55</f>
        <v>0</v>
      </c>
      <c r="CC66" s="530">
        <f>'POSF Inventory'!GC58*'POSF Emiss by Zone'!$D$7*'POSF Zone Def'!$M55</f>
        <v>1.9700000000000002E-4</v>
      </c>
      <c r="CD66" s="530">
        <f>'POSF Inventory'!GD58*'POSF Emiss by Zone'!$D$9*'POSF Zone Def'!$M55</f>
        <v>7.793320000000002E-4</v>
      </c>
      <c r="CE66" s="530">
        <f>'POSF Inventory'!GE58*'POSF Emiss by Zone'!$D$7*'POSF Zone Def'!$M55</f>
        <v>5.9099999999999995E-3</v>
      </c>
      <c r="CF66" s="530">
        <f>'POSF Inventory'!GF58*'POSF Emiss by Zone'!$D$9*'POSF Zone Def'!$M55</f>
        <v>2.3379960000000002E-2</v>
      </c>
      <c r="CG66" s="530">
        <f>'POSF Inventory'!GG58*'POSF Emiss by Zone'!$D$7*'POSF Zone Def'!$M55</f>
        <v>0</v>
      </c>
      <c r="CH66" s="531">
        <f>'POSF Inventory'!GH58*'POSF Emiss by Zone'!$D$9*'POSF Zone Def'!$M55</f>
        <v>0</v>
      </c>
      <c r="CI66" s="57">
        <f>'POSF Inventory'!GC58*'POSF Emiss by Zone'!$D$7*'POSF Zone Def'!$N55</f>
        <v>1.9700000000000002E-4</v>
      </c>
      <c r="CJ66" s="57">
        <f>'POSF Inventory'!GD58*'POSF Emiss by Zone'!$D$9*'POSF Zone Def'!$N55</f>
        <v>7.793320000000002E-4</v>
      </c>
      <c r="CK66" s="57">
        <f>'POSF Inventory'!GE58*'POSF Emiss by Zone'!$D$7*'POSF Zone Def'!$N55</f>
        <v>5.9099999999999995E-3</v>
      </c>
      <c r="CL66" s="57">
        <f>'POSF Inventory'!GF58*'POSF Emiss by Zone'!$D$9*'POSF Zone Def'!$N55</f>
        <v>2.3379960000000002E-2</v>
      </c>
      <c r="CM66" s="57">
        <f>'POSF Inventory'!GG58*'POSF Emiss by Zone'!$D$7*'POSF Zone Def'!$N55</f>
        <v>0</v>
      </c>
      <c r="CN66" s="127">
        <f>'POSF Inventory'!GH58*'POSF Emiss by Zone'!$D$9*'POSF Zone Def'!$N55</f>
        <v>0</v>
      </c>
      <c r="CO66" s="530">
        <f>'POSF Inventory'!GI58*'POSF Emiss by Zone'!$D$7*'POSF Zone Def'!$AP55</f>
        <v>4.728E-4</v>
      </c>
      <c r="CP66" s="530">
        <f>'POSF Inventory'!GJ58*'POSF Emiss by Zone'!$D$9*'POSF Zone Def'!$AP55</f>
        <v>5.8449900000000004E-4</v>
      </c>
      <c r="CQ66" s="530">
        <f>'POSF Inventory'!GK58*'POSF Emiss by Zone'!$D$7*'POSF Zone Def'!$AP55</f>
        <v>7.0919999999999993E-3</v>
      </c>
      <c r="CR66" s="530">
        <f>'POSF Inventory'!GL58*'POSF Emiss by Zone'!$D$9*'POSF Zone Def'!$AP55</f>
        <v>8.7674850000000002E-3</v>
      </c>
      <c r="CS66" s="530">
        <f>'POSF Inventory'!GM58*'POSF Emiss by Zone'!$D$7*'POSF Zone Def'!$AP55</f>
        <v>2.6004000000000003E-2</v>
      </c>
      <c r="CT66" s="531">
        <f>'POSF Inventory'!GN58*'POSF Emiss by Zone'!$D$9*'POSF Zone Def'!$AP55</f>
        <v>0.12858978000000001</v>
      </c>
      <c r="CU66" s="57">
        <f>'POSF Inventory'!GI58*'POSF Emiss by Zone'!$D$7*'POSF Zone Def'!$AQ55</f>
        <v>1.1031999999999999E-3</v>
      </c>
      <c r="CV66" s="57">
        <f>'POSF Inventory'!GJ58*'POSF Emiss by Zone'!$D$9*'POSF Zone Def'!$AQ55</f>
        <v>1.363831E-3</v>
      </c>
      <c r="CW66" s="57">
        <f>'POSF Inventory'!GK58*'POSF Emiss by Zone'!$D$7*'POSF Zone Def'!$AQ55</f>
        <v>1.6547999999999997E-2</v>
      </c>
      <c r="CX66" s="57">
        <f>'POSF Inventory'!GL58*'POSF Emiss by Zone'!$D$9*'POSF Zone Def'!$AQ55</f>
        <v>2.0457464999999998E-2</v>
      </c>
      <c r="CY66" s="57">
        <f>'POSF Inventory'!GM58*'POSF Emiss by Zone'!$D$7*'POSF Zone Def'!$AQ55</f>
        <v>6.0676000000000001E-2</v>
      </c>
      <c r="CZ66" s="81">
        <f>'POSF Inventory'!GN58*'POSF Emiss by Zone'!$D$9*'POSF Zone Def'!$AQ55</f>
        <v>0.30004281999999999</v>
      </c>
      <c r="DA66" s="530">
        <f>SUM('POSF Inventory'!GQ58,'POSF Inventory'!GS58)*'POSF Emiss by Zone'!$D$7*'POSF Zone Def'!$Y55</f>
        <v>0.37420241683580996</v>
      </c>
      <c r="DB66" s="530">
        <f>SUM('POSF Inventory'!GR58,'POSF Inventory'!GT58)*'POSF Emiss by Zone'!$D$9*'POSF Zone Def'!$Y55</f>
        <v>63.54618774571999</v>
      </c>
      <c r="DC66" s="530"/>
      <c r="DD66" s="530"/>
      <c r="DE66" s="530">
        <f>'POSF Inventory'!GU58*'POSF Emiss by Zone'!$D$7*'POSF Zone Def'!$Y55</f>
        <v>0</v>
      </c>
      <c r="DF66" s="531">
        <f>'POSF Inventory'!GV58*'POSF Emiss by Zone'!$D$9*'POSF Zone Def'!$Y55</f>
        <v>0</v>
      </c>
      <c r="DG66" s="57">
        <f>SUM('POSF Inventory'!GQ58,'POSF Inventory'!GS58)*'POSF Emiss by Zone'!$D$7*'POSF Zone Def'!$Z55</f>
        <v>4.1578046315089996E-2</v>
      </c>
      <c r="DH66" s="57">
        <f>SUM('POSF Inventory'!GR58,'POSF Inventory'!GT58)*'POSF Emiss by Zone'!$D$9*'POSF Zone Def'!$Z55</f>
        <v>7.0606875273022212</v>
      </c>
      <c r="DI66" s="57"/>
      <c r="DJ66" s="57"/>
      <c r="DK66" s="57">
        <f>'POSF Inventory'!GU58*'POSF Emiss by Zone'!$D$7*'POSF Zone Def'!$Z55</f>
        <v>0</v>
      </c>
      <c r="DL66" s="127">
        <f>'POSF Inventory'!GV58*'POSF Emiss by Zone'!$D$9*'POSF Zone Def'!$Z55</f>
        <v>0</v>
      </c>
      <c r="DM66" s="57">
        <f>SUM('POSF Inventory'!$GQ58,'POSF Inventory'!$GS58)*'POSF Emiss by Zone'!$D$7*'POSF Zone Def'!$AC55</f>
        <v>0</v>
      </c>
      <c r="DN66" s="57">
        <f>SUM('POSF Inventory'!$GR58,'POSF Inventory'!$GT58)*'POSF Emiss by Zone'!$D$9*'POSF Zone Def'!$AC55</f>
        <v>0</v>
      </c>
      <c r="DO66" s="57"/>
      <c r="DP66" s="57"/>
      <c r="DQ66" s="57">
        <f>'POSF Inventory'!$GU58*'POSF Emiss by Zone'!$D$7*'POSF Zone Def'!$AC55</f>
        <v>0</v>
      </c>
      <c r="DR66" s="127">
        <f>'POSF Inventory'!$GV58*'POSF Emiss by Zone'!$D$9*'POSF Zone Def'!$AC55</f>
        <v>0</v>
      </c>
      <c r="DS66" s="530">
        <f>SUM('POSF Inventory'!GW58,'POSF Inventory'!GY58)*$D$7*'POSF Zone Def'!$BB55</f>
        <v>7.4816314846875001E-3</v>
      </c>
      <c r="DT66" s="530">
        <f>SUM('POSF Inventory'!GX58,'POSF Inventory'!GZ58)*$D$9*'POSF Zone Def'!$BB55</f>
        <v>0.25038252923906251</v>
      </c>
      <c r="DU66" s="530"/>
      <c r="DV66" s="530"/>
      <c r="DW66" s="530">
        <f>'POSF Inventory'!HA58*'POSF Emiss by Zone'!$D$7*'POSF Zone Def'!$BB55</f>
        <v>0</v>
      </c>
      <c r="DX66" s="531">
        <f>'POSF Inventory'!HB58*'POSF Emiss by Zone'!$D$9*'POSF Zone Def'!$BB55</f>
        <v>0</v>
      </c>
      <c r="DY66" s="57">
        <f>SUM('POSF Inventory'!GW58,'POSF Inventory'!GY58)*$D$7*'POSF Zone Def'!$BC55</f>
        <v>1.74571401309375E-2</v>
      </c>
      <c r="DZ66" s="57">
        <f>SUM('POSF Inventory'!GX58,'POSF Inventory'!GZ58)*$D$9*'POSF Zone Def'!$BC55</f>
        <v>0.58422590155781251</v>
      </c>
      <c r="EA66" s="57"/>
      <c r="EB66" s="57"/>
      <c r="EC66" s="57">
        <f>'POSF Inventory'!HA58*'POSF Emiss by Zone'!$D$7*'POSF Zone Def'!$BC55</f>
        <v>0</v>
      </c>
      <c r="ED66" s="81">
        <f>'POSF Inventory'!HB58*'POSF Emiss by Zone'!$D$9*'POSF Zone Def'!$BC55</f>
        <v>0</v>
      </c>
      <c r="EE66" s="236">
        <f>'POSF Inventory'!$CF58*'POSF Emiss by Zone'!$D$7*'POSF Zone Def'!$CE55</f>
        <v>0</v>
      </c>
      <c r="EF66" s="236">
        <f>'POSF Inventory'!$CG58*'POSF Emiss by Zone'!$D$9*'POSF Zone Def'!$CE55</f>
        <v>0</v>
      </c>
      <c r="EG66" s="236">
        <f>'POSF Inventory'!$CH58*'POSF Emiss by Zone'!$D$7*'POSF Zone Def'!$CE55</f>
        <v>0</v>
      </c>
      <c r="EH66" s="236">
        <f>'POSF Inventory'!$CI58*'POSF Emiss by Zone'!$D$9*'POSF Zone Def'!$CE55</f>
        <v>0</v>
      </c>
      <c r="EI66" s="236">
        <f>'POSF Inventory'!$CJ58*'POSF Emiss by Zone'!$D$7*'POSF Zone Def'!$CE55</f>
        <v>0</v>
      </c>
      <c r="EJ66" s="581">
        <f>'POSF Inventory'!$CK58*'POSF Emiss by Zone'!$D$9*'POSF Zone Def'!$CE55</f>
        <v>0</v>
      </c>
      <c r="EK66" s="236">
        <f>'POSF Inventory'!$CF58*'POSF Emiss by Zone'!$D$7*'POSF Zone Def'!$CF55</f>
        <v>0</v>
      </c>
      <c r="EL66" s="236">
        <f>'POSF Inventory'!$CG58*'POSF Emiss by Zone'!$D$9*'POSF Zone Def'!$CF55</f>
        <v>0</v>
      </c>
      <c r="EM66" s="236">
        <f>'POSF Inventory'!$CH58*'POSF Emiss by Zone'!$D$7*'POSF Zone Def'!$CF55</f>
        <v>0</v>
      </c>
      <c r="EN66" s="236">
        <f>'POSF Inventory'!$CI58*'POSF Emiss by Zone'!$D$9*'POSF Zone Def'!$CF55</f>
        <v>0</v>
      </c>
      <c r="EO66" s="236">
        <f>'POSF Inventory'!$CJ58*'POSF Emiss by Zone'!$D$7*'POSF Zone Def'!$CF55</f>
        <v>0</v>
      </c>
      <c r="EP66" s="581">
        <f>'POSF Inventory'!$CK58*'POSF Emiss by Zone'!$D$9*'POSF Zone Def'!$CF55</f>
        <v>0</v>
      </c>
      <c r="EQ66" s="236">
        <f>'POSF Inventory'!$CF58*'POSF Emiss by Zone'!$D$7*'POSF Zone Def'!$CG55</f>
        <v>8.7396844850842322E-5</v>
      </c>
      <c r="ER66" s="236">
        <f>'POSF Inventory'!$CG58*'POSF Emiss by Zone'!$D$9*'POSF Zone Def'!$CG55</f>
        <v>1.0804434944685383E-4</v>
      </c>
      <c r="ES66" s="236">
        <f>'POSF Inventory'!$CH58*'POSF Emiss by Zone'!$D$7*'POSF Zone Def'!$CG55</f>
        <v>0</v>
      </c>
      <c r="ET66" s="236">
        <f>'POSF Inventory'!$CI58*'POSF Emiss by Zone'!$D$9*'POSF Zone Def'!$CG55</f>
        <v>0</v>
      </c>
      <c r="EU66" s="236">
        <f>'POSF Inventory'!$CJ58*'POSF Emiss by Zone'!$D$7*'POSF Zone Def'!$CG55</f>
        <v>7.8657160365758086E-4</v>
      </c>
      <c r="EV66" s="581">
        <f>'POSF Inventory'!$CK58*'POSF Emiss by Zone'!$D$9*'POSF Zone Def'!$CG55</f>
        <v>9.7239914502168442E-4</v>
      </c>
      <c r="EW66" s="236">
        <f>'POSF Inventory'!$CF58*'POSF Emiss by Zone'!$D$7*'POSF Zone Def'!$CH55</f>
        <v>1.1493175753833154</v>
      </c>
      <c r="EX66" s="236">
        <f>'POSF Inventory'!$CG58*'POSF Emiss by Zone'!$D$9*'POSF Zone Def'!$CH55</f>
        <v>1.4208438525676237</v>
      </c>
      <c r="EY66" s="236">
        <f>'POSF Inventory'!$CH58*'POSF Emiss by Zone'!$D$7*'POSF Zone Def'!$CH55</f>
        <v>0</v>
      </c>
      <c r="EZ66" s="236">
        <f>'POSF Inventory'!$CI58*'POSF Emiss by Zone'!$D$9*'POSF Zone Def'!$CH55</f>
        <v>0</v>
      </c>
      <c r="FA66" s="236">
        <f>'POSF Inventory'!$CJ58*'POSF Emiss by Zone'!$D$7*'POSF Zone Def'!$CH55</f>
        <v>10.343858178449837</v>
      </c>
      <c r="FB66" s="581">
        <f>'POSF Inventory'!$CK58*'POSF Emiss by Zone'!$D$9*'POSF Zone Def'!$CH55</f>
        <v>12.787594673108613</v>
      </c>
      <c r="FC66" s="236">
        <f>'POSF Inventory'!$CF58*'POSF Emiss by Zone'!$D$7*'POSF Zone Def'!$CI55</f>
        <v>1.0505950277718339</v>
      </c>
      <c r="FD66" s="236">
        <f>'POSF Inventory'!$CG58*'POSF Emiss by Zone'!$D$9*'POSF Zone Def'!$CI55</f>
        <v>1.2987981030829296</v>
      </c>
      <c r="FE66" s="236">
        <f>'POSF Inventory'!$CH58*'POSF Emiss by Zone'!$D$7*'POSF Zone Def'!$CI55</f>
        <v>0</v>
      </c>
      <c r="FF66" s="236">
        <f>'POSF Inventory'!$CI58*'POSF Emiss by Zone'!$D$9*'POSF Zone Def'!$CI55</f>
        <v>0</v>
      </c>
      <c r="FG66" s="236">
        <f>'POSF Inventory'!$CJ58*'POSF Emiss by Zone'!$D$7*'POSF Zone Def'!$CI55</f>
        <v>9.4553552499465052</v>
      </c>
      <c r="FH66" s="578">
        <f>'POSF Inventory'!$CK58*'POSF Emiss by Zone'!$D$9*'POSF Zone Def'!$CI55</f>
        <v>11.689182927746367</v>
      </c>
      <c r="FI66" s="595"/>
      <c r="FJ66" s="595"/>
      <c r="FM66" s="592">
        <v>49</v>
      </c>
      <c r="FN66" s="592">
        <f t="shared" si="98"/>
        <v>2003</v>
      </c>
      <c r="FO66" s="587">
        <v>46</v>
      </c>
      <c r="FP66" s="85">
        <f t="shared" si="20"/>
        <v>0.1427437375</v>
      </c>
      <c r="FQ66" s="530">
        <f t="shared" si="21"/>
        <v>0.2348540425</v>
      </c>
      <c r="FR66" s="530">
        <f t="shared" si="22"/>
        <v>0</v>
      </c>
      <c r="FS66" s="530">
        <f t="shared" si="23"/>
        <v>0</v>
      </c>
      <c r="FT66" s="530">
        <f t="shared" si="24"/>
        <v>7.4909249999999997E-2</v>
      </c>
      <c r="FU66" s="531">
        <f t="shared" si="25"/>
        <v>7.5086549999999988E-2</v>
      </c>
      <c r="FV66" s="57">
        <f t="shared" si="26"/>
        <v>0.27758038749999997</v>
      </c>
      <c r="FW66" s="57">
        <f t="shared" si="27"/>
        <v>0.37000983249999997</v>
      </c>
      <c r="FX66" s="57">
        <f t="shared" si="28"/>
        <v>0</v>
      </c>
      <c r="FY66" s="57">
        <f t="shared" si="29"/>
        <v>0</v>
      </c>
      <c r="FZ66" s="57">
        <f t="shared" si="30"/>
        <v>0.17478824999999998</v>
      </c>
      <c r="GA66" s="81">
        <f t="shared" si="31"/>
        <v>0.17520194999999997</v>
      </c>
      <c r="GB66" s="530">
        <f t="shared" si="32"/>
        <v>0</v>
      </c>
      <c r="GC66" s="530">
        <f t="shared" si="33"/>
        <v>0</v>
      </c>
      <c r="GD66" s="530">
        <f t="shared" si="34"/>
        <v>5.7117817081673312</v>
      </c>
      <c r="GE66" s="530">
        <f t="shared" si="35"/>
        <v>88.136464175796803</v>
      </c>
      <c r="GF66" s="530">
        <f t="shared" si="36"/>
        <v>0.12435134462151394</v>
      </c>
      <c r="GG66" s="531">
        <f t="shared" si="37"/>
        <v>0.12464566733067728</v>
      </c>
      <c r="GH66" s="57">
        <f t="shared" si="38"/>
        <v>0</v>
      </c>
      <c r="GI66" s="57">
        <f t="shared" si="39"/>
        <v>0</v>
      </c>
      <c r="GJ66" s="57">
        <f t="shared" si="40"/>
        <v>0.91118773904382466</v>
      </c>
      <c r="GK66" s="57">
        <f t="shared" si="41"/>
        <v>10.879729763446214</v>
      </c>
      <c r="GL66" s="57">
        <f t="shared" si="42"/>
        <v>0.29015313745019916</v>
      </c>
      <c r="GM66" s="57">
        <f t="shared" si="43"/>
        <v>0.29083989043824698</v>
      </c>
      <c r="GN66" s="57">
        <f t="shared" si="44"/>
        <v>0</v>
      </c>
      <c r="GO66" s="57">
        <f t="shared" si="45"/>
        <v>0</v>
      </c>
      <c r="GP66" s="57">
        <f t="shared" si="46"/>
        <v>0</v>
      </c>
      <c r="GQ66" s="57">
        <f t="shared" si="47"/>
        <v>0</v>
      </c>
      <c r="GR66" s="57">
        <f t="shared" si="48"/>
        <v>0</v>
      </c>
      <c r="GS66" s="81">
        <f t="shared" si="49"/>
        <v>0</v>
      </c>
      <c r="GT66" s="530">
        <f t="shared" si="50"/>
        <v>7.921274945285205E-3</v>
      </c>
      <c r="GU66" s="530">
        <f t="shared" si="51"/>
        <v>1.321710188649351</v>
      </c>
      <c r="GV66" s="530">
        <f t="shared" si="52"/>
        <v>2.6936414342629478E-4</v>
      </c>
      <c r="GW66" s="530">
        <f t="shared" si="53"/>
        <v>6.6600284462151396E-4</v>
      </c>
      <c r="GX66" s="530">
        <f t="shared" si="54"/>
        <v>5.3872828685258968E-4</v>
      </c>
      <c r="GY66" s="531">
        <f t="shared" si="55"/>
        <v>2.6640113784860558E-3</v>
      </c>
      <c r="GZ66" s="57">
        <f t="shared" si="56"/>
        <v>1.2499761335431992E-3</v>
      </c>
      <c r="HA66" s="57">
        <f t="shared" si="57"/>
        <v>0.15842507680347481</v>
      </c>
      <c r="HB66" s="57">
        <f t="shared" si="58"/>
        <v>4.6526533864541826E-4</v>
      </c>
      <c r="HC66" s="57">
        <f t="shared" si="59"/>
        <v>9.0818569721115539E-4</v>
      </c>
      <c r="HD66" s="57">
        <f t="shared" si="60"/>
        <v>1.2570326693227092E-3</v>
      </c>
      <c r="HE66" s="127">
        <f t="shared" si="61"/>
        <v>6.2160265498007964E-3</v>
      </c>
      <c r="HF66" s="236">
        <f t="shared" si="62"/>
        <v>9.053059625983666E-5</v>
      </c>
      <c r="HG66" s="236">
        <f t="shared" si="63"/>
        <v>1.1191844962622309E-4</v>
      </c>
      <c r="HH66" s="236">
        <f t="shared" si="64"/>
        <v>0</v>
      </c>
      <c r="HI66" s="236">
        <f t="shared" si="65"/>
        <v>0</v>
      </c>
      <c r="HJ66" s="236">
        <f t="shared" si="66"/>
        <v>8.1477536633852994E-4</v>
      </c>
      <c r="HK66" s="581">
        <f t="shared" si="67"/>
        <v>1.0072660466360077E-3</v>
      </c>
      <c r="HL66" s="236">
        <f t="shared" si="68"/>
        <v>1.1905281657357052</v>
      </c>
      <c r="HM66" s="236">
        <f t="shared" si="69"/>
        <v>1.4717904448907655</v>
      </c>
      <c r="HN66" s="236">
        <f t="shared" si="70"/>
        <v>0</v>
      </c>
      <c r="HO66" s="236">
        <f t="shared" si="71"/>
        <v>0</v>
      </c>
      <c r="HP66" s="236">
        <f t="shared" si="72"/>
        <v>10.714753491621344</v>
      </c>
      <c r="HQ66" s="581">
        <f t="shared" si="73"/>
        <v>13.246114004016889</v>
      </c>
      <c r="HR66" s="236">
        <f t="shared" si="74"/>
        <v>1.0882657658194295</v>
      </c>
      <c r="HS66" s="236">
        <f t="shared" si="75"/>
        <v>1.3453685529942696</v>
      </c>
      <c r="HT66" s="236">
        <f t="shared" si="76"/>
        <v>0</v>
      </c>
      <c r="HU66" s="236">
        <f t="shared" si="77"/>
        <v>0</v>
      </c>
      <c r="HV66" s="236">
        <f t="shared" si="78"/>
        <v>9.7943918923748665</v>
      </c>
      <c r="HW66" s="578">
        <f t="shared" si="79"/>
        <v>12.108316976948428</v>
      </c>
      <c r="HX66" s="236">
        <f t="shared" si="80"/>
        <v>0.4209852968998114</v>
      </c>
      <c r="HY66" s="236">
        <f t="shared" si="81"/>
        <v>70.243813025987421</v>
      </c>
      <c r="HZ66" s="236">
        <f t="shared" si="82"/>
        <v>1.4315668207171313E-2</v>
      </c>
      <c r="IA66" s="236">
        <f t="shared" si="83"/>
        <v>3.5395489642231076E-2</v>
      </c>
      <c r="IB66" s="236">
        <f t="shared" si="84"/>
        <v>2.863133641434263E-2</v>
      </c>
      <c r="IC66" s="236">
        <f t="shared" si="85"/>
        <v>0.1415819585689243</v>
      </c>
      <c r="ID66" s="236">
        <f t="shared" si="86"/>
        <v>6.6431423897307398E-2</v>
      </c>
      <c r="IE66" s="236">
        <f t="shared" si="87"/>
        <v>8.4196835048862102</v>
      </c>
      <c r="IF66" s="236">
        <f t="shared" si="88"/>
        <v>2.4727063266932262E-2</v>
      </c>
      <c r="IG66" s="236">
        <f t="shared" si="89"/>
        <v>4.826657678486055E-2</v>
      </c>
      <c r="IH66" s="236">
        <f t="shared" si="90"/>
        <v>6.680645163346613E-2</v>
      </c>
      <c r="II66" s="236">
        <f t="shared" si="91"/>
        <v>0.33035790332748993</v>
      </c>
      <c r="IJ66" s="236">
        <f t="shared" si="92"/>
        <v>0</v>
      </c>
      <c r="IK66" s="236">
        <f t="shared" si="93"/>
        <v>0</v>
      </c>
      <c r="IL66" s="236">
        <f t="shared" si="94"/>
        <v>0</v>
      </c>
      <c r="IM66" s="236">
        <f t="shared" si="95"/>
        <v>0</v>
      </c>
      <c r="IN66" s="236">
        <f t="shared" si="96"/>
        <v>0</v>
      </c>
      <c r="IO66" s="236">
        <f t="shared" si="97"/>
        <v>0</v>
      </c>
    </row>
    <row r="67" spans="1:249" ht="18" x14ac:dyDescent="0.25">
      <c r="A67" s="9">
        <v>2004</v>
      </c>
      <c r="B67" s="564"/>
      <c r="C67" s="530">
        <f>'POSF Inventory'!AD59*$D$5*'POSF Zone Def'!$M56</f>
        <v>4.161625E-2</v>
      </c>
      <c r="D67" s="530">
        <f>'POSF Inventory'!AE59*$D$6*'POSF Zone Def'!$M56</f>
        <v>0.1334872</v>
      </c>
      <c r="E67" s="530">
        <f>'POSF Inventory'!AF59*$D$5*'POSF Zone Def'!$M56</f>
        <v>0</v>
      </c>
      <c r="F67" s="530">
        <f>'POSF Inventory'!AG59*$D$6*'POSF Zone Def'!$M56</f>
        <v>0</v>
      </c>
      <c r="G67" s="530">
        <f>'POSF Inventory'!AH59*$D$5*'POSF Zone Def'!$M56</f>
        <v>0</v>
      </c>
      <c r="H67" s="531">
        <f>'POSF Inventory'!AI59*$D$6*'POSF Zone Def'!$M56</f>
        <v>0</v>
      </c>
      <c r="I67" s="57">
        <f>'POSF Inventory'!AD59*$D$5*'POSF Zone Def'!$N56</f>
        <v>4.161625E-2</v>
      </c>
      <c r="J67" s="57">
        <f>'POSF Inventory'!AE59*$D$6*'POSF Zone Def'!$N56</f>
        <v>0.1334872</v>
      </c>
      <c r="K67" s="57">
        <f>'POSF Inventory'!AF59*$D$5*'POSF Zone Def'!$N56</f>
        <v>0</v>
      </c>
      <c r="L67" s="57">
        <f>'POSF Inventory'!AG59*$D$6*'POSF Zone Def'!$N56</f>
        <v>0</v>
      </c>
      <c r="M67" s="57">
        <f>'POSF Inventory'!AH59*$D$5*'POSF Zone Def'!$N56</f>
        <v>0</v>
      </c>
      <c r="N67" s="127">
        <f>'POSF Inventory'!AI59*$D$6*'POSF Zone Def'!$N56</f>
        <v>0</v>
      </c>
      <c r="O67" s="530">
        <f>'POSF Inventory'!AJ59*$D$5*'POSF Zone Def'!$AP56</f>
        <v>0.20225497499999998</v>
      </c>
      <c r="P67" s="530">
        <f>'POSF Inventory'!AK59*$D$6*'POSF Zone Def'!$AP56</f>
        <v>0.202733685</v>
      </c>
      <c r="Q67" s="530">
        <f>'POSF Inventory'!AL59*$D$5*'POSF Zone Def'!$AP56</f>
        <v>0</v>
      </c>
      <c r="R67" s="530">
        <f>'POSF Inventory'!AM59*$D$6*'POSF Zone Def'!$AP56</f>
        <v>0</v>
      </c>
      <c r="S67" s="530">
        <f>'POSF Inventory'!AN59*$D$5*'POSF Zone Def'!$AP56</f>
        <v>0.14981849999999999</v>
      </c>
      <c r="T67" s="531">
        <f>'POSF Inventory'!AO59*$D$6*'POSF Zone Def'!$AP56</f>
        <v>0.15017309999999998</v>
      </c>
      <c r="U67" s="57">
        <f>'POSF Inventory'!AJ59*$D$5*'POSF Zone Def'!$AQ56</f>
        <v>0.4719282749999999</v>
      </c>
      <c r="V67" s="57">
        <f>'POSF Inventory'!AK59*$D$6*'POSF Zone Def'!$AQ56</f>
        <v>0.47304526499999994</v>
      </c>
      <c r="W67" s="57">
        <f>'POSF Inventory'!AL59*$D$5*'POSF Zone Def'!$AQ56</f>
        <v>0</v>
      </c>
      <c r="X67" s="57">
        <f>'POSF Inventory'!AM59*$D$6*'POSF Zone Def'!$AQ56</f>
        <v>0</v>
      </c>
      <c r="Y67" s="57">
        <f>'POSF Inventory'!AN59*$D$5*'POSF Zone Def'!$AQ56</f>
        <v>0.34957649999999996</v>
      </c>
      <c r="Z67" s="81">
        <f>'POSF Inventory'!AO59*$D$6*'POSF Zone Def'!$AQ56</f>
        <v>0.35040389999999993</v>
      </c>
      <c r="AA67" s="530">
        <f>'POSF Inventory'!AV59*'POSF Emiss by Zone'!$D$5*'POSF Zone Def'!$M56</f>
        <v>0</v>
      </c>
      <c r="AB67" s="530">
        <f>'POSF Inventory'!AW59*'POSF Emiss by Zone'!$D$6*'POSF Zone Def'!$M56</f>
        <v>0</v>
      </c>
      <c r="AC67" s="530">
        <f>'POSF Inventory'!AX59*'POSF Emiss by Zone'!$D$5*'POSF Zone Def'!$M56</f>
        <v>5.6181937500000001E-2</v>
      </c>
      <c r="AD67" s="530">
        <f>'POSF Inventory'!AY59*'POSF Emiss by Zone'!$D$6*'POSF Zone Def'!$M56</f>
        <v>0.18020771999999999</v>
      </c>
      <c r="AE67" s="530">
        <f>'POSF Inventory'!AZ59*'POSF Emiss by Zone'!$D$5*'POSF Zone Def'!$M56</f>
        <v>0</v>
      </c>
      <c r="AF67" s="531">
        <f>'POSF Inventory'!BA59*'POSF Emiss by Zone'!$D$6*'POSF Zone Def'!$M56</f>
        <v>0</v>
      </c>
      <c r="AG67" s="57">
        <f>'POSF Inventory'!AV59*'POSF Emiss by Zone'!$D$5*'POSF Zone Def'!$N56</f>
        <v>0</v>
      </c>
      <c r="AH67" s="57">
        <f>'POSF Inventory'!AW59*'POSF Emiss by Zone'!$D$6*'POSF Zone Def'!$N56</f>
        <v>0</v>
      </c>
      <c r="AI67" s="57">
        <f>'POSF Inventory'!AX59*'POSF Emiss by Zone'!$D$5*'POSF Zone Def'!$N56</f>
        <v>5.6181937500000001E-2</v>
      </c>
      <c r="AJ67" s="57">
        <f>'POSF Inventory'!AY59*'POSF Emiss by Zone'!$D$6*'POSF Zone Def'!$N56</f>
        <v>0.18020771999999999</v>
      </c>
      <c r="AK67" s="57">
        <f>'POSF Inventory'!AZ59*'POSF Emiss by Zone'!$D$5*'POSF Zone Def'!$N56</f>
        <v>0</v>
      </c>
      <c r="AL67" s="127">
        <f>'POSF Inventory'!BA59*'POSF Emiss by Zone'!$D$6*'POSF Zone Def'!$N56</f>
        <v>0</v>
      </c>
      <c r="AM67" s="530">
        <f>'POSF Inventory'!BB59*'POSF Emiss by Zone'!$D$5*'POSF Zone Def'!$AP56</f>
        <v>0</v>
      </c>
      <c r="AN67" s="530">
        <f>'POSF Inventory'!BC59*'POSF Emiss by Zone'!$D$6*'POSF Zone Def'!$AP56</f>
        <v>0</v>
      </c>
      <c r="AO67" s="530">
        <f>'POSF Inventory'!BD59*'POSF Emiss by Zone'!$D$5*'POSF Zone Def'!$AP56</f>
        <v>0.13483665</v>
      </c>
      <c r="AP67" s="530">
        <f>'POSF Inventory'!BE59*'POSF Emiss by Zone'!$D$6*'POSF Zone Def'!$AP56</f>
        <v>0.13515579</v>
      </c>
      <c r="AQ67" s="530">
        <f>'POSF Inventory'!BF59*'POSF Emiss by Zone'!$D$5*'POSF Zone Def'!$AP56</f>
        <v>0.24969749999999999</v>
      </c>
      <c r="AR67" s="531">
        <f>'POSF Inventory'!BG59*'POSF Emiss by Zone'!$D$6*'POSF Zone Def'!$AP56</f>
        <v>0.25028849999999997</v>
      </c>
      <c r="AS67" s="57">
        <f>'POSF Inventory'!BB59*'POSF Emiss by Zone'!$D$5*'POSF Zone Def'!$AQ56</f>
        <v>0</v>
      </c>
      <c r="AT67" s="57">
        <f>'POSF Inventory'!BC59*'POSF Emiss by Zone'!$D$6*'POSF Zone Def'!$AQ56</f>
        <v>0</v>
      </c>
      <c r="AU67" s="57">
        <f>'POSF Inventory'!BD59*'POSF Emiss by Zone'!$D$5*'POSF Zone Def'!$AQ56</f>
        <v>0.31461885000000001</v>
      </c>
      <c r="AV67" s="57">
        <f>'POSF Inventory'!BE59*'POSF Emiss by Zone'!$D$6*'POSF Zone Def'!$AQ56</f>
        <v>0.31536351000000001</v>
      </c>
      <c r="AW67" s="57">
        <f>'POSF Inventory'!BF59*'POSF Emiss by Zone'!$D$5*'POSF Zone Def'!$AQ56</f>
        <v>0.58262749999999996</v>
      </c>
      <c r="AX67" s="81">
        <f>'POSF Inventory'!BG59*'POSF Emiss by Zone'!$D$6*'POSF Zone Def'!$AQ56</f>
        <v>0.58400649999999998</v>
      </c>
      <c r="AY67" s="530">
        <f>'POSF Inventory'!EA59*'POSF Emiss by Zone'!$D$5*'POSF Zone Def'!$Y56</f>
        <v>0</v>
      </c>
      <c r="AZ67" s="530">
        <f>'POSF Inventory'!EB59*'POSF Emiss by Zone'!$D$6*'POSF Zone Def'!$Y56</f>
        <v>0</v>
      </c>
      <c r="BA67" s="530">
        <f>'POSF Inventory'!EC59*'POSF Emiss by Zone'!$D$5*'POSF Zone Def'!$Y56</f>
        <v>3.5469529874999997</v>
      </c>
      <c r="BB67" s="530">
        <f>'POSF Inventory'!ED59*'POSF Emiss by Zone'!$D$6*'POSF Zone Def'!$Y56</f>
        <v>92.439051704999997</v>
      </c>
      <c r="BC67" s="530">
        <f>'POSF Inventory'!EE59*'POSF Emiss by Zone'!$D$5*'POSF Zone Def'!$Y56</f>
        <v>0</v>
      </c>
      <c r="BD67" s="531">
        <f>'POSF Inventory'!EF59*'POSF Emiss by Zone'!$D$6*'POSF Zone Def'!$Y56</f>
        <v>0</v>
      </c>
      <c r="BE67" s="57">
        <f>'POSF Inventory'!EA59*'POSF Emiss by Zone'!$D$5*'POSF Zone Def'!$Z56</f>
        <v>0</v>
      </c>
      <c r="BF67" s="57">
        <f>'POSF Inventory'!EB59*'POSF Emiss by Zone'!$D$6*'POSF Zone Def'!$Z56</f>
        <v>0</v>
      </c>
      <c r="BG67" s="57">
        <f>'POSF Inventory'!EC59*'POSF Emiss by Zone'!$D$5*'POSF Zone Def'!$Z56</f>
        <v>0.39410588749999997</v>
      </c>
      <c r="BH67" s="57">
        <f>'POSF Inventory'!ED59*'POSF Emiss by Zone'!$D$6*'POSF Zone Def'!$Z56</f>
        <v>10.271005745</v>
      </c>
      <c r="BI67" s="57">
        <f>'POSF Inventory'!EE59*'POSF Emiss by Zone'!$D$5*'POSF Zone Def'!$Z56</f>
        <v>0</v>
      </c>
      <c r="BJ67" s="127">
        <f>'POSF Inventory'!EF59*'POSF Emiss by Zone'!$D$6*'POSF Zone Def'!$Z56</f>
        <v>0</v>
      </c>
      <c r="BK67" s="57">
        <f>'POSF Inventory'!$EA59*'POSF Emiss by Zone'!$D$5*'POSF Zone Def'!$AC56</f>
        <v>0</v>
      </c>
      <c r="BL67" s="57">
        <f>'POSF Inventory'!$EB59*'POSF Emiss by Zone'!$D$6*'POSF Zone Def'!$AC56</f>
        <v>0</v>
      </c>
      <c r="BM67" s="57">
        <f>'POSF Inventory'!$EC59*'POSF Emiss by Zone'!$D$5*'POSF Zone Def'!$AC56</f>
        <v>0</v>
      </c>
      <c r="BN67" s="57">
        <f>'POSF Inventory'!$ED59*'POSF Emiss by Zone'!$D$6*'POSF Zone Def'!$AC56</f>
        <v>0</v>
      </c>
      <c r="BO67" s="57">
        <f>'POSF Inventory'!$EE59*'POSF Emiss by Zone'!$D$5*'POSF Zone Def'!$AC56</f>
        <v>0</v>
      </c>
      <c r="BP67" s="127">
        <f>'POSF Inventory'!$EF59*'POSF Emiss by Zone'!$D$6*'POSF Zone Def'!$AC56</f>
        <v>0</v>
      </c>
      <c r="BQ67" s="530">
        <f>'POSF Inventory'!EG59*'POSF Emiss by Zone'!$D$5*'POSF Zone Def'!$BB56</f>
        <v>0</v>
      </c>
      <c r="BR67" s="530">
        <f>'POSF Inventory'!EH59*'POSF Emiss by Zone'!$D$6*'POSF Zone Def'!$BB56</f>
        <v>0</v>
      </c>
      <c r="BS67" s="530">
        <f>'POSF Inventory'!EI59*'POSF Emiss by Zone'!$D$5*'POSF Zone Def'!$BB56</f>
        <v>0.13058299921875</v>
      </c>
      <c r="BT67" s="530">
        <f>'POSF Inventory'!EJ59*'POSF Emiss by Zone'!$D$6*'POSF Zone Def'!$BB56</f>
        <v>1.3089207140625001</v>
      </c>
      <c r="BU67" s="530">
        <f>'POSF Inventory'!EK59*'POSF Emiss by Zone'!$D$5*'POSF Zone Def'!$BB56</f>
        <v>0</v>
      </c>
      <c r="BV67" s="531">
        <f>'POSF Inventory'!EL59*'POSF Emiss by Zone'!$D$6*'POSF Zone Def'!$BB56</f>
        <v>0</v>
      </c>
      <c r="BW67" s="57">
        <f>'POSF Inventory'!EG59*'POSF Emiss by Zone'!$D$5*'POSF Zone Def'!$BC56</f>
        <v>0</v>
      </c>
      <c r="BX67" s="57">
        <f>'POSF Inventory'!EH59*'POSF Emiss by Zone'!$D$6*'POSF Zone Def'!$BC56</f>
        <v>0</v>
      </c>
      <c r="BY67" s="57">
        <f>'POSF Inventory'!EI59*'POSF Emiss by Zone'!$D$5*'POSF Zone Def'!$BC56</f>
        <v>0.30469366484374999</v>
      </c>
      <c r="BZ67" s="57">
        <f>'POSF Inventory'!EJ59*'POSF Emiss by Zone'!$D$6*'POSF Zone Def'!$BC56</f>
        <v>3.0541483328124999</v>
      </c>
      <c r="CA67" s="57">
        <f>'POSF Inventory'!EK59*'POSF Emiss by Zone'!$D$5*'POSF Zone Def'!$BC56</f>
        <v>0</v>
      </c>
      <c r="CB67" s="81">
        <f>'POSF Inventory'!EL59*'POSF Emiss by Zone'!$D$6*'POSF Zone Def'!$BC56</f>
        <v>0</v>
      </c>
      <c r="CC67" s="530">
        <f>'POSF Inventory'!GC59*'POSF Emiss by Zone'!$D$7*'POSF Zone Def'!$M56</f>
        <v>1.9700000000000002E-4</v>
      </c>
      <c r="CD67" s="530">
        <f>'POSF Inventory'!GD59*'POSF Emiss by Zone'!$D$9*'POSF Zone Def'!$M56</f>
        <v>7.793320000000002E-4</v>
      </c>
      <c r="CE67" s="530">
        <f>'POSF Inventory'!GE59*'POSF Emiss by Zone'!$D$7*'POSF Zone Def'!$M56</f>
        <v>5.9099999999999995E-3</v>
      </c>
      <c r="CF67" s="530">
        <f>'POSF Inventory'!GF59*'POSF Emiss by Zone'!$D$9*'POSF Zone Def'!$M56</f>
        <v>2.3379960000000002E-2</v>
      </c>
      <c r="CG67" s="530">
        <f>'POSF Inventory'!GG59*'POSF Emiss by Zone'!$D$7*'POSF Zone Def'!$M56</f>
        <v>0</v>
      </c>
      <c r="CH67" s="531">
        <f>'POSF Inventory'!GH59*'POSF Emiss by Zone'!$D$9*'POSF Zone Def'!$M56</f>
        <v>0</v>
      </c>
      <c r="CI67" s="57">
        <f>'POSF Inventory'!GC59*'POSF Emiss by Zone'!$D$7*'POSF Zone Def'!$N56</f>
        <v>1.9700000000000002E-4</v>
      </c>
      <c r="CJ67" s="57">
        <f>'POSF Inventory'!GD59*'POSF Emiss by Zone'!$D$9*'POSF Zone Def'!$N56</f>
        <v>7.793320000000002E-4</v>
      </c>
      <c r="CK67" s="57">
        <f>'POSF Inventory'!GE59*'POSF Emiss by Zone'!$D$7*'POSF Zone Def'!$N56</f>
        <v>5.9099999999999995E-3</v>
      </c>
      <c r="CL67" s="57">
        <f>'POSF Inventory'!GF59*'POSF Emiss by Zone'!$D$9*'POSF Zone Def'!$N56</f>
        <v>2.3379960000000002E-2</v>
      </c>
      <c r="CM67" s="57">
        <f>'POSF Inventory'!GG59*'POSF Emiss by Zone'!$D$7*'POSF Zone Def'!$N56</f>
        <v>0</v>
      </c>
      <c r="CN67" s="127">
        <f>'POSF Inventory'!GH59*'POSF Emiss by Zone'!$D$9*'POSF Zone Def'!$N56</f>
        <v>0</v>
      </c>
      <c r="CO67" s="530">
        <f>'POSF Inventory'!GI59*'POSF Emiss by Zone'!$D$7*'POSF Zone Def'!$AP56</f>
        <v>9.456E-4</v>
      </c>
      <c r="CP67" s="530">
        <f>'POSF Inventory'!GJ59*'POSF Emiss by Zone'!$D$9*'POSF Zone Def'!$AP56</f>
        <v>1.1689980000000001E-3</v>
      </c>
      <c r="CQ67" s="530">
        <f>'POSF Inventory'!GK59*'POSF Emiss by Zone'!$D$7*'POSF Zone Def'!$AP56</f>
        <v>1.4183999999999999E-2</v>
      </c>
      <c r="CR67" s="530">
        <f>'POSF Inventory'!GL59*'POSF Emiss by Zone'!$D$9*'POSF Zone Def'!$AP56</f>
        <v>1.753497E-2</v>
      </c>
      <c r="CS67" s="530">
        <f>'POSF Inventory'!GM59*'POSF Emiss by Zone'!$D$7*'POSF Zone Def'!$AP56</f>
        <v>5.2008000000000006E-2</v>
      </c>
      <c r="CT67" s="531">
        <f>'POSF Inventory'!GN59*'POSF Emiss by Zone'!$D$9*'POSF Zone Def'!$AP56</f>
        <v>0.25717956000000003</v>
      </c>
      <c r="CU67" s="57">
        <f>'POSF Inventory'!GI59*'POSF Emiss by Zone'!$D$7*'POSF Zone Def'!$AQ56</f>
        <v>2.2063999999999999E-3</v>
      </c>
      <c r="CV67" s="57">
        <f>'POSF Inventory'!GJ59*'POSF Emiss by Zone'!$D$9*'POSF Zone Def'!$AQ56</f>
        <v>2.7276620000000001E-3</v>
      </c>
      <c r="CW67" s="57">
        <f>'POSF Inventory'!GK59*'POSF Emiss by Zone'!$D$7*'POSF Zone Def'!$AQ56</f>
        <v>3.3095999999999993E-2</v>
      </c>
      <c r="CX67" s="57">
        <f>'POSF Inventory'!GL59*'POSF Emiss by Zone'!$D$9*'POSF Zone Def'!$AQ56</f>
        <v>4.0914929999999995E-2</v>
      </c>
      <c r="CY67" s="57">
        <f>'POSF Inventory'!GM59*'POSF Emiss by Zone'!$D$7*'POSF Zone Def'!$AQ56</f>
        <v>0.121352</v>
      </c>
      <c r="CZ67" s="81">
        <f>'POSF Inventory'!GN59*'POSF Emiss by Zone'!$D$9*'POSF Zone Def'!$AQ56</f>
        <v>0.60008563999999998</v>
      </c>
      <c r="DA67" s="530">
        <f>SUM('POSF Inventory'!GQ59,'POSF Inventory'!GS59)*'POSF Emiss by Zone'!$D$7*'POSF Zone Def'!$Y56</f>
        <v>7.8728349095010031E-2</v>
      </c>
      <c r="DB67" s="530">
        <f>SUM('POSF Inventory'!GR59,'POSF Inventory'!GT59)*'POSF Emiss by Zone'!$D$9*'POSF Zone Def'!$Y56</f>
        <v>48.663960784353073</v>
      </c>
      <c r="DC67" s="530"/>
      <c r="DD67" s="530"/>
      <c r="DE67" s="530">
        <f>'POSF Inventory'!GU59*'POSF Emiss by Zone'!$D$7*'POSF Zone Def'!$Y56</f>
        <v>0</v>
      </c>
      <c r="DF67" s="531">
        <f>'POSF Inventory'!GV59*'POSF Emiss by Zone'!$D$9*'POSF Zone Def'!$Y56</f>
        <v>0</v>
      </c>
      <c r="DG67" s="57">
        <f>SUM('POSF Inventory'!GQ59,'POSF Inventory'!GS59)*'POSF Emiss by Zone'!$D$7*'POSF Zone Def'!$Z56</f>
        <v>8.7475943438900024E-3</v>
      </c>
      <c r="DH67" s="57">
        <f>SUM('POSF Inventory'!GR59,'POSF Inventory'!GT59)*'POSF Emiss by Zone'!$D$9*'POSF Zone Def'!$Z56</f>
        <v>5.4071067538170077</v>
      </c>
      <c r="DI67" s="57"/>
      <c r="DJ67" s="57"/>
      <c r="DK67" s="57">
        <f>'POSF Inventory'!GU59*'POSF Emiss by Zone'!$D$7*'POSF Zone Def'!$Z56</f>
        <v>0</v>
      </c>
      <c r="DL67" s="127">
        <f>'POSF Inventory'!GV59*'POSF Emiss by Zone'!$D$9*'POSF Zone Def'!$Z56</f>
        <v>0</v>
      </c>
      <c r="DM67" s="57">
        <f>SUM('POSF Inventory'!$GQ59,'POSF Inventory'!$GS59)*'POSF Emiss by Zone'!$D$7*'POSF Zone Def'!$AC56</f>
        <v>0</v>
      </c>
      <c r="DN67" s="57">
        <f>SUM('POSF Inventory'!$GR59,'POSF Inventory'!$GT59)*'POSF Emiss by Zone'!$D$9*'POSF Zone Def'!$AC56</f>
        <v>0</v>
      </c>
      <c r="DO67" s="57"/>
      <c r="DP67" s="57"/>
      <c r="DQ67" s="57">
        <f>'POSF Inventory'!$GU59*'POSF Emiss by Zone'!$D$7*'POSF Zone Def'!$AC56</f>
        <v>0</v>
      </c>
      <c r="DR67" s="127">
        <f>'POSF Inventory'!$GV59*'POSF Emiss by Zone'!$D$9*'POSF Zone Def'!$AC56</f>
        <v>0</v>
      </c>
      <c r="DS67" s="530">
        <f>SUM('POSF Inventory'!GW59,'POSF Inventory'!GY59)*$D$7*'POSF Zone Def'!$BB56</f>
        <v>2.4748507914374999E-2</v>
      </c>
      <c r="DT67" s="530">
        <f>SUM('POSF Inventory'!GX59,'POSF Inventory'!GZ59)*$D$9*'POSF Zone Def'!$BB56</f>
        <v>0.83576636745000021</v>
      </c>
      <c r="DU67" s="530"/>
      <c r="DV67" s="530"/>
      <c r="DW67" s="530">
        <f>'POSF Inventory'!HA59*'POSF Emiss by Zone'!$D$7*'POSF Zone Def'!$BB56</f>
        <v>0</v>
      </c>
      <c r="DX67" s="531">
        <f>'POSF Inventory'!HB59*'POSF Emiss by Zone'!$D$9*'POSF Zone Def'!$BB56</f>
        <v>0</v>
      </c>
      <c r="DY67" s="57">
        <f>SUM('POSF Inventory'!GW59,'POSF Inventory'!GY59)*$D$7*'POSF Zone Def'!$BC56</f>
        <v>5.7746518466875001E-2</v>
      </c>
      <c r="DZ67" s="57">
        <f>SUM('POSF Inventory'!GX59,'POSF Inventory'!GZ59)*$D$9*'POSF Zone Def'!$BC56</f>
        <v>1.9501215240500003</v>
      </c>
      <c r="EA67" s="57"/>
      <c r="EB67" s="57"/>
      <c r="EC67" s="57">
        <f>'POSF Inventory'!HA59*'POSF Emiss by Zone'!$D$7*'POSF Zone Def'!$BC56</f>
        <v>0</v>
      </c>
      <c r="ED67" s="81">
        <f>'POSF Inventory'!HB59*'POSF Emiss by Zone'!$D$9*'POSF Zone Def'!$BC56</f>
        <v>0</v>
      </c>
      <c r="EE67" s="236">
        <f>'POSF Inventory'!$CF59*'POSF Emiss by Zone'!$D$7*'POSF Zone Def'!$CE56</f>
        <v>0</v>
      </c>
      <c r="EF67" s="236">
        <f>'POSF Inventory'!$CG59*'POSF Emiss by Zone'!$D$9*'POSF Zone Def'!$CE56</f>
        <v>0</v>
      </c>
      <c r="EG67" s="236">
        <f>'POSF Inventory'!$CH59*'POSF Emiss by Zone'!$D$7*'POSF Zone Def'!$CE56</f>
        <v>0</v>
      </c>
      <c r="EH67" s="236">
        <f>'POSF Inventory'!$CI59*'POSF Emiss by Zone'!$D$9*'POSF Zone Def'!$CE56</f>
        <v>0</v>
      </c>
      <c r="EI67" s="236">
        <f>'POSF Inventory'!$CJ59*'POSF Emiss by Zone'!$D$7*'POSF Zone Def'!$CE56</f>
        <v>0</v>
      </c>
      <c r="EJ67" s="581">
        <f>'POSF Inventory'!$CK59*'POSF Emiss by Zone'!$D$9*'POSF Zone Def'!$CE56</f>
        <v>0</v>
      </c>
      <c r="EK67" s="236">
        <f>'POSF Inventory'!$CF59*'POSF Emiss by Zone'!$D$7*'POSF Zone Def'!$CF56</f>
        <v>0</v>
      </c>
      <c r="EL67" s="236">
        <f>'POSF Inventory'!$CG59*'POSF Emiss by Zone'!$D$9*'POSF Zone Def'!$CF56</f>
        <v>0</v>
      </c>
      <c r="EM67" s="236">
        <f>'POSF Inventory'!$CH59*'POSF Emiss by Zone'!$D$7*'POSF Zone Def'!$CF56</f>
        <v>0</v>
      </c>
      <c r="EN67" s="236">
        <f>'POSF Inventory'!$CI59*'POSF Emiss by Zone'!$D$9*'POSF Zone Def'!$CF56</f>
        <v>0</v>
      </c>
      <c r="EO67" s="236">
        <f>'POSF Inventory'!$CJ59*'POSF Emiss by Zone'!$D$7*'POSF Zone Def'!$CF56</f>
        <v>0</v>
      </c>
      <c r="EP67" s="581">
        <f>'POSF Inventory'!$CK59*'POSF Emiss by Zone'!$D$9*'POSF Zone Def'!$CF56</f>
        <v>0</v>
      </c>
      <c r="EQ67" s="236">
        <f>'POSF Inventory'!$CF59*'POSF Emiss by Zone'!$D$7*'POSF Zone Def'!$CG56</f>
        <v>9.5342012564555268E-5</v>
      </c>
      <c r="ER67" s="236">
        <f>'POSF Inventory'!$CG59*'POSF Emiss by Zone'!$D$9*'POSF Zone Def'!$CG56</f>
        <v>1.1786656303293145E-4</v>
      </c>
      <c r="ES67" s="236">
        <f>'POSF Inventory'!$CH59*'POSF Emiss by Zone'!$D$7*'POSF Zone Def'!$CG56</f>
        <v>0</v>
      </c>
      <c r="ET67" s="236">
        <f>'POSF Inventory'!$CI59*'POSF Emiss by Zone'!$D$9*'POSF Zone Def'!$CG56</f>
        <v>0</v>
      </c>
      <c r="EU67" s="236">
        <f>'POSF Inventory'!$CJ59*'POSF Emiss by Zone'!$D$7*'POSF Zone Def'!$CG56</f>
        <v>8.5807811308099733E-4</v>
      </c>
      <c r="EV67" s="581">
        <f>'POSF Inventory'!$CK59*'POSF Emiss by Zone'!$D$9*'POSF Zone Def'!$CG56</f>
        <v>1.0607990672963829E-3</v>
      </c>
      <c r="EW67" s="236">
        <f>'POSF Inventory'!$CF59*'POSF Emiss by Zone'!$D$7*'POSF Zone Def'!$CH56</f>
        <v>1.2538009913272532</v>
      </c>
      <c r="EX67" s="236">
        <f>'POSF Inventory'!$CG59*'POSF Emiss by Zone'!$D$9*'POSF Zone Def'!$CH56</f>
        <v>1.5500114755283168</v>
      </c>
      <c r="EY67" s="236">
        <f>'POSF Inventory'!$CH59*'POSF Emiss by Zone'!$D$7*'POSF Zone Def'!$CH56</f>
        <v>0</v>
      </c>
      <c r="EZ67" s="236">
        <f>'POSF Inventory'!$CI59*'POSF Emiss by Zone'!$D$9*'POSF Zone Def'!$CH56</f>
        <v>0</v>
      </c>
      <c r="FA67" s="236">
        <f>'POSF Inventory'!$CJ59*'POSF Emiss by Zone'!$D$7*'POSF Zone Def'!$CH56</f>
        <v>11.284208921945279</v>
      </c>
      <c r="FB67" s="581">
        <f>'POSF Inventory'!$CK59*'POSF Emiss by Zone'!$D$9*'POSF Zone Def'!$CH56</f>
        <v>13.950103279754851</v>
      </c>
      <c r="FC67" s="236">
        <f>'POSF Inventory'!$CF59*'POSF Emiss by Zone'!$D$7*'POSF Zone Def'!$CI56</f>
        <v>1.1461036666601825</v>
      </c>
      <c r="FD67" s="236">
        <f>'POSF Inventory'!$CG59*'POSF Emiss by Zone'!$D$9*'POSF Zone Def'!$CI56</f>
        <v>1.4168706579086507</v>
      </c>
      <c r="FE67" s="236">
        <f>'POSF Inventory'!$CH59*'POSF Emiss by Zone'!$D$7*'POSF Zone Def'!$CI56</f>
        <v>0</v>
      </c>
      <c r="FF67" s="236">
        <f>'POSF Inventory'!$CI59*'POSF Emiss by Zone'!$D$9*'POSF Zone Def'!$CI56</f>
        <v>0</v>
      </c>
      <c r="FG67" s="236">
        <f>'POSF Inventory'!$CJ59*'POSF Emiss by Zone'!$D$7*'POSF Zone Def'!$CI56</f>
        <v>10.314932999941641</v>
      </c>
      <c r="FH67" s="578">
        <f>'POSF Inventory'!$CK59*'POSF Emiss by Zone'!$D$9*'POSF Zone Def'!$CI56</f>
        <v>12.751835921177856</v>
      </c>
      <c r="FI67" s="595"/>
      <c r="FJ67" s="595"/>
      <c r="FM67" s="592">
        <v>50</v>
      </c>
      <c r="FN67" s="592">
        <f t="shared" si="98"/>
        <v>2004</v>
      </c>
      <c r="FO67" s="587">
        <v>47</v>
      </c>
      <c r="FP67" s="85">
        <f t="shared" si="20"/>
        <v>0.24387122499999997</v>
      </c>
      <c r="FQ67" s="530">
        <f t="shared" si="21"/>
        <v>0.33622088500000002</v>
      </c>
      <c r="FR67" s="530">
        <f t="shared" si="22"/>
        <v>0</v>
      </c>
      <c r="FS67" s="530">
        <f t="shared" si="23"/>
        <v>0</v>
      </c>
      <c r="FT67" s="530">
        <f t="shared" si="24"/>
        <v>0.14981849999999999</v>
      </c>
      <c r="FU67" s="531">
        <f t="shared" si="25"/>
        <v>0.15017309999999998</v>
      </c>
      <c r="FV67" s="57">
        <f t="shared" si="26"/>
        <v>0.51354452499999992</v>
      </c>
      <c r="FW67" s="57">
        <f t="shared" si="27"/>
        <v>0.60653246499999991</v>
      </c>
      <c r="FX67" s="57">
        <f t="shared" si="28"/>
        <v>0</v>
      </c>
      <c r="FY67" s="57">
        <f t="shared" si="29"/>
        <v>0</v>
      </c>
      <c r="FZ67" s="57">
        <f t="shared" si="30"/>
        <v>0.34957649999999996</v>
      </c>
      <c r="GA67" s="81">
        <f t="shared" si="31"/>
        <v>0.35040389999999993</v>
      </c>
      <c r="GB67" s="530">
        <f t="shared" si="32"/>
        <v>0</v>
      </c>
      <c r="GC67" s="530">
        <f t="shared" si="33"/>
        <v>0</v>
      </c>
      <c r="GD67" s="530">
        <f t="shared" si="34"/>
        <v>3.8531420061939734</v>
      </c>
      <c r="GE67" s="530">
        <f t="shared" si="35"/>
        <v>93.68858160265188</v>
      </c>
      <c r="GF67" s="530">
        <f t="shared" si="36"/>
        <v>0.24870268924302788</v>
      </c>
      <c r="GG67" s="531">
        <f t="shared" si="37"/>
        <v>0.24929133466135456</v>
      </c>
      <c r="GH67" s="57">
        <f t="shared" si="38"/>
        <v>0</v>
      </c>
      <c r="GI67" s="57">
        <f t="shared" si="39"/>
        <v>0</v>
      </c>
      <c r="GJ67" s="57">
        <f t="shared" si="40"/>
        <v>1.0653389839081175</v>
      </c>
      <c r="GK67" s="57">
        <f t="shared" si="41"/>
        <v>13.765662657183764</v>
      </c>
      <c r="GL67" s="57">
        <f t="shared" si="42"/>
        <v>0.58030627490039832</v>
      </c>
      <c r="GM67" s="57">
        <f t="shared" si="43"/>
        <v>0.58167978087649397</v>
      </c>
      <c r="GN67" s="57">
        <f t="shared" si="44"/>
        <v>0</v>
      </c>
      <c r="GO67" s="57">
        <f t="shared" si="45"/>
        <v>0</v>
      </c>
      <c r="GP67" s="57">
        <f t="shared" si="46"/>
        <v>0</v>
      </c>
      <c r="GQ67" s="57">
        <f t="shared" si="47"/>
        <v>0</v>
      </c>
      <c r="GR67" s="57">
        <f t="shared" si="48"/>
        <v>0</v>
      </c>
      <c r="GS67" s="81">
        <f t="shared" si="49"/>
        <v>0</v>
      </c>
      <c r="GT67" s="530">
        <f t="shared" si="50"/>
        <v>2.1674150456127577E-3</v>
      </c>
      <c r="GU67" s="530">
        <f t="shared" si="51"/>
        <v>1.0255327191449242</v>
      </c>
      <c r="GV67" s="530">
        <f t="shared" si="52"/>
        <v>4.1629003984063739E-4</v>
      </c>
      <c r="GW67" s="530">
        <f t="shared" si="53"/>
        <v>8.4763998406374506E-4</v>
      </c>
      <c r="GX67" s="530">
        <f t="shared" si="54"/>
        <v>1.0774565737051794E-3</v>
      </c>
      <c r="GY67" s="531">
        <f t="shared" si="55"/>
        <v>5.3280227569721117E-3</v>
      </c>
      <c r="GZ67" s="57">
        <f t="shared" si="56"/>
        <v>1.4273588311393545E-3</v>
      </c>
      <c r="HA67" s="57">
        <f t="shared" si="57"/>
        <v>0.1524933203733404</v>
      </c>
      <c r="HB67" s="57">
        <f t="shared" si="58"/>
        <v>8.0809243027888419E-4</v>
      </c>
      <c r="HC67" s="57">
        <f t="shared" si="59"/>
        <v>1.3320056892430279E-3</v>
      </c>
      <c r="HD67" s="57">
        <f t="shared" si="60"/>
        <v>2.5140653386454184E-3</v>
      </c>
      <c r="HE67" s="127">
        <f t="shared" si="61"/>
        <v>1.2432053099601593E-2</v>
      </c>
      <c r="HF67" s="236">
        <f t="shared" si="62"/>
        <v>9.8760650465276365E-5</v>
      </c>
      <c r="HG67" s="236">
        <f t="shared" si="63"/>
        <v>1.220928541376979E-4</v>
      </c>
      <c r="HH67" s="236">
        <f t="shared" si="64"/>
        <v>0</v>
      </c>
      <c r="HI67" s="236">
        <f t="shared" si="65"/>
        <v>0</v>
      </c>
      <c r="HJ67" s="236">
        <f t="shared" si="66"/>
        <v>8.8884585418748721E-4</v>
      </c>
      <c r="HK67" s="581">
        <f t="shared" si="67"/>
        <v>1.0988356872392812E-3</v>
      </c>
      <c r="HL67" s="236">
        <f t="shared" si="68"/>
        <v>1.2987579989844056</v>
      </c>
      <c r="HM67" s="236">
        <f t="shared" si="69"/>
        <v>1.6055895762444714</v>
      </c>
      <c r="HN67" s="236">
        <f t="shared" si="70"/>
        <v>0</v>
      </c>
      <c r="HO67" s="236">
        <f t="shared" si="71"/>
        <v>0</v>
      </c>
      <c r="HP67" s="236">
        <f t="shared" si="72"/>
        <v>11.688821990859651</v>
      </c>
      <c r="HQ67" s="581">
        <f t="shared" si="73"/>
        <v>14.450306186200244</v>
      </c>
      <c r="HR67" s="236">
        <f t="shared" si="74"/>
        <v>1.1871990172575595</v>
      </c>
      <c r="HS67" s="236">
        <f t="shared" si="75"/>
        <v>1.4676747850846581</v>
      </c>
      <c r="HT67" s="236">
        <f t="shared" si="76"/>
        <v>0</v>
      </c>
      <c r="HU67" s="236">
        <f t="shared" si="77"/>
        <v>0</v>
      </c>
      <c r="HV67" s="236">
        <f t="shared" si="78"/>
        <v>10.684791155318035</v>
      </c>
      <c r="HW67" s="578">
        <f t="shared" si="79"/>
        <v>13.209073065761922</v>
      </c>
      <c r="HX67" s="236">
        <f t="shared" si="80"/>
        <v>0.11518977346260416</v>
      </c>
      <c r="HY67" s="236">
        <f t="shared" si="81"/>
        <v>54.503119665940623</v>
      </c>
      <c r="HZ67" s="236">
        <f t="shared" si="82"/>
        <v>2.2124214501992031E-2</v>
      </c>
      <c r="IA67" s="236">
        <f t="shared" si="83"/>
        <v>4.5048804999203183E-2</v>
      </c>
      <c r="IB67" s="236">
        <f t="shared" si="84"/>
        <v>5.726267282868526E-2</v>
      </c>
      <c r="IC67" s="236">
        <f t="shared" si="85"/>
        <v>0.28316391713784861</v>
      </c>
      <c r="ID67" s="236">
        <f t="shared" si="86"/>
        <v>7.585863203339846E-2</v>
      </c>
      <c r="IE67" s="236">
        <f t="shared" si="87"/>
        <v>8.1044334650723755</v>
      </c>
      <c r="IF67" s="236">
        <f t="shared" si="88"/>
        <v>4.2947004621513928E-2</v>
      </c>
      <c r="IG67" s="236">
        <f t="shared" si="89"/>
        <v>7.0790979284462138E-2</v>
      </c>
      <c r="IH67" s="236">
        <f t="shared" si="90"/>
        <v>0.13361290326693226</v>
      </c>
      <c r="II67" s="236">
        <f t="shared" si="91"/>
        <v>0.66071580665497986</v>
      </c>
      <c r="IJ67" s="236">
        <f t="shared" si="92"/>
        <v>0</v>
      </c>
      <c r="IK67" s="236">
        <f t="shared" si="93"/>
        <v>0</v>
      </c>
      <c r="IL67" s="236">
        <f t="shared" si="94"/>
        <v>0</v>
      </c>
      <c r="IM67" s="236">
        <f t="shared" si="95"/>
        <v>0</v>
      </c>
      <c r="IN67" s="236">
        <f t="shared" si="96"/>
        <v>0</v>
      </c>
      <c r="IO67" s="236">
        <f t="shared" si="97"/>
        <v>0</v>
      </c>
    </row>
    <row r="68" spans="1:249" ht="18" x14ac:dyDescent="0.25">
      <c r="A68" s="9">
        <v>2005</v>
      </c>
      <c r="B68" s="564"/>
      <c r="C68" s="530">
        <f>'POSF Inventory'!AD60*$D$5*'POSF Zone Def'!$M57</f>
        <v>6.0759724999999994E-2</v>
      </c>
      <c r="D68" s="530">
        <f>'POSF Inventory'!AE60*$D$6*'POSF Zone Def'!$M57</f>
        <v>0.13515579</v>
      </c>
      <c r="E68" s="530">
        <f>'POSF Inventory'!AF60*$D$5*'POSF Zone Def'!$M57</f>
        <v>0</v>
      </c>
      <c r="F68" s="530">
        <f>'POSF Inventory'!AG60*$D$6*'POSF Zone Def'!$M57</f>
        <v>0</v>
      </c>
      <c r="G68" s="530">
        <f>'POSF Inventory'!AH60*$D$5*'POSF Zone Def'!$M57</f>
        <v>0</v>
      </c>
      <c r="H68" s="531">
        <f>'POSF Inventory'!AI60*$D$6*'POSF Zone Def'!$M57</f>
        <v>0</v>
      </c>
      <c r="I68" s="57">
        <f>'POSF Inventory'!AD60*$D$5*'POSF Zone Def'!$N57</f>
        <v>6.0759724999999994E-2</v>
      </c>
      <c r="J68" s="57">
        <f>'POSF Inventory'!AE60*$D$6*'POSF Zone Def'!$N57</f>
        <v>0.13515579</v>
      </c>
      <c r="K68" s="57">
        <f>'POSF Inventory'!AF60*$D$5*'POSF Zone Def'!$N57</f>
        <v>0</v>
      </c>
      <c r="L68" s="57">
        <f>'POSF Inventory'!AG60*$D$6*'POSF Zone Def'!$N57</f>
        <v>0</v>
      </c>
      <c r="M68" s="57">
        <f>'POSF Inventory'!AH60*$D$5*'POSF Zone Def'!$N57</f>
        <v>0</v>
      </c>
      <c r="N68" s="127">
        <f>'POSF Inventory'!AI60*$D$6*'POSF Zone Def'!$N57</f>
        <v>0</v>
      </c>
      <c r="O68" s="530">
        <f>'POSF Inventory'!AJ60*$D$5*'POSF Zone Def'!$AP57</f>
        <v>0.34383345749999994</v>
      </c>
      <c r="P68" s="530">
        <f>'POSF Inventory'!AK60*$D$6*'POSF Zone Def'!$AP57</f>
        <v>0.34464726449999994</v>
      </c>
      <c r="Q68" s="530">
        <f>'POSF Inventory'!AL60*$D$5*'POSF Zone Def'!$AP57</f>
        <v>0</v>
      </c>
      <c r="R68" s="530">
        <f>'POSF Inventory'!AM60*$D$6*'POSF Zone Def'!$AP57</f>
        <v>0</v>
      </c>
      <c r="S68" s="530">
        <f>'POSF Inventory'!AN60*$D$5*'POSF Zone Def'!$AP57</f>
        <v>0.25469144999999993</v>
      </c>
      <c r="T68" s="531">
        <f>'POSF Inventory'!AO60*$D$6*'POSF Zone Def'!$AP57</f>
        <v>0.25529426999999999</v>
      </c>
      <c r="U68" s="57">
        <f>'POSF Inventory'!AJ60*$D$5*'POSF Zone Def'!$AQ57</f>
        <v>0.80227806749999986</v>
      </c>
      <c r="V68" s="57">
        <f>'POSF Inventory'!AK60*$D$6*'POSF Zone Def'!$AQ57</f>
        <v>0.80417695049999982</v>
      </c>
      <c r="W68" s="57">
        <f>'POSF Inventory'!AL60*$D$5*'POSF Zone Def'!$AQ57</f>
        <v>0</v>
      </c>
      <c r="X68" s="57">
        <f>'POSF Inventory'!AM60*$D$6*'POSF Zone Def'!$AQ57</f>
        <v>0</v>
      </c>
      <c r="Y68" s="57">
        <f>'POSF Inventory'!AN60*$D$5*'POSF Zone Def'!$AQ57</f>
        <v>0.59428004999999984</v>
      </c>
      <c r="Z68" s="81">
        <f>'POSF Inventory'!AO60*$D$6*'POSF Zone Def'!$AQ57</f>
        <v>0.59568662999999988</v>
      </c>
      <c r="AA68" s="530">
        <f>'POSF Inventory'!AV60*'POSF Emiss by Zone'!$D$5*'POSF Zone Def'!$M57</f>
        <v>0</v>
      </c>
      <c r="AB68" s="530">
        <f>'POSF Inventory'!AW60*'POSF Emiss by Zone'!$D$6*'POSF Zone Def'!$M57</f>
        <v>0</v>
      </c>
      <c r="AC68" s="530">
        <f>'POSF Inventory'!AX60*'POSF Emiss by Zone'!$D$5*'POSF Zone Def'!$M57</f>
        <v>8.202562875000001E-2</v>
      </c>
      <c r="AD68" s="530">
        <f>'POSF Inventory'!AY60*'POSF Emiss by Zone'!$D$6*'POSF Zone Def'!$M57</f>
        <v>0.1824603165</v>
      </c>
      <c r="AE68" s="530">
        <f>'POSF Inventory'!AZ60*'POSF Emiss by Zone'!$D$5*'POSF Zone Def'!$M57</f>
        <v>0</v>
      </c>
      <c r="AF68" s="531">
        <f>'POSF Inventory'!BA60*'POSF Emiss by Zone'!$D$6*'POSF Zone Def'!$M57</f>
        <v>0</v>
      </c>
      <c r="AG68" s="57">
        <f>'POSF Inventory'!AV60*'POSF Emiss by Zone'!$D$5*'POSF Zone Def'!$N57</f>
        <v>0</v>
      </c>
      <c r="AH68" s="57">
        <f>'POSF Inventory'!AW60*'POSF Emiss by Zone'!$D$6*'POSF Zone Def'!$N57</f>
        <v>0</v>
      </c>
      <c r="AI68" s="57">
        <f>'POSF Inventory'!AX60*'POSF Emiss by Zone'!$D$5*'POSF Zone Def'!$N57</f>
        <v>8.202562875000001E-2</v>
      </c>
      <c r="AJ68" s="57">
        <f>'POSF Inventory'!AY60*'POSF Emiss by Zone'!$D$6*'POSF Zone Def'!$N57</f>
        <v>0.1824603165</v>
      </c>
      <c r="AK68" s="57">
        <f>'POSF Inventory'!AZ60*'POSF Emiss by Zone'!$D$5*'POSF Zone Def'!$N57</f>
        <v>0</v>
      </c>
      <c r="AL68" s="127">
        <f>'POSF Inventory'!BA60*'POSF Emiss by Zone'!$D$6*'POSF Zone Def'!$N57</f>
        <v>0</v>
      </c>
      <c r="AM68" s="530">
        <f>'POSF Inventory'!BB60*'POSF Emiss by Zone'!$D$5*'POSF Zone Def'!$AP57</f>
        <v>0</v>
      </c>
      <c r="AN68" s="530">
        <f>'POSF Inventory'!BC60*'POSF Emiss by Zone'!$D$6*'POSF Zone Def'!$AP57</f>
        <v>0</v>
      </c>
      <c r="AO68" s="530">
        <f>'POSF Inventory'!BD60*'POSF Emiss by Zone'!$D$5*'POSF Zone Def'!$AP57</f>
        <v>0.22922230499999996</v>
      </c>
      <c r="AP68" s="530">
        <f>'POSF Inventory'!BE60*'POSF Emiss by Zone'!$D$6*'POSF Zone Def'!$AP57</f>
        <v>0.22976484299999997</v>
      </c>
      <c r="AQ68" s="530">
        <f>'POSF Inventory'!BF60*'POSF Emiss by Zone'!$D$5*'POSF Zone Def'!$AP57</f>
        <v>0.42448574999999994</v>
      </c>
      <c r="AR68" s="531">
        <f>'POSF Inventory'!BG60*'POSF Emiss by Zone'!$D$6*'POSF Zone Def'!$AP57</f>
        <v>0.42549044999999996</v>
      </c>
      <c r="AS68" s="57">
        <f>'POSF Inventory'!BB60*'POSF Emiss by Zone'!$D$5*'POSF Zone Def'!$AQ57</f>
        <v>0</v>
      </c>
      <c r="AT68" s="57">
        <f>'POSF Inventory'!BC60*'POSF Emiss by Zone'!$D$6*'POSF Zone Def'!$AQ57</f>
        <v>0</v>
      </c>
      <c r="AU68" s="57">
        <f>'POSF Inventory'!BD60*'POSF Emiss by Zone'!$D$5*'POSF Zone Def'!$AQ57</f>
        <v>0.53485204499999994</v>
      </c>
      <c r="AV68" s="57">
        <f>'POSF Inventory'!BE60*'POSF Emiss by Zone'!$D$6*'POSF Zone Def'!$AQ57</f>
        <v>0.53611796699999992</v>
      </c>
      <c r="AW68" s="57">
        <f>'POSF Inventory'!BF60*'POSF Emiss by Zone'!$D$5*'POSF Zone Def'!$AQ57</f>
        <v>0.99046674999999984</v>
      </c>
      <c r="AX68" s="81">
        <f>'POSF Inventory'!BG60*'POSF Emiss by Zone'!$D$6*'POSF Zone Def'!$AQ57</f>
        <v>0.99281104999999981</v>
      </c>
      <c r="AY68" s="530">
        <f>'POSF Inventory'!EA60*'POSF Emiss by Zone'!$D$5*'POSF Zone Def'!$Y57</f>
        <v>0</v>
      </c>
      <c r="AZ68" s="530">
        <f>'POSF Inventory'!EB60*'POSF Emiss by Zone'!$D$6*'POSF Zone Def'!$Y57</f>
        <v>0</v>
      </c>
      <c r="BA68" s="530">
        <f>'POSF Inventory'!EC60*'POSF Emiss by Zone'!$D$5*'POSF Zone Def'!$Y57</f>
        <v>4.3627521746250002</v>
      </c>
      <c r="BB68" s="530">
        <f>'POSF Inventory'!ED60*'POSF Emiss by Zone'!$D$6*'POSF Zone Def'!$Y57</f>
        <v>78.662077652812485</v>
      </c>
      <c r="BC68" s="530">
        <f>'POSF Inventory'!EE60*'POSF Emiss by Zone'!$D$5*'POSF Zone Def'!$Y57</f>
        <v>0</v>
      </c>
      <c r="BD68" s="531">
        <f>'POSF Inventory'!EF60*'POSF Emiss by Zone'!$D$6*'POSF Zone Def'!$Y57</f>
        <v>0</v>
      </c>
      <c r="BE68" s="57">
        <f>'POSF Inventory'!EA60*'POSF Emiss by Zone'!$D$5*'POSF Zone Def'!$Z57</f>
        <v>0</v>
      </c>
      <c r="BF68" s="57">
        <f>'POSF Inventory'!EB60*'POSF Emiss by Zone'!$D$6*'POSF Zone Def'!$Z57</f>
        <v>0</v>
      </c>
      <c r="BG68" s="57">
        <f>'POSF Inventory'!EC60*'POSF Emiss by Zone'!$D$5*'POSF Zone Def'!$Z57</f>
        <v>0.48475024162500002</v>
      </c>
      <c r="BH68" s="57">
        <f>'POSF Inventory'!ED60*'POSF Emiss by Zone'!$D$6*'POSF Zone Def'!$Z57</f>
        <v>8.7402308503124981</v>
      </c>
      <c r="BI68" s="57">
        <f>'POSF Inventory'!EE60*'POSF Emiss by Zone'!$D$5*'POSF Zone Def'!$Z57</f>
        <v>0</v>
      </c>
      <c r="BJ68" s="127">
        <f>'POSF Inventory'!EF60*'POSF Emiss by Zone'!$D$6*'POSF Zone Def'!$Z57</f>
        <v>0</v>
      </c>
      <c r="BK68" s="57">
        <f>'POSF Inventory'!$EA60*'POSF Emiss by Zone'!$D$5*'POSF Zone Def'!$AC57</f>
        <v>0</v>
      </c>
      <c r="BL68" s="57">
        <f>'POSF Inventory'!$EB60*'POSF Emiss by Zone'!$D$6*'POSF Zone Def'!$AC57</f>
        <v>0</v>
      </c>
      <c r="BM68" s="57">
        <f>'POSF Inventory'!$EC60*'POSF Emiss by Zone'!$D$5*'POSF Zone Def'!$AC57</f>
        <v>0</v>
      </c>
      <c r="BN68" s="57">
        <f>'POSF Inventory'!$ED60*'POSF Emiss by Zone'!$D$6*'POSF Zone Def'!$AC57</f>
        <v>0</v>
      </c>
      <c r="BO68" s="57">
        <f>'POSF Inventory'!$EE60*'POSF Emiss by Zone'!$D$5*'POSF Zone Def'!$AC57</f>
        <v>0</v>
      </c>
      <c r="BP68" s="127">
        <f>'POSF Inventory'!$EF60*'POSF Emiss by Zone'!$D$6*'POSF Zone Def'!$AC57</f>
        <v>0</v>
      </c>
      <c r="BQ68" s="530">
        <f>'POSF Inventory'!EG60*'POSF Emiss by Zone'!$D$5*'POSF Zone Def'!$BB57</f>
        <v>0</v>
      </c>
      <c r="BR68" s="530">
        <f>'POSF Inventory'!EH60*'POSF Emiss by Zone'!$D$6*'POSF Zone Def'!$BB57</f>
        <v>0</v>
      </c>
      <c r="BS68" s="530">
        <f>'POSF Inventory'!EI60*'POSF Emiss by Zone'!$D$5*'POSF Zone Def'!$BB57</f>
        <v>0.30391679296875002</v>
      </c>
      <c r="BT68" s="530">
        <f>'POSF Inventory'!EJ60*'POSF Emiss by Zone'!$D$6*'POSF Zone Def'!$BB57</f>
        <v>3.0463612265624995</v>
      </c>
      <c r="BU68" s="530">
        <f>'POSF Inventory'!EK60*'POSF Emiss by Zone'!$D$5*'POSF Zone Def'!$BB57</f>
        <v>0</v>
      </c>
      <c r="BV68" s="531">
        <f>'POSF Inventory'!EL60*'POSF Emiss by Zone'!$D$6*'POSF Zone Def'!$BB57</f>
        <v>0</v>
      </c>
      <c r="BW68" s="57">
        <f>'POSF Inventory'!EG60*'POSF Emiss by Zone'!$D$5*'POSF Zone Def'!$BC57</f>
        <v>0</v>
      </c>
      <c r="BX68" s="57">
        <f>'POSF Inventory'!EH60*'POSF Emiss by Zone'!$D$6*'POSF Zone Def'!$BC57</f>
        <v>0</v>
      </c>
      <c r="BY68" s="57">
        <f>'POSF Inventory'!EI60*'POSF Emiss by Zone'!$D$5*'POSF Zone Def'!$BC57</f>
        <v>0.70913918359374994</v>
      </c>
      <c r="BZ68" s="57">
        <f>'POSF Inventory'!EJ60*'POSF Emiss by Zone'!$D$6*'POSF Zone Def'!$BC57</f>
        <v>7.108176195312498</v>
      </c>
      <c r="CA68" s="57">
        <f>'POSF Inventory'!EK60*'POSF Emiss by Zone'!$D$5*'POSF Zone Def'!$BC57</f>
        <v>0</v>
      </c>
      <c r="CB68" s="81">
        <f>'POSF Inventory'!EL60*'POSF Emiss by Zone'!$D$6*'POSF Zone Def'!$BC57</f>
        <v>0</v>
      </c>
      <c r="CC68" s="530">
        <f>'POSF Inventory'!GC60*'POSF Emiss by Zone'!$D$7*'POSF Zone Def'!$M57</f>
        <v>2.8762000000000004E-4</v>
      </c>
      <c r="CD68" s="530">
        <f>'POSF Inventory'!GD60*'POSF Emiss by Zone'!$D$9*'POSF Zone Def'!$M57</f>
        <v>7.8907365000000006E-4</v>
      </c>
      <c r="CE68" s="530">
        <f>'POSF Inventory'!GE60*'POSF Emiss by Zone'!$D$7*'POSF Zone Def'!$M57</f>
        <v>8.6285999999999984E-3</v>
      </c>
      <c r="CF68" s="530">
        <f>'POSF Inventory'!GF60*'POSF Emiss by Zone'!$D$9*'POSF Zone Def'!$M57</f>
        <v>2.3672209499999999E-2</v>
      </c>
      <c r="CG68" s="530">
        <f>'POSF Inventory'!GG60*'POSF Emiss by Zone'!$D$7*'POSF Zone Def'!$M57</f>
        <v>0</v>
      </c>
      <c r="CH68" s="531">
        <f>'POSF Inventory'!GH60*'POSF Emiss by Zone'!$D$9*'POSF Zone Def'!$M57</f>
        <v>0</v>
      </c>
      <c r="CI68" s="57">
        <f>'POSF Inventory'!GC60*'POSF Emiss by Zone'!$D$7*'POSF Zone Def'!$N57</f>
        <v>2.8762000000000004E-4</v>
      </c>
      <c r="CJ68" s="57">
        <f>'POSF Inventory'!GD60*'POSF Emiss by Zone'!$D$9*'POSF Zone Def'!$N57</f>
        <v>7.8907365000000006E-4</v>
      </c>
      <c r="CK68" s="57">
        <f>'POSF Inventory'!GE60*'POSF Emiss by Zone'!$D$7*'POSF Zone Def'!$N57</f>
        <v>8.6285999999999984E-3</v>
      </c>
      <c r="CL68" s="57">
        <f>'POSF Inventory'!GF60*'POSF Emiss by Zone'!$D$9*'POSF Zone Def'!$N57</f>
        <v>2.3672209499999999E-2</v>
      </c>
      <c r="CM68" s="57">
        <f>'POSF Inventory'!GG60*'POSF Emiss by Zone'!$D$7*'POSF Zone Def'!$N57</f>
        <v>0</v>
      </c>
      <c r="CN68" s="127">
        <f>'POSF Inventory'!GH60*'POSF Emiss by Zone'!$D$9*'POSF Zone Def'!$N57</f>
        <v>0</v>
      </c>
      <c r="CO68" s="530">
        <f>'POSF Inventory'!GI60*'POSF Emiss by Zone'!$D$7*'POSF Zone Def'!$AP57</f>
        <v>1.6075200000000001E-3</v>
      </c>
      <c r="CP68" s="530">
        <f>'POSF Inventory'!GJ60*'POSF Emiss by Zone'!$D$9*'POSF Zone Def'!$AP57</f>
        <v>1.9872966000000001E-3</v>
      </c>
      <c r="CQ68" s="530">
        <f>'POSF Inventory'!GK60*'POSF Emiss by Zone'!$D$7*'POSF Zone Def'!$AP57</f>
        <v>2.41128E-2</v>
      </c>
      <c r="CR68" s="530">
        <f>'POSF Inventory'!GL60*'POSF Emiss by Zone'!$D$9*'POSF Zone Def'!$AP57</f>
        <v>2.9809448999999998E-2</v>
      </c>
      <c r="CS68" s="530">
        <f>'POSF Inventory'!GM60*'POSF Emiss by Zone'!$D$7*'POSF Zone Def'!$AP57</f>
        <v>8.8413600000000009E-2</v>
      </c>
      <c r="CT68" s="531">
        <f>'POSF Inventory'!GN60*'POSF Emiss by Zone'!$D$9*'POSF Zone Def'!$AP57</f>
        <v>0.43720525200000004</v>
      </c>
      <c r="CU68" s="57">
        <f>'POSF Inventory'!GI60*'POSF Emiss by Zone'!$D$7*'POSF Zone Def'!$AQ57</f>
        <v>3.7508799999999998E-3</v>
      </c>
      <c r="CV68" s="57">
        <f>'POSF Inventory'!GJ60*'POSF Emiss by Zone'!$D$9*'POSF Zone Def'!$AQ57</f>
        <v>4.6370254000000005E-3</v>
      </c>
      <c r="CW68" s="57">
        <f>'POSF Inventory'!GK60*'POSF Emiss by Zone'!$D$7*'POSF Zone Def'!$AQ57</f>
        <v>5.6263199999999999E-2</v>
      </c>
      <c r="CX68" s="57">
        <f>'POSF Inventory'!GL60*'POSF Emiss by Zone'!$D$9*'POSF Zone Def'!$AQ57</f>
        <v>6.9555380999999999E-2</v>
      </c>
      <c r="CY68" s="57">
        <f>'POSF Inventory'!GM60*'POSF Emiss by Zone'!$D$7*'POSF Zone Def'!$AQ57</f>
        <v>0.20629840000000002</v>
      </c>
      <c r="CZ68" s="81">
        <f>'POSF Inventory'!GN60*'POSF Emiss by Zone'!$D$9*'POSF Zone Def'!$AQ57</f>
        <v>1.0201455880000001</v>
      </c>
      <c r="DA68" s="530">
        <f>SUM('POSF Inventory'!GQ60,'POSF Inventory'!GS60)*'POSF Emiss by Zone'!$D$7*'POSF Zone Def'!$Y57</f>
        <v>6.6156243917400021E-2</v>
      </c>
      <c r="DB68" s="530">
        <f>SUM('POSF Inventory'!GR60,'POSF Inventory'!GT60)*'POSF Emiss by Zone'!$D$9*'POSF Zone Def'!$Y57</f>
        <v>40.892828271442887</v>
      </c>
      <c r="DC68" s="530"/>
      <c r="DD68" s="530"/>
      <c r="DE68" s="530">
        <f>'POSF Inventory'!GU60*'POSF Emiss by Zone'!$D$7*'POSF Zone Def'!$Y57</f>
        <v>0</v>
      </c>
      <c r="DF68" s="531">
        <f>'POSF Inventory'!GV60*'POSF Emiss by Zone'!$D$9*'POSF Zone Def'!$Y57</f>
        <v>0</v>
      </c>
      <c r="DG68" s="57">
        <f>SUM('POSF Inventory'!GQ60,'POSF Inventory'!GS60)*'POSF Emiss by Zone'!$D$7*'POSF Zone Def'!$Z57</f>
        <v>7.3506937686000015E-3</v>
      </c>
      <c r="DH68" s="57">
        <f>SUM('POSF Inventory'!GR60,'POSF Inventory'!GT60)*'POSF Emiss by Zone'!$D$9*'POSF Zone Def'!$Z57</f>
        <v>4.5436475857158767</v>
      </c>
      <c r="DI68" s="57"/>
      <c r="DJ68" s="57"/>
      <c r="DK68" s="57">
        <f>'POSF Inventory'!GU60*'POSF Emiss by Zone'!$D$7*'POSF Zone Def'!$Z57</f>
        <v>0</v>
      </c>
      <c r="DL68" s="127">
        <f>'POSF Inventory'!GV60*'POSF Emiss by Zone'!$D$9*'POSF Zone Def'!$Z57</f>
        <v>0</v>
      </c>
      <c r="DM68" s="57">
        <f>SUM('POSF Inventory'!$GQ60,'POSF Inventory'!$GS60)*'POSF Emiss by Zone'!$D$7*'POSF Zone Def'!$AC57</f>
        <v>0</v>
      </c>
      <c r="DN68" s="57">
        <f>SUM('POSF Inventory'!$GR60,'POSF Inventory'!$GT60)*'POSF Emiss by Zone'!$D$9*'POSF Zone Def'!$AC57</f>
        <v>0</v>
      </c>
      <c r="DO68" s="57"/>
      <c r="DP68" s="57"/>
      <c r="DQ68" s="57">
        <f>'POSF Inventory'!$GU60*'POSF Emiss by Zone'!$D$7*'POSF Zone Def'!$AC57</f>
        <v>0</v>
      </c>
      <c r="DR68" s="127">
        <f>'POSF Inventory'!$GV60*'POSF Emiss by Zone'!$D$9*'POSF Zone Def'!$AC57</f>
        <v>0</v>
      </c>
      <c r="DS68" s="530">
        <f>SUM('POSF Inventory'!GW60,'POSF Inventory'!GY60)*$D$7*'POSF Zone Def'!$BB57</f>
        <v>5.0314951909687489E-2</v>
      </c>
      <c r="DT68" s="530">
        <f>SUM('POSF Inventory'!GX60,'POSF Inventory'!GZ60)*$D$9*'POSF Zone Def'!$BB57</f>
        <v>1.7239815343406248</v>
      </c>
      <c r="DU68" s="530"/>
      <c r="DV68" s="530"/>
      <c r="DW68" s="530">
        <f>'POSF Inventory'!HA60*'POSF Emiss by Zone'!$D$7*'POSF Zone Def'!$BB57</f>
        <v>0</v>
      </c>
      <c r="DX68" s="531">
        <f>'POSF Inventory'!HB60*'POSF Emiss by Zone'!$D$9*'POSF Zone Def'!$BB57</f>
        <v>0</v>
      </c>
      <c r="DY68" s="57">
        <f>SUM('POSF Inventory'!GW60,'POSF Inventory'!GY60)*$D$7*'POSF Zone Def'!$BC57</f>
        <v>0.11740155445593746</v>
      </c>
      <c r="DZ68" s="57">
        <f>SUM('POSF Inventory'!GX60,'POSF Inventory'!GZ60)*$D$9*'POSF Zone Def'!$BC57</f>
        <v>4.0226235801281245</v>
      </c>
      <c r="EA68" s="57"/>
      <c r="EB68" s="57"/>
      <c r="EC68" s="57">
        <f>'POSF Inventory'!HA60*'POSF Emiss by Zone'!$D$7*'POSF Zone Def'!$BC57</f>
        <v>0</v>
      </c>
      <c r="ED68" s="81">
        <f>'POSF Inventory'!HB60*'POSF Emiss by Zone'!$D$9*'POSF Zone Def'!$BC57</f>
        <v>0</v>
      </c>
      <c r="EE68" s="236">
        <f>'POSF Inventory'!$CF60*'POSF Emiss by Zone'!$D$7*'POSF Zone Def'!$CE57</f>
        <v>0</v>
      </c>
      <c r="EF68" s="236">
        <f>'POSF Inventory'!$CG60*'POSF Emiss by Zone'!$D$9*'POSF Zone Def'!$CE57</f>
        <v>0</v>
      </c>
      <c r="EG68" s="236">
        <f>'POSF Inventory'!$CH60*'POSF Emiss by Zone'!$D$7*'POSF Zone Def'!$CE57</f>
        <v>0</v>
      </c>
      <c r="EH68" s="236">
        <f>'POSF Inventory'!$CI60*'POSF Emiss by Zone'!$D$9*'POSF Zone Def'!$CE57</f>
        <v>0</v>
      </c>
      <c r="EI68" s="236">
        <f>'POSF Inventory'!$CJ60*'POSF Emiss by Zone'!$D$7*'POSF Zone Def'!$CE57</f>
        <v>0</v>
      </c>
      <c r="EJ68" s="581">
        <f>'POSF Inventory'!$CK60*'POSF Emiss by Zone'!$D$9*'POSF Zone Def'!$CE57</f>
        <v>0</v>
      </c>
      <c r="EK68" s="236">
        <f>'POSF Inventory'!$CF60*'POSF Emiss by Zone'!$D$7*'POSF Zone Def'!$CF57</f>
        <v>0</v>
      </c>
      <c r="EL68" s="236">
        <f>'POSF Inventory'!$CG60*'POSF Emiss by Zone'!$D$9*'POSF Zone Def'!$CF57</f>
        <v>0</v>
      </c>
      <c r="EM68" s="236">
        <f>'POSF Inventory'!$CH60*'POSF Emiss by Zone'!$D$7*'POSF Zone Def'!$CF57</f>
        <v>0</v>
      </c>
      <c r="EN68" s="236">
        <f>'POSF Inventory'!$CI60*'POSF Emiss by Zone'!$D$9*'POSF Zone Def'!$CF57</f>
        <v>0</v>
      </c>
      <c r="EO68" s="236">
        <f>'POSF Inventory'!$CJ60*'POSF Emiss by Zone'!$D$7*'POSF Zone Def'!$CF57</f>
        <v>0</v>
      </c>
      <c r="EP68" s="581">
        <f>'POSF Inventory'!$CK60*'POSF Emiss by Zone'!$D$9*'POSF Zone Def'!$CF57</f>
        <v>0</v>
      </c>
      <c r="EQ68" s="236">
        <f>'POSF Inventory'!$CF60*'POSF Emiss by Zone'!$D$7*'POSF Zone Def'!$CG57</f>
        <v>9.5448160005210468E-5</v>
      </c>
      <c r="ER68" s="236">
        <f>'POSF Inventory'!$CG60*'POSF Emiss by Zone'!$D$9*'POSF Zone Def'!$CG57</f>
        <v>1.1799778780644145E-4</v>
      </c>
      <c r="ES68" s="236">
        <f>'POSF Inventory'!$CH60*'POSF Emiss by Zone'!$D$7*'POSF Zone Def'!$CG57</f>
        <v>0</v>
      </c>
      <c r="ET68" s="236">
        <f>'POSF Inventory'!$CI60*'POSF Emiss by Zone'!$D$9*'POSF Zone Def'!$CG57</f>
        <v>0</v>
      </c>
      <c r="EU68" s="236">
        <f>'POSF Inventory'!$CJ60*'POSF Emiss by Zone'!$D$7*'POSF Zone Def'!$CG57</f>
        <v>8.5903344004689415E-4</v>
      </c>
      <c r="EV68" s="581">
        <f>'POSF Inventory'!$CK60*'POSF Emiss by Zone'!$D$9*'POSF Zone Def'!$CG57</f>
        <v>1.0619800902579731E-3</v>
      </c>
      <c r="EW68" s="236">
        <f>'POSF Inventory'!$CF60*'POSF Emiss by Zone'!$D$7*'POSF Zone Def'!$CH57</f>
        <v>1.2551968897642642</v>
      </c>
      <c r="EX68" s="236">
        <f>'POSF Inventory'!$CG60*'POSF Emiss by Zone'!$D$9*'POSF Zone Def'!$CH57</f>
        <v>1.5517371549710717</v>
      </c>
      <c r="EY68" s="236">
        <f>'POSF Inventory'!$CH60*'POSF Emiss by Zone'!$D$7*'POSF Zone Def'!$CH57</f>
        <v>0</v>
      </c>
      <c r="EZ68" s="236">
        <f>'POSF Inventory'!$CI60*'POSF Emiss by Zone'!$D$9*'POSF Zone Def'!$CH57</f>
        <v>0</v>
      </c>
      <c r="FA68" s="236">
        <f>'POSF Inventory'!$CJ60*'POSF Emiss by Zone'!$D$7*'POSF Zone Def'!$CH57</f>
        <v>11.296772007878378</v>
      </c>
      <c r="FB68" s="581">
        <f>'POSF Inventory'!$CK60*'POSF Emiss by Zone'!$D$9*'POSF Zone Def'!$CH57</f>
        <v>13.965634394739645</v>
      </c>
      <c r="FC68" s="236">
        <f>'POSF Inventory'!$CF60*'POSF Emiss by Zone'!$D$7*'POSF Zone Def'!$CI57</f>
        <v>1.1473796620757308</v>
      </c>
      <c r="FD68" s="236">
        <f>'POSF Inventory'!$CG60*'POSF Emiss by Zone'!$D$9*'POSF Zone Def'!$CI57</f>
        <v>1.4184481072411224</v>
      </c>
      <c r="FE68" s="236">
        <f>'POSF Inventory'!$CH60*'POSF Emiss by Zone'!$D$7*'POSF Zone Def'!$CI57</f>
        <v>0</v>
      </c>
      <c r="FF68" s="236">
        <f>'POSF Inventory'!$CI60*'POSF Emiss by Zone'!$D$9*'POSF Zone Def'!$CI57</f>
        <v>0</v>
      </c>
      <c r="FG68" s="236">
        <f>'POSF Inventory'!$CJ60*'POSF Emiss by Zone'!$D$7*'POSF Zone Def'!$CI57</f>
        <v>10.326416958681577</v>
      </c>
      <c r="FH68" s="578">
        <f>'POSF Inventory'!$CK60*'POSF Emiss by Zone'!$D$9*'POSF Zone Def'!$CI57</f>
        <v>12.766032965170101</v>
      </c>
      <c r="FI68" s="595"/>
      <c r="FJ68" s="595"/>
      <c r="FM68" s="592">
        <v>51</v>
      </c>
      <c r="FN68" s="592">
        <f t="shared" si="98"/>
        <v>2005</v>
      </c>
      <c r="FO68" s="587">
        <v>48</v>
      </c>
      <c r="FP68" s="85">
        <f t="shared" si="20"/>
        <v>0.40459318249999993</v>
      </c>
      <c r="FQ68" s="530">
        <f t="shared" si="21"/>
        <v>0.47980305449999994</v>
      </c>
      <c r="FR68" s="530">
        <f t="shared" si="22"/>
        <v>0</v>
      </c>
      <c r="FS68" s="530">
        <f t="shared" si="23"/>
        <v>0</v>
      </c>
      <c r="FT68" s="530">
        <f t="shared" si="24"/>
        <v>0.25469144999999993</v>
      </c>
      <c r="FU68" s="531">
        <f t="shared" si="25"/>
        <v>0.25529426999999999</v>
      </c>
      <c r="FV68" s="57">
        <f t="shared" si="26"/>
        <v>0.8630377924999999</v>
      </c>
      <c r="FW68" s="57">
        <f t="shared" si="27"/>
        <v>0.93933274049999982</v>
      </c>
      <c r="FX68" s="57">
        <f t="shared" si="28"/>
        <v>0</v>
      </c>
      <c r="FY68" s="57">
        <f t="shared" si="29"/>
        <v>0</v>
      </c>
      <c r="FZ68" s="57">
        <f t="shared" si="30"/>
        <v>0.59428004999999984</v>
      </c>
      <c r="GA68" s="81">
        <f t="shared" si="31"/>
        <v>0.59568662999999988</v>
      </c>
      <c r="GB68" s="530">
        <f t="shared" si="32"/>
        <v>0</v>
      </c>
      <c r="GC68" s="530">
        <f t="shared" si="33"/>
        <v>0</v>
      </c>
      <c r="GD68" s="530">
        <f t="shared" si="34"/>
        <v>4.9580845630913846</v>
      </c>
      <c r="GE68" s="530">
        <f t="shared" si="35"/>
        <v>81.793490078560737</v>
      </c>
      <c r="GF68" s="530">
        <f t="shared" si="36"/>
        <v>0.42279457171314733</v>
      </c>
      <c r="GG68" s="531">
        <f t="shared" si="37"/>
        <v>0.42379526892430275</v>
      </c>
      <c r="GH68" s="57">
        <f t="shared" si="38"/>
        <v>0</v>
      </c>
      <c r="GI68" s="57">
        <f t="shared" si="39"/>
        <v>0</v>
      </c>
      <c r="GJ68" s="57">
        <f t="shared" si="40"/>
        <v>1.8035528874190736</v>
      </c>
      <c r="GK68" s="57">
        <f t="shared" si="41"/>
        <v>16.500981403510952</v>
      </c>
      <c r="GL68" s="57">
        <f t="shared" si="42"/>
        <v>0.98652066733067711</v>
      </c>
      <c r="GM68" s="57">
        <f t="shared" si="43"/>
        <v>0.98885562749003963</v>
      </c>
      <c r="GN68" s="57">
        <f t="shared" si="44"/>
        <v>0</v>
      </c>
      <c r="GO68" s="57">
        <f t="shared" si="45"/>
        <v>0</v>
      </c>
      <c r="GP68" s="57">
        <f t="shared" si="46"/>
        <v>0</v>
      </c>
      <c r="GQ68" s="57">
        <f t="shared" si="47"/>
        <v>0</v>
      </c>
      <c r="GR68" s="57">
        <f t="shared" si="48"/>
        <v>0</v>
      </c>
      <c r="GS68" s="81">
        <f t="shared" si="49"/>
        <v>0</v>
      </c>
      <c r="GT68" s="530">
        <f t="shared" si="50"/>
        <v>2.4522109414376694E-3</v>
      </c>
      <c r="GU68" s="530">
        <f t="shared" si="51"/>
        <v>0.88295557018077397</v>
      </c>
      <c r="GV68" s="530">
        <f t="shared" si="52"/>
        <v>6.783078884462151E-4</v>
      </c>
      <c r="GW68" s="530">
        <f t="shared" si="53"/>
        <v>1.1079865505976094E-3</v>
      </c>
      <c r="GX68" s="530">
        <f t="shared" si="54"/>
        <v>1.8316761752988049E-3</v>
      </c>
      <c r="GY68" s="531">
        <f t="shared" si="55"/>
        <v>9.057638686852592E-3</v>
      </c>
      <c r="GZ68" s="57">
        <f t="shared" si="56"/>
        <v>2.6681748636159159E-3</v>
      </c>
      <c r="HA68" s="57">
        <f t="shared" si="57"/>
        <v>0.17758097919302313</v>
      </c>
      <c r="HB68" s="57">
        <f t="shared" si="58"/>
        <v>1.344371952191235E-3</v>
      </c>
      <c r="HC68" s="57">
        <f t="shared" si="59"/>
        <v>1.9314082494023906E-3</v>
      </c>
      <c r="HD68" s="57">
        <f t="shared" si="60"/>
        <v>4.2739110756972115E-3</v>
      </c>
      <c r="HE68" s="127">
        <f t="shared" si="61"/>
        <v>2.1134490269322712E-2</v>
      </c>
      <c r="HF68" s="236">
        <f t="shared" si="62"/>
        <v>9.8870603989461046E-5</v>
      </c>
      <c r="HG68" s="236">
        <f t="shared" si="63"/>
        <v>1.2222878418197123E-4</v>
      </c>
      <c r="HH68" s="236">
        <f t="shared" si="64"/>
        <v>0</v>
      </c>
      <c r="HI68" s="236">
        <f t="shared" si="65"/>
        <v>0</v>
      </c>
      <c r="HJ68" s="236">
        <f t="shared" si="66"/>
        <v>8.8983543590514928E-4</v>
      </c>
      <c r="HK68" s="581">
        <f t="shared" si="67"/>
        <v>1.100059057637741E-3</v>
      </c>
      <c r="HL68" s="236">
        <f t="shared" si="68"/>
        <v>1.3002039495566085</v>
      </c>
      <c r="HM68" s="236">
        <f t="shared" si="69"/>
        <v>1.6073771326393571</v>
      </c>
      <c r="HN68" s="236">
        <f t="shared" si="70"/>
        <v>0</v>
      </c>
      <c r="HO68" s="236">
        <f t="shared" si="71"/>
        <v>0</v>
      </c>
      <c r="HP68" s="236">
        <f t="shared" si="72"/>
        <v>11.701835546009475</v>
      </c>
      <c r="HQ68" s="581">
        <f t="shared" si="73"/>
        <v>14.466394193754214</v>
      </c>
      <c r="HR68" s="236">
        <f t="shared" si="74"/>
        <v>1.1885207654967729</v>
      </c>
      <c r="HS68" s="236">
        <f t="shared" si="75"/>
        <v>1.4693087963453857</v>
      </c>
      <c r="HT68" s="236">
        <f t="shared" si="76"/>
        <v>0</v>
      </c>
      <c r="HU68" s="236">
        <f t="shared" si="77"/>
        <v>0</v>
      </c>
      <c r="HV68" s="236">
        <f t="shared" si="78"/>
        <v>10.696686889470955</v>
      </c>
      <c r="HW68" s="578">
        <f t="shared" si="79"/>
        <v>13.223779167108471</v>
      </c>
      <c r="HX68" s="236">
        <f t="shared" si="80"/>
        <v>0.13032557995686814</v>
      </c>
      <c r="HY68" s="236">
        <f t="shared" si="81"/>
        <v>46.925692572145898</v>
      </c>
      <c r="HZ68" s="236">
        <f t="shared" si="82"/>
        <v>3.6049455394422308E-2</v>
      </c>
      <c r="IA68" s="236">
        <f t="shared" si="83"/>
        <v>5.8885223677529873E-2</v>
      </c>
      <c r="IB68" s="236">
        <f t="shared" si="84"/>
        <v>9.7346543808764938E-2</v>
      </c>
      <c r="IC68" s="236">
        <f t="shared" si="85"/>
        <v>0.48137865913434263</v>
      </c>
      <c r="ID68" s="236">
        <f t="shared" si="86"/>
        <v>0.14180323179017199</v>
      </c>
      <c r="IE68" s="236">
        <f t="shared" si="87"/>
        <v>9.4377460403430504</v>
      </c>
      <c r="IF68" s="236">
        <f t="shared" si="88"/>
        <v>7.1448198597609563E-2</v>
      </c>
      <c r="IG68" s="236">
        <f t="shared" si="89"/>
        <v>0.10264691996247011</v>
      </c>
      <c r="IH68" s="236">
        <f t="shared" si="90"/>
        <v>0.22714193555378484</v>
      </c>
      <c r="II68" s="236">
        <f t="shared" si="91"/>
        <v>1.1232168713134663</v>
      </c>
      <c r="IJ68" s="236">
        <f t="shared" si="92"/>
        <v>0</v>
      </c>
      <c r="IK68" s="236">
        <f t="shared" si="93"/>
        <v>0</v>
      </c>
      <c r="IL68" s="236">
        <f t="shared" si="94"/>
        <v>0</v>
      </c>
      <c r="IM68" s="236">
        <f t="shared" si="95"/>
        <v>0</v>
      </c>
      <c r="IN68" s="236">
        <f t="shared" si="96"/>
        <v>0</v>
      </c>
      <c r="IO68" s="236">
        <f t="shared" si="97"/>
        <v>0</v>
      </c>
    </row>
    <row r="69" spans="1:249" ht="18" x14ac:dyDescent="0.25">
      <c r="A69" s="9">
        <v>2006</v>
      </c>
      <c r="B69" s="564"/>
      <c r="C69" s="530">
        <f>'POSF Inventory'!AD61*$D$5*'POSF Zone Def'!$M58</f>
        <v>4.161625E-2</v>
      </c>
      <c r="D69" s="530">
        <f>'POSF Inventory'!AE61*$D$6*'POSF Zone Def'!$M58</f>
        <v>8.3429500000000004E-2</v>
      </c>
      <c r="E69" s="530">
        <f>'POSF Inventory'!AF61*$D$5*'POSF Zone Def'!$M58</f>
        <v>0</v>
      </c>
      <c r="F69" s="530">
        <f>'POSF Inventory'!AG61*$D$6*'POSF Zone Def'!$M58</f>
        <v>0</v>
      </c>
      <c r="G69" s="530">
        <f>'POSF Inventory'!AH61*$D$5*'POSF Zone Def'!$M58</f>
        <v>0</v>
      </c>
      <c r="H69" s="531">
        <f>'POSF Inventory'!AI61*$D$6*'POSF Zone Def'!$M58</f>
        <v>0</v>
      </c>
      <c r="I69" s="57">
        <f>'POSF Inventory'!AD61*$D$5*'POSF Zone Def'!$N58</f>
        <v>4.161625E-2</v>
      </c>
      <c r="J69" s="57">
        <f>'POSF Inventory'!AE61*$D$6*'POSF Zone Def'!$N58</f>
        <v>8.3429500000000004E-2</v>
      </c>
      <c r="K69" s="57">
        <f>'POSF Inventory'!AF61*$D$5*'POSF Zone Def'!$N58</f>
        <v>0</v>
      </c>
      <c r="L69" s="57">
        <f>'POSF Inventory'!AG61*$D$6*'POSF Zone Def'!$N58</f>
        <v>0</v>
      </c>
      <c r="M69" s="57">
        <f>'POSF Inventory'!AH61*$D$5*'POSF Zone Def'!$N58</f>
        <v>0</v>
      </c>
      <c r="N69" s="127">
        <f>'POSF Inventory'!AI61*$D$6*'POSF Zone Def'!$N58</f>
        <v>0</v>
      </c>
      <c r="O69" s="530">
        <f>'POSF Inventory'!AJ61*$D$5*'POSF Zone Def'!$AP58</f>
        <v>0.5056374374999999</v>
      </c>
      <c r="P69" s="530">
        <f>'POSF Inventory'!AK61*$D$6*'POSF Zone Def'!$AP58</f>
        <v>0.50683421249999994</v>
      </c>
      <c r="Q69" s="530">
        <f>'POSF Inventory'!AL61*$D$5*'POSF Zone Def'!$AP58</f>
        <v>0</v>
      </c>
      <c r="R69" s="530">
        <f>'POSF Inventory'!AM61*$D$6*'POSF Zone Def'!$AP58</f>
        <v>0</v>
      </c>
      <c r="S69" s="530">
        <f>'POSF Inventory'!AN61*$D$5*'POSF Zone Def'!$AP58</f>
        <v>0.37454624999999997</v>
      </c>
      <c r="T69" s="531">
        <f>'POSF Inventory'!AO61*$D$6*'POSF Zone Def'!$AP58</f>
        <v>0.37543274999999998</v>
      </c>
      <c r="U69" s="57">
        <f>'POSF Inventory'!AJ61*$D$5*'POSF Zone Def'!$AQ58</f>
        <v>1.1798206874999997</v>
      </c>
      <c r="V69" s="57">
        <f>'POSF Inventory'!AK61*$D$6*'POSF Zone Def'!$AQ58</f>
        <v>1.1826131624999998</v>
      </c>
      <c r="W69" s="57">
        <f>'POSF Inventory'!AL61*$D$5*'POSF Zone Def'!$AQ58</f>
        <v>0</v>
      </c>
      <c r="X69" s="57">
        <f>'POSF Inventory'!AM61*$D$6*'POSF Zone Def'!$AQ58</f>
        <v>0</v>
      </c>
      <c r="Y69" s="57">
        <f>'POSF Inventory'!AN61*$D$5*'POSF Zone Def'!$AQ58</f>
        <v>0.87394124999999989</v>
      </c>
      <c r="Z69" s="81">
        <f>'POSF Inventory'!AO61*$D$6*'POSF Zone Def'!$AQ58</f>
        <v>0.87600974999999992</v>
      </c>
      <c r="AA69" s="530">
        <f>'POSF Inventory'!AV61*'POSF Emiss by Zone'!$D$5*'POSF Zone Def'!$M58</f>
        <v>0</v>
      </c>
      <c r="AB69" s="530">
        <f>'POSF Inventory'!AW61*'POSF Emiss by Zone'!$D$6*'POSF Zone Def'!$M58</f>
        <v>0</v>
      </c>
      <c r="AC69" s="530">
        <f>'POSF Inventory'!AX61*'POSF Emiss by Zone'!$D$5*'POSF Zone Def'!$M58</f>
        <v>5.6181937500000001E-2</v>
      </c>
      <c r="AD69" s="530">
        <f>'POSF Inventory'!AY61*'POSF Emiss by Zone'!$D$6*'POSF Zone Def'!$M58</f>
        <v>0.112629825</v>
      </c>
      <c r="AE69" s="530">
        <f>'POSF Inventory'!AZ61*'POSF Emiss by Zone'!$D$5*'POSF Zone Def'!$M58</f>
        <v>0</v>
      </c>
      <c r="AF69" s="531">
        <f>'POSF Inventory'!BA61*'POSF Emiss by Zone'!$D$6*'POSF Zone Def'!$M58</f>
        <v>0</v>
      </c>
      <c r="AG69" s="57">
        <f>'POSF Inventory'!AV61*'POSF Emiss by Zone'!$D$5*'POSF Zone Def'!$N58</f>
        <v>0</v>
      </c>
      <c r="AH69" s="57">
        <f>'POSF Inventory'!AW61*'POSF Emiss by Zone'!$D$6*'POSF Zone Def'!$N58</f>
        <v>0</v>
      </c>
      <c r="AI69" s="57">
        <f>'POSF Inventory'!AX61*'POSF Emiss by Zone'!$D$5*'POSF Zone Def'!$N58</f>
        <v>5.6181937500000001E-2</v>
      </c>
      <c r="AJ69" s="57">
        <f>'POSF Inventory'!AY61*'POSF Emiss by Zone'!$D$6*'POSF Zone Def'!$N58</f>
        <v>0.112629825</v>
      </c>
      <c r="AK69" s="57">
        <f>'POSF Inventory'!AZ61*'POSF Emiss by Zone'!$D$5*'POSF Zone Def'!$N58</f>
        <v>0</v>
      </c>
      <c r="AL69" s="127">
        <f>'POSF Inventory'!BA61*'POSF Emiss by Zone'!$D$6*'POSF Zone Def'!$N58</f>
        <v>0</v>
      </c>
      <c r="AM69" s="530">
        <f>'POSF Inventory'!BB61*'POSF Emiss by Zone'!$D$5*'POSF Zone Def'!$AP58</f>
        <v>0</v>
      </c>
      <c r="AN69" s="530">
        <f>'POSF Inventory'!BC61*'POSF Emiss by Zone'!$D$6*'POSF Zone Def'!$AP58</f>
        <v>0</v>
      </c>
      <c r="AO69" s="530">
        <f>'POSF Inventory'!BD61*'POSF Emiss by Zone'!$D$5*'POSF Zone Def'!$AP58</f>
        <v>0.33709162500000001</v>
      </c>
      <c r="AP69" s="530">
        <f>'POSF Inventory'!BE61*'POSF Emiss by Zone'!$D$6*'POSF Zone Def'!$AP58</f>
        <v>0.33788947499999999</v>
      </c>
      <c r="AQ69" s="530">
        <f>'POSF Inventory'!BF61*'POSF Emiss by Zone'!$D$5*'POSF Zone Def'!$AP58</f>
        <v>0.62424374999999999</v>
      </c>
      <c r="AR69" s="531">
        <f>'POSF Inventory'!BG61*'POSF Emiss by Zone'!$D$6*'POSF Zone Def'!$AP58</f>
        <v>0.62572125000000001</v>
      </c>
      <c r="AS69" s="57">
        <f>'POSF Inventory'!BB61*'POSF Emiss by Zone'!$D$5*'POSF Zone Def'!$AQ58</f>
        <v>0</v>
      </c>
      <c r="AT69" s="57">
        <f>'POSF Inventory'!BC61*'POSF Emiss by Zone'!$D$6*'POSF Zone Def'!$AQ58</f>
        <v>0</v>
      </c>
      <c r="AU69" s="57">
        <f>'POSF Inventory'!BD61*'POSF Emiss by Zone'!$D$5*'POSF Zone Def'!$AQ58</f>
        <v>0.78654712500000001</v>
      </c>
      <c r="AV69" s="57">
        <f>'POSF Inventory'!BE61*'POSF Emiss by Zone'!$D$6*'POSF Zone Def'!$AQ58</f>
        <v>0.78840877499999995</v>
      </c>
      <c r="AW69" s="57">
        <f>'POSF Inventory'!BF61*'POSF Emiss by Zone'!$D$5*'POSF Zone Def'!$AQ58</f>
        <v>1.45656875</v>
      </c>
      <c r="AX69" s="81">
        <f>'POSF Inventory'!BG61*'POSF Emiss by Zone'!$D$6*'POSF Zone Def'!$AQ58</f>
        <v>1.46001625</v>
      </c>
      <c r="AY69" s="530">
        <f>'POSF Inventory'!EA61*'POSF Emiss by Zone'!$D$5*'POSF Zone Def'!$Y58</f>
        <v>0</v>
      </c>
      <c r="AZ69" s="530">
        <f>'POSF Inventory'!EB61*'POSF Emiss by Zone'!$D$6*'POSF Zone Def'!$Y58</f>
        <v>0</v>
      </c>
      <c r="BA69" s="530">
        <f>'POSF Inventory'!EC61*'POSF Emiss by Zone'!$D$5*'POSF Zone Def'!$Y58</f>
        <v>4.3627521746250002</v>
      </c>
      <c r="BB69" s="530">
        <f>'POSF Inventory'!ED61*'POSF Emiss by Zone'!$D$6*'POSF Zone Def'!$Y58</f>
        <v>53.774640655312496</v>
      </c>
      <c r="BC69" s="530">
        <f>'POSF Inventory'!EE61*'POSF Emiss by Zone'!$D$5*'POSF Zone Def'!$Y58</f>
        <v>0</v>
      </c>
      <c r="BD69" s="531">
        <f>'POSF Inventory'!EF61*'POSF Emiss by Zone'!$D$6*'POSF Zone Def'!$Y58</f>
        <v>0</v>
      </c>
      <c r="BE69" s="57">
        <f>'POSF Inventory'!EA61*'POSF Emiss by Zone'!$D$5*'POSF Zone Def'!$Z58</f>
        <v>0</v>
      </c>
      <c r="BF69" s="57">
        <f>'POSF Inventory'!EB61*'POSF Emiss by Zone'!$D$6*'POSF Zone Def'!$Z58</f>
        <v>0</v>
      </c>
      <c r="BG69" s="57">
        <f>'POSF Inventory'!EC61*'POSF Emiss by Zone'!$D$5*'POSF Zone Def'!$Z58</f>
        <v>0.48475024162500002</v>
      </c>
      <c r="BH69" s="57">
        <f>'POSF Inventory'!ED61*'POSF Emiss by Zone'!$D$6*'POSF Zone Def'!$Z58</f>
        <v>5.9749600728125003</v>
      </c>
      <c r="BI69" s="57">
        <f>'POSF Inventory'!EE61*'POSF Emiss by Zone'!$D$5*'POSF Zone Def'!$Z58</f>
        <v>0</v>
      </c>
      <c r="BJ69" s="127">
        <f>'POSF Inventory'!EF61*'POSF Emiss by Zone'!$D$6*'POSF Zone Def'!$Z58</f>
        <v>0</v>
      </c>
      <c r="BK69" s="57">
        <f>'POSF Inventory'!$EA61*'POSF Emiss by Zone'!$D$5*'POSF Zone Def'!$AC58</f>
        <v>0</v>
      </c>
      <c r="BL69" s="57">
        <f>'POSF Inventory'!$EB61*'POSF Emiss by Zone'!$D$6*'POSF Zone Def'!$AC58</f>
        <v>0</v>
      </c>
      <c r="BM69" s="57">
        <f>'POSF Inventory'!$EC61*'POSF Emiss by Zone'!$D$5*'POSF Zone Def'!$AC58</f>
        <v>0</v>
      </c>
      <c r="BN69" s="57">
        <f>'POSF Inventory'!$ED61*'POSF Emiss by Zone'!$D$6*'POSF Zone Def'!$AC58</f>
        <v>0</v>
      </c>
      <c r="BO69" s="57">
        <f>'POSF Inventory'!$EE61*'POSF Emiss by Zone'!$D$5*'POSF Zone Def'!$AC58</f>
        <v>0</v>
      </c>
      <c r="BP69" s="127">
        <f>'POSF Inventory'!$EF61*'POSF Emiss by Zone'!$D$6*'POSF Zone Def'!$AC58</f>
        <v>0</v>
      </c>
      <c r="BQ69" s="530">
        <f>'POSF Inventory'!EG61*'POSF Emiss by Zone'!$D$5*'POSF Zone Def'!$BB58</f>
        <v>0</v>
      </c>
      <c r="BR69" s="530">
        <f>'POSF Inventory'!EH61*'POSF Emiss by Zone'!$D$6*'POSF Zone Def'!$BB58</f>
        <v>0</v>
      </c>
      <c r="BS69" s="530">
        <f>'POSF Inventory'!EI61*'POSF Emiss by Zone'!$D$5*'POSF Zone Def'!$BB58</f>
        <v>0.52408827656249979</v>
      </c>
      <c r="BT69" s="530">
        <f>'POSF Inventory'!EJ61*'POSF Emiss by Zone'!$D$6*'POSF Zone Def'!$BB58</f>
        <v>5.2532872218749986</v>
      </c>
      <c r="BU69" s="530">
        <f>'POSF Inventory'!EK61*'POSF Emiss by Zone'!$D$5*'POSF Zone Def'!$BB58</f>
        <v>0</v>
      </c>
      <c r="BV69" s="531">
        <f>'POSF Inventory'!EL61*'POSF Emiss by Zone'!$D$6*'POSF Zone Def'!$BB58</f>
        <v>0</v>
      </c>
      <c r="BW69" s="57">
        <f>'POSF Inventory'!EG61*'POSF Emiss by Zone'!$D$5*'POSF Zone Def'!$BC58</f>
        <v>0</v>
      </c>
      <c r="BX69" s="57">
        <f>'POSF Inventory'!EH61*'POSF Emiss by Zone'!$D$6*'POSF Zone Def'!$BC58</f>
        <v>0</v>
      </c>
      <c r="BY69" s="57">
        <f>'POSF Inventory'!EI61*'POSF Emiss by Zone'!$D$5*'POSF Zone Def'!$BC58</f>
        <v>1.2228726453124996</v>
      </c>
      <c r="BZ69" s="57">
        <f>'POSF Inventory'!EJ61*'POSF Emiss by Zone'!$D$6*'POSF Zone Def'!$BC58</f>
        <v>12.257670184374996</v>
      </c>
      <c r="CA69" s="57">
        <f>'POSF Inventory'!EK61*'POSF Emiss by Zone'!$D$5*'POSF Zone Def'!$BC58</f>
        <v>0</v>
      </c>
      <c r="CB69" s="81">
        <f>'POSF Inventory'!EL61*'POSF Emiss by Zone'!$D$6*'POSF Zone Def'!$BC58</f>
        <v>0</v>
      </c>
      <c r="CC69" s="530">
        <f>'POSF Inventory'!GC61*'POSF Emiss by Zone'!$D$7*'POSF Zone Def'!$M58</f>
        <v>1.9700000000000002E-4</v>
      </c>
      <c r="CD69" s="530">
        <f>'POSF Inventory'!GD61*'POSF Emiss by Zone'!$D$9*'POSF Zone Def'!$M58</f>
        <v>4.8708250000000002E-4</v>
      </c>
      <c r="CE69" s="530">
        <f>'POSF Inventory'!GE61*'POSF Emiss by Zone'!$D$7*'POSF Zone Def'!$M58</f>
        <v>5.9099999999999995E-3</v>
      </c>
      <c r="CF69" s="530">
        <f>'POSF Inventory'!GF61*'POSF Emiss by Zone'!$D$9*'POSF Zone Def'!$M58</f>
        <v>1.4612475E-2</v>
      </c>
      <c r="CG69" s="530">
        <f>'POSF Inventory'!GG61*'POSF Emiss by Zone'!$D$7*'POSF Zone Def'!$M58</f>
        <v>0</v>
      </c>
      <c r="CH69" s="531">
        <f>'POSF Inventory'!GH61*'POSF Emiss by Zone'!$D$9*'POSF Zone Def'!$M58</f>
        <v>0</v>
      </c>
      <c r="CI69" s="57">
        <f>'POSF Inventory'!GC61*'POSF Emiss by Zone'!$D$7*'POSF Zone Def'!$N58</f>
        <v>1.9700000000000002E-4</v>
      </c>
      <c r="CJ69" s="57">
        <f>'POSF Inventory'!GD61*'POSF Emiss by Zone'!$D$9*'POSF Zone Def'!$N58</f>
        <v>4.8708250000000002E-4</v>
      </c>
      <c r="CK69" s="57">
        <f>'POSF Inventory'!GE61*'POSF Emiss by Zone'!$D$7*'POSF Zone Def'!$N58</f>
        <v>5.9099999999999995E-3</v>
      </c>
      <c r="CL69" s="57">
        <f>'POSF Inventory'!GF61*'POSF Emiss by Zone'!$D$9*'POSF Zone Def'!$N58</f>
        <v>1.4612475E-2</v>
      </c>
      <c r="CM69" s="57">
        <f>'POSF Inventory'!GG61*'POSF Emiss by Zone'!$D$7*'POSF Zone Def'!$N58</f>
        <v>0</v>
      </c>
      <c r="CN69" s="127">
        <f>'POSF Inventory'!GH61*'POSF Emiss by Zone'!$D$9*'POSF Zone Def'!$N58</f>
        <v>0</v>
      </c>
      <c r="CO69" s="530">
        <f>'POSF Inventory'!GI61*'POSF Emiss by Zone'!$D$7*'POSF Zone Def'!$AP58</f>
        <v>2.3640000000000002E-3</v>
      </c>
      <c r="CP69" s="530">
        <f>'POSF Inventory'!GJ61*'POSF Emiss by Zone'!$D$9*'POSF Zone Def'!$AP58</f>
        <v>2.9224950000000006E-3</v>
      </c>
      <c r="CQ69" s="530">
        <f>'POSF Inventory'!GK61*'POSF Emiss by Zone'!$D$7*'POSF Zone Def'!$AP58</f>
        <v>3.5459999999999998E-2</v>
      </c>
      <c r="CR69" s="530">
        <f>'POSF Inventory'!GL61*'POSF Emiss by Zone'!$D$9*'POSF Zone Def'!$AP58</f>
        <v>4.3837424999999999E-2</v>
      </c>
      <c r="CS69" s="530">
        <f>'POSF Inventory'!GM61*'POSF Emiss by Zone'!$D$7*'POSF Zone Def'!$AP58</f>
        <v>0.13002</v>
      </c>
      <c r="CT69" s="531">
        <f>'POSF Inventory'!GN61*'POSF Emiss by Zone'!$D$9*'POSF Zone Def'!$AP58</f>
        <v>0.64294889999999993</v>
      </c>
      <c r="CU69" s="57">
        <f>'POSF Inventory'!GI61*'POSF Emiss by Zone'!$D$7*'POSF Zone Def'!$AQ58</f>
        <v>5.5160000000000009E-3</v>
      </c>
      <c r="CV69" s="57">
        <f>'POSF Inventory'!GJ61*'POSF Emiss by Zone'!$D$9*'POSF Zone Def'!$AQ58</f>
        <v>6.8191550000000012E-3</v>
      </c>
      <c r="CW69" s="57">
        <f>'POSF Inventory'!GK61*'POSF Emiss by Zone'!$D$7*'POSF Zone Def'!$AQ58</f>
        <v>8.2739999999999994E-2</v>
      </c>
      <c r="CX69" s="57">
        <f>'POSF Inventory'!GL61*'POSF Emiss by Zone'!$D$9*'POSF Zone Def'!$AQ58</f>
        <v>0.102287325</v>
      </c>
      <c r="CY69" s="57">
        <f>'POSF Inventory'!GM61*'POSF Emiss by Zone'!$D$7*'POSF Zone Def'!$AQ58</f>
        <v>0.30337999999999998</v>
      </c>
      <c r="CZ69" s="81">
        <f>'POSF Inventory'!GN61*'POSF Emiss by Zone'!$D$9*'POSF Zone Def'!$AQ58</f>
        <v>1.5002140999999998</v>
      </c>
      <c r="DA69" s="530">
        <f>SUM('POSF Inventory'!GQ61,'POSF Inventory'!GS61)*'POSF Emiss by Zone'!$D$7*'POSF Zone Def'!$Y58</f>
        <v>5.3593543739790014E-2</v>
      </c>
      <c r="DB69" s="530">
        <f>SUM('POSF Inventory'!GR61,'POSF Inventory'!GT61)*'POSF Emiss by Zone'!$D$9*'POSF Zone Def'!$Y58</f>
        <v>33.127509224157706</v>
      </c>
      <c r="DC69" s="530"/>
      <c r="DD69" s="530"/>
      <c r="DE69" s="530">
        <f>'POSF Inventory'!GU61*'POSF Emiss by Zone'!$D$7*'POSF Zone Def'!$Y58</f>
        <v>0</v>
      </c>
      <c r="DF69" s="531">
        <f>'POSF Inventory'!GV61*'POSF Emiss by Zone'!$D$9*'POSF Zone Def'!$Y58</f>
        <v>0</v>
      </c>
      <c r="DG69" s="57">
        <f>SUM('POSF Inventory'!GQ61,'POSF Inventory'!GS61)*'POSF Emiss by Zone'!$D$7*'POSF Zone Def'!$Z58</f>
        <v>5.9548381933100022E-3</v>
      </c>
      <c r="DH69" s="57">
        <f>SUM('POSF Inventory'!GR61,'POSF Inventory'!GT61)*'POSF Emiss by Zone'!$D$9*'POSF Zone Def'!$Z58</f>
        <v>3.6808343582397449</v>
      </c>
      <c r="DI69" s="57"/>
      <c r="DJ69" s="57"/>
      <c r="DK69" s="57">
        <f>'POSF Inventory'!GU61*'POSF Emiss by Zone'!$D$7*'POSF Zone Def'!$Z58</f>
        <v>0</v>
      </c>
      <c r="DL69" s="127">
        <f>'POSF Inventory'!GV61*'POSF Emiss by Zone'!$D$9*'POSF Zone Def'!$Z58</f>
        <v>0</v>
      </c>
      <c r="DM69" s="57">
        <f>SUM('POSF Inventory'!$GQ61,'POSF Inventory'!$GS61)*'POSF Emiss by Zone'!$D$7*'POSF Zone Def'!$AC58</f>
        <v>0</v>
      </c>
      <c r="DN69" s="57">
        <f>SUM('POSF Inventory'!$GR61,'POSF Inventory'!$GT61)*'POSF Emiss by Zone'!$D$9*'POSF Zone Def'!$AC58</f>
        <v>0</v>
      </c>
      <c r="DO69" s="57"/>
      <c r="DP69" s="57"/>
      <c r="DQ69" s="57">
        <f>'POSF Inventory'!$GU61*'POSF Emiss by Zone'!$D$7*'POSF Zone Def'!$AC58</f>
        <v>0</v>
      </c>
      <c r="DR69" s="127">
        <f>'POSF Inventory'!$GV61*'POSF Emiss by Zone'!$D$9*'POSF Zone Def'!$AC58</f>
        <v>0</v>
      </c>
      <c r="DS69" s="530">
        <f>SUM('POSF Inventory'!GW61,'POSF Inventory'!GY61)*$D$7*'POSF Zone Def'!$BB58</f>
        <v>7.924759533468749E-2</v>
      </c>
      <c r="DT69" s="530">
        <f>SUM('POSF Inventory'!GX61,'POSF Inventory'!GZ61)*$D$9*'POSF Zone Def'!$BB58</f>
        <v>2.7641071707703122</v>
      </c>
      <c r="DU69" s="530"/>
      <c r="DV69" s="530"/>
      <c r="DW69" s="530">
        <f>'POSF Inventory'!HA61*'POSF Emiss by Zone'!$D$7*'POSF Zone Def'!$BB58</f>
        <v>0</v>
      </c>
      <c r="DX69" s="531">
        <f>'POSF Inventory'!HB61*'POSF Emiss by Zone'!$D$9*'POSF Zone Def'!$BB58</f>
        <v>0</v>
      </c>
      <c r="DY69" s="57">
        <f>SUM('POSF Inventory'!GW61,'POSF Inventory'!GY61)*$D$7*'POSF Zone Def'!$BC58</f>
        <v>0.18491105578093747</v>
      </c>
      <c r="DZ69" s="57">
        <f>SUM('POSF Inventory'!GX61,'POSF Inventory'!GZ61)*$D$9*'POSF Zone Def'!$BC58</f>
        <v>6.4495833984640623</v>
      </c>
      <c r="EA69" s="57"/>
      <c r="EB69" s="57"/>
      <c r="EC69" s="57">
        <f>'POSF Inventory'!HA61*'POSF Emiss by Zone'!$D$7*'POSF Zone Def'!$BC58</f>
        <v>0</v>
      </c>
      <c r="ED69" s="81">
        <f>'POSF Inventory'!HB61*'POSF Emiss by Zone'!$D$9*'POSF Zone Def'!$BC58</f>
        <v>0</v>
      </c>
      <c r="EE69" s="236">
        <f>'POSF Inventory'!$CF61*'POSF Emiss by Zone'!$D$7*'POSF Zone Def'!$CE58</f>
        <v>0</v>
      </c>
      <c r="EF69" s="236">
        <f>'POSF Inventory'!$CG61*'POSF Emiss by Zone'!$D$9*'POSF Zone Def'!$CE58</f>
        <v>0</v>
      </c>
      <c r="EG69" s="236">
        <f>'POSF Inventory'!$CH61*'POSF Emiss by Zone'!$D$7*'POSF Zone Def'!$CE58</f>
        <v>0</v>
      </c>
      <c r="EH69" s="236">
        <f>'POSF Inventory'!$CI61*'POSF Emiss by Zone'!$D$9*'POSF Zone Def'!$CE58</f>
        <v>0</v>
      </c>
      <c r="EI69" s="236">
        <f>'POSF Inventory'!$CJ61*'POSF Emiss by Zone'!$D$7*'POSF Zone Def'!$CE58</f>
        <v>0</v>
      </c>
      <c r="EJ69" s="581">
        <f>'POSF Inventory'!$CK61*'POSF Emiss by Zone'!$D$9*'POSF Zone Def'!$CE58</f>
        <v>0</v>
      </c>
      <c r="EK69" s="236">
        <f>'POSF Inventory'!$CF61*'POSF Emiss by Zone'!$D$7*'POSF Zone Def'!$CF58</f>
        <v>0</v>
      </c>
      <c r="EL69" s="236">
        <f>'POSF Inventory'!$CG61*'POSF Emiss by Zone'!$D$9*'POSF Zone Def'!$CF58</f>
        <v>0</v>
      </c>
      <c r="EM69" s="236">
        <f>'POSF Inventory'!$CH61*'POSF Emiss by Zone'!$D$7*'POSF Zone Def'!$CF58</f>
        <v>0</v>
      </c>
      <c r="EN69" s="236">
        <f>'POSF Inventory'!$CI61*'POSF Emiss by Zone'!$D$9*'POSF Zone Def'!$CF58</f>
        <v>0</v>
      </c>
      <c r="EO69" s="236">
        <f>'POSF Inventory'!$CJ61*'POSF Emiss by Zone'!$D$7*'POSF Zone Def'!$CF58</f>
        <v>0</v>
      </c>
      <c r="EP69" s="581">
        <f>'POSF Inventory'!$CK61*'POSF Emiss by Zone'!$D$9*'POSF Zone Def'!$CF58</f>
        <v>0</v>
      </c>
      <c r="EQ69" s="236">
        <f>'POSF Inventory'!$CF61*'POSF Emiss by Zone'!$D$7*'POSF Zone Def'!$CG58</f>
        <v>9.8377066631193588E-5</v>
      </c>
      <c r="ER69" s="236">
        <f>'POSF Inventory'!$CG61*'POSF Emiss by Zone'!$D$9*'POSF Zone Def'!$CG58</f>
        <v>1.2161864862281309E-4</v>
      </c>
      <c r="ES69" s="236">
        <f>'POSF Inventory'!$CH61*'POSF Emiss by Zone'!$D$7*'POSF Zone Def'!$CG58</f>
        <v>0</v>
      </c>
      <c r="ET69" s="236">
        <f>'POSF Inventory'!$CI61*'POSF Emiss by Zone'!$D$9*'POSF Zone Def'!$CG58</f>
        <v>0</v>
      </c>
      <c r="EU69" s="236">
        <f>'POSF Inventory'!$CJ61*'POSF Emiss by Zone'!$D$7*'POSF Zone Def'!$CG58</f>
        <v>8.853935996807424E-4</v>
      </c>
      <c r="EV69" s="581">
        <f>'POSF Inventory'!$CK61*'POSF Emiss by Zone'!$D$9*'POSF Zone Def'!$CG58</f>
        <v>1.0945678376053179E-3</v>
      </c>
      <c r="EW69" s="236">
        <f>'POSF Inventory'!$CF61*'POSF Emiss by Zone'!$D$7*'POSF Zone Def'!$CH58</f>
        <v>1.2937136562178373</v>
      </c>
      <c r="EX69" s="236">
        <f>'POSF Inventory'!$CG61*'POSF Emiss by Zone'!$D$9*'POSF Zone Def'!$CH58</f>
        <v>1.5993535074993013</v>
      </c>
      <c r="EY69" s="236">
        <f>'POSF Inventory'!$CH61*'POSF Emiss by Zone'!$D$7*'POSF Zone Def'!$CH58</f>
        <v>0</v>
      </c>
      <c r="EZ69" s="236">
        <f>'POSF Inventory'!$CI61*'POSF Emiss by Zone'!$D$9*'POSF Zone Def'!$CH58</f>
        <v>0</v>
      </c>
      <c r="FA69" s="236">
        <f>'POSF Inventory'!$CJ61*'POSF Emiss by Zone'!$D$7*'POSF Zone Def'!$CH58</f>
        <v>11.643422905960536</v>
      </c>
      <c r="FB69" s="581">
        <f>'POSF Inventory'!$CK61*'POSF Emiss by Zone'!$D$9*'POSF Zone Def'!$CH58</f>
        <v>14.394181567493714</v>
      </c>
      <c r="FC69" s="236">
        <f>'POSF Inventory'!$CF61*'POSF Emiss by Zone'!$D$7*'POSF Zone Def'!$CI58</f>
        <v>1.1825879667155315</v>
      </c>
      <c r="FD69" s="236">
        <f>'POSF Inventory'!$CG61*'POSF Emiss by Zone'!$D$9*'POSF Zone Def'!$CI58</f>
        <v>1.4619743738520758</v>
      </c>
      <c r="FE69" s="236">
        <f>'POSF Inventory'!$CH61*'POSF Emiss by Zone'!$D$7*'POSF Zone Def'!$CI58</f>
        <v>0</v>
      </c>
      <c r="FF69" s="236">
        <f>'POSF Inventory'!$CI61*'POSF Emiss by Zone'!$D$9*'POSF Zone Def'!$CI58</f>
        <v>0</v>
      </c>
      <c r="FG69" s="236">
        <f>'POSF Inventory'!$CJ61*'POSF Emiss by Zone'!$D$7*'POSF Zone Def'!$CI58</f>
        <v>10.643291700439784</v>
      </c>
      <c r="FH69" s="578">
        <f>'POSF Inventory'!$CK61*'POSF Emiss by Zone'!$D$9*'POSF Zone Def'!$CI58</f>
        <v>13.157769364668685</v>
      </c>
      <c r="FI69" s="595"/>
      <c r="FJ69" s="595"/>
      <c r="FM69" s="592">
        <v>52</v>
      </c>
      <c r="FN69" s="592">
        <f t="shared" si="98"/>
        <v>2006</v>
      </c>
      <c r="FO69" s="587">
        <v>49</v>
      </c>
      <c r="FP69" s="85">
        <f t="shared" si="20"/>
        <v>0.54725368749999992</v>
      </c>
      <c r="FQ69" s="530">
        <f t="shared" si="21"/>
        <v>0.59026371249999998</v>
      </c>
      <c r="FR69" s="530">
        <f t="shared" si="22"/>
        <v>0</v>
      </c>
      <c r="FS69" s="530">
        <f t="shared" si="23"/>
        <v>0</v>
      </c>
      <c r="FT69" s="530">
        <f t="shared" si="24"/>
        <v>0.37454624999999997</v>
      </c>
      <c r="FU69" s="531">
        <f t="shared" si="25"/>
        <v>0.37543274999999998</v>
      </c>
      <c r="FV69" s="57">
        <f t="shared" si="26"/>
        <v>1.2214369374999996</v>
      </c>
      <c r="FW69" s="57">
        <f t="shared" si="27"/>
        <v>1.2660426624999999</v>
      </c>
      <c r="FX69" s="57">
        <f t="shared" si="28"/>
        <v>0</v>
      </c>
      <c r="FY69" s="57">
        <f t="shared" si="29"/>
        <v>0</v>
      </c>
      <c r="FZ69" s="57">
        <f t="shared" si="30"/>
        <v>0.87394124999999989</v>
      </c>
      <c r="GA69" s="81">
        <f t="shared" si="31"/>
        <v>0.87600974999999992</v>
      </c>
      <c r="GB69" s="530">
        <f t="shared" si="32"/>
        <v>0</v>
      </c>
      <c r="GC69" s="530">
        <f t="shared" si="33"/>
        <v>0</v>
      </c>
      <c r="GD69" s="530">
        <f t="shared" si="34"/>
        <v>5.2590777028759961</v>
      </c>
      <c r="GE69" s="530">
        <f t="shared" si="35"/>
        <v>59.241481252178779</v>
      </c>
      <c r="GF69" s="530">
        <f t="shared" si="36"/>
        <v>0.62175672310756969</v>
      </c>
      <c r="GG69" s="531">
        <f t="shared" si="37"/>
        <v>0.62322833665338651</v>
      </c>
      <c r="GH69" s="57">
        <f t="shared" si="38"/>
        <v>0</v>
      </c>
      <c r="GI69" s="57">
        <f t="shared" si="39"/>
        <v>0</v>
      </c>
      <c r="GJ69" s="57">
        <f t="shared" si="40"/>
        <v>2.5401911846987049</v>
      </c>
      <c r="GK69" s="57">
        <f t="shared" si="41"/>
        <v>19.057439100784357</v>
      </c>
      <c r="GL69" s="57">
        <f t="shared" si="42"/>
        <v>1.450765687250996</v>
      </c>
      <c r="GM69" s="57">
        <f t="shared" si="43"/>
        <v>1.4541994521912351</v>
      </c>
      <c r="GN69" s="57">
        <f t="shared" si="44"/>
        <v>0</v>
      </c>
      <c r="GO69" s="57">
        <f t="shared" si="45"/>
        <v>0</v>
      </c>
      <c r="GP69" s="57">
        <f t="shared" si="46"/>
        <v>0</v>
      </c>
      <c r="GQ69" s="57">
        <f t="shared" si="47"/>
        <v>0</v>
      </c>
      <c r="GR69" s="57">
        <f t="shared" si="48"/>
        <v>0</v>
      </c>
      <c r="GS69" s="81">
        <f t="shared" si="49"/>
        <v>0</v>
      </c>
      <c r="GT69" s="530">
        <f t="shared" si="50"/>
        <v>2.8051439170808088E-3</v>
      </c>
      <c r="GU69" s="530">
        <f t="shared" si="51"/>
        <v>0.74364197233715423</v>
      </c>
      <c r="GV69" s="530">
        <f t="shared" si="52"/>
        <v>8.5706772908366528E-4</v>
      </c>
      <c r="GW69" s="530">
        <f t="shared" si="53"/>
        <v>1.2109142629482073E-3</v>
      </c>
      <c r="GX69" s="530">
        <f t="shared" si="54"/>
        <v>2.6936414342629482E-3</v>
      </c>
      <c r="GY69" s="531">
        <f t="shared" si="55"/>
        <v>1.3320056892430278E-2</v>
      </c>
      <c r="GZ69" s="57">
        <f t="shared" si="56"/>
        <v>4.0725507914983541E-3</v>
      </c>
      <c r="HA69" s="57">
        <f t="shared" si="57"/>
        <v>0.2100245608360948</v>
      </c>
      <c r="HB69" s="57">
        <f t="shared" si="58"/>
        <v>1.8365737051792826E-3</v>
      </c>
      <c r="HC69" s="57">
        <f t="shared" si="59"/>
        <v>2.4218285258964145E-3</v>
      </c>
      <c r="HD69" s="57">
        <f t="shared" si="60"/>
        <v>6.285163346613545E-3</v>
      </c>
      <c r="HE69" s="127">
        <f t="shared" si="61"/>
        <v>3.108013274900398E-2</v>
      </c>
      <c r="HF69" s="236">
        <f t="shared" si="62"/>
        <v>1.0190453117175431E-4</v>
      </c>
      <c r="HG69" s="236">
        <f t="shared" si="63"/>
        <v>1.2597947666108129E-4</v>
      </c>
      <c r="HH69" s="236">
        <f t="shared" si="64"/>
        <v>0</v>
      </c>
      <c r="HI69" s="236">
        <f t="shared" si="65"/>
        <v>0</v>
      </c>
      <c r="HJ69" s="236">
        <f t="shared" si="66"/>
        <v>9.1714078054578891E-4</v>
      </c>
      <c r="HK69" s="581">
        <f t="shared" si="67"/>
        <v>1.1338152899497316E-3</v>
      </c>
      <c r="HL69" s="236">
        <f t="shared" si="68"/>
        <v>1.3401017952854091</v>
      </c>
      <c r="HM69" s="236">
        <f t="shared" si="69"/>
        <v>1.6567008444215869</v>
      </c>
      <c r="HN69" s="236">
        <f t="shared" si="70"/>
        <v>0</v>
      </c>
      <c r="HO69" s="236">
        <f t="shared" si="71"/>
        <v>0</v>
      </c>
      <c r="HP69" s="236">
        <f t="shared" si="72"/>
        <v>12.060916157568682</v>
      </c>
      <c r="HQ69" s="581">
        <f t="shared" si="73"/>
        <v>14.910307599794285</v>
      </c>
      <c r="HR69" s="236">
        <f t="shared" si="74"/>
        <v>1.224991519306925</v>
      </c>
      <c r="HS69" s="236">
        <f t="shared" si="75"/>
        <v>1.5143957657431861</v>
      </c>
      <c r="HT69" s="236">
        <f t="shared" si="76"/>
        <v>0</v>
      </c>
      <c r="HU69" s="236">
        <f t="shared" si="77"/>
        <v>0</v>
      </c>
      <c r="HV69" s="236">
        <f t="shared" si="78"/>
        <v>11.024923673762325</v>
      </c>
      <c r="HW69" s="578">
        <f t="shared" si="79"/>
        <v>13.629561891688677</v>
      </c>
      <c r="HX69" s="236">
        <f t="shared" si="80"/>
        <v>0.14908261017777927</v>
      </c>
      <c r="HY69" s="236">
        <f t="shared" si="81"/>
        <v>39.521710668287675</v>
      </c>
      <c r="HZ69" s="236">
        <f t="shared" si="82"/>
        <v>4.5549853386454175E-2</v>
      </c>
      <c r="IA69" s="236">
        <f t="shared" si="83"/>
        <v>6.4355435713147405E-2</v>
      </c>
      <c r="IB69" s="236">
        <f t="shared" si="84"/>
        <v>0.14315668207171311</v>
      </c>
      <c r="IC69" s="236">
        <f t="shared" si="85"/>
        <v>0.7079097928446213</v>
      </c>
      <c r="ID69" s="236">
        <f t="shared" si="86"/>
        <v>0.21644041091124711</v>
      </c>
      <c r="IE69" s="236">
        <f t="shared" si="87"/>
        <v>11.161997621665991</v>
      </c>
      <c r="IF69" s="236">
        <f t="shared" si="88"/>
        <v>9.7606828685258953E-2</v>
      </c>
      <c r="IG69" s="236">
        <f t="shared" si="89"/>
        <v>0.12871087142629481</v>
      </c>
      <c r="IH69" s="236">
        <f t="shared" si="90"/>
        <v>0.33403225816733062</v>
      </c>
      <c r="II69" s="236">
        <f t="shared" si="91"/>
        <v>1.6517895166374499</v>
      </c>
      <c r="IJ69" s="236">
        <f t="shared" si="92"/>
        <v>0</v>
      </c>
      <c r="IK69" s="236">
        <f t="shared" si="93"/>
        <v>0</v>
      </c>
      <c r="IL69" s="236">
        <f t="shared" si="94"/>
        <v>0</v>
      </c>
      <c r="IM69" s="236">
        <f t="shared" si="95"/>
        <v>0</v>
      </c>
      <c r="IN69" s="236">
        <f t="shared" si="96"/>
        <v>0</v>
      </c>
      <c r="IO69" s="236">
        <f t="shared" si="97"/>
        <v>0</v>
      </c>
    </row>
    <row r="70" spans="1:249" ht="18" x14ac:dyDescent="0.25">
      <c r="A70" s="9">
        <v>2007</v>
      </c>
      <c r="B70" s="564"/>
      <c r="C70" s="530">
        <f>'POSF Inventory'!AD62*$D$5*'POSF Zone Def'!$M59</f>
        <v>2.0808125E-2</v>
      </c>
      <c r="D70" s="530">
        <f>'POSF Inventory'!AE62*$D$6*'POSF Zone Def'!$M59</f>
        <v>4.1714750000000002E-2</v>
      </c>
      <c r="E70" s="530">
        <f>'POSF Inventory'!AF62*$D$5*'POSF Zone Def'!$M59</f>
        <v>0</v>
      </c>
      <c r="F70" s="530">
        <f>'POSF Inventory'!AG62*$D$6*'POSF Zone Def'!$M59</f>
        <v>0</v>
      </c>
      <c r="G70" s="530">
        <f>'POSF Inventory'!AH62*$D$5*'POSF Zone Def'!$M59</f>
        <v>0</v>
      </c>
      <c r="H70" s="531">
        <f>'POSF Inventory'!AI62*$D$6*'POSF Zone Def'!$M59</f>
        <v>0</v>
      </c>
      <c r="I70" s="57">
        <f>'POSF Inventory'!AD62*$D$5*'POSF Zone Def'!$N59</f>
        <v>2.0808125E-2</v>
      </c>
      <c r="J70" s="57">
        <f>'POSF Inventory'!AE62*$D$6*'POSF Zone Def'!$N59</f>
        <v>4.1714750000000002E-2</v>
      </c>
      <c r="K70" s="57">
        <f>'POSF Inventory'!AF62*$D$5*'POSF Zone Def'!$N59</f>
        <v>0</v>
      </c>
      <c r="L70" s="57">
        <f>'POSF Inventory'!AG62*$D$6*'POSF Zone Def'!$N59</f>
        <v>0</v>
      </c>
      <c r="M70" s="57">
        <f>'POSF Inventory'!AH62*$D$5*'POSF Zone Def'!$N59</f>
        <v>0</v>
      </c>
      <c r="N70" s="127">
        <f>'POSF Inventory'!AI62*$D$6*'POSF Zone Def'!$N59</f>
        <v>0</v>
      </c>
      <c r="O70" s="530">
        <f>'POSF Inventory'!AJ62*$D$5*'POSF Zone Def'!$AP59</f>
        <v>0.5056374374999999</v>
      </c>
      <c r="P70" s="530">
        <f>'POSF Inventory'!AK62*$D$6*'POSF Zone Def'!$AP59</f>
        <v>0.50683421249999994</v>
      </c>
      <c r="Q70" s="530">
        <f>'POSF Inventory'!AL62*$D$5*'POSF Zone Def'!$AP59</f>
        <v>0</v>
      </c>
      <c r="R70" s="530">
        <f>'POSF Inventory'!AM62*$D$6*'POSF Zone Def'!$AP59</f>
        <v>0</v>
      </c>
      <c r="S70" s="530">
        <f>'POSF Inventory'!AN62*$D$5*'POSF Zone Def'!$AP59</f>
        <v>0.37454624999999997</v>
      </c>
      <c r="T70" s="531">
        <f>'POSF Inventory'!AO62*$D$6*'POSF Zone Def'!$AP59</f>
        <v>0.37543274999999998</v>
      </c>
      <c r="U70" s="57">
        <f>'POSF Inventory'!AJ62*$D$5*'POSF Zone Def'!$AQ59</f>
        <v>1.1798206874999997</v>
      </c>
      <c r="V70" s="57">
        <f>'POSF Inventory'!AK62*$D$6*'POSF Zone Def'!$AQ59</f>
        <v>1.1826131624999998</v>
      </c>
      <c r="W70" s="57">
        <f>'POSF Inventory'!AL62*$D$5*'POSF Zone Def'!$AQ59</f>
        <v>0</v>
      </c>
      <c r="X70" s="57">
        <f>'POSF Inventory'!AM62*$D$6*'POSF Zone Def'!$AQ59</f>
        <v>0</v>
      </c>
      <c r="Y70" s="57">
        <f>'POSF Inventory'!AN62*$D$5*'POSF Zone Def'!$AQ59</f>
        <v>0.87394124999999989</v>
      </c>
      <c r="Z70" s="81">
        <f>'POSF Inventory'!AO62*$D$6*'POSF Zone Def'!$AQ59</f>
        <v>0.87600974999999992</v>
      </c>
      <c r="AA70" s="530">
        <f>'POSF Inventory'!AV62*'POSF Emiss by Zone'!$D$5*'POSF Zone Def'!$M59</f>
        <v>0</v>
      </c>
      <c r="AB70" s="530">
        <f>'POSF Inventory'!AW62*'POSF Emiss by Zone'!$D$6*'POSF Zone Def'!$M59</f>
        <v>0</v>
      </c>
      <c r="AC70" s="530">
        <f>'POSF Inventory'!AX62*'POSF Emiss by Zone'!$D$5*'POSF Zone Def'!$M59</f>
        <v>2.809096875E-2</v>
      </c>
      <c r="AD70" s="530">
        <f>'POSF Inventory'!AY62*'POSF Emiss by Zone'!$D$6*'POSF Zone Def'!$M59</f>
        <v>5.6314912500000001E-2</v>
      </c>
      <c r="AE70" s="530">
        <f>'POSF Inventory'!AZ62*'POSF Emiss by Zone'!$D$5*'POSF Zone Def'!$M59</f>
        <v>0</v>
      </c>
      <c r="AF70" s="531">
        <f>'POSF Inventory'!BA62*'POSF Emiss by Zone'!$D$6*'POSF Zone Def'!$M59</f>
        <v>0</v>
      </c>
      <c r="AG70" s="57">
        <f>'POSF Inventory'!AV62*'POSF Emiss by Zone'!$D$5*'POSF Zone Def'!$N59</f>
        <v>0</v>
      </c>
      <c r="AH70" s="57">
        <f>'POSF Inventory'!AW62*'POSF Emiss by Zone'!$D$6*'POSF Zone Def'!$N59</f>
        <v>0</v>
      </c>
      <c r="AI70" s="57">
        <f>'POSF Inventory'!AX62*'POSF Emiss by Zone'!$D$5*'POSF Zone Def'!$N59</f>
        <v>2.809096875E-2</v>
      </c>
      <c r="AJ70" s="57">
        <f>'POSF Inventory'!AY62*'POSF Emiss by Zone'!$D$6*'POSF Zone Def'!$N59</f>
        <v>5.6314912500000001E-2</v>
      </c>
      <c r="AK70" s="57">
        <f>'POSF Inventory'!AZ62*'POSF Emiss by Zone'!$D$5*'POSF Zone Def'!$N59</f>
        <v>0</v>
      </c>
      <c r="AL70" s="127">
        <f>'POSF Inventory'!BA62*'POSF Emiss by Zone'!$D$6*'POSF Zone Def'!$N59</f>
        <v>0</v>
      </c>
      <c r="AM70" s="530">
        <f>'POSF Inventory'!BB62*'POSF Emiss by Zone'!$D$5*'POSF Zone Def'!$AP59</f>
        <v>0</v>
      </c>
      <c r="AN70" s="530">
        <f>'POSF Inventory'!BC62*'POSF Emiss by Zone'!$D$6*'POSF Zone Def'!$AP59</f>
        <v>0</v>
      </c>
      <c r="AO70" s="530">
        <f>'POSF Inventory'!BD62*'POSF Emiss by Zone'!$D$5*'POSF Zone Def'!$AP59</f>
        <v>0.33709162500000001</v>
      </c>
      <c r="AP70" s="530">
        <f>'POSF Inventory'!BE62*'POSF Emiss by Zone'!$D$6*'POSF Zone Def'!$AP59</f>
        <v>0.33788947499999999</v>
      </c>
      <c r="AQ70" s="530">
        <f>'POSF Inventory'!BF62*'POSF Emiss by Zone'!$D$5*'POSF Zone Def'!$AP59</f>
        <v>0.62424374999999999</v>
      </c>
      <c r="AR70" s="531">
        <f>'POSF Inventory'!BG62*'POSF Emiss by Zone'!$D$6*'POSF Zone Def'!$AP59</f>
        <v>0.62572125000000001</v>
      </c>
      <c r="AS70" s="57">
        <f>'POSF Inventory'!BB62*'POSF Emiss by Zone'!$D$5*'POSF Zone Def'!$AQ59</f>
        <v>0</v>
      </c>
      <c r="AT70" s="57">
        <f>'POSF Inventory'!BC62*'POSF Emiss by Zone'!$D$6*'POSF Zone Def'!$AQ59</f>
        <v>0</v>
      </c>
      <c r="AU70" s="57">
        <f>'POSF Inventory'!BD62*'POSF Emiss by Zone'!$D$5*'POSF Zone Def'!$AQ59</f>
        <v>0.78654712500000001</v>
      </c>
      <c r="AV70" s="57">
        <f>'POSF Inventory'!BE62*'POSF Emiss by Zone'!$D$6*'POSF Zone Def'!$AQ59</f>
        <v>0.78840877499999995</v>
      </c>
      <c r="AW70" s="57">
        <f>'POSF Inventory'!BF62*'POSF Emiss by Zone'!$D$5*'POSF Zone Def'!$AQ59</f>
        <v>1.45656875</v>
      </c>
      <c r="AX70" s="81">
        <f>'POSF Inventory'!BG62*'POSF Emiss by Zone'!$D$6*'POSF Zone Def'!$AQ59</f>
        <v>1.46001625</v>
      </c>
      <c r="AY70" s="530">
        <f>'POSF Inventory'!EA62*'POSF Emiss by Zone'!$D$5*'POSF Zone Def'!$Y59</f>
        <v>0</v>
      </c>
      <c r="AZ70" s="530">
        <f>'POSF Inventory'!EB62*'POSF Emiss by Zone'!$D$6*'POSF Zone Def'!$Y59</f>
        <v>0</v>
      </c>
      <c r="BA70" s="530">
        <f>'POSF Inventory'!EC62*'POSF Emiss by Zone'!$D$5*'POSF Zone Def'!$Y59</f>
        <v>2.6602147406249999</v>
      </c>
      <c r="BB70" s="530">
        <f>'POSF Inventory'!ED62*'POSF Emiss by Zone'!$D$6*'POSF Zone Def'!$Y59</f>
        <v>26.665111068750001</v>
      </c>
      <c r="BC70" s="530">
        <f>'POSF Inventory'!EE62*'POSF Emiss by Zone'!$D$5*'POSF Zone Def'!$Y59</f>
        <v>0</v>
      </c>
      <c r="BD70" s="531">
        <f>'POSF Inventory'!EF62*'POSF Emiss by Zone'!$D$6*'POSF Zone Def'!$Y59</f>
        <v>0</v>
      </c>
      <c r="BE70" s="57">
        <f>'POSF Inventory'!EA62*'POSF Emiss by Zone'!$D$5*'POSF Zone Def'!$Z59</f>
        <v>0</v>
      </c>
      <c r="BF70" s="57">
        <f>'POSF Inventory'!EB62*'POSF Emiss by Zone'!$D$6*'POSF Zone Def'!$Z59</f>
        <v>0</v>
      </c>
      <c r="BG70" s="57">
        <f>'POSF Inventory'!EC62*'POSF Emiss by Zone'!$D$5*'POSF Zone Def'!$Z59</f>
        <v>0.29557941562499995</v>
      </c>
      <c r="BH70" s="57">
        <f>'POSF Inventory'!ED62*'POSF Emiss by Zone'!$D$6*'POSF Zone Def'!$Z59</f>
        <v>2.9627901187500001</v>
      </c>
      <c r="BI70" s="57">
        <f>'POSF Inventory'!EE62*'POSF Emiss by Zone'!$D$5*'POSF Zone Def'!$Z59</f>
        <v>0</v>
      </c>
      <c r="BJ70" s="127">
        <f>'POSF Inventory'!EF62*'POSF Emiss by Zone'!$D$6*'POSF Zone Def'!$Z59</f>
        <v>0</v>
      </c>
      <c r="BK70" s="57">
        <f>'POSF Inventory'!$EA62*'POSF Emiss by Zone'!$D$5*'POSF Zone Def'!$AC59</f>
        <v>0</v>
      </c>
      <c r="BL70" s="57">
        <f>'POSF Inventory'!$EB62*'POSF Emiss by Zone'!$D$6*'POSF Zone Def'!$AC59</f>
        <v>0</v>
      </c>
      <c r="BM70" s="57">
        <f>'POSF Inventory'!$EC62*'POSF Emiss by Zone'!$D$5*'POSF Zone Def'!$AC59</f>
        <v>0</v>
      </c>
      <c r="BN70" s="57">
        <f>'POSF Inventory'!$ED62*'POSF Emiss by Zone'!$D$6*'POSF Zone Def'!$AC59</f>
        <v>0</v>
      </c>
      <c r="BO70" s="57">
        <f>'POSF Inventory'!$EE62*'POSF Emiss by Zone'!$D$5*'POSF Zone Def'!$AC59</f>
        <v>0</v>
      </c>
      <c r="BP70" s="127">
        <f>'POSF Inventory'!$EF62*'POSF Emiss by Zone'!$D$6*'POSF Zone Def'!$AC59</f>
        <v>0</v>
      </c>
      <c r="BQ70" s="530">
        <f>'POSF Inventory'!EG62*'POSF Emiss by Zone'!$D$5*'POSF Zone Def'!$BB59</f>
        <v>0</v>
      </c>
      <c r="BR70" s="530">
        <f>'POSF Inventory'!EH62*'POSF Emiss by Zone'!$D$6*'POSF Zone Def'!$BB59</f>
        <v>0</v>
      </c>
      <c r="BS70" s="530">
        <f>'POSF Inventory'!EI62*'POSF Emiss by Zone'!$D$5*'POSF Zone Def'!$BB59</f>
        <v>0.6408114009375</v>
      </c>
      <c r="BT70" s="530">
        <f>'POSF Inventory'!EJ62*'POSF Emiss by Zone'!$D$6*'POSF Zone Def'!$BB59</f>
        <v>6.4232811431249992</v>
      </c>
      <c r="BU70" s="530">
        <f>'POSF Inventory'!EK62*'POSF Emiss by Zone'!$D$5*'POSF Zone Def'!$BB59</f>
        <v>0</v>
      </c>
      <c r="BV70" s="531">
        <f>'POSF Inventory'!EL62*'POSF Emiss by Zone'!$D$6*'POSF Zone Def'!$BB59</f>
        <v>0</v>
      </c>
      <c r="BW70" s="57">
        <f>'POSF Inventory'!EG62*'POSF Emiss by Zone'!$D$5*'POSF Zone Def'!$BC59</f>
        <v>0</v>
      </c>
      <c r="BX70" s="57">
        <f>'POSF Inventory'!EH62*'POSF Emiss by Zone'!$D$6*'POSF Zone Def'!$BC59</f>
        <v>0</v>
      </c>
      <c r="BY70" s="57">
        <f>'POSF Inventory'!EI62*'POSF Emiss by Zone'!$D$5*'POSF Zone Def'!$BC59</f>
        <v>1.4952266021874998</v>
      </c>
      <c r="BZ70" s="57">
        <f>'POSF Inventory'!EJ62*'POSF Emiss by Zone'!$D$6*'POSF Zone Def'!$BC59</f>
        <v>14.987656000624996</v>
      </c>
      <c r="CA70" s="57">
        <f>'POSF Inventory'!EK62*'POSF Emiss by Zone'!$D$5*'POSF Zone Def'!$BC59</f>
        <v>0</v>
      </c>
      <c r="CB70" s="81">
        <f>'POSF Inventory'!EL62*'POSF Emiss by Zone'!$D$6*'POSF Zone Def'!$BC59</f>
        <v>0</v>
      </c>
      <c r="CC70" s="530">
        <f>'POSF Inventory'!GC62*'POSF Emiss by Zone'!$D$7*'POSF Zone Def'!$M59</f>
        <v>9.8500000000000009E-5</v>
      </c>
      <c r="CD70" s="530">
        <f>'POSF Inventory'!GD62*'POSF Emiss by Zone'!$D$9*'POSF Zone Def'!$M59</f>
        <v>2.4354125000000001E-4</v>
      </c>
      <c r="CE70" s="530">
        <f>'POSF Inventory'!GE62*'POSF Emiss by Zone'!$D$7*'POSF Zone Def'!$M59</f>
        <v>2.9549999999999997E-3</v>
      </c>
      <c r="CF70" s="530">
        <f>'POSF Inventory'!GF62*'POSF Emiss by Zone'!$D$9*'POSF Zone Def'!$M59</f>
        <v>7.3062374999999999E-3</v>
      </c>
      <c r="CG70" s="530">
        <f>'POSF Inventory'!GG62*'POSF Emiss by Zone'!$D$7*'POSF Zone Def'!$M59</f>
        <v>0</v>
      </c>
      <c r="CH70" s="531">
        <f>'POSF Inventory'!GH62*'POSF Emiss by Zone'!$D$9*'POSF Zone Def'!$M59</f>
        <v>0</v>
      </c>
      <c r="CI70" s="57">
        <f>'POSF Inventory'!GC62*'POSF Emiss by Zone'!$D$7*'POSF Zone Def'!$N59</f>
        <v>9.8500000000000009E-5</v>
      </c>
      <c r="CJ70" s="57">
        <f>'POSF Inventory'!GD62*'POSF Emiss by Zone'!$D$9*'POSF Zone Def'!$N59</f>
        <v>2.4354125000000001E-4</v>
      </c>
      <c r="CK70" s="57">
        <f>'POSF Inventory'!GE62*'POSF Emiss by Zone'!$D$7*'POSF Zone Def'!$N59</f>
        <v>2.9549999999999997E-3</v>
      </c>
      <c r="CL70" s="57">
        <f>'POSF Inventory'!GF62*'POSF Emiss by Zone'!$D$9*'POSF Zone Def'!$N59</f>
        <v>7.3062374999999999E-3</v>
      </c>
      <c r="CM70" s="57">
        <f>'POSF Inventory'!GG62*'POSF Emiss by Zone'!$D$7*'POSF Zone Def'!$N59</f>
        <v>0</v>
      </c>
      <c r="CN70" s="127">
        <f>'POSF Inventory'!GH62*'POSF Emiss by Zone'!$D$9*'POSF Zone Def'!$N59</f>
        <v>0</v>
      </c>
      <c r="CO70" s="530">
        <f>'POSF Inventory'!GI62*'POSF Emiss by Zone'!$D$7*'POSF Zone Def'!$AP59</f>
        <v>2.3640000000000002E-3</v>
      </c>
      <c r="CP70" s="530">
        <f>'POSF Inventory'!GJ62*'POSF Emiss by Zone'!$D$9*'POSF Zone Def'!$AP59</f>
        <v>2.9224950000000006E-3</v>
      </c>
      <c r="CQ70" s="530">
        <f>'POSF Inventory'!GK62*'POSF Emiss by Zone'!$D$7*'POSF Zone Def'!$AP59</f>
        <v>3.5459999999999998E-2</v>
      </c>
      <c r="CR70" s="530">
        <f>'POSF Inventory'!GL62*'POSF Emiss by Zone'!$D$9*'POSF Zone Def'!$AP59</f>
        <v>4.3837424999999999E-2</v>
      </c>
      <c r="CS70" s="530">
        <f>'POSF Inventory'!GM62*'POSF Emiss by Zone'!$D$7*'POSF Zone Def'!$AP59</f>
        <v>0.13002</v>
      </c>
      <c r="CT70" s="531">
        <f>'POSF Inventory'!GN62*'POSF Emiss by Zone'!$D$9*'POSF Zone Def'!$AP59</f>
        <v>0.64294889999999993</v>
      </c>
      <c r="CU70" s="57">
        <f>'POSF Inventory'!GI62*'POSF Emiss by Zone'!$D$7*'POSF Zone Def'!$AQ59</f>
        <v>5.5160000000000009E-3</v>
      </c>
      <c r="CV70" s="57">
        <f>'POSF Inventory'!GJ62*'POSF Emiss by Zone'!$D$9*'POSF Zone Def'!$AQ59</f>
        <v>6.8191550000000012E-3</v>
      </c>
      <c r="CW70" s="57">
        <f>'POSF Inventory'!GK62*'POSF Emiss by Zone'!$D$7*'POSF Zone Def'!$AQ59</f>
        <v>8.2739999999999994E-2</v>
      </c>
      <c r="CX70" s="57">
        <f>'POSF Inventory'!GL62*'POSF Emiss by Zone'!$D$9*'POSF Zone Def'!$AQ59</f>
        <v>0.102287325</v>
      </c>
      <c r="CY70" s="57">
        <f>'POSF Inventory'!GM62*'POSF Emiss by Zone'!$D$7*'POSF Zone Def'!$AQ59</f>
        <v>0.30337999999999998</v>
      </c>
      <c r="CZ70" s="81">
        <f>'POSF Inventory'!GN62*'POSF Emiss by Zone'!$D$9*'POSF Zone Def'!$AQ59</f>
        <v>1.5002140999999998</v>
      </c>
      <c r="DA70" s="530">
        <f>SUM('POSF Inventory'!GQ62,'POSF Inventory'!GS62)*'POSF Emiss by Zone'!$D$7*'POSF Zone Def'!$Y59</f>
        <v>4.1040248562180019E-2</v>
      </c>
      <c r="DB70" s="530">
        <f>SUM('POSF Inventory'!GR62,'POSF Inventory'!GT62)*'POSF Emiss by Zone'!$D$9*'POSF Zone Def'!$Y59</f>
        <v>25.368003642497523</v>
      </c>
      <c r="DC70" s="530"/>
      <c r="DD70" s="530"/>
      <c r="DE70" s="530">
        <f>'POSF Inventory'!GU62*'POSF Emiss by Zone'!$D$7*'POSF Zone Def'!$Y59</f>
        <v>0</v>
      </c>
      <c r="DF70" s="531">
        <f>'POSF Inventory'!GV62*'POSF Emiss by Zone'!$D$9*'POSF Zone Def'!$Y59</f>
        <v>0</v>
      </c>
      <c r="DG70" s="57">
        <f>SUM('POSF Inventory'!GQ62,'POSF Inventory'!GS62)*'POSF Emiss by Zone'!$D$7*'POSF Zone Def'!$Z59</f>
        <v>4.5600276180200018E-3</v>
      </c>
      <c r="DH70" s="57">
        <f>SUM('POSF Inventory'!GR62,'POSF Inventory'!GT62)*'POSF Emiss by Zone'!$D$9*'POSF Zone Def'!$Z59</f>
        <v>2.8186670713886137</v>
      </c>
      <c r="DI70" s="57"/>
      <c r="DJ70" s="57"/>
      <c r="DK70" s="57">
        <f>'POSF Inventory'!GU62*'POSF Emiss by Zone'!$D$7*'POSF Zone Def'!$Z59</f>
        <v>0</v>
      </c>
      <c r="DL70" s="127">
        <f>'POSF Inventory'!GV62*'POSF Emiss by Zone'!$D$9*'POSF Zone Def'!$Z59</f>
        <v>0</v>
      </c>
      <c r="DM70" s="57">
        <f>SUM('POSF Inventory'!$GQ62,'POSF Inventory'!$GS62)*'POSF Emiss by Zone'!$D$7*'POSF Zone Def'!$AC59</f>
        <v>0</v>
      </c>
      <c r="DN70" s="57">
        <f>SUM('POSF Inventory'!$GR62,'POSF Inventory'!$GT62)*'POSF Emiss by Zone'!$D$9*'POSF Zone Def'!$AC59</f>
        <v>0</v>
      </c>
      <c r="DO70" s="57"/>
      <c r="DP70" s="57"/>
      <c r="DQ70" s="57">
        <f>'POSF Inventory'!$GU62*'POSF Emiss by Zone'!$D$7*'POSF Zone Def'!$AC59</f>
        <v>0</v>
      </c>
      <c r="DR70" s="127">
        <f>'POSF Inventory'!$GV62*'POSF Emiss by Zone'!$D$9*'POSF Zone Def'!$AC59</f>
        <v>0</v>
      </c>
      <c r="DS70" s="530">
        <f>SUM('POSF Inventory'!GW62,'POSF Inventory'!GY62)*$D$7*'POSF Zone Def'!$BB59</f>
        <v>7.9447994895937499E-2</v>
      </c>
      <c r="DT70" s="530">
        <f>SUM('POSF Inventory'!GX62,'POSF Inventory'!GZ62)*$D$9*'POSF Zone Def'!$BB59</f>
        <v>2.8949724775125003</v>
      </c>
      <c r="DU70" s="530"/>
      <c r="DV70" s="530"/>
      <c r="DW70" s="530">
        <f>'POSF Inventory'!HA62*'POSF Emiss by Zone'!$D$7*'POSF Zone Def'!$BB59</f>
        <v>0</v>
      </c>
      <c r="DX70" s="531">
        <f>'POSF Inventory'!HB62*'POSF Emiss by Zone'!$D$9*'POSF Zone Def'!$BB59</f>
        <v>0</v>
      </c>
      <c r="DY70" s="57">
        <f>SUM('POSF Inventory'!GW62,'POSF Inventory'!GY62)*$D$7*'POSF Zone Def'!$BC59</f>
        <v>0.18537865475718751</v>
      </c>
      <c r="DZ70" s="57">
        <f>SUM('POSF Inventory'!GX62,'POSF Inventory'!GZ62)*$D$9*'POSF Zone Def'!$BC59</f>
        <v>6.7549357808625006</v>
      </c>
      <c r="EA70" s="57"/>
      <c r="EB70" s="57"/>
      <c r="EC70" s="57">
        <f>'POSF Inventory'!HA62*'POSF Emiss by Zone'!$D$7*'POSF Zone Def'!$BC59</f>
        <v>0</v>
      </c>
      <c r="ED70" s="81">
        <f>'POSF Inventory'!HB62*'POSF Emiss by Zone'!$D$9*'POSF Zone Def'!$BC59</f>
        <v>0</v>
      </c>
      <c r="EE70" s="236">
        <f>'POSF Inventory'!$CF62*'POSF Emiss by Zone'!$D$7*'POSF Zone Def'!$CE59</f>
        <v>0</v>
      </c>
      <c r="EF70" s="236">
        <f>'POSF Inventory'!$CG62*'POSF Emiss by Zone'!$D$9*'POSF Zone Def'!$CE59</f>
        <v>0</v>
      </c>
      <c r="EG70" s="236">
        <f>'POSF Inventory'!$CH62*'POSF Emiss by Zone'!$D$7*'POSF Zone Def'!$CE59</f>
        <v>0</v>
      </c>
      <c r="EH70" s="236">
        <f>'POSF Inventory'!$CI62*'POSF Emiss by Zone'!$D$9*'POSF Zone Def'!$CE59</f>
        <v>0</v>
      </c>
      <c r="EI70" s="236">
        <f>'POSF Inventory'!$CJ62*'POSF Emiss by Zone'!$D$7*'POSF Zone Def'!$CE59</f>
        <v>0</v>
      </c>
      <c r="EJ70" s="581">
        <f>'POSF Inventory'!$CK62*'POSF Emiss by Zone'!$D$9*'POSF Zone Def'!$CE59</f>
        <v>0</v>
      </c>
      <c r="EK70" s="236">
        <f>'POSF Inventory'!$CF62*'POSF Emiss by Zone'!$D$7*'POSF Zone Def'!$CF59</f>
        <v>0</v>
      </c>
      <c r="EL70" s="236">
        <f>'POSF Inventory'!$CG62*'POSF Emiss by Zone'!$D$9*'POSF Zone Def'!$CF59</f>
        <v>0</v>
      </c>
      <c r="EM70" s="236">
        <f>'POSF Inventory'!$CH62*'POSF Emiss by Zone'!$D$7*'POSF Zone Def'!$CF59</f>
        <v>0</v>
      </c>
      <c r="EN70" s="236">
        <f>'POSF Inventory'!$CI62*'POSF Emiss by Zone'!$D$9*'POSF Zone Def'!$CF59</f>
        <v>0</v>
      </c>
      <c r="EO70" s="236">
        <f>'POSF Inventory'!$CJ62*'POSF Emiss by Zone'!$D$7*'POSF Zone Def'!$CF59</f>
        <v>0</v>
      </c>
      <c r="EP70" s="581">
        <f>'POSF Inventory'!$CK62*'POSF Emiss by Zone'!$D$9*'POSF Zone Def'!$CF59</f>
        <v>0</v>
      </c>
      <c r="EQ70" s="236">
        <f>'POSF Inventory'!$CF62*'POSF Emiss by Zone'!$D$7*'POSF Zone Def'!$CG59</f>
        <v>9.847431548400946E-5</v>
      </c>
      <c r="ER70" s="236">
        <f>'POSF Inventory'!$CG62*'POSF Emiss by Zone'!$D$9*'POSF Zone Def'!$CG59</f>
        <v>1.2173887251710671E-4</v>
      </c>
      <c r="ES70" s="236">
        <f>'POSF Inventory'!$CH62*'POSF Emiss by Zone'!$D$7*'POSF Zone Def'!$CG59</f>
        <v>0</v>
      </c>
      <c r="ET70" s="236">
        <f>'POSF Inventory'!$CI62*'POSF Emiss by Zone'!$D$9*'POSF Zone Def'!$CG59</f>
        <v>0</v>
      </c>
      <c r="EU70" s="236">
        <f>'POSF Inventory'!$CJ62*'POSF Emiss by Zone'!$D$7*'POSF Zone Def'!$CG59</f>
        <v>8.8626883935608513E-4</v>
      </c>
      <c r="EV70" s="581">
        <f>'POSF Inventory'!$CK62*'POSF Emiss by Zone'!$D$9*'POSF Zone Def'!$CG59</f>
        <v>1.0956498526539602E-3</v>
      </c>
      <c r="EW70" s="236">
        <f>'POSF Inventory'!$CF62*'POSF Emiss by Zone'!$D$7*'POSF Zone Def'!$CH59</f>
        <v>1.2949925332289913</v>
      </c>
      <c r="EX70" s="236">
        <f>'POSF Inventory'!$CG62*'POSF Emiss by Zone'!$D$9*'POSF Zone Def'!$CH59</f>
        <v>1.6009345192043407</v>
      </c>
      <c r="EY70" s="236">
        <f>'POSF Inventory'!$CH62*'POSF Emiss by Zone'!$D$7*'POSF Zone Def'!$CH59</f>
        <v>0</v>
      </c>
      <c r="EZ70" s="236">
        <f>'POSF Inventory'!$CI62*'POSF Emiss by Zone'!$D$9*'POSF Zone Def'!$CH59</f>
        <v>0</v>
      </c>
      <c r="FA70" s="236">
        <f>'POSF Inventory'!$CJ62*'POSF Emiss by Zone'!$D$7*'POSF Zone Def'!$CH59</f>
        <v>11.654932799060921</v>
      </c>
      <c r="FB70" s="581">
        <f>'POSF Inventory'!$CK62*'POSF Emiss by Zone'!$D$9*'POSF Zone Def'!$CH59</f>
        <v>14.408410672839064</v>
      </c>
      <c r="FC70" s="236">
        <f>'POSF Inventory'!$CF62*'POSF Emiss by Zone'!$D$7*'POSF Zone Def'!$CI59</f>
        <v>1.1837569924555251</v>
      </c>
      <c r="FD70" s="236">
        <f>'POSF Inventory'!$CG62*'POSF Emiss by Zone'!$D$9*'POSF Zone Def'!$CI59</f>
        <v>1.463419581923143</v>
      </c>
      <c r="FE70" s="236">
        <f>'POSF Inventory'!$CH62*'POSF Emiss by Zone'!$D$7*'POSF Zone Def'!$CI59</f>
        <v>0</v>
      </c>
      <c r="FF70" s="236">
        <f>'POSF Inventory'!$CI62*'POSF Emiss by Zone'!$D$9*'POSF Zone Def'!$CI59</f>
        <v>0</v>
      </c>
      <c r="FG70" s="236">
        <f>'POSF Inventory'!$CJ62*'POSF Emiss by Zone'!$D$7*'POSF Zone Def'!$CI59</f>
        <v>10.653812932099726</v>
      </c>
      <c r="FH70" s="578">
        <f>'POSF Inventory'!$CK62*'POSF Emiss by Zone'!$D$9*'POSF Zone Def'!$CI59</f>
        <v>13.170776237308285</v>
      </c>
      <c r="FI70" s="595"/>
      <c r="FJ70" s="595"/>
      <c r="FM70" s="592">
        <v>53</v>
      </c>
      <c r="FN70" s="592">
        <f t="shared" si="98"/>
        <v>2007</v>
      </c>
      <c r="FO70" s="587">
        <v>50</v>
      </c>
      <c r="FP70" s="85">
        <f t="shared" si="20"/>
        <v>0.52644556249999985</v>
      </c>
      <c r="FQ70" s="530">
        <f t="shared" si="21"/>
        <v>0.54854896249999996</v>
      </c>
      <c r="FR70" s="530">
        <f t="shared" si="22"/>
        <v>0</v>
      </c>
      <c r="FS70" s="530">
        <f t="shared" si="23"/>
        <v>0</v>
      </c>
      <c r="FT70" s="530">
        <f t="shared" si="24"/>
        <v>0.37454624999999997</v>
      </c>
      <c r="FU70" s="531">
        <f t="shared" si="25"/>
        <v>0.37543274999999998</v>
      </c>
      <c r="FV70" s="57">
        <f t="shared" si="26"/>
        <v>1.2006288124999998</v>
      </c>
      <c r="FW70" s="57">
        <f t="shared" si="27"/>
        <v>1.2243279124999997</v>
      </c>
      <c r="FX70" s="57">
        <f t="shared" si="28"/>
        <v>0</v>
      </c>
      <c r="FY70" s="57">
        <f t="shared" si="29"/>
        <v>0</v>
      </c>
      <c r="FZ70" s="57">
        <f t="shared" si="30"/>
        <v>0.87394124999999989</v>
      </c>
      <c r="GA70" s="81">
        <f t="shared" si="31"/>
        <v>0.87600974999999992</v>
      </c>
      <c r="GB70" s="530">
        <f t="shared" si="32"/>
        <v>0</v>
      </c>
      <c r="GC70" s="530">
        <f t="shared" si="33"/>
        <v>0</v>
      </c>
      <c r="GD70" s="530">
        <f t="shared" si="34"/>
        <v>3.651602326008466</v>
      </c>
      <c r="GE70" s="530">
        <f t="shared" si="35"/>
        <v>33.349199800174304</v>
      </c>
      <c r="GF70" s="530">
        <f t="shared" si="36"/>
        <v>0.62175672310756969</v>
      </c>
      <c r="GG70" s="531">
        <f t="shared" si="37"/>
        <v>0.62322833665338651</v>
      </c>
      <c r="GH70" s="57">
        <f t="shared" si="38"/>
        <v>0</v>
      </c>
      <c r="GI70" s="57">
        <f t="shared" si="39"/>
        <v>0</v>
      </c>
      <c r="GJ70" s="57">
        <f t="shared" si="40"/>
        <v>2.5950638561379482</v>
      </c>
      <c r="GK70" s="57">
        <f t="shared" si="41"/>
        <v>18.720288652265932</v>
      </c>
      <c r="GL70" s="57">
        <f t="shared" si="42"/>
        <v>1.450765687250996</v>
      </c>
      <c r="GM70" s="57">
        <f t="shared" si="43"/>
        <v>1.4541994521912351</v>
      </c>
      <c r="GN70" s="57">
        <f t="shared" si="44"/>
        <v>0</v>
      </c>
      <c r="GO70" s="57">
        <f t="shared" si="45"/>
        <v>0</v>
      </c>
      <c r="GP70" s="57">
        <f t="shared" si="46"/>
        <v>0</v>
      </c>
      <c r="GQ70" s="57">
        <f t="shared" si="47"/>
        <v>0</v>
      </c>
      <c r="GR70" s="57">
        <f t="shared" si="48"/>
        <v>0</v>
      </c>
      <c r="GS70" s="81">
        <f t="shared" si="49"/>
        <v>0</v>
      </c>
      <c r="GT70" s="530">
        <f t="shared" si="50"/>
        <v>2.5471867170606018E-3</v>
      </c>
      <c r="GU70" s="530">
        <f t="shared" si="51"/>
        <v>0.58559338331694066</v>
      </c>
      <c r="GV70" s="530">
        <f t="shared" si="52"/>
        <v>7.9584860557768916E-4</v>
      </c>
      <c r="GW70" s="530">
        <f t="shared" si="53"/>
        <v>1.0595499800796812E-3</v>
      </c>
      <c r="GX70" s="530">
        <f t="shared" si="54"/>
        <v>2.6936414342629482E-3</v>
      </c>
      <c r="GY70" s="531">
        <f t="shared" si="55"/>
        <v>1.3320056892430278E-2</v>
      </c>
      <c r="GZ70" s="57">
        <f t="shared" si="56"/>
        <v>4.0513009894465298E-3</v>
      </c>
      <c r="HA70" s="57">
        <f t="shared" si="57"/>
        <v>0.19848390777771233</v>
      </c>
      <c r="HB70" s="57">
        <f t="shared" si="58"/>
        <v>1.7753545816733068E-3</v>
      </c>
      <c r="HC70" s="57">
        <f t="shared" si="59"/>
        <v>2.2704642430278884E-3</v>
      </c>
      <c r="HD70" s="57">
        <f t="shared" si="60"/>
        <v>6.285163346613545E-3</v>
      </c>
      <c r="HE70" s="127">
        <f t="shared" si="61"/>
        <v>3.108013274900398E-2</v>
      </c>
      <c r="HF70" s="236">
        <f t="shared" si="62"/>
        <v>1.0200526703522891E-4</v>
      </c>
      <c r="HG70" s="236">
        <f t="shared" si="63"/>
        <v>1.2610401137230177E-4</v>
      </c>
      <c r="HH70" s="236">
        <f t="shared" si="64"/>
        <v>0</v>
      </c>
      <c r="HI70" s="236">
        <f t="shared" si="65"/>
        <v>0</v>
      </c>
      <c r="HJ70" s="236">
        <f t="shared" si="66"/>
        <v>9.1804740331706026E-4</v>
      </c>
      <c r="HK70" s="581">
        <f t="shared" si="67"/>
        <v>1.1349361023507158E-3</v>
      </c>
      <c r="HL70" s="236">
        <f t="shared" si="68"/>
        <v>1.3414265284443734</v>
      </c>
      <c r="HM70" s="236">
        <f t="shared" si="69"/>
        <v>1.6583385457893569</v>
      </c>
      <c r="HN70" s="236">
        <f t="shared" si="70"/>
        <v>0</v>
      </c>
      <c r="HO70" s="236">
        <f t="shared" si="71"/>
        <v>0</v>
      </c>
      <c r="HP70" s="236">
        <f t="shared" si="72"/>
        <v>12.07283875599936</v>
      </c>
      <c r="HQ70" s="581">
        <f t="shared" si="73"/>
        <v>14.925046912104209</v>
      </c>
      <c r="HR70" s="236">
        <f t="shared" si="74"/>
        <v>1.226202462304528</v>
      </c>
      <c r="HS70" s="236">
        <f t="shared" si="75"/>
        <v>1.5158927940239728</v>
      </c>
      <c r="HT70" s="236">
        <f t="shared" si="76"/>
        <v>0</v>
      </c>
      <c r="HU70" s="236">
        <f t="shared" si="77"/>
        <v>0</v>
      </c>
      <c r="HV70" s="236">
        <f t="shared" si="78"/>
        <v>11.035822160740752</v>
      </c>
      <c r="HW70" s="578">
        <f t="shared" si="79"/>
        <v>13.643035146215754</v>
      </c>
      <c r="HX70" s="236">
        <f t="shared" si="80"/>
        <v>0.13537317713978228</v>
      </c>
      <c r="HY70" s="236">
        <f t="shared" si="81"/>
        <v>31.122036041051867</v>
      </c>
      <c r="HZ70" s="236">
        <f t="shared" si="82"/>
        <v>4.2296292430278881E-2</v>
      </c>
      <c r="IA70" s="236">
        <f t="shared" si="83"/>
        <v>5.6311006249003967E-2</v>
      </c>
      <c r="IB70" s="236">
        <f t="shared" si="84"/>
        <v>0.14315668207171311</v>
      </c>
      <c r="IC70" s="236">
        <f t="shared" si="85"/>
        <v>0.7079097928446213</v>
      </c>
      <c r="ID70" s="236">
        <f t="shared" si="86"/>
        <v>0.21531106566220057</v>
      </c>
      <c r="IE70" s="236">
        <f t="shared" si="87"/>
        <v>10.548656298740109</v>
      </c>
      <c r="IF70" s="236">
        <f t="shared" si="88"/>
        <v>9.4353267729083659E-2</v>
      </c>
      <c r="IG70" s="236">
        <f t="shared" si="89"/>
        <v>0.12066644196215139</v>
      </c>
      <c r="IH70" s="236">
        <f t="shared" si="90"/>
        <v>0.33403225816733062</v>
      </c>
      <c r="II70" s="236">
        <f t="shared" si="91"/>
        <v>1.6517895166374499</v>
      </c>
      <c r="IJ70" s="236">
        <f t="shared" si="92"/>
        <v>0</v>
      </c>
      <c r="IK70" s="236">
        <f t="shared" si="93"/>
        <v>0</v>
      </c>
      <c r="IL70" s="236">
        <f t="shared" si="94"/>
        <v>0</v>
      </c>
      <c r="IM70" s="236">
        <f t="shared" si="95"/>
        <v>0</v>
      </c>
      <c r="IN70" s="236">
        <f t="shared" si="96"/>
        <v>0</v>
      </c>
      <c r="IO70" s="236">
        <f t="shared" si="97"/>
        <v>0</v>
      </c>
    </row>
    <row r="71" spans="1:249" ht="18" x14ac:dyDescent="0.25">
      <c r="A71" s="9">
        <v>2008</v>
      </c>
      <c r="B71" s="564"/>
      <c r="C71" s="530">
        <f>'POSF Inventory'!AD63*$D$5*'POSF Zone Def'!$M60</f>
        <v>0</v>
      </c>
      <c r="D71" s="530">
        <f>'POSF Inventory'!AE63*$D$6*'POSF Zone Def'!$M60</f>
        <v>0</v>
      </c>
      <c r="E71" s="530">
        <f>'POSF Inventory'!AF63*$D$5*'POSF Zone Def'!$M60</f>
        <v>0</v>
      </c>
      <c r="F71" s="530">
        <f>'POSF Inventory'!AG63*$D$6*'POSF Zone Def'!$M60</f>
        <v>0</v>
      </c>
      <c r="G71" s="530">
        <f>'POSF Inventory'!AH63*$D$5*'POSF Zone Def'!$M60</f>
        <v>0</v>
      </c>
      <c r="H71" s="531">
        <f>'POSF Inventory'!AI63*$D$6*'POSF Zone Def'!$M60</f>
        <v>0</v>
      </c>
      <c r="I71" s="57">
        <f>'POSF Inventory'!AD63*$D$5*'POSF Zone Def'!$N60</f>
        <v>0</v>
      </c>
      <c r="J71" s="57">
        <f>'POSF Inventory'!AE63*$D$6*'POSF Zone Def'!$N60</f>
        <v>0</v>
      </c>
      <c r="K71" s="57">
        <f>'POSF Inventory'!AF63*$D$5*'POSF Zone Def'!$N60</f>
        <v>0</v>
      </c>
      <c r="L71" s="57">
        <f>'POSF Inventory'!AG63*$D$6*'POSF Zone Def'!$N60</f>
        <v>0</v>
      </c>
      <c r="M71" s="57">
        <f>'POSF Inventory'!AH63*$D$5*'POSF Zone Def'!$N60</f>
        <v>0</v>
      </c>
      <c r="N71" s="127">
        <f>'POSF Inventory'!AI63*$D$6*'POSF Zone Def'!$N60</f>
        <v>0</v>
      </c>
      <c r="O71" s="530">
        <f>'POSF Inventory'!AJ63*$D$5*'POSF Zone Def'!$AP60</f>
        <v>0.5056374374999999</v>
      </c>
      <c r="P71" s="530">
        <f>'POSF Inventory'!AK63*$D$6*'POSF Zone Def'!$AP60</f>
        <v>0.50683421249999994</v>
      </c>
      <c r="Q71" s="530">
        <f>'POSF Inventory'!AL63*$D$5*'POSF Zone Def'!$AP60</f>
        <v>0</v>
      </c>
      <c r="R71" s="530">
        <f>'POSF Inventory'!AM63*$D$6*'POSF Zone Def'!$AP60</f>
        <v>0</v>
      </c>
      <c r="S71" s="530">
        <f>'POSF Inventory'!AN63*$D$5*'POSF Zone Def'!$AP60</f>
        <v>0.37454624999999997</v>
      </c>
      <c r="T71" s="531">
        <f>'POSF Inventory'!AO63*$D$6*'POSF Zone Def'!$AP60</f>
        <v>0.37543274999999998</v>
      </c>
      <c r="U71" s="57">
        <f>'POSF Inventory'!AJ63*$D$5*'POSF Zone Def'!$AQ60</f>
        <v>1.1798206874999997</v>
      </c>
      <c r="V71" s="57">
        <f>'POSF Inventory'!AK63*$D$6*'POSF Zone Def'!$AQ60</f>
        <v>1.1826131624999998</v>
      </c>
      <c r="W71" s="57">
        <f>'POSF Inventory'!AL63*$D$5*'POSF Zone Def'!$AQ60</f>
        <v>0</v>
      </c>
      <c r="X71" s="57">
        <f>'POSF Inventory'!AM63*$D$6*'POSF Zone Def'!$AQ60</f>
        <v>0</v>
      </c>
      <c r="Y71" s="57">
        <f>'POSF Inventory'!AN63*$D$5*'POSF Zone Def'!$AQ60</f>
        <v>0.87394124999999989</v>
      </c>
      <c r="Z71" s="81">
        <f>'POSF Inventory'!AO63*$D$6*'POSF Zone Def'!$AQ60</f>
        <v>0.87600974999999992</v>
      </c>
      <c r="AA71" s="530">
        <f>'POSF Inventory'!AV63*'POSF Emiss by Zone'!$D$5*'POSF Zone Def'!$M60</f>
        <v>0</v>
      </c>
      <c r="AB71" s="530">
        <f>'POSF Inventory'!AW63*'POSF Emiss by Zone'!$D$6*'POSF Zone Def'!$M60</f>
        <v>0</v>
      </c>
      <c r="AC71" s="530">
        <f>'POSF Inventory'!AX63*'POSF Emiss by Zone'!$D$5*'POSF Zone Def'!$M60</f>
        <v>0</v>
      </c>
      <c r="AD71" s="530">
        <f>'POSF Inventory'!AY63*'POSF Emiss by Zone'!$D$6*'POSF Zone Def'!$M60</f>
        <v>0</v>
      </c>
      <c r="AE71" s="530">
        <f>'POSF Inventory'!AZ63*'POSF Emiss by Zone'!$D$5*'POSF Zone Def'!$M60</f>
        <v>0</v>
      </c>
      <c r="AF71" s="531">
        <f>'POSF Inventory'!BA63*'POSF Emiss by Zone'!$D$6*'POSF Zone Def'!$M60</f>
        <v>0</v>
      </c>
      <c r="AG71" s="57">
        <f>'POSF Inventory'!AV63*'POSF Emiss by Zone'!$D$5*'POSF Zone Def'!$N60</f>
        <v>0</v>
      </c>
      <c r="AH71" s="57">
        <f>'POSF Inventory'!AW63*'POSF Emiss by Zone'!$D$6*'POSF Zone Def'!$N60</f>
        <v>0</v>
      </c>
      <c r="AI71" s="57">
        <f>'POSF Inventory'!AX63*'POSF Emiss by Zone'!$D$5*'POSF Zone Def'!$N60</f>
        <v>0</v>
      </c>
      <c r="AJ71" s="57">
        <f>'POSF Inventory'!AY63*'POSF Emiss by Zone'!$D$6*'POSF Zone Def'!$N60</f>
        <v>0</v>
      </c>
      <c r="AK71" s="57">
        <f>'POSF Inventory'!AZ63*'POSF Emiss by Zone'!$D$5*'POSF Zone Def'!$N60</f>
        <v>0</v>
      </c>
      <c r="AL71" s="127">
        <f>'POSF Inventory'!BA63*'POSF Emiss by Zone'!$D$6*'POSF Zone Def'!$N60</f>
        <v>0</v>
      </c>
      <c r="AM71" s="530">
        <f>'POSF Inventory'!BB63*'POSF Emiss by Zone'!$D$5*'POSF Zone Def'!$AP60</f>
        <v>0</v>
      </c>
      <c r="AN71" s="530">
        <f>'POSF Inventory'!BC63*'POSF Emiss by Zone'!$D$6*'POSF Zone Def'!$AP60</f>
        <v>0</v>
      </c>
      <c r="AO71" s="530">
        <f>'POSF Inventory'!BD63*'POSF Emiss by Zone'!$D$5*'POSF Zone Def'!$AP60</f>
        <v>0.33709162500000001</v>
      </c>
      <c r="AP71" s="530">
        <f>'POSF Inventory'!BE63*'POSF Emiss by Zone'!$D$6*'POSF Zone Def'!$AP60</f>
        <v>0.33788947499999999</v>
      </c>
      <c r="AQ71" s="530">
        <f>'POSF Inventory'!BF63*'POSF Emiss by Zone'!$D$5*'POSF Zone Def'!$AP60</f>
        <v>0.62424374999999999</v>
      </c>
      <c r="AR71" s="531">
        <f>'POSF Inventory'!BG63*'POSF Emiss by Zone'!$D$6*'POSF Zone Def'!$AP60</f>
        <v>0.62572125000000001</v>
      </c>
      <c r="AS71" s="57">
        <f>'POSF Inventory'!BB63*'POSF Emiss by Zone'!$D$5*'POSF Zone Def'!$AQ60</f>
        <v>0</v>
      </c>
      <c r="AT71" s="57">
        <f>'POSF Inventory'!BC63*'POSF Emiss by Zone'!$D$6*'POSF Zone Def'!$AQ60</f>
        <v>0</v>
      </c>
      <c r="AU71" s="57">
        <f>'POSF Inventory'!BD63*'POSF Emiss by Zone'!$D$5*'POSF Zone Def'!$AQ60</f>
        <v>0.78654712500000001</v>
      </c>
      <c r="AV71" s="57">
        <f>'POSF Inventory'!BE63*'POSF Emiss by Zone'!$D$6*'POSF Zone Def'!$AQ60</f>
        <v>0.78840877499999995</v>
      </c>
      <c r="AW71" s="57">
        <f>'POSF Inventory'!BF63*'POSF Emiss by Zone'!$D$5*'POSF Zone Def'!$AQ60</f>
        <v>1.45656875</v>
      </c>
      <c r="AX71" s="81">
        <f>'POSF Inventory'!BG63*'POSF Emiss by Zone'!$D$6*'POSF Zone Def'!$AQ60</f>
        <v>1.46001625</v>
      </c>
      <c r="AY71" s="530">
        <f>'POSF Inventory'!EA63*'POSF Emiss by Zone'!$D$5*'POSF Zone Def'!$Y60</f>
        <v>0</v>
      </c>
      <c r="AZ71" s="530">
        <f>'POSF Inventory'!EB63*'POSF Emiss by Zone'!$D$6*'POSF Zone Def'!$Y60</f>
        <v>0</v>
      </c>
      <c r="BA71" s="530">
        <f>'POSF Inventory'!EC63*'POSF Emiss by Zone'!$D$5*'POSF Zone Def'!$Y60</f>
        <v>0.88673824687499991</v>
      </c>
      <c r="BB71" s="530">
        <f>'POSF Inventory'!ED63*'POSF Emiss by Zone'!$D$6*'POSF Zone Def'!$Y60</f>
        <v>8.8883703562500003</v>
      </c>
      <c r="BC71" s="530">
        <f>'POSF Inventory'!EE63*'POSF Emiss by Zone'!$D$5*'POSF Zone Def'!$Y60</f>
        <v>0</v>
      </c>
      <c r="BD71" s="531">
        <f>'POSF Inventory'!EF63*'POSF Emiss by Zone'!$D$6*'POSF Zone Def'!$Y60</f>
        <v>0</v>
      </c>
      <c r="BE71" s="57">
        <f>'POSF Inventory'!EA63*'POSF Emiss by Zone'!$D$5*'POSF Zone Def'!$Z60</f>
        <v>0</v>
      </c>
      <c r="BF71" s="57">
        <f>'POSF Inventory'!EB63*'POSF Emiss by Zone'!$D$6*'POSF Zone Def'!$Z60</f>
        <v>0</v>
      </c>
      <c r="BG71" s="57">
        <f>'POSF Inventory'!EC63*'POSF Emiss by Zone'!$D$5*'POSF Zone Def'!$Z60</f>
        <v>9.8526471874999993E-2</v>
      </c>
      <c r="BH71" s="57">
        <f>'POSF Inventory'!ED63*'POSF Emiss by Zone'!$D$6*'POSF Zone Def'!$Z60</f>
        <v>0.98759670624999996</v>
      </c>
      <c r="BI71" s="57">
        <f>'POSF Inventory'!EE63*'POSF Emiss by Zone'!$D$5*'POSF Zone Def'!$Z60</f>
        <v>0</v>
      </c>
      <c r="BJ71" s="127">
        <f>'POSF Inventory'!EF63*'POSF Emiss by Zone'!$D$6*'POSF Zone Def'!$Z60</f>
        <v>0</v>
      </c>
      <c r="BK71" s="57">
        <f>'POSF Inventory'!$EA63*'POSF Emiss by Zone'!$D$5*'POSF Zone Def'!$AC60</f>
        <v>0</v>
      </c>
      <c r="BL71" s="57">
        <f>'POSF Inventory'!$EB63*'POSF Emiss by Zone'!$D$6*'POSF Zone Def'!$AC60</f>
        <v>0</v>
      </c>
      <c r="BM71" s="57">
        <f>'POSF Inventory'!$EC63*'POSF Emiss by Zone'!$D$5*'POSF Zone Def'!$AC60</f>
        <v>0</v>
      </c>
      <c r="BN71" s="57">
        <f>'POSF Inventory'!$ED63*'POSF Emiss by Zone'!$D$6*'POSF Zone Def'!$AC60</f>
        <v>0</v>
      </c>
      <c r="BO71" s="57">
        <f>'POSF Inventory'!$EE63*'POSF Emiss by Zone'!$D$5*'POSF Zone Def'!$AC60</f>
        <v>0</v>
      </c>
      <c r="BP71" s="127">
        <f>'POSF Inventory'!$EF63*'POSF Emiss by Zone'!$D$6*'POSF Zone Def'!$AC60</f>
        <v>0</v>
      </c>
      <c r="BQ71" s="530">
        <f>'POSF Inventory'!EG63*'POSF Emiss by Zone'!$D$5*'POSF Zone Def'!$BB60</f>
        <v>0</v>
      </c>
      <c r="BR71" s="530">
        <f>'POSF Inventory'!EH63*'POSF Emiss by Zone'!$D$6*'POSF Zone Def'!$BB60</f>
        <v>0</v>
      </c>
      <c r="BS71" s="530">
        <f>'POSF Inventory'!EI63*'POSF Emiss by Zone'!$D$5*'POSF Zone Def'!$BB60</f>
        <v>0.6423244790624999</v>
      </c>
      <c r="BT71" s="530">
        <f>'POSF Inventory'!EJ63*'POSF Emiss by Zone'!$D$6*'POSF Zone Def'!$BB60</f>
        <v>6.4384477368749984</v>
      </c>
      <c r="BU71" s="530">
        <f>'POSF Inventory'!EK63*'POSF Emiss by Zone'!$D$5*'POSF Zone Def'!$BB60</f>
        <v>0</v>
      </c>
      <c r="BV71" s="531">
        <f>'POSF Inventory'!EL63*'POSF Emiss by Zone'!$D$6*'POSF Zone Def'!$BB60</f>
        <v>0</v>
      </c>
      <c r="BW71" s="57">
        <f>'POSF Inventory'!EG63*'POSF Emiss by Zone'!$D$5*'POSF Zone Def'!$BC60</f>
        <v>0</v>
      </c>
      <c r="BX71" s="57">
        <f>'POSF Inventory'!EH63*'POSF Emiss by Zone'!$D$6*'POSF Zone Def'!$BC60</f>
        <v>0</v>
      </c>
      <c r="BY71" s="57">
        <f>'POSF Inventory'!EI63*'POSF Emiss by Zone'!$D$5*'POSF Zone Def'!$BC60</f>
        <v>1.4987571178124999</v>
      </c>
      <c r="BZ71" s="57">
        <f>'POSF Inventory'!EJ63*'POSF Emiss by Zone'!$D$6*'POSF Zone Def'!$BC60</f>
        <v>15.023044719374996</v>
      </c>
      <c r="CA71" s="57">
        <f>'POSF Inventory'!EK63*'POSF Emiss by Zone'!$D$5*'POSF Zone Def'!$BC60</f>
        <v>0</v>
      </c>
      <c r="CB71" s="81">
        <f>'POSF Inventory'!EL63*'POSF Emiss by Zone'!$D$6*'POSF Zone Def'!$BC60</f>
        <v>0</v>
      </c>
      <c r="CC71" s="530">
        <f>'POSF Inventory'!GC63*'POSF Emiss by Zone'!$D$7*'POSF Zone Def'!$M60</f>
        <v>0</v>
      </c>
      <c r="CD71" s="530">
        <f>'POSF Inventory'!GD63*'POSF Emiss by Zone'!$D$9*'POSF Zone Def'!$M60</f>
        <v>0</v>
      </c>
      <c r="CE71" s="530">
        <f>'POSF Inventory'!GE63*'POSF Emiss by Zone'!$D$7*'POSF Zone Def'!$M60</f>
        <v>0</v>
      </c>
      <c r="CF71" s="530">
        <f>'POSF Inventory'!GF63*'POSF Emiss by Zone'!$D$9*'POSF Zone Def'!$M60</f>
        <v>0</v>
      </c>
      <c r="CG71" s="530">
        <f>'POSF Inventory'!GG63*'POSF Emiss by Zone'!$D$7*'POSF Zone Def'!$M60</f>
        <v>0</v>
      </c>
      <c r="CH71" s="531">
        <f>'POSF Inventory'!GH63*'POSF Emiss by Zone'!$D$9*'POSF Zone Def'!$M60</f>
        <v>0</v>
      </c>
      <c r="CI71" s="57">
        <f>'POSF Inventory'!GC63*'POSF Emiss by Zone'!$D$7*'POSF Zone Def'!$N60</f>
        <v>0</v>
      </c>
      <c r="CJ71" s="57">
        <f>'POSF Inventory'!GD63*'POSF Emiss by Zone'!$D$9*'POSF Zone Def'!$N60</f>
        <v>0</v>
      </c>
      <c r="CK71" s="57">
        <f>'POSF Inventory'!GE63*'POSF Emiss by Zone'!$D$7*'POSF Zone Def'!$N60</f>
        <v>0</v>
      </c>
      <c r="CL71" s="57">
        <f>'POSF Inventory'!GF63*'POSF Emiss by Zone'!$D$9*'POSF Zone Def'!$N60</f>
        <v>0</v>
      </c>
      <c r="CM71" s="57">
        <f>'POSF Inventory'!GG63*'POSF Emiss by Zone'!$D$7*'POSF Zone Def'!$N60</f>
        <v>0</v>
      </c>
      <c r="CN71" s="127">
        <f>'POSF Inventory'!GH63*'POSF Emiss by Zone'!$D$9*'POSF Zone Def'!$N60</f>
        <v>0</v>
      </c>
      <c r="CO71" s="530">
        <f>'POSF Inventory'!GI63*'POSF Emiss by Zone'!$D$7*'POSF Zone Def'!$AP60</f>
        <v>2.3640000000000002E-3</v>
      </c>
      <c r="CP71" s="530">
        <f>'POSF Inventory'!GJ63*'POSF Emiss by Zone'!$D$9*'POSF Zone Def'!$AP60</f>
        <v>2.9224950000000006E-3</v>
      </c>
      <c r="CQ71" s="530">
        <f>'POSF Inventory'!GK63*'POSF Emiss by Zone'!$D$7*'POSF Zone Def'!$AP60</f>
        <v>3.5459999999999998E-2</v>
      </c>
      <c r="CR71" s="530">
        <f>'POSF Inventory'!GL63*'POSF Emiss by Zone'!$D$9*'POSF Zone Def'!$AP60</f>
        <v>4.3837424999999999E-2</v>
      </c>
      <c r="CS71" s="530">
        <f>'POSF Inventory'!GM63*'POSF Emiss by Zone'!$D$7*'POSF Zone Def'!$AP60</f>
        <v>0.13002</v>
      </c>
      <c r="CT71" s="531">
        <f>'POSF Inventory'!GN63*'POSF Emiss by Zone'!$D$9*'POSF Zone Def'!$AP60</f>
        <v>0.64294889999999993</v>
      </c>
      <c r="CU71" s="57">
        <f>'POSF Inventory'!GI63*'POSF Emiss by Zone'!$D$7*'POSF Zone Def'!$AQ60</f>
        <v>5.5160000000000009E-3</v>
      </c>
      <c r="CV71" s="57">
        <f>'POSF Inventory'!GJ63*'POSF Emiss by Zone'!$D$9*'POSF Zone Def'!$AQ60</f>
        <v>6.8191550000000012E-3</v>
      </c>
      <c r="CW71" s="57">
        <f>'POSF Inventory'!GK63*'POSF Emiss by Zone'!$D$7*'POSF Zone Def'!$AQ60</f>
        <v>8.2739999999999994E-2</v>
      </c>
      <c r="CX71" s="57">
        <f>'POSF Inventory'!GL63*'POSF Emiss by Zone'!$D$9*'POSF Zone Def'!$AQ60</f>
        <v>0.102287325</v>
      </c>
      <c r="CY71" s="57">
        <f>'POSF Inventory'!GM63*'POSF Emiss by Zone'!$D$7*'POSF Zone Def'!$AQ60</f>
        <v>0.30337999999999998</v>
      </c>
      <c r="CZ71" s="81">
        <f>'POSF Inventory'!GN63*'POSF Emiss by Zone'!$D$9*'POSF Zone Def'!$AQ60</f>
        <v>1.5002140999999998</v>
      </c>
      <c r="DA71" s="530">
        <f>SUM('POSF Inventory'!GQ63,'POSF Inventory'!GS63)*'POSF Emiss by Zone'!$D$7*'POSF Zone Def'!$Y60</f>
        <v>2.8361883249270015E-2</v>
      </c>
      <c r="DB71" s="530">
        <f>SUM('POSF Inventory'!GR63,'POSF Inventory'!GT63)*'POSF Emiss by Zone'!$D$9*'POSF Zone Def'!$Y60</f>
        <v>17.531189083455025</v>
      </c>
      <c r="DC71" s="530"/>
      <c r="DD71" s="530"/>
      <c r="DE71" s="530">
        <f>'POSF Inventory'!GU63*'POSF Emiss by Zone'!$D$7*'POSF Zone Def'!$Y60</f>
        <v>0</v>
      </c>
      <c r="DF71" s="531">
        <f>'POSF Inventory'!GV63*'POSF Emiss by Zone'!$D$9*'POSF Zone Def'!$Y60</f>
        <v>0</v>
      </c>
      <c r="DG71" s="57">
        <f>SUM('POSF Inventory'!GQ63,'POSF Inventory'!GS63)*'POSF Emiss by Zone'!$D$7*'POSF Zone Def'!$Z60</f>
        <v>3.1513203610300019E-3</v>
      </c>
      <c r="DH71" s="57">
        <f>SUM('POSF Inventory'!GR63,'POSF Inventory'!GT63)*'POSF Emiss by Zone'!$D$9*'POSF Zone Def'!$Z60</f>
        <v>1.9479098981616696</v>
      </c>
      <c r="DI71" s="57"/>
      <c r="DJ71" s="57"/>
      <c r="DK71" s="57">
        <f>'POSF Inventory'!GU63*'POSF Emiss by Zone'!$D$7*'POSF Zone Def'!$Z60</f>
        <v>0</v>
      </c>
      <c r="DL71" s="127">
        <f>'POSF Inventory'!GV63*'POSF Emiss by Zone'!$D$9*'POSF Zone Def'!$Z60</f>
        <v>0</v>
      </c>
      <c r="DM71" s="57">
        <f>SUM('POSF Inventory'!$GQ63,'POSF Inventory'!$GS63)*'POSF Emiss by Zone'!$D$7*'POSF Zone Def'!$AC60</f>
        <v>0</v>
      </c>
      <c r="DN71" s="57">
        <f>SUM('POSF Inventory'!$GR63,'POSF Inventory'!$GT63)*'POSF Emiss by Zone'!$D$9*'POSF Zone Def'!$AC60</f>
        <v>0</v>
      </c>
      <c r="DO71" s="57"/>
      <c r="DP71" s="57"/>
      <c r="DQ71" s="57">
        <f>'POSF Inventory'!$GU63*'POSF Emiss by Zone'!$D$7*'POSF Zone Def'!$AC60</f>
        <v>0</v>
      </c>
      <c r="DR71" s="127">
        <f>'POSF Inventory'!$GV63*'POSF Emiss by Zone'!$D$9*'POSF Zone Def'!$AC60</f>
        <v>0</v>
      </c>
      <c r="DS71" s="530">
        <f>SUM('POSF Inventory'!GW63,'POSF Inventory'!GY63)*$D$7*'POSF Zone Def'!$BB60</f>
        <v>0.49588150536093756</v>
      </c>
      <c r="DT71" s="530">
        <f>SUM('POSF Inventory'!GX63,'POSF Inventory'!GZ63)*$D$9*'POSF Zone Def'!$BB60</f>
        <v>7.1933025044179688</v>
      </c>
      <c r="DU71" s="530"/>
      <c r="DV71" s="530"/>
      <c r="DW71" s="530">
        <f>'POSF Inventory'!HA63*'POSF Emiss by Zone'!$D$7*'POSF Zone Def'!$BB60</f>
        <v>0</v>
      </c>
      <c r="DX71" s="531">
        <f>'POSF Inventory'!HB63*'POSF Emiss by Zone'!$D$9*'POSF Zone Def'!$BB60</f>
        <v>0</v>
      </c>
      <c r="DY71" s="57">
        <f>SUM('POSF Inventory'!GW63,'POSF Inventory'!GY63)*$D$7*'POSF Zone Def'!$BC60</f>
        <v>1.1570568458421877</v>
      </c>
      <c r="DZ71" s="57">
        <f>SUM('POSF Inventory'!GX63,'POSF Inventory'!GZ63)*$D$9*'POSF Zone Def'!$BC60</f>
        <v>16.784372510308593</v>
      </c>
      <c r="EA71" s="57"/>
      <c r="EB71" s="57"/>
      <c r="EC71" s="57">
        <f>'POSF Inventory'!HA63*'POSF Emiss by Zone'!$D$7*'POSF Zone Def'!$BC60</f>
        <v>0</v>
      </c>
      <c r="ED71" s="81">
        <f>'POSF Inventory'!HB63*'POSF Emiss by Zone'!$D$9*'POSF Zone Def'!$BC60</f>
        <v>0</v>
      </c>
      <c r="EE71" s="236">
        <f>'POSF Inventory'!$CF63*'POSF Emiss by Zone'!$D$7*'POSF Zone Def'!$CE60</f>
        <v>0</v>
      </c>
      <c r="EF71" s="236">
        <f>'POSF Inventory'!$CG63*'POSF Emiss by Zone'!$D$9*'POSF Zone Def'!$CE60</f>
        <v>0</v>
      </c>
      <c r="EG71" s="236">
        <f>'POSF Inventory'!$CH63*'POSF Emiss by Zone'!$D$7*'POSF Zone Def'!$CE60</f>
        <v>0</v>
      </c>
      <c r="EH71" s="236">
        <f>'POSF Inventory'!$CI63*'POSF Emiss by Zone'!$D$9*'POSF Zone Def'!$CE60</f>
        <v>0</v>
      </c>
      <c r="EI71" s="236">
        <f>'POSF Inventory'!$CJ63*'POSF Emiss by Zone'!$D$7*'POSF Zone Def'!$CE60</f>
        <v>0</v>
      </c>
      <c r="EJ71" s="581">
        <f>'POSF Inventory'!$CK63*'POSF Emiss by Zone'!$D$9*'POSF Zone Def'!$CE60</f>
        <v>0</v>
      </c>
      <c r="EK71" s="236">
        <f>'POSF Inventory'!$CF63*'POSF Emiss by Zone'!$D$7*'POSF Zone Def'!$CF60</f>
        <v>0</v>
      </c>
      <c r="EL71" s="236">
        <f>'POSF Inventory'!$CG63*'POSF Emiss by Zone'!$D$9*'POSF Zone Def'!$CF60</f>
        <v>0</v>
      </c>
      <c r="EM71" s="236">
        <f>'POSF Inventory'!$CH63*'POSF Emiss by Zone'!$D$7*'POSF Zone Def'!$CF60</f>
        <v>0</v>
      </c>
      <c r="EN71" s="236">
        <f>'POSF Inventory'!$CI63*'POSF Emiss by Zone'!$D$9*'POSF Zone Def'!$CF60</f>
        <v>0</v>
      </c>
      <c r="EO71" s="236">
        <f>'POSF Inventory'!$CJ63*'POSF Emiss by Zone'!$D$7*'POSF Zone Def'!$CF60</f>
        <v>0</v>
      </c>
      <c r="EP71" s="581">
        <f>'POSF Inventory'!$CK63*'POSF Emiss by Zone'!$D$9*'POSF Zone Def'!$CF60</f>
        <v>0</v>
      </c>
      <c r="EQ71" s="236">
        <f>'POSF Inventory'!$CF63*'POSF Emiss by Zone'!$D$7*'POSF Zone Def'!$CG60</f>
        <v>9.5342012564555268E-5</v>
      </c>
      <c r="ER71" s="236">
        <f>'POSF Inventory'!$CG63*'POSF Emiss by Zone'!$D$9*'POSF Zone Def'!$CG60</f>
        <v>1.1786656303293145E-4</v>
      </c>
      <c r="ES71" s="236">
        <f>'POSF Inventory'!$CH63*'POSF Emiss by Zone'!$D$7*'POSF Zone Def'!$CG60</f>
        <v>0</v>
      </c>
      <c r="ET71" s="236">
        <f>'POSF Inventory'!$CI63*'POSF Emiss by Zone'!$D$9*'POSF Zone Def'!$CG60</f>
        <v>0</v>
      </c>
      <c r="EU71" s="236">
        <f>'POSF Inventory'!$CJ63*'POSF Emiss by Zone'!$D$7*'POSF Zone Def'!$CG60</f>
        <v>8.5807811308099733E-4</v>
      </c>
      <c r="EV71" s="581">
        <f>'POSF Inventory'!$CK63*'POSF Emiss by Zone'!$D$9*'POSF Zone Def'!$CG60</f>
        <v>1.0607990672963829E-3</v>
      </c>
      <c r="EW71" s="236">
        <f>'POSF Inventory'!$CF63*'POSF Emiss by Zone'!$D$7*'POSF Zone Def'!$CH60</f>
        <v>1.2538009913272532</v>
      </c>
      <c r="EX71" s="236">
        <f>'POSF Inventory'!$CG63*'POSF Emiss by Zone'!$D$9*'POSF Zone Def'!$CH60</f>
        <v>1.5500114755283168</v>
      </c>
      <c r="EY71" s="236">
        <f>'POSF Inventory'!$CH63*'POSF Emiss by Zone'!$D$7*'POSF Zone Def'!$CH60</f>
        <v>0</v>
      </c>
      <c r="EZ71" s="236">
        <f>'POSF Inventory'!$CI63*'POSF Emiss by Zone'!$D$9*'POSF Zone Def'!$CH60</f>
        <v>0</v>
      </c>
      <c r="FA71" s="236">
        <f>'POSF Inventory'!$CJ63*'POSF Emiss by Zone'!$D$7*'POSF Zone Def'!$CH60</f>
        <v>11.284208921945279</v>
      </c>
      <c r="FB71" s="581">
        <f>'POSF Inventory'!$CK63*'POSF Emiss by Zone'!$D$9*'POSF Zone Def'!$CH60</f>
        <v>13.950103279754851</v>
      </c>
      <c r="FC71" s="236">
        <f>'POSF Inventory'!$CF63*'POSF Emiss by Zone'!$D$7*'POSF Zone Def'!$CI60</f>
        <v>1.1461036666601825</v>
      </c>
      <c r="FD71" s="236">
        <f>'POSF Inventory'!$CG63*'POSF Emiss by Zone'!$D$9*'POSF Zone Def'!$CI60</f>
        <v>1.4168706579086507</v>
      </c>
      <c r="FE71" s="236">
        <f>'POSF Inventory'!$CH63*'POSF Emiss by Zone'!$D$7*'POSF Zone Def'!$CI60</f>
        <v>0</v>
      </c>
      <c r="FF71" s="236">
        <f>'POSF Inventory'!$CI63*'POSF Emiss by Zone'!$D$9*'POSF Zone Def'!$CI60</f>
        <v>0</v>
      </c>
      <c r="FG71" s="236">
        <f>'POSF Inventory'!$CJ63*'POSF Emiss by Zone'!$D$7*'POSF Zone Def'!$CI60</f>
        <v>10.314932999941641</v>
      </c>
      <c r="FH71" s="578">
        <f>'POSF Inventory'!$CK63*'POSF Emiss by Zone'!$D$9*'POSF Zone Def'!$CI60</f>
        <v>12.751835921177856</v>
      </c>
      <c r="FI71" s="595"/>
      <c r="FJ71" s="595"/>
      <c r="FM71" s="592">
        <v>54</v>
      </c>
      <c r="FN71" s="592">
        <f t="shared" si="98"/>
        <v>2008</v>
      </c>
      <c r="FO71" s="587">
        <v>51</v>
      </c>
      <c r="FP71" s="85">
        <f t="shared" si="20"/>
        <v>0.5056374374999999</v>
      </c>
      <c r="FQ71" s="530">
        <f t="shared" si="21"/>
        <v>0.50683421249999994</v>
      </c>
      <c r="FR71" s="530">
        <f t="shared" si="22"/>
        <v>0</v>
      </c>
      <c r="FS71" s="530">
        <f t="shared" si="23"/>
        <v>0</v>
      </c>
      <c r="FT71" s="530">
        <f t="shared" si="24"/>
        <v>0.37454624999999997</v>
      </c>
      <c r="FU71" s="531">
        <f t="shared" si="25"/>
        <v>0.37543274999999998</v>
      </c>
      <c r="FV71" s="57">
        <f t="shared" si="26"/>
        <v>1.1798206874999997</v>
      </c>
      <c r="FW71" s="57">
        <f t="shared" si="27"/>
        <v>1.1826131624999998</v>
      </c>
      <c r="FX71" s="57">
        <f t="shared" si="28"/>
        <v>0</v>
      </c>
      <c r="FY71" s="57">
        <f t="shared" si="29"/>
        <v>0</v>
      </c>
      <c r="FZ71" s="57">
        <f t="shared" si="30"/>
        <v>0.87394124999999989</v>
      </c>
      <c r="GA71" s="81">
        <f t="shared" si="31"/>
        <v>0.87600974999999992</v>
      </c>
      <c r="GB71" s="530">
        <f t="shared" si="32"/>
        <v>0</v>
      </c>
      <c r="GC71" s="530">
        <f t="shared" si="33"/>
        <v>0</v>
      </c>
      <c r="GD71" s="530">
        <f t="shared" si="34"/>
        <v>1.8587194730453185</v>
      </c>
      <c r="GE71" s="530">
        <f t="shared" si="35"/>
        <v>15.602298374626493</v>
      </c>
      <c r="GF71" s="530">
        <f t="shared" si="36"/>
        <v>0.62175672310756969</v>
      </c>
      <c r="GG71" s="531">
        <f t="shared" si="37"/>
        <v>0.62322833665338651</v>
      </c>
      <c r="GH71" s="57">
        <f t="shared" si="38"/>
        <v>0</v>
      </c>
      <c r="GI71" s="57">
        <f t="shared" si="39"/>
        <v>0</v>
      </c>
      <c r="GJ71" s="57">
        <f t="shared" si="40"/>
        <v>2.3743333811628484</v>
      </c>
      <c r="GK71" s="57">
        <f t="shared" si="41"/>
        <v>16.732121713769917</v>
      </c>
      <c r="GL71" s="57">
        <f t="shared" si="42"/>
        <v>1.450765687250996</v>
      </c>
      <c r="GM71" s="57">
        <f t="shared" si="43"/>
        <v>1.4541994521912351</v>
      </c>
      <c r="GN71" s="57">
        <f t="shared" si="44"/>
        <v>0</v>
      </c>
      <c r="GO71" s="57">
        <f t="shared" si="45"/>
        <v>0</v>
      </c>
      <c r="GP71" s="57">
        <f t="shared" si="46"/>
        <v>0</v>
      </c>
      <c r="GQ71" s="57">
        <f t="shared" si="47"/>
        <v>0</v>
      </c>
      <c r="GR71" s="57">
        <f t="shared" si="48"/>
        <v>0</v>
      </c>
      <c r="GS71" s="81">
        <f t="shared" si="49"/>
        <v>0</v>
      </c>
      <c r="GT71" s="530">
        <f t="shared" si="50"/>
        <v>1.090979450507203E-2</v>
      </c>
      <c r="GU71" s="530">
        <f t="shared" si="51"/>
        <v>0.5122810885694804</v>
      </c>
      <c r="GV71" s="530">
        <f t="shared" si="52"/>
        <v>7.3462948207171316E-4</v>
      </c>
      <c r="GW71" s="530">
        <f t="shared" si="53"/>
        <v>9.0818569721115528E-4</v>
      </c>
      <c r="GX71" s="530">
        <f t="shared" si="54"/>
        <v>2.6936414342629482E-3</v>
      </c>
      <c r="GY71" s="531">
        <f t="shared" si="55"/>
        <v>1.3320056892430278E-2</v>
      </c>
      <c r="GZ71" s="57">
        <f t="shared" si="56"/>
        <v>2.4150460813771837E-2</v>
      </c>
      <c r="HA71" s="57">
        <f t="shared" si="57"/>
        <v>0.38822043079699348</v>
      </c>
      <c r="HB71" s="57">
        <f t="shared" si="58"/>
        <v>1.7141354581673306E-3</v>
      </c>
      <c r="HC71" s="57">
        <f t="shared" si="59"/>
        <v>2.1190999601593623E-3</v>
      </c>
      <c r="HD71" s="57">
        <f t="shared" si="60"/>
        <v>6.285163346613545E-3</v>
      </c>
      <c r="HE71" s="127">
        <f t="shared" si="61"/>
        <v>3.108013274900398E-2</v>
      </c>
      <c r="HF71" s="236">
        <f t="shared" si="62"/>
        <v>9.8760650465276365E-5</v>
      </c>
      <c r="HG71" s="236">
        <f t="shared" si="63"/>
        <v>1.220928541376979E-4</v>
      </c>
      <c r="HH71" s="236">
        <f t="shared" si="64"/>
        <v>0</v>
      </c>
      <c r="HI71" s="236">
        <f t="shared" si="65"/>
        <v>0</v>
      </c>
      <c r="HJ71" s="236">
        <f t="shared" si="66"/>
        <v>8.8884585418748721E-4</v>
      </c>
      <c r="HK71" s="581">
        <f t="shared" si="67"/>
        <v>1.0988356872392812E-3</v>
      </c>
      <c r="HL71" s="236">
        <f t="shared" si="68"/>
        <v>1.2987579989844056</v>
      </c>
      <c r="HM71" s="236">
        <f t="shared" si="69"/>
        <v>1.6055895762444714</v>
      </c>
      <c r="HN71" s="236">
        <f t="shared" si="70"/>
        <v>0</v>
      </c>
      <c r="HO71" s="236">
        <f t="shared" si="71"/>
        <v>0</v>
      </c>
      <c r="HP71" s="236">
        <f t="shared" si="72"/>
        <v>11.688821990859651</v>
      </c>
      <c r="HQ71" s="581">
        <f t="shared" si="73"/>
        <v>14.450306186200244</v>
      </c>
      <c r="HR71" s="236">
        <f t="shared" si="74"/>
        <v>1.1871990172575595</v>
      </c>
      <c r="HS71" s="236">
        <f t="shared" si="75"/>
        <v>1.4676747850846581</v>
      </c>
      <c r="HT71" s="236">
        <f t="shared" si="76"/>
        <v>0</v>
      </c>
      <c r="HU71" s="236">
        <f t="shared" si="77"/>
        <v>0</v>
      </c>
      <c r="HV71" s="236">
        <f t="shared" si="78"/>
        <v>10.684791155318035</v>
      </c>
      <c r="HW71" s="578">
        <f t="shared" si="79"/>
        <v>13.209073065761922</v>
      </c>
      <c r="HX71" s="236">
        <f t="shared" si="80"/>
        <v>0.57981361719648183</v>
      </c>
      <c r="HY71" s="236">
        <f t="shared" si="81"/>
        <v>27.225769545588765</v>
      </c>
      <c r="HZ71" s="236">
        <f t="shared" si="82"/>
        <v>3.904273147410358E-2</v>
      </c>
      <c r="IA71" s="236">
        <f t="shared" si="83"/>
        <v>4.826657678486055E-2</v>
      </c>
      <c r="IB71" s="236">
        <f t="shared" si="84"/>
        <v>0.14315668207171311</v>
      </c>
      <c r="IC71" s="236">
        <f t="shared" si="85"/>
        <v>0.7079097928446213</v>
      </c>
      <c r="ID71" s="236">
        <f t="shared" si="86"/>
        <v>1.283504105864228</v>
      </c>
      <c r="IE71" s="236">
        <f t="shared" si="87"/>
        <v>20.632422741357136</v>
      </c>
      <c r="IF71" s="236">
        <f t="shared" si="88"/>
        <v>9.1099706772908351E-2</v>
      </c>
      <c r="IG71" s="236">
        <f t="shared" si="89"/>
        <v>0.11262201249800795</v>
      </c>
      <c r="IH71" s="236">
        <f t="shared" si="90"/>
        <v>0.33403225816733062</v>
      </c>
      <c r="II71" s="236">
        <f t="shared" si="91"/>
        <v>1.6517895166374499</v>
      </c>
      <c r="IJ71" s="236">
        <f t="shared" si="92"/>
        <v>0</v>
      </c>
      <c r="IK71" s="236">
        <f t="shared" si="93"/>
        <v>0</v>
      </c>
      <c r="IL71" s="236">
        <f t="shared" si="94"/>
        <v>0</v>
      </c>
      <c r="IM71" s="236">
        <f t="shared" si="95"/>
        <v>0</v>
      </c>
      <c r="IN71" s="236">
        <f t="shared" si="96"/>
        <v>0</v>
      </c>
      <c r="IO71" s="236">
        <f t="shared" si="97"/>
        <v>0</v>
      </c>
    </row>
    <row r="72" spans="1:249" ht="18" x14ac:dyDescent="0.25">
      <c r="A72" s="9">
        <v>2009</v>
      </c>
      <c r="B72" s="564"/>
      <c r="C72" s="530">
        <f>'POSF Inventory'!AD64*$D$5*'POSF Zone Def'!$M61</f>
        <v>0</v>
      </c>
      <c r="D72" s="530">
        <f>'POSF Inventory'!AE64*$D$6*'POSF Zone Def'!$M61</f>
        <v>0</v>
      </c>
      <c r="E72" s="530">
        <f>'POSF Inventory'!AF64*$D$5*'POSF Zone Def'!$M61</f>
        <v>0</v>
      </c>
      <c r="F72" s="530">
        <f>'POSF Inventory'!AG64*$D$6*'POSF Zone Def'!$M61</f>
        <v>0</v>
      </c>
      <c r="G72" s="530">
        <f>'POSF Inventory'!AH64*$D$5*'POSF Zone Def'!$M61</f>
        <v>0</v>
      </c>
      <c r="H72" s="531">
        <f>'POSF Inventory'!AI64*$D$6*'POSF Zone Def'!$M61</f>
        <v>0</v>
      </c>
      <c r="I72" s="57">
        <f>'POSF Inventory'!AD64*$D$5*'POSF Zone Def'!$N61</f>
        <v>0</v>
      </c>
      <c r="J72" s="57">
        <f>'POSF Inventory'!AE64*$D$6*'POSF Zone Def'!$N61</f>
        <v>0</v>
      </c>
      <c r="K72" s="57">
        <f>'POSF Inventory'!AF64*$D$5*'POSF Zone Def'!$N61</f>
        <v>0</v>
      </c>
      <c r="L72" s="57">
        <f>'POSF Inventory'!AG64*$D$6*'POSF Zone Def'!$N61</f>
        <v>0</v>
      </c>
      <c r="M72" s="57">
        <f>'POSF Inventory'!AH64*$D$5*'POSF Zone Def'!$N61</f>
        <v>0</v>
      </c>
      <c r="N72" s="127">
        <f>'POSF Inventory'!AI64*$D$6*'POSF Zone Def'!$N61</f>
        <v>0</v>
      </c>
      <c r="O72" s="530">
        <f>'POSF Inventory'!AJ64*$D$5*'POSF Zone Def'!$AP61</f>
        <v>0.26293146749999996</v>
      </c>
      <c r="P72" s="530">
        <f>'POSF Inventory'!AK64*$D$6*'POSF Zone Def'!$AP61</f>
        <v>0.26355379049999994</v>
      </c>
      <c r="Q72" s="530">
        <f>'POSF Inventory'!AL64*$D$5*'POSF Zone Def'!$AP61</f>
        <v>0</v>
      </c>
      <c r="R72" s="530">
        <f>'POSF Inventory'!AM64*$D$6*'POSF Zone Def'!$AP61</f>
        <v>0</v>
      </c>
      <c r="S72" s="530">
        <f>'POSF Inventory'!AN64*$D$5*'POSF Zone Def'!$AP61</f>
        <v>0.19476405000000002</v>
      </c>
      <c r="T72" s="531">
        <f>'POSF Inventory'!AO64*$D$6*'POSF Zone Def'!$AP61</f>
        <v>0.19522503000000002</v>
      </c>
      <c r="U72" s="57">
        <f>'POSF Inventory'!AJ64*$D$5*'POSF Zone Def'!$AQ61</f>
        <v>0.61350675749999994</v>
      </c>
      <c r="V72" s="57">
        <f>'POSF Inventory'!AK64*$D$6*'POSF Zone Def'!$AQ61</f>
        <v>0.61495884449999982</v>
      </c>
      <c r="W72" s="57">
        <f>'POSF Inventory'!AL64*$D$5*'POSF Zone Def'!$AQ61</f>
        <v>0</v>
      </c>
      <c r="X72" s="57">
        <f>'POSF Inventory'!AM64*$D$6*'POSF Zone Def'!$AQ61</f>
        <v>0</v>
      </c>
      <c r="Y72" s="57">
        <f>'POSF Inventory'!AN64*$D$5*'POSF Zone Def'!$AQ61</f>
        <v>0.45444945000000003</v>
      </c>
      <c r="Z72" s="81">
        <f>'POSF Inventory'!AO64*$D$6*'POSF Zone Def'!$AQ61</f>
        <v>0.45552507000000003</v>
      </c>
      <c r="AA72" s="530">
        <f>'POSF Inventory'!AV64*'POSF Emiss by Zone'!$D$5*'POSF Zone Def'!$M61</f>
        <v>0</v>
      </c>
      <c r="AB72" s="530">
        <f>'POSF Inventory'!AW64*'POSF Emiss by Zone'!$D$6*'POSF Zone Def'!$M61</f>
        <v>0</v>
      </c>
      <c r="AC72" s="530">
        <f>'POSF Inventory'!AX64*'POSF Emiss by Zone'!$D$5*'POSF Zone Def'!$M61</f>
        <v>0</v>
      </c>
      <c r="AD72" s="530">
        <f>'POSF Inventory'!AY64*'POSF Emiss by Zone'!$D$6*'POSF Zone Def'!$M61</f>
        <v>0</v>
      </c>
      <c r="AE72" s="530">
        <f>'POSF Inventory'!AZ64*'POSF Emiss by Zone'!$D$5*'POSF Zone Def'!$M61</f>
        <v>0</v>
      </c>
      <c r="AF72" s="531">
        <f>'POSF Inventory'!BA64*'POSF Emiss by Zone'!$D$6*'POSF Zone Def'!$M61</f>
        <v>0</v>
      </c>
      <c r="AG72" s="57">
        <f>'POSF Inventory'!AV64*'POSF Emiss by Zone'!$D$5*'POSF Zone Def'!$N61</f>
        <v>0</v>
      </c>
      <c r="AH72" s="57">
        <f>'POSF Inventory'!AW64*'POSF Emiss by Zone'!$D$6*'POSF Zone Def'!$N61</f>
        <v>0</v>
      </c>
      <c r="AI72" s="57">
        <f>'POSF Inventory'!AX64*'POSF Emiss by Zone'!$D$5*'POSF Zone Def'!$N61</f>
        <v>0</v>
      </c>
      <c r="AJ72" s="57">
        <f>'POSF Inventory'!AY64*'POSF Emiss by Zone'!$D$6*'POSF Zone Def'!$N61</f>
        <v>0</v>
      </c>
      <c r="AK72" s="57">
        <f>'POSF Inventory'!AZ64*'POSF Emiss by Zone'!$D$5*'POSF Zone Def'!$N61</f>
        <v>0</v>
      </c>
      <c r="AL72" s="127">
        <f>'POSF Inventory'!BA64*'POSF Emiss by Zone'!$D$6*'POSF Zone Def'!$N61</f>
        <v>0</v>
      </c>
      <c r="AM72" s="530">
        <f>'POSF Inventory'!BB64*'POSF Emiss by Zone'!$D$5*'POSF Zone Def'!$AP61</f>
        <v>0</v>
      </c>
      <c r="AN72" s="530">
        <f>'POSF Inventory'!BC64*'POSF Emiss by Zone'!$D$6*'POSF Zone Def'!$AP61</f>
        <v>0</v>
      </c>
      <c r="AO72" s="530">
        <f>'POSF Inventory'!BD64*'POSF Emiss by Zone'!$D$5*'POSF Zone Def'!$AP61</f>
        <v>0.17528764500000002</v>
      </c>
      <c r="AP72" s="530">
        <f>'POSF Inventory'!BE64*'POSF Emiss by Zone'!$D$6*'POSF Zone Def'!$AP61</f>
        <v>0.17570252700000002</v>
      </c>
      <c r="AQ72" s="530">
        <f>'POSF Inventory'!BF64*'POSF Emiss by Zone'!$D$5*'POSF Zone Def'!$AP61</f>
        <v>0.32460675</v>
      </c>
      <c r="AR72" s="531">
        <f>'POSF Inventory'!BG64*'POSF Emiss by Zone'!$D$6*'POSF Zone Def'!$AP61</f>
        <v>0.32537505000000005</v>
      </c>
      <c r="AS72" s="57">
        <f>'POSF Inventory'!BB64*'POSF Emiss by Zone'!$D$5*'POSF Zone Def'!$AQ61</f>
        <v>0</v>
      </c>
      <c r="AT72" s="57">
        <f>'POSF Inventory'!BC64*'POSF Emiss by Zone'!$D$6*'POSF Zone Def'!$AQ61</f>
        <v>0</v>
      </c>
      <c r="AU72" s="57">
        <f>'POSF Inventory'!BD64*'POSF Emiss by Zone'!$D$5*'POSF Zone Def'!$AQ61</f>
        <v>0.40900450500000007</v>
      </c>
      <c r="AV72" s="57">
        <f>'POSF Inventory'!BE64*'POSF Emiss by Zone'!$D$6*'POSF Zone Def'!$AQ61</f>
        <v>0.40997256300000001</v>
      </c>
      <c r="AW72" s="57">
        <f>'POSF Inventory'!BF64*'POSF Emiss by Zone'!$D$5*'POSF Zone Def'!$AQ61</f>
        <v>0.75741575000000005</v>
      </c>
      <c r="AX72" s="81">
        <f>'POSF Inventory'!BG64*'POSF Emiss by Zone'!$D$6*'POSF Zone Def'!$AQ61</f>
        <v>0.75920845000000003</v>
      </c>
      <c r="AY72" s="530">
        <f>'POSF Inventory'!EA64*'POSF Emiss by Zone'!$D$5*'POSF Zone Def'!$Y61</f>
        <v>0</v>
      </c>
      <c r="AZ72" s="530">
        <f>'POSF Inventory'!EB64*'POSF Emiss by Zone'!$D$6*'POSF Zone Def'!$Y61</f>
        <v>0</v>
      </c>
      <c r="BA72" s="530">
        <f>'POSF Inventory'!EC64*'POSF Emiss by Zone'!$D$5*'POSF Zone Def'!$Y61</f>
        <v>0</v>
      </c>
      <c r="BB72" s="530">
        <f>'POSF Inventory'!ED64*'POSF Emiss by Zone'!$D$6*'POSF Zone Def'!$Y61</f>
        <v>0</v>
      </c>
      <c r="BC72" s="530">
        <f>'POSF Inventory'!EE64*'POSF Emiss by Zone'!$D$5*'POSF Zone Def'!$Y61</f>
        <v>0</v>
      </c>
      <c r="BD72" s="531">
        <f>'POSF Inventory'!EF64*'POSF Emiss by Zone'!$D$6*'POSF Zone Def'!$Y61</f>
        <v>0</v>
      </c>
      <c r="BE72" s="57">
        <f>'POSF Inventory'!EA64*'POSF Emiss by Zone'!$D$5*'POSF Zone Def'!$Z61</f>
        <v>0</v>
      </c>
      <c r="BF72" s="57">
        <f>'POSF Inventory'!EB64*'POSF Emiss by Zone'!$D$6*'POSF Zone Def'!$Z61</f>
        <v>0</v>
      </c>
      <c r="BG72" s="57">
        <f>'POSF Inventory'!EC64*'POSF Emiss by Zone'!$D$5*'POSF Zone Def'!$Z61</f>
        <v>0</v>
      </c>
      <c r="BH72" s="57">
        <f>'POSF Inventory'!ED64*'POSF Emiss by Zone'!$D$6*'POSF Zone Def'!$Z61</f>
        <v>0</v>
      </c>
      <c r="BI72" s="57">
        <f>'POSF Inventory'!EE64*'POSF Emiss by Zone'!$D$5*'POSF Zone Def'!$Z61</f>
        <v>0</v>
      </c>
      <c r="BJ72" s="127">
        <f>'POSF Inventory'!EF64*'POSF Emiss by Zone'!$D$6*'POSF Zone Def'!$Z61</f>
        <v>0</v>
      </c>
      <c r="BK72" s="57">
        <f>'POSF Inventory'!$EA64*'POSF Emiss by Zone'!$D$5*'POSF Zone Def'!$AC61</f>
        <v>0</v>
      </c>
      <c r="BL72" s="57">
        <f>'POSF Inventory'!$EB64*'POSF Emiss by Zone'!$D$6*'POSF Zone Def'!$AC61</f>
        <v>0</v>
      </c>
      <c r="BM72" s="57">
        <f>'POSF Inventory'!$EC64*'POSF Emiss by Zone'!$D$5*'POSF Zone Def'!$AC61</f>
        <v>0</v>
      </c>
      <c r="BN72" s="57">
        <f>'POSF Inventory'!$ED64*'POSF Emiss by Zone'!$D$6*'POSF Zone Def'!$AC61</f>
        <v>0</v>
      </c>
      <c r="BO72" s="57">
        <f>'POSF Inventory'!$EE64*'POSF Emiss by Zone'!$D$5*'POSF Zone Def'!$AC61</f>
        <v>0</v>
      </c>
      <c r="BP72" s="127">
        <f>'POSF Inventory'!$EF64*'POSF Emiss by Zone'!$D$6*'POSF Zone Def'!$AC61</f>
        <v>0</v>
      </c>
      <c r="BQ72" s="530">
        <f>'POSF Inventory'!EG64*'POSF Emiss by Zone'!$D$5*'POSF Zone Def'!$BB61</f>
        <v>0</v>
      </c>
      <c r="BR72" s="530">
        <f>'POSF Inventory'!EH64*'POSF Emiss by Zone'!$D$6*'POSF Zone Def'!$BB61</f>
        <v>0</v>
      </c>
      <c r="BS72" s="530">
        <f>'POSF Inventory'!EI64*'POSF Emiss by Zone'!$D$5*'POSF Zone Def'!$BB61</f>
        <v>0.69446576915625002</v>
      </c>
      <c r="BT72" s="530">
        <f>'POSF Inventory'!EJ64*'POSF Emiss by Zone'!$D$6*'POSF Zone Def'!$BB61</f>
        <v>6.9610947511874999</v>
      </c>
      <c r="BU72" s="530">
        <f>'POSF Inventory'!EK64*'POSF Emiss by Zone'!$D$5*'POSF Zone Def'!$BB61</f>
        <v>0</v>
      </c>
      <c r="BV72" s="531">
        <f>'POSF Inventory'!EL64*'POSF Emiss by Zone'!$D$6*'POSF Zone Def'!$BB61</f>
        <v>0</v>
      </c>
      <c r="BW72" s="57">
        <f>'POSF Inventory'!EG64*'POSF Emiss by Zone'!$D$5*'POSF Zone Def'!$BC61</f>
        <v>0</v>
      </c>
      <c r="BX72" s="57">
        <f>'POSF Inventory'!EH64*'POSF Emiss by Zone'!$D$6*'POSF Zone Def'!$BC61</f>
        <v>0</v>
      </c>
      <c r="BY72" s="57">
        <f>'POSF Inventory'!EI64*'POSF Emiss by Zone'!$D$5*'POSF Zone Def'!$BC61</f>
        <v>1.62042012803125</v>
      </c>
      <c r="BZ72" s="57">
        <f>'POSF Inventory'!EJ64*'POSF Emiss by Zone'!$D$6*'POSF Zone Def'!$BC61</f>
        <v>16.2425544194375</v>
      </c>
      <c r="CA72" s="57">
        <f>'POSF Inventory'!EK64*'POSF Emiss by Zone'!$D$5*'POSF Zone Def'!$BC61</f>
        <v>0</v>
      </c>
      <c r="CB72" s="81">
        <f>'POSF Inventory'!EL64*'POSF Emiss by Zone'!$D$6*'POSF Zone Def'!$BC61</f>
        <v>0</v>
      </c>
      <c r="CC72" s="530">
        <f>'POSF Inventory'!GC64*'POSF Emiss by Zone'!$D$7*'POSF Zone Def'!$M61</f>
        <v>0</v>
      </c>
      <c r="CD72" s="530">
        <f>'POSF Inventory'!GD64*'POSF Emiss by Zone'!$D$9*'POSF Zone Def'!$M61</f>
        <v>0</v>
      </c>
      <c r="CE72" s="530">
        <f>'POSF Inventory'!GE64*'POSF Emiss by Zone'!$D$7*'POSF Zone Def'!$M61</f>
        <v>0</v>
      </c>
      <c r="CF72" s="530">
        <f>'POSF Inventory'!GF64*'POSF Emiss by Zone'!$D$9*'POSF Zone Def'!$M61</f>
        <v>0</v>
      </c>
      <c r="CG72" s="530">
        <f>'POSF Inventory'!GG64*'POSF Emiss by Zone'!$D$7*'POSF Zone Def'!$M61</f>
        <v>0</v>
      </c>
      <c r="CH72" s="531">
        <f>'POSF Inventory'!GH64*'POSF Emiss by Zone'!$D$9*'POSF Zone Def'!$M61</f>
        <v>0</v>
      </c>
      <c r="CI72" s="57">
        <f>'POSF Inventory'!GC64*'POSF Emiss by Zone'!$D$7*'POSF Zone Def'!$N61</f>
        <v>0</v>
      </c>
      <c r="CJ72" s="57">
        <f>'POSF Inventory'!GD64*'POSF Emiss by Zone'!$D$9*'POSF Zone Def'!$N61</f>
        <v>0</v>
      </c>
      <c r="CK72" s="57">
        <f>'POSF Inventory'!GE64*'POSF Emiss by Zone'!$D$7*'POSF Zone Def'!$N61</f>
        <v>0</v>
      </c>
      <c r="CL72" s="57">
        <f>'POSF Inventory'!GF64*'POSF Emiss by Zone'!$D$9*'POSF Zone Def'!$N61</f>
        <v>0</v>
      </c>
      <c r="CM72" s="57">
        <f>'POSF Inventory'!GG64*'POSF Emiss by Zone'!$D$7*'POSF Zone Def'!$N61</f>
        <v>0</v>
      </c>
      <c r="CN72" s="127">
        <f>'POSF Inventory'!GH64*'POSF Emiss by Zone'!$D$9*'POSF Zone Def'!$N61</f>
        <v>0</v>
      </c>
      <c r="CO72" s="530">
        <f>'POSF Inventory'!GI64*'POSF Emiss by Zone'!$D$7*'POSF Zone Def'!$AP61</f>
        <v>1.2292800000000001E-3</v>
      </c>
      <c r="CP72" s="530">
        <f>'POSF Inventory'!GJ64*'POSF Emiss by Zone'!$D$9*'POSF Zone Def'!$AP61</f>
        <v>1.5196974000000003E-3</v>
      </c>
      <c r="CQ72" s="530">
        <f>'POSF Inventory'!GK64*'POSF Emiss by Zone'!$D$7*'POSF Zone Def'!$AP61</f>
        <v>1.8439199999999999E-2</v>
      </c>
      <c r="CR72" s="530">
        <f>'POSF Inventory'!GL64*'POSF Emiss by Zone'!$D$9*'POSF Zone Def'!$AP61</f>
        <v>2.2795461000000003E-2</v>
      </c>
      <c r="CS72" s="530">
        <f>'POSF Inventory'!GM64*'POSF Emiss by Zone'!$D$7*'POSF Zone Def'!$AP61</f>
        <v>6.7610400000000001E-2</v>
      </c>
      <c r="CT72" s="531">
        <f>'POSF Inventory'!GN64*'POSF Emiss by Zone'!$D$9*'POSF Zone Def'!$AP61</f>
        <v>0.33433342800000004</v>
      </c>
      <c r="CU72" s="57">
        <f>'POSF Inventory'!GI64*'POSF Emiss by Zone'!$D$7*'POSF Zone Def'!$AQ61</f>
        <v>2.8683200000000002E-3</v>
      </c>
      <c r="CV72" s="57">
        <f>'POSF Inventory'!GJ64*'POSF Emiss by Zone'!$D$9*'POSF Zone Def'!$AQ61</f>
        <v>3.545960600000001E-3</v>
      </c>
      <c r="CW72" s="57">
        <f>'POSF Inventory'!GK64*'POSF Emiss by Zone'!$D$7*'POSF Zone Def'!$AQ61</f>
        <v>4.3024799999999995E-2</v>
      </c>
      <c r="CX72" s="57">
        <f>'POSF Inventory'!GL64*'POSF Emiss by Zone'!$D$9*'POSF Zone Def'!$AQ61</f>
        <v>5.3189409000000007E-2</v>
      </c>
      <c r="CY72" s="57">
        <f>'POSF Inventory'!GM64*'POSF Emiss by Zone'!$D$7*'POSF Zone Def'!$AQ61</f>
        <v>0.1577576</v>
      </c>
      <c r="CZ72" s="81">
        <f>'POSF Inventory'!GN64*'POSF Emiss by Zone'!$D$9*'POSF Zone Def'!$AQ61</f>
        <v>0.78011133200000016</v>
      </c>
      <c r="DA72" s="530">
        <f>SUM('POSF Inventory'!GQ64,'POSF Inventory'!GS64)*'POSF Emiss by Zone'!$D$7*'POSF Zone Def'!$Y61</f>
        <v>1.5692922936360005E-2</v>
      </c>
      <c r="DB72" s="530">
        <f>SUM('POSF Inventory'!GR64,'POSF Inventory'!GT64)*'POSF Emiss by Zone'!$D$9*'POSF Zone Def'!$Y61</f>
        <v>9.700187990037529</v>
      </c>
      <c r="DC72" s="530"/>
      <c r="DD72" s="530"/>
      <c r="DE72" s="530">
        <f>'POSF Inventory'!GU64*'POSF Emiss by Zone'!$D$7*'POSF Zone Def'!$Y61</f>
        <v>0</v>
      </c>
      <c r="DF72" s="531">
        <f>'POSF Inventory'!GV64*'POSF Emiss by Zone'!$D$9*'POSF Zone Def'!$Y61</f>
        <v>0</v>
      </c>
      <c r="DG72" s="57">
        <f>SUM('POSF Inventory'!GQ64,'POSF Inventory'!GS64)*'POSF Emiss by Zone'!$D$7*'POSF Zone Def'!$Z61</f>
        <v>1.7436581040400007E-3</v>
      </c>
      <c r="DH72" s="57">
        <f>SUM('POSF Inventory'!GR64,'POSF Inventory'!GT64)*'POSF Emiss by Zone'!$D$9*'POSF Zone Def'!$Z61</f>
        <v>1.0777986655597254</v>
      </c>
      <c r="DI72" s="57"/>
      <c r="DJ72" s="57"/>
      <c r="DK72" s="57">
        <f>'POSF Inventory'!GU64*'POSF Emiss by Zone'!$D$7*'POSF Zone Def'!$Z61</f>
        <v>0</v>
      </c>
      <c r="DL72" s="127">
        <f>'POSF Inventory'!GV64*'POSF Emiss by Zone'!$D$9*'POSF Zone Def'!$Z61</f>
        <v>0</v>
      </c>
      <c r="DM72" s="57">
        <f>SUM('POSF Inventory'!$GQ64,'POSF Inventory'!$GS64)*'POSF Emiss by Zone'!$D$7*'POSF Zone Def'!$AC61</f>
        <v>0</v>
      </c>
      <c r="DN72" s="57">
        <f>SUM('POSF Inventory'!$GR64,'POSF Inventory'!$GT64)*'POSF Emiss by Zone'!$D$9*'POSF Zone Def'!$AC61</f>
        <v>0</v>
      </c>
      <c r="DO72" s="57"/>
      <c r="DP72" s="57"/>
      <c r="DQ72" s="57">
        <f>'POSF Inventory'!$GU64*'POSF Emiss by Zone'!$D$7*'POSF Zone Def'!$AC61</f>
        <v>0</v>
      </c>
      <c r="DR72" s="127">
        <f>'POSF Inventory'!$GV64*'POSF Emiss by Zone'!$D$9*'POSF Zone Def'!$AC61</f>
        <v>0</v>
      </c>
      <c r="DS72" s="530">
        <f>SUM('POSF Inventory'!GW64,'POSF Inventory'!GY64)*$D$7*'POSF Zone Def'!$BB61</f>
        <v>0.38272274593350003</v>
      </c>
      <c r="DT72" s="530">
        <f>SUM('POSF Inventory'!GX64,'POSF Inventory'!GZ64)*$D$9*'POSF Zone Def'!$BB61</f>
        <v>5.6708474480568745</v>
      </c>
      <c r="DU72" s="530"/>
      <c r="DV72" s="530"/>
      <c r="DW72" s="530">
        <f>'POSF Inventory'!HA64*'POSF Emiss by Zone'!$D$7*'POSF Zone Def'!$BB61</f>
        <v>0</v>
      </c>
      <c r="DX72" s="531">
        <f>'POSF Inventory'!HB64*'POSF Emiss by Zone'!$D$9*'POSF Zone Def'!$BB61</f>
        <v>0</v>
      </c>
      <c r="DY72" s="57">
        <f>SUM('POSF Inventory'!GW64,'POSF Inventory'!GY64)*$D$7*'POSF Zone Def'!$BC61</f>
        <v>0.89301974051150013</v>
      </c>
      <c r="DZ72" s="57">
        <f>SUM('POSF Inventory'!GX64,'POSF Inventory'!GZ64)*$D$9*'POSF Zone Def'!$BC61</f>
        <v>13.231977378799375</v>
      </c>
      <c r="EA72" s="57"/>
      <c r="EB72" s="57"/>
      <c r="EC72" s="57">
        <f>'POSF Inventory'!HA64*'POSF Emiss by Zone'!$D$7*'POSF Zone Def'!$BC61</f>
        <v>0</v>
      </c>
      <c r="ED72" s="81">
        <f>'POSF Inventory'!HB64*'POSF Emiss by Zone'!$D$9*'POSF Zone Def'!$BC61</f>
        <v>0</v>
      </c>
      <c r="EE72" s="236">
        <f>'POSF Inventory'!$CF64*'POSF Emiss by Zone'!$D$7*'POSF Zone Def'!$CE61</f>
        <v>0</v>
      </c>
      <c r="EF72" s="236">
        <f>'POSF Inventory'!$CG64*'POSF Emiss by Zone'!$D$9*'POSF Zone Def'!$CE61</f>
        <v>0</v>
      </c>
      <c r="EG72" s="236">
        <f>'POSF Inventory'!$CH64*'POSF Emiss by Zone'!$D$7*'POSF Zone Def'!$CE61</f>
        <v>0</v>
      </c>
      <c r="EH72" s="236">
        <f>'POSF Inventory'!$CI64*'POSF Emiss by Zone'!$D$9*'POSF Zone Def'!$CE61</f>
        <v>0</v>
      </c>
      <c r="EI72" s="236">
        <f>'POSF Inventory'!$CJ64*'POSF Emiss by Zone'!$D$7*'POSF Zone Def'!$CE61</f>
        <v>0</v>
      </c>
      <c r="EJ72" s="581">
        <f>'POSF Inventory'!$CK64*'POSF Emiss by Zone'!$D$9*'POSF Zone Def'!$CE61</f>
        <v>0</v>
      </c>
      <c r="EK72" s="236">
        <f>'POSF Inventory'!$CF64*'POSF Emiss by Zone'!$D$7*'POSF Zone Def'!$CF61</f>
        <v>0</v>
      </c>
      <c r="EL72" s="236">
        <f>'POSF Inventory'!$CG64*'POSF Emiss by Zone'!$D$9*'POSF Zone Def'!$CF61</f>
        <v>0</v>
      </c>
      <c r="EM72" s="236">
        <f>'POSF Inventory'!$CH64*'POSF Emiss by Zone'!$D$7*'POSF Zone Def'!$CF61</f>
        <v>0</v>
      </c>
      <c r="EN72" s="236">
        <f>'POSF Inventory'!$CI64*'POSF Emiss by Zone'!$D$9*'POSF Zone Def'!$CF61</f>
        <v>0</v>
      </c>
      <c r="EO72" s="236">
        <f>'POSF Inventory'!$CJ64*'POSF Emiss by Zone'!$D$7*'POSF Zone Def'!$CF61</f>
        <v>0</v>
      </c>
      <c r="EP72" s="581">
        <f>'POSF Inventory'!$CK64*'POSF Emiss by Zone'!$D$9*'POSF Zone Def'!$CF61</f>
        <v>0</v>
      </c>
      <c r="EQ72" s="236">
        <f>'POSF Inventory'!$CF64*'POSF Emiss by Zone'!$D$7*'POSF Zone Def'!$CG61</f>
        <v>7.4034661789919905E-5</v>
      </c>
      <c r="ER72" s="236">
        <f>'POSF Inventory'!$CG64*'POSF Emiss by Zone'!$D$9*'POSF Zone Def'!$CG61</f>
        <v>9.1525350637788487E-5</v>
      </c>
      <c r="ES72" s="236">
        <f>'POSF Inventory'!$CH64*'POSF Emiss by Zone'!$D$7*'POSF Zone Def'!$CG61</f>
        <v>0</v>
      </c>
      <c r="ET72" s="236">
        <f>'POSF Inventory'!$CI64*'POSF Emiss by Zone'!$D$9*'POSF Zone Def'!$CG61</f>
        <v>0</v>
      </c>
      <c r="EU72" s="236">
        <f>'POSF Inventory'!$CJ64*'POSF Emiss by Zone'!$D$7*'POSF Zone Def'!$CG61</f>
        <v>6.6631195610927915E-4</v>
      </c>
      <c r="EV72" s="581">
        <f>'POSF Inventory'!$CK64*'POSF Emiss by Zone'!$D$9*'POSF Zone Def'!$CG61</f>
        <v>8.237281557400963E-4</v>
      </c>
      <c r="EW72" s="236">
        <f>'POSF Inventory'!$CF64*'POSF Emiss by Zone'!$D$7*'POSF Zone Def'!$CH61</f>
        <v>0.9735973664488009</v>
      </c>
      <c r="EX72" s="236">
        <f>'POSF Inventory'!$CG64*'POSF Emiss by Zone'!$D$9*'POSF Zone Def'!$CH61</f>
        <v>1.2036097442723301</v>
      </c>
      <c r="EY72" s="236">
        <f>'POSF Inventory'!$CH64*'POSF Emiss by Zone'!$D$7*'POSF Zone Def'!$CH61</f>
        <v>0</v>
      </c>
      <c r="EZ72" s="236">
        <f>'POSF Inventory'!$CI64*'POSF Emiss by Zone'!$D$9*'POSF Zone Def'!$CH61</f>
        <v>0</v>
      </c>
      <c r="FA72" s="236">
        <f>'POSF Inventory'!$CJ64*'POSF Emiss by Zone'!$D$7*'POSF Zone Def'!$CH61</f>
        <v>8.7623762980392073</v>
      </c>
      <c r="FB72" s="581">
        <f>'POSF Inventory'!$CK64*'POSF Emiss by Zone'!$D$9*'POSF Zone Def'!$CH61</f>
        <v>10.83248769845097</v>
      </c>
      <c r="FC72" s="236">
        <f>'POSF Inventory'!$CF64*'POSF Emiss by Zone'!$D$7*'POSF Zone Def'!$CI61</f>
        <v>0.88996859888940938</v>
      </c>
      <c r="FD72" s="236">
        <f>'POSF Inventory'!$CG64*'POSF Emiss by Zone'!$D$9*'POSF Zone Def'!$CI61</f>
        <v>1.1002236803770324</v>
      </c>
      <c r="FE72" s="236">
        <f>'POSF Inventory'!$CH64*'POSF Emiss by Zone'!$D$7*'POSF Zone Def'!$CI61</f>
        <v>0</v>
      </c>
      <c r="FF72" s="236">
        <f>'POSF Inventory'!$CI64*'POSF Emiss by Zone'!$D$9*'POSF Zone Def'!$CI61</f>
        <v>0</v>
      </c>
      <c r="FG72" s="236">
        <f>'POSF Inventory'!$CJ64*'POSF Emiss by Zone'!$D$7*'POSF Zone Def'!$CI61</f>
        <v>8.0097173900046847</v>
      </c>
      <c r="FH72" s="578">
        <f>'POSF Inventory'!$CK64*'POSF Emiss by Zone'!$D$9*'POSF Zone Def'!$CI61</f>
        <v>9.9020131233932904</v>
      </c>
      <c r="FI72" s="595"/>
      <c r="FJ72" s="595"/>
      <c r="FM72" s="592">
        <v>55</v>
      </c>
      <c r="FN72" s="592">
        <f t="shared" si="98"/>
        <v>2009</v>
      </c>
      <c r="FO72" s="587">
        <v>52</v>
      </c>
      <c r="FP72" s="85">
        <f t="shared" si="20"/>
        <v>0.26293146749999996</v>
      </c>
      <c r="FQ72" s="530">
        <f t="shared" si="21"/>
        <v>0.26355379049999994</v>
      </c>
      <c r="FR72" s="530">
        <f t="shared" si="22"/>
        <v>0</v>
      </c>
      <c r="FS72" s="530">
        <f t="shared" si="23"/>
        <v>0</v>
      </c>
      <c r="FT72" s="530">
        <f t="shared" si="24"/>
        <v>0.19476405000000002</v>
      </c>
      <c r="FU72" s="531">
        <f t="shared" si="25"/>
        <v>0.19522503000000002</v>
      </c>
      <c r="FV72" s="57">
        <f t="shared" si="26"/>
        <v>0.61350675749999994</v>
      </c>
      <c r="FW72" s="57">
        <f t="shared" si="27"/>
        <v>0.61495884449999982</v>
      </c>
      <c r="FX72" s="57">
        <f t="shared" si="28"/>
        <v>0</v>
      </c>
      <c r="FY72" s="57">
        <f t="shared" si="29"/>
        <v>0</v>
      </c>
      <c r="FZ72" s="57">
        <f t="shared" si="30"/>
        <v>0.45444945000000003</v>
      </c>
      <c r="GA72" s="81">
        <f t="shared" si="31"/>
        <v>0.45552507000000003</v>
      </c>
      <c r="GB72" s="530">
        <f t="shared" si="32"/>
        <v>0</v>
      </c>
      <c r="GC72" s="530">
        <f t="shared" si="33"/>
        <v>0</v>
      </c>
      <c r="GD72" s="530">
        <f t="shared" si="34"/>
        <v>0.8662882611118029</v>
      </c>
      <c r="GE72" s="530">
        <f t="shared" si="35"/>
        <v>7.1083638228959165</v>
      </c>
      <c r="GF72" s="530">
        <f t="shared" si="36"/>
        <v>0.32331349601593623</v>
      </c>
      <c r="GG72" s="531">
        <f t="shared" si="37"/>
        <v>0.32407873505976104</v>
      </c>
      <c r="GH72" s="57">
        <f t="shared" si="38"/>
        <v>0</v>
      </c>
      <c r="GI72" s="57">
        <f t="shared" si="39"/>
        <v>0</v>
      </c>
      <c r="GJ72" s="57">
        <f t="shared" si="40"/>
        <v>2.0213392759275401</v>
      </c>
      <c r="GK72" s="57">
        <f t="shared" si="41"/>
        <v>16.586182253423804</v>
      </c>
      <c r="GL72" s="57">
        <f t="shared" si="42"/>
        <v>0.75439815737051796</v>
      </c>
      <c r="GM72" s="57">
        <f t="shared" si="43"/>
        <v>0.75618371513944227</v>
      </c>
      <c r="GN72" s="57">
        <f t="shared" si="44"/>
        <v>0</v>
      </c>
      <c r="GO72" s="57">
        <f t="shared" si="45"/>
        <v>0</v>
      </c>
      <c r="GP72" s="57">
        <f t="shared" si="46"/>
        <v>0</v>
      </c>
      <c r="GQ72" s="57">
        <f t="shared" si="47"/>
        <v>0</v>
      </c>
      <c r="GR72" s="57">
        <f t="shared" si="48"/>
        <v>0</v>
      </c>
      <c r="GS72" s="81">
        <f t="shared" si="49"/>
        <v>0</v>
      </c>
      <c r="GT72" s="530">
        <f t="shared" si="50"/>
        <v>8.279496948698296E-3</v>
      </c>
      <c r="GU72" s="530">
        <f t="shared" si="51"/>
        <v>0.3184752458349438</v>
      </c>
      <c r="GV72" s="530">
        <f t="shared" si="52"/>
        <v>3.820073306772908E-4</v>
      </c>
      <c r="GW72" s="530">
        <f t="shared" si="53"/>
        <v>4.7225656254980085E-4</v>
      </c>
      <c r="GX72" s="530">
        <f t="shared" si="54"/>
        <v>1.4006935458167331E-3</v>
      </c>
      <c r="GY72" s="531">
        <f t="shared" si="55"/>
        <v>6.9264295840637457E-3</v>
      </c>
      <c r="GZ72" s="57">
        <f t="shared" si="56"/>
        <v>1.8596354329883699E-2</v>
      </c>
      <c r="HA72" s="57">
        <f t="shared" si="57"/>
        <v>0.2965309738079176</v>
      </c>
      <c r="HB72" s="57">
        <f t="shared" si="58"/>
        <v>8.9135043824701177E-4</v>
      </c>
      <c r="HC72" s="57">
        <f t="shared" si="59"/>
        <v>1.1019319792828686E-3</v>
      </c>
      <c r="HD72" s="57">
        <f t="shared" si="60"/>
        <v>3.2682849402390439E-3</v>
      </c>
      <c r="HE72" s="127">
        <f t="shared" si="61"/>
        <v>1.6161669029482073E-2</v>
      </c>
      <c r="HF72" s="236">
        <f t="shared" si="62"/>
        <v>7.6689291097128184E-5</v>
      </c>
      <c r="HG72" s="236">
        <f t="shared" si="63"/>
        <v>9.4807136118824724E-5</v>
      </c>
      <c r="HH72" s="236">
        <f t="shared" si="64"/>
        <v>0</v>
      </c>
      <c r="HI72" s="236">
        <f t="shared" si="65"/>
        <v>0</v>
      </c>
      <c r="HJ72" s="236">
        <f t="shared" si="66"/>
        <v>6.9020361987415365E-4</v>
      </c>
      <c r="HK72" s="581">
        <f t="shared" si="67"/>
        <v>8.5326422506942247E-4</v>
      </c>
      <c r="HL72" s="236">
        <f t="shared" si="68"/>
        <v>1.0085072321780408</v>
      </c>
      <c r="HM72" s="236">
        <f t="shared" si="69"/>
        <v>1.2467670657801029</v>
      </c>
      <c r="HN72" s="236">
        <f t="shared" si="70"/>
        <v>0</v>
      </c>
      <c r="HO72" s="236">
        <f t="shared" si="71"/>
        <v>0</v>
      </c>
      <c r="HP72" s="236">
        <f t="shared" si="72"/>
        <v>9.0765650896023651</v>
      </c>
      <c r="HQ72" s="581">
        <f t="shared" si="73"/>
        <v>11.220903592020925</v>
      </c>
      <c r="HR72" s="236">
        <f t="shared" si="74"/>
        <v>0.92187982355078257</v>
      </c>
      <c r="HS72" s="236">
        <f t="shared" si="75"/>
        <v>1.1396739318646552</v>
      </c>
      <c r="HT72" s="236">
        <f t="shared" si="76"/>
        <v>0</v>
      </c>
      <c r="HU72" s="236">
        <f t="shared" si="77"/>
        <v>0</v>
      </c>
      <c r="HV72" s="236">
        <f t="shared" si="78"/>
        <v>8.2969184119570443</v>
      </c>
      <c r="HW72" s="578">
        <f t="shared" si="79"/>
        <v>10.257065386781894</v>
      </c>
      <c r="HX72" s="236">
        <f t="shared" si="80"/>
        <v>0.4400234186042809</v>
      </c>
      <c r="HY72" s="236">
        <f t="shared" si="81"/>
        <v>16.92573441133559</v>
      </c>
      <c r="HZ72" s="236">
        <f t="shared" si="82"/>
        <v>2.0302220366533862E-2</v>
      </c>
      <c r="IA72" s="236">
        <f t="shared" si="83"/>
        <v>2.5098619928127491E-2</v>
      </c>
      <c r="IB72" s="236">
        <f t="shared" si="84"/>
        <v>7.4441474677290828E-2</v>
      </c>
      <c r="IC72" s="236">
        <f t="shared" si="85"/>
        <v>0.36811309227920319</v>
      </c>
      <c r="ID72" s="236">
        <f t="shared" si="86"/>
        <v>0.9883247081935882</v>
      </c>
      <c r="IE72" s="236">
        <f t="shared" si="87"/>
        <v>15.759480754145404</v>
      </c>
      <c r="IF72" s="236">
        <f t="shared" si="88"/>
        <v>4.7371847521912334E-2</v>
      </c>
      <c r="IG72" s="236">
        <f t="shared" si="89"/>
        <v>5.8563446498964139E-2</v>
      </c>
      <c r="IH72" s="236">
        <f t="shared" si="90"/>
        <v>0.17369677424701194</v>
      </c>
      <c r="II72" s="236">
        <f t="shared" si="91"/>
        <v>0.85893054865147422</v>
      </c>
      <c r="IJ72" s="236">
        <f t="shared" si="92"/>
        <v>0</v>
      </c>
      <c r="IK72" s="236">
        <f t="shared" si="93"/>
        <v>0</v>
      </c>
      <c r="IL72" s="236">
        <f t="shared" si="94"/>
        <v>0</v>
      </c>
      <c r="IM72" s="236">
        <f t="shared" si="95"/>
        <v>0</v>
      </c>
      <c r="IN72" s="236">
        <f t="shared" si="96"/>
        <v>0</v>
      </c>
      <c r="IO72" s="236">
        <f t="shared" si="97"/>
        <v>0</v>
      </c>
    </row>
    <row r="73" spans="1:249" ht="18" x14ac:dyDescent="0.25">
      <c r="A73" s="9">
        <v>2010</v>
      </c>
      <c r="B73" s="564"/>
      <c r="C73" s="530">
        <f>'POSF Inventory'!AD65*$D$5*'POSF Zone Def'!$M62</f>
        <v>0</v>
      </c>
      <c r="D73" s="530">
        <f>'POSF Inventory'!AE65*$D$6*'POSF Zone Def'!$M62</f>
        <v>0</v>
      </c>
      <c r="E73" s="530">
        <f>'POSF Inventory'!AF65*$D$5*'POSF Zone Def'!$M62</f>
        <v>0</v>
      </c>
      <c r="F73" s="530">
        <f>'POSF Inventory'!AG65*$D$6*'POSF Zone Def'!$M62</f>
        <v>0</v>
      </c>
      <c r="G73" s="530">
        <f>'POSF Inventory'!AH65*$D$5*'POSF Zone Def'!$M62</f>
        <v>0</v>
      </c>
      <c r="H73" s="531">
        <f>'POSF Inventory'!AI65*$D$6*'POSF Zone Def'!$M62</f>
        <v>0</v>
      </c>
      <c r="I73" s="57">
        <f>'POSF Inventory'!AD65*$D$5*'POSF Zone Def'!$N62</f>
        <v>0</v>
      </c>
      <c r="J73" s="57">
        <f>'POSF Inventory'!AE65*$D$6*'POSF Zone Def'!$N62</f>
        <v>0</v>
      </c>
      <c r="K73" s="57">
        <f>'POSF Inventory'!AF65*$D$5*'POSF Zone Def'!$N62</f>
        <v>0</v>
      </c>
      <c r="L73" s="57">
        <f>'POSF Inventory'!AG65*$D$6*'POSF Zone Def'!$N62</f>
        <v>0</v>
      </c>
      <c r="M73" s="57">
        <f>'POSF Inventory'!AH65*$D$5*'POSF Zone Def'!$N62</f>
        <v>0</v>
      </c>
      <c r="N73" s="127">
        <f>'POSF Inventory'!AI65*$D$6*'POSF Zone Def'!$N62</f>
        <v>0</v>
      </c>
      <c r="O73" s="530">
        <f>'POSF Inventory'!AJ65*$D$5*'POSF Zone Def'!$AP62</f>
        <v>0.20225497499999998</v>
      </c>
      <c r="P73" s="530">
        <f>'POSF Inventory'!AK65*$D$6*'POSF Zone Def'!$AP62</f>
        <v>0.202733685</v>
      </c>
      <c r="Q73" s="530">
        <f>'POSF Inventory'!AL65*$D$5*'POSF Zone Def'!$AP62</f>
        <v>0</v>
      </c>
      <c r="R73" s="530">
        <f>'POSF Inventory'!AM65*$D$6*'POSF Zone Def'!$AP62</f>
        <v>0</v>
      </c>
      <c r="S73" s="530">
        <f>'POSF Inventory'!AN65*$D$5*'POSF Zone Def'!$AP62</f>
        <v>0.14981849999999999</v>
      </c>
      <c r="T73" s="531">
        <f>'POSF Inventory'!AO65*$D$6*'POSF Zone Def'!$AP62</f>
        <v>0.15017309999999998</v>
      </c>
      <c r="U73" s="57">
        <f>'POSF Inventory'!AJ65*$D$5*'POSF Zone Def'!$AQ62</f>
        <v>0.4719282749999999</v>
      </c>
      <c r="V73" s="57">
        <f>'POSF Inventory'!AK65*$D$6*'POSF Zone Def'!$AQ62</f>
        <v>0.47304526499999994</v>
      </c>
      <c r="W73" s="57">
        <f>'POSF Inventory'!AL65*$D$5*'POSF Zone Def'!$AQ62</f>
        <v>0</v>
      </c>
      <c r="X73" s="57">
        <f>'POSF Inventory'!AM65*$D$6*'POSF Zone Def'!$AQ62</f>
        <v>0</v>
      </c>
      <c r="Y73" s="57">
        <f>'POSF Inventory'!AN65*$D$5*'POSF Zone Def'!$AQ62</f>
        <v>0.34957649999999996</v>
      </c>
      <c r="Z73" s="81">
        <f>'POSF Inventory'!AO65*$D$6*'POSF Zone Def'!$AQ62</f>
        <v>0.35040389999999993</v>
      </c>
      <c r="AA73" s="530">
        <f>'POSF Inventory'!AV65*'POSF Emiss by Zone'!$D$5*'POSF Zone Def'!$M62</f>
        <v>0</v>
      </c>
      <c r="AB73" s="530">
        <f>'POSF Inventory'!AW65*'POSF Emiss by Zone'!$D$6*'POSF Zone Def'!$M62</f>
        <v>0</v>
      </c>
      <c r="AC73" s="530">
        <f>'POSF Inventory'!AX65*'POSF Emiss by Zone'!$D$5*'POSF Zone Def'!$M62</f>
        <v>0</v>
      </c>
      <c r="AD73" s="530">
        <f>'POSF Inventory'!AY65*'POSF Emiss by Zone'!$D$6*'POSF Zone Def'!$M62</f>
        <v>0</v>
      </c>
      <c r="AE73" s="530">
        <f>'POSF Inventory'!AZ65*'POSF Emiss by Zone'!$D$5*'POSF Zone Def'!$M62</f>
        <v>0</v>
      </c>
      <c r="AF73" s="531">
        <f>'POSF Inventory'!BA65*'POSF Emiss by Zone'!$D$6*'POSF Zone Def'!$M62</f>
        <v>0</v>
      </c>
      <c r="AG73" s="57">
        <f>'POSF Inventory'!AV65*'POSF Emiss by Zone'!$D$5*'POSF Zone Def'!$N62</f>
        <v>0</v>
      </c>
      <c r="AH73" s="57">
        <f>'POSF Inventory'!AW65*'POSF Emiss by Zone'!$D$6*'POSF Zone Def'!$N62</f>
        <v>0</v>
      </c>
      <c r="AI73" s="57">
        <f>'POSF Inventory'!AX65*'POSF Emiss by Zone'!$D$5*'POSF Zone Def'!$N62</f>
        <v>0</v>
      </c>
      <c r="AJ73" s="57">
        <f>'POSF Inventory'!AY65*'POSF Emiss by Zone'!$D$6*'POSF Zone Def'!$N62</f>
        <v>0</v>
      </c>
      <c r="AK73" s="57">
        <f>'POSF Inventory'!AZ65*'POSF Emiss by Zone'!$D$5*'POSF Zone Def'!$N62</f>
        <v>0</v>
      </c>
      <c r="AL73" s="127">
        <f>'POSF Inventory'!BA65*'POSF Emiss by Zone'!$D$6*'POSF Zone Def'!$N62</f>
        <v>0</v>
      </c>
      <c r="AM73" s="530">
        <f>'POSF Inventory'!BB65*'POSF Emiss by Zone'!$D$5*'POSF Zone Def'!$AP62</f>
        <v>0</v>
      </c>
      <c r="AN73" s="530">
        <f>'POSF Inventory'!BC65*'POSF Emiss by Zone'!$D$6*'POSF Zone Def'!$AP62</f>
        <v>0</v>
      </c>
      <c r="AO73" s="530">
        <f>'POSF Inventory'!BD65*'POSF Emiss by Zone'!$D$5*'POSF Zone Def'!$AP62</f>
        <v>0.13483665</v>
      </c>
      <c r="AP73" s="530">
        <f>'POSF Inventory'!BE65*'POSF Emiss by Zone'!$D$6*'POSF Zone Def'!$AP62</f>
        <v>0.13515579</v>
      </c>
      <c r="AQ73" s="530">
        <f>'POSF Inventory'!BF65*'POSF Emiss by Zone'!$D$5*'POSF Zone Def'!$AP62</f>
        <v>0.24969749999999999</v>
      </c>
      <c r="AR73" s="531">
        <f>'POSF Inventory'!BG65*'POSF Emiss by Zone'!$D$6*'POSF Zone Def'!$AP62</f>
        <v>0.25028849999999997</v>
      </c>
      <c r="AS73" s="57">
        <f>'POSF Inventory'!BB65*'POSF Emiss by Zone'!$D$5*'POSF Zone Def'!$AQ62</f>
        <v>0</v>
      </c>
      <c r="AT73" s="57">
        <f>'POSF Inventory'!BC65*'POSF Emiss by Zone'!$D$6*'POSF Zone Def'!$AQ62</f>
        <v>0</v>
      </c>
      <c r="AU73" s="57">
        <f>'POSF Inventory'!BD65*'POSF Emiss by Zone'!$D$5*'POSF Zone Def'!$AQ62</f>
        <v>0.31461885000000001</v>
      </c>
      <c r="AV73" s="57">
        <f>'POSF Inventory'!BE65*'POSF Emiss by Zone'!$D$6*'POSF Zone Def'!$AQ62</f>
        <v>0.31536351000000001</v>
      </c>
      <c r="AW73" s="57">
        <f>'POSF Inventory'!BF65*'POSF Emiss by Zone'!$D$5*'POSF Zone Def'!$AQ62</f>
        <v>0.58262749999999996</v>
      </c>
      <c r="AX73" s="81">
        <f>'POSF Inventory'!BG65*'POSF Emiss by Zone'!$D$6*'POSF Zone Def'!$AQ62</f>
        <v>0.58400649999999998</v>
      </c>
      <c r="AY73" s="530">
        <f>'POSF Inventory'!EA65*'POSF Emiss by Zone'!$D$5*'POSF Zone Def'!$Y62</f>
        <v>0</v>
      </c>
      <c r="AZ73" s="530">
        <f>'POSF Inventory'!EB65*'POSF Emiss by Zone'!$D$6*'POSF Zone Def'!$Y62</f>
        <v>0</v>
      </c>
      <c r="BA73" s="530">
        <f>'POSF Inventory'!EC65*'POSF Emiss by Zone'!$D$5*'POSF Zone Def'!$Y62</f>
        <v>0</v>
      </c>
      <c r="BB73" s="530">
        <f>'POSF Inventory'!ED65*'POSF Emiss by Zone'!$D$6*'POSF Zone Def'!$Y62</f>
        <v>0</v>
      </c>
      <c r="BC73" s="530">
        <f>'POSF Inventory'!EE65*'POSF Emiss by Zone'!$D$5*'POSF Zone Def'!$Y62</f>
        <v>0</v>
      </c>
      <c r="BD73" s="531">
        <f>'POSF Inventory'!EF65*'POSF Emiss by Zone'!$D$6*'POSF Zone Def'!$Y62</f>
        <v>0</v>
      </c>
      <c r="BE73" s="57">
        <f>'POSF Inventory'!EA65*'POSF Emiss by Zone'!$D$5*'POSF Zone Def'!$Z62</f>
        <v>0</v>
      </c>
      <c r="BF73" s="57">
        <f>'POSF Inventory'!EB65*'POSF Emiss by Zone'!$D$6*'POSF Zone Def'!$Z62</f>
        <v>0</v>
      </c>
      <c r="BG73" s="57">
        <f>'POSF Inventory'!EC65*'POSF Emiss by Zone'!$D$5*'POSF Zone Def'!$Z62</f>
        <v>0</v>
      </c>
      <c r="BH73" s="57">
        <f>'POSF Inventory'!ED65*'POSF Emiss by Zone'!$D$6*'POSF Zone Def'!$Z62</f>
        <v>0</v>
      </c>
      <c r="BI73" s="57">
        <f>'POSF Inventory'!EE65*'POSF Emiss by Zone'!$D$5*'POSF Zone Def'!$Z62</f>
        <v>0</v>
      </c>
      <c r="BJ73" s="127">
        <f>'POSF Inventory'!EF65*'POSF Emiss by Zone'!$D$6*'POSF Zone Def'!$Z62</f>
        <v>0</v>
      </c>
      <c r="BK73" s="57">
        <f>'POSF Inventory'!$EA65*'POSF Emiss by Zone'!$D$5*'POSF Zone Def'!$AC62</f>
        <v>0</v>
      </c>
      <c r="BL73" s="57">
        <f>'POSF Inventory'!$EB65*'POSF Emiss by Zone'!$D$6*'POSF Zone Def'!$AC62</f>
        <v>0</v>
      </c>
      <c r="BM73" s="57">
        <f>'POSF Inventory'!$EC65*'POSF Emiss by Zone'!$D$5*'POSF Zone Def'!$AC62</f>
        <v>0</v>
      </c>
      <c r="BN73" s="57">
        <f>'POSF Inventory'!$ED65*'POSF Emiss by Zone'!$D$6*'POSF Zone Def'!$AC62</f>
        <v>0</v>
      </c>
      <c r="BO73" s="57">
        <f>'POSF Inventory'!$EE65*'POSF Emiss by Zone'!$D$5*'POSF Zone Def'!$AC62</f>
        <v>0</v>
      </c>
      <c r="BP73" s="127">
        <f>'POSF Inventory'!$EF65*'POSF Emiss by Zone'!$D$6*'POSF Zone Def'!$AC62</f>
        <v>0</v>
      </c>
      <c r="BQ73" s="530">
        <f>'POSF Inventory'!EG65*'POSF Emiss by Zone'!$D$5*'POSF Zone Def'!$BB62</f>
        <v>0</v>
      </c>
      <c r="BR73" s="530">
        <f>'POSF Inventory'!EH65*'POSF Emiss by Zone'!$D$6*'POSF Zone Def'!$BB62</f>
        <v>0</v>
      </c>
      <c r="BS73" s="530">
        <f>'POSF Inventory'!EI65*'POSF Emiss by Zone'!$D$5*'POSF Zone Def'!$BB62</f>
        <v>0.6095968368750001</v>
      </c>
      <c r="BT73" s="530">
        <f>'POSF Inventory'!EJ65*'POSF Emiss by Zone'!$D$6*'POSF Zone Def'!$BB62</f>
        <v>6.1103966962499996</v>
      </c>
      <c r="BU73" s="530">
        <f>'POSF Inventory'!EK65*'POSF Emiss by Zone'!$D$5*'POSF Zone Def'!$BB62</f>
        <v>0</v>
      </c>
      <c r="BV73" s="531">
        <f>'POSF Inventory'!EL65*'POSF Emiss by Zone'!$D$6*'POSF Zone Def'!$BB62</f>
        <v>0</v>
      </c>
      <c r="BW73" s="57">
        <f>'POSF Inventory'!EG65*'POSF Emiss by Zone'!$D$5*'POSF Zone Def'!$BC62</f>
        <v>0</v>
      </c>
      <c r="BX73" s="57">
        <f>'POSF Inventory'!EH65*'POSF Emiss by Zone'!$D$6*'POSF Zone Def'!$BC62</f>
        <v>0</v>
      </c>
      <c r="BY73" s="57">
        <f>'POSF Inventory'!EI65*'POSF Emiss by Zone'!$D$5*'POSF Zone Def'!$BC62</f>
        <v>1.4223926193750001</v>
      </c>
      <c r="BZ73" s="57">
        <f>'POSF Inventory'!EJ65*'POSF Emiss by Zone'!$D$6*'POSF Zone Def'!$BC62</f>
        <v>14.257592291249997</v>
      </c>
      <c r="CA73" s="57">
        <f>'POSF Inventory'!EK65*'POSF Emiss by Zone'!$D$5*'POSF Zone Def'!$BC62</f>
        <v>0</v>
      </c>
      <c r="CB73" s="81">
        <f>'POSF Inventory'!EL65*'POSF Emiss by Zone'!$D$6*'POSF Zone Def'!$BC62</f>
        <v>0</v>
      </c>
      <c r="CC73" s="530">
        <f>'POSF Inventory'!GC65*'POSF Emiss by Zone'!$D$7*'POSF Zone Def'!$M62</f>
        <v>0</v>
      </c>
      <c r="CD73" s="530">
        <f>'POSF Inventory'!GD65*'POSF Emiss by Zone'!$D$9*'POSF Zone Def'!$M62</f>
        <v>0</v>
      </c>
      <c r="CE73" s="530">
        <f>'POSF Inventory'!GE65*'POSF Emiss by Zone'!$D$7*'POSF Zone Def'!$M62</f>
        <v>0</v>
      </c>
      <c r="CF73" s="530">
        <f>'POSF Inventory'!GF65*'POSF Emiss by Zone'!$D$9*'POSF Zone Def'!$M62</f>
        <v>0</v>
      </c>
      <c r="CG73" s="530">
        <f>'POSF Inventory'!GG65*'POSF Emiss by Zone'!$D$7*'POSF Zone Def'!$M62</f>
        <v>0</v>
      </c>
      <c r="CH73" s="531">
        <f>'POSF Inventory'!GH65*'POSF Emiss by Zone'!$D$9*'POSF Zone Def'!$M62</f>
        <v>0</v>
      </c>
      <c r="CI73" s="57">
        <f>'POSF Inventory'!GC65*'POSF Emiss by Zone'!$D$7*'POSF Zone Def'!$N62</f>
        <v>0</v>
      </c>
      <c r="CJ73" s="57">
        <f>'POSF Inventory'!GD65*'POSF Emiss by Zone'!$D$9*'POSF Zone Def'!$N62</f>
        <v>0</v>
      </c>
      <c r="CK73" s="57">
        <f>'POSF Inventory'!GE65*'POSF Emiss by Zone'!$D$7*'POSF Zone Def'!$N62</f>
        <v>0</v>
      </c>
      <c r="CL73" s="57">
        <f>'POSF Inventory'!GF65*'POSF Emiss by Zone'!$D$9*'POSF Zone Def'!$N62</f>
        <v>0</v>
      </c>
      <c r="CM73" s="57">
        <f>'POSF Inventory'!GG65*'POSF Emiss by Zone'!$D$7*'POSF Zone Def'!$N62</f>
        <v>0</v>
      </c>
      <c r="CN73" s="127">
        <f>'POSF Inventory'!GH65*'POSF Emiss by Zone'!$D$9*'POSF Zone Def'!$N62</f>
        <v>0</v>
      </c>
      <c r="CO73" s="530">
        <f>'POSF Inventory'!GI65*'POSF Emiss by Zone'!$D$7*'POSF Zone Def'!$AP62</f>
        <v>9.456E-4</v>
      </c>
      <c r="CP73" s="530">
        <f>'POSF Inventory'!GJ65*'POSF Emiss by Zone'!$D$9*'POSF Zone Def'!$AP62</f>
        <v>1.1689980000000001E-3</v>
      </c>
      <c r="CQ73" s="530">
        <f>'POSF Inventory'!GK65*'POSF Emiss by Zone'!$D$7*'POSF Zone Def'!$AP62</f>
        <v>1.4183999999999999E-2</v>
      </c>
      <c r="CR73" s="530">
        <f>'POSF Inventory'!GL65*'POSF Emiss by Zone'!$D$9*'POSF Zone Def'!$AP62</f>
        <v>1.753497E-2</v>
      </c>
      <c r="CS73" s="530">
        <f>'POSF Inventory'!GM65*'POSF Emiss by Zone'!$D$7*'POSF Zone Def'!$AP62</f>
        <v>5.2008000000000006E-2</v>
      </c>
      <c r="CT73" s="531">
        <f>'POSF Inventory'!GN65*'POSF Emiss by Zone'!$D$9*'POSF Zone Def'!$AP62</f>
        <v>0.25717956000000003</v>
      </c>
      <c r="CU73" s="57">
        <f>'POSF Inventory'!GI65*'POSF Emiss by Zone'!$D$7*'POSF Zone Def'!$AQ62</f>
        <v>2.2063999999999999E-3</v>
      </c>
      <c r="CV73" s="57">
        <f>'POSF Inventory'!GJ65*'POSF Emiss by Zone'!$D$9*'POSF Zone Def'!$AQ62</f>
        <v>2.7276620000000001E-3</v>
      </c>
      <c r="CW73" s="57">
        <f>'POSF Inventory'!GK65*'POSF Emiss by Zone'!$D$7*'POSF Zone Def'!$AQ62</f>
        <v>3.3095999999999993E-2</v>
      </c>
      <c r="CX73" s="57">
        <f>'POSF Inventory'!GL65*'POSF Emiss by Zone'!$D$9*'POSF Zone Def'!$AQ62</f>
        <v>4.0914929999999995E-2</v>
      </c>
      <c r="CY73" s="57">
        <f>'POSF Inventory'!GM65*'POSF Emiss by Zone'!$D$7*'POSF Zone Def'!$AQ62</f>
        <v>0.121352</v>
      </c>
      <c r="CZ73" s="81">
        <f>'POSF Inventory'!GN65*'POSF Emiss by Zone'!$D$9*'POSF Zone Def'!$AQ62</f>
        <v>0.60008563999999998</v>
      </c>
      <c r="DA73" s="530">
        <f>SUM('POSF Inventory'!GQ65,'POSF Inventory'!GS65)*'POSF Emiss by Zone'!$D$7*'POSF Zone Def'!$Y62</f>
        <v>4.4008745363999994E-4</v>
      </c>
      <c r="DB73" s="530">
        <f>SUM('POSF Inventory'!GR65,'POSF Inventory'!GT65)*'POSF Emiss by Zone'!$D$9*'POSF Zone Def'!$Y62</f>
        <v>0.27202905728122495</v>
      </c>
      <c r="DC73" s="530"/>
      <c r="DD73" s="530"/>
      <c r="DE73" s="530">
        <f>'POSF Inventory'!GU65*'POSF Emiss by Zone'!$D$7*'POSF Zone Def'!$Y62</f>
        <v>0</v>
      </c>
      <c r="DF73" s="531">
        <f>'POSF Inventory'!GV65*'POSF Emiss by Zone'!$D$9*'POSF Zone Def'!$Y62</f>
        <v>0</v>
      </c>
      <c r="DG73" s="57">
        <f>SUM('POSF Inventory'!GQ65,'POSF Inventory'!GS65)*'POSF Emiss by Zone'!$D$7*'POSF Zone Def'!$Z62</f>
        <v>4.8898605959999997E-5</v>
      </c>
      <c r="DH73" s="57">
        <f>SUM('POSF Inventory'!GR65,'POSF Inventory'!GT65)*'POSF Emiss by Zone'!$D$9*'POSF Zone Def'!$Z62</f>
        <v>3.0225450809024997E-2</v>
      </c>
      <c r="DI73" s="57"/>
      <c r="DJ73" s="57"/>
      <c r="DK73" s="57">
        <f>'POSF Inventory'!GU65*'POSF Emiss by Zone'!$D$7*'POSF Zone Def'!$Z62</f>
        <v>0</v>
      </c>
      <c r="DL73" s="127">
        <f>'POSF Inventory'!GV65*'POSF Emiss by Zone'!$D$9*'POSF Zone Def'!$Z62</f>
        <v>0</v>
      </c>
      <c r="DM73" s="57">
        <f>SUM('POSF Inventory'!$GQ65,'POSF Inventory'!$GS65)*'POSF Emiss by Zone'!$D$7*'POSF Zone Def'!$AC62</f>
        <v>0</v>
      </c>
      <c r="DN73" s="57">
        <f>SUM('POSF Inventory'!$GR65,'POSF Inventory'!$GT65)*'POSF Emiss by Zone'!$D$9*'POSF Zone Def'!$AC62</f>
        <v>0</v>
      </c>
      <c r="DO73" s="57"/>
      <c r="DP73" s="57"/>
      <c r="DQ73" s="57">
        <f>'POSF Inventory'!$GU65*'POSF Emiss by Zone'!$D$7*'POSF Zone Def'!$AC62</f>
        <v>0</v>
      </c>
      <c r="DR73" s="127">
        <f>'POSF Inventory'!$GV65*'POSF Emiss by Zone'!$D$9*'POSF Zone Def'!$AC62</f>
        <v>0</v>
      </c>
      <c r="DS73" s="530">
        <f>SUM('POSF Inventory'!GW65,'POSF Inventory'!GY65)*$D$7*'POSF Zone Def'!$BB62</f>
        <v>0.24387905081399996</v>
      </c>
      <c r="DT73" s="530">
        <f>SUM('POSF Inventory'!GX65,'POSF Inventory'!GZ65)*$D$9*'POSF Zone Def'!$BB62</f>
        <v>3.8028233839181254</v>
      </c>
      <c r="DU73" s="530"/>
      <c r="DV73" s="530"/>
      <c r="DW73" s="530">
        <f>'POSF Inventory'!HA65*'POSF Emiss by Zone'!$D$7*'POSF Zone Def'!$BB62</f>
        <v>0</v>
      </c>
      <c r="DX73" s="531">
        <f>'POSF Inventory'!HB65*'POSF Emiss by Zone'!$D$9*'POSF Zone Def'!$BB62</f>
        <v>0</v>
      </c>
      <c r="DY73" s="57">
        <f>SUM('POSF Inventory'!GW65,'POSF Inventory'!GY65)*$D$7*'POSF Zone Def'!$BC62</f>
        <v>0.56905111856599988</v>
      </c>
      <c r="DZ73" s="57">
        <f>SUM('POSF Inventory'!GX65,'POSF Inventory'!GZ65)*$D$9*'POSF Zone Def'!$BC62</f>
        <v>8.8732545624756263</v>
      </c>
      <c r="EA73" s="57"/>
      <c r="EB73" s="57"/>
      <c r="EC73" s="57">
        <f>'POSF Inventory'!HA65*'POSF Emiss by Zone'!$D$7*'POSF Zone Def'!$BC62</f>
        <v>0</v>
      </c>
      <c r="ED73" s="81">
        <f>'POSF Inventory'!HB65*'POSF Emiss by Zone'!$D$9*'POSF Zone Def'!$BC62</f>
        <v>0</v>
      </c>
      <c r="EE73" s="236">
        <f>'POSF Inventory'!$CF65*'POSF Emiss by Zone'!$D$7*'POSF Zone Def'!$CE62</f>
        <v>0</v>
      </c>
      <c r="EF73" s="236">
        <f>'POSF Inventory'!$CG65*'POSF Emiss by Zone'!$D$9*'POSF Zone Def'!$CE62</f>
        <v>0</v>
      </c>
      <c r="EG73" s="236">
        <f>'POSF Inventory'!$CH65*'POSF Emiss by Zone'!$D$7*'POSF Zone Def'!$CE62</f>
        <v>0</v>
      </c>
      <c r="EH73" s="236">
        <f>'POSF Inventory'!$CI65*'POSF Emiss by Zone'!$D$9*'POSF Zone Def'!$CE62</f>
        <v>0</v>
      </c>
      <c r="EI73" s="236">
        <f>'POSF Inventory'!$CJ65*'POSF Emiss by Zone'!$D$7*'POSF Zone Def'!$CE62</f>
        <v>0</v>
      </c>
      <c r="EJ73" s="581">
        <f>'POSF Inventory'!$CK65*'POSF Emiss by Zone'!$D$9*'POSF Zone Def'!$CE62</f>
        <v>0</v>
      </c>
      <c r="EK73" s="236">
        <f>'POSF Inventory'!$CF65*'POSF Emiss by Zone'!$D$7*'POSF Zone Def'!$CF62</f>
        <v>3.9380330051301496E-6</v>
      </c>
      <c r="EL73" s="236">
        <f>'POSF Inventory'!$CG65*'POSF Emiss by Zone'!$D$9*'POSF Zone Def'!$CF62</f>
        <v>4.8683933025921475E-6</v>
      </c>
      <c r="EM73" s="236">
        <f>'POSF Inventory'!$CH65*'POSF Emiss by Zone'!$D$7*'POSF Zone Def'!$CF62</f>
        <v>0</v>
      </c>
      <c r="EN73" s="236">
        <f>'POSF Inventory'!$CI65*'POSF Emiss by Zone'!$D$9*'POSF Zone Def'!$CF62</f>
        <v>0</v>
      </c>
      <c r="EO73" s="236">
        <f>'POSF Inventory'!$CJ65*'POSF Emiss by Zone'!$D$7*'POSF Zone Def'!$CF62</f>
        <v>3.5442297046171342E-5</v>
      </c>
      <c r="EP73" s="581">
        <f>'POSF Inventory'!$CK65*'POSF Emiss by Zone'!$D$9*'POSF Zone Def'!$CF62</f>
        <v>4.3815539723329316E-5</v>
      </c>
      <c r="EQ73" s="236">
        <f>'POSF Inventory'!$CF65*'POSF Emiss by Zone'!$D$7*'POSF Zone Def'!$CG62</f>
        <v>1.3583969188886094E-4</v>
      </c>
      <c r="ER73" s="236">
        <f>'POSF Inventory'!$CG65*'POSF Emiss by Zone'!$D$9*'POSF Zone Def'!$CG62</f>
        <v>1.6793181909760432E-4</v>
      </c>
      <c r="ES73" s="236">
        <f>'POSF Inventory'!$CH65*'POSF Emiss by Zone'!$D$7*'POSF Zone Def'!$CG62</f>
        <v>0</v>
      </c>
      <c r="ET73" s="236">
        <f>'POSF Inventory'!$CI65*'POSF Emiss by Zone'!$D$9*'POSF Zone Def'!$CG62</f>
        <v>0</v>
      </c>
      <c r="EU73" s="236">
        <f>'POSF Inventory'!$CJ65*'POSF Emiss by Zone'!$D$7*'POSF Zone Def'!$CG62</f>
        <v>1.2225572269997484E-3</v>
      </c>
      <c r="EV73" s="581">
        <f>'POSF Inventory'!$CK65*'POSF Emiss by Zone'!$D$9*'POSF Zone Def'!$CG62</f>
        <v>1.5113863718784388E-3</v>
      </c>
      <c r="EW73" s="236">
        <f>'POSF Inventory'!$CF65*'POSF Emiss by Zone'!$D$7*'POSF Zone Def'!$CH62</f>
        <v>1.0736383742343274</v>
      </c>
      <c r="EX73" s="236">
        <f>'POSF Inventory'!$CG65*'POSF Emiss by Zone'!$D$9*'POSF Zone Def'!$CH62</f>
        <v>1.3272854401471872</v>
      </c>
      <c r="EY73" s="236">
        <f>'POSF Inventory'!$CH65*'POSF Emiss by Zone'!$D$7*'POSF Zone Def'!$CH62</f>
        <v>0</v>
      </c>
      <c r="EZ73" s="236">
        <f>'POSF Inventory'!$CI65*'POSF Emiss by Zone'!$D$9*'POSF Zone Def'!$CH62</f>
        <v>0</v>
      </c>
      <c r="FA73" s="236">
        <f>'POSF Inventory'!$CJ65*'POSF Emiss by Zone'!$D$7*'POSF Zone Def'!$CH62</f>
        <v>9.6627453681089452</v>
      </c>
      <c r="FB73" s="581">
        <f>'POSF Inventory'!$CK65*'POSF Emiss by Zone'!$D$9*'POSF Zone Def'!$CH62</f>
        <v>11.945568961324684</v>
      </c>
      <c r="FC73" s="236">
        <f>'POSF Inventory'!$CF65*'POSF Emiss by Zone'!$D$7*'POSF Zone Def'!$CI62</f>
        <v>1.400829848040779</v>
      </c>
      <c r="FD73" s="236">
        <f>'POSF Inventory'!$CG65*'POSF Emiss by Zone'!$D$9*'POSF Zone Def'!$CI62</f>
        <v>1.7317758996404131</v>
      </c>
      <c r="FE73" s="236">
        <f>'POSF Inventory'!$CH65*'POSF Emiss by Zone'!$D$7*'POSF Zone Def'!$CI62</f>
        <v>0</v>
      </c>
      <c r="FF73" s="236">
        <f>'POSF Inventory'!$CI65*'POSF Emiss by Zone'!$D$9*'POSF Zone Def'!$CI62</f>
        <v>0</v>
      </c>
      <c r="FG73" s="236">
        <f>'POSF Inventory'!$CJ65*'POSF Emiss by Zone'!$D$7*'POSF Zone Def'!$CI62</f>
        <v>12.607468632367011</v>
      </c>
      <c r="FH73" s="578">
        <f>'POSF Inventory'!$CK65*'POSF Emiss by Zone'!$D$9*'POSF Zone Def'!$CI62</f>
        <v>15.585983096763718</v>
      </c>
      <c r="FI73" s="595"/>
      <c r="FJ73" s="595"/>
      <c r="FM73" s="592">
        <v>56</v>
      </c>
      <c r="FN73" s="592">
        <f t="shared" si="98"/>
        <v>2010</v>
      </c>
      <c r="FO73" s="587">
        <v>53</v>
      </c>
      <c r="FP73" s="85">
        <f t="shared" si="20"/>
        <v>0.20225497499999998</v>
      </c>
      <c r="FQ73" s="530">
        <f t="shared" si="21"/>
        <v>0.202733685</v>
      </c>
      <c r="FR73" s="530">
        <f t="shared" si="22"/>
        <v>0</v>
      </c>
      <c r="FS73" s="530">
        <f t="shared" si="23"/>
        <v>0</v>
      </c>
      <c r="FT73" s="530">
        <f t="shared" si="24"/>
        <v>0.14981849999999999</v>
      </c>
      <c r="FU73" s="531">
        <f t="shared" si="25"/>
        <v>0.15017309999999998</v>
      </c>
      <c r="FV73" s="57">
        <f t="shared" si="26"/>
        <v>0.4719282749999999</v>
      </c>
      <c r="FW73" s="57">
        <f t="shared" si="27"/>
        <v>0.47304526499999994</v>
      </c>
      <c r="FX73" s="57">
        <f t="shared" si="28"/>
        <v>0</v>
      </c>
      <c r="FY73" s="57">
        <f t="shared" si="29"/>
        <v>0</v>
      </c>
      <c r="FZ73" s="57">
        <f t="shared" si="30"/>
        <v>0.34957649999999996</v>
      </c>
      <c r="GA73" s="81">
        <f t="shared" si="31"/>
        <v>0.35040389999999993</v>
      </c>
      <c r="GB73" s="530">
        <f t="shared" si="32"/>
        <v>0</v>
      </c>
      <c r="GC73" s="530">
        <f t="shared" si="33"/>
        <v>0</v>
      </c>
      <c r="GD73" s="530">
        <f t="shared" si="34"/>
        <v>0.74146761640936265</v>
      </c>
      <c r="GE73" s="530">
        <f t="shared" si="35"/>
        <v>6.2206698070219115</v>
      </c>
      <c r="GF73" s="530">
        <f t="shared" si="36"/>
        <v>0.24870268924302788</v>
      </c>
      <c r="GG73" s="531">
        <f t="shared" si="37"/>
        <v>0.24929133466135456</v>
      </c>
      <c r="GH73" s="57">
        <f t="shared" si="38"/>
        <v>0</v>
      </c>
      <c r="GI73" s="57">
        <f t="shared" si="39"/>
        <v>0</v>
      </c>
      <c r="GJ73" s="57">
        <f t="shared" si="40"/>
        <v>1.7300911049551793</v>
      </c>
      <c r="GK73" s="57">
        <f t="shared" si="41"/>
        <v>14.514896216384459</v>
      </c>
      <c r="GL73" s="57">
        <f t="shared" si="42"/>
        <v>0.58030627490039832</v>
      </c>
      <c r="GM73" s="57">
        <f t="shared" si="43"/>
        <v>0.58167978087649397</v>
      </c>
      <c r="GN73" s="57">
        <f t="shared" si="44"/>
        <v>0</v>
      </c>
      <c r="GO73" s="57">
        <f t="shared" si="45"/>
        <v>0</v>
      </c>
      <c r="GP73" s="57">
        <f t="shared" si="46"/>
        <v>0</v>
      </c>
      <c r="GQ73" s="57">
        <f t="shared" si="47"/>
        <v>0</v>
      </c>
      <c r="GR73" s="57">
        <f t="shared" si="48"/>
        <v>0</v>
      </c>
      <c r="GS73" s="81">
        <f t="shared" si="49"/>
        <v>0</v>
      </c>
      <c r="GT73" s="530">
        <f t="shared" si="50"/>
        <v>5.0811818286523019E-3</v>
      </c>
      <c r="GU73" s="530">
        <f t="shared" si="51"/>
        <v>8.4443472047157853E-2</v>
      </c>
      <c r="GV73" s="530">
        <f t="shared" si="52"/>
        <v>2.9385179282868522E-4</v>
      </c>
      <c r="GW73" s="530">
        <f t="shared" si="53"/>
        <v>3.6327427888446215E-4</v>
      </c>
      <c r="GX73" s="530">
        <f t="shared" si="54"/>
        <v>1.0774565737051794E-3</v>
      </c>
      <c r="GY73" s="531">
        <f t="shared" si="55"/>
        <v>5.3280227569721117E-3</v>
      </c>
      <c r="GZ73" s="57">
        <f t="shared" si="56"/>
        <v>1.1839909393926396E-2</v>
      </c>
      <c r="HA73" s="57">
        <f t="shared" si="57"/>
        <v>0.18451611830174849</v>
      </c>
      <c r="HB73" s="57">
        <f t="shared" si="58"/>
        <v>6.8565418326693207E-4</v>
      </c>
      <c r="HC73" s="57">
        <f t="shared" si="59"/>
        <v>8.4763998406374495E-4</v>
      </c>
      <c r="HD73" s="57">
        <f t="shared" si="60"/>
        <v>2.5507784750279064E-3</v>
      </c>
      <c r="HE73" s="127">
        <f t="shared" si="61"/>
        <v>1.2477439714454443E-2</v>
      </c>
      <c r="HF73" s="236">
        <f t="shared" si="62"/>
        <v>1.4071043781316273E-4</v>
      </c>
      <c r="HG73" s="236">
        <f t="shared" si="63"/>
        <v>1.7395327874652238E-4</v>
      </c>
      <c r="HH73" s="236">
        <f t="shared" si="64"/>
        <v>0</v>
      </c>
      <c r="HI73" s="236">
        <f t="shared" si="65"/>
        <v>0</v>
      </c>
      <c r="HJ73" s="236">
        <f t="shared" si="66"/>
        <v>1.2663939403184644E-3</v>
      </c>
      <c r="HK73" s="581">
        <f t="shared" si="67"/>
        <v>1.5655795087187016E-3</v>
      </c>
      <c r="HL73" s="236">
        <f t="shared" si="68"/>
        <v>1.1121353677327694</v>
      </c>
      <c r="HM73" s="236">
        <f t="shared" si="69"/>
        <v>1.3748773483596362</v>
      </c>
      <c r="HN73" s="236">
        <f t="shared" si="70"/>
        <v>0</v>
      </c>
      <c r="HO73" s="236">
        <f t="shared" si="71"/>
        <v>0</v>
      </c>
      <c r="HP73" s="236">
        <f t="shared" si="72"/>
        <v>10.009218309594923</v>
      </c>
      <c r="HQ73" s="581">
        <f t="shared" si="73"/>
        <v>12.373896135236723</v>
      </c>
      <c r="HR73" s="236">
        <f t="shared" si="74"/>
        <v>1.4510588067354684</v>
      </c>
      <c r="HS73" s="236">
        <f t="shared" si="75"/>
        <v>1.7938714498267228</v>
      </c>
      <c r="HT73" s="236">
        <f t="shared" si="76"/>
        <v>0</v>
      </c>
      <c r="HU73" s="236">
        <f t="shared" si="77"/>
        <v>0</v>
      </c>
      <c r="HV73" s="236">
        <f t="shared" si="78"/>
        <v>13.059529260619215</v>
      </c>
      <c r="HW73" s="578">
        <f t="shared" si="79"/>
        <v>16.144843048440503</v>
      </c>
      <c r="HX73" s="236">
        <f t="shared" si="80"/>
        <v>0.27004527118583654</v>
      </c>
      <c r="HY73" s="236">
        <f t="shared" si="81"/>
        <v>4.4878457567216428</v>
      </c>
      <c r="HZ73" s="236">
        <f t="shared" si="82"/>
        <v>1.5617092589641432E-2</v>
      </c>
      <c r="IA73" s="236">
        <f t="shared" si="83"/>
        <v>1.9306630713944221E-2</v>
      </c>
      <c r="IB73" s="236">
        <f t="shared" si="84"/>
        <v>5.726267282868526E-2</v>
      </c>
      <c r="IC73" s="236">
        <f t="shared" si="85"/>
        <v>0.28316391713784861</v>
      </c>
      <c r="ID73" s="236">
        <f t="shared" si="86"/>
        <v>0.62902885039698331</v>
      </c>
      <c r="IE73" s="236">
        <f t="shared" si="87"/>
        <v>9.8060539965803422</v>
      </c>
      <c r="IF73" s="236">
        <f t="shared" si="88"/>
        <v>3.6439882709163332E-2</v>
      </c>
      <c r="IG73" s="236">
        <f t="shared" si="89"/>
        <v>4.5048804999203176E-2</v>
      </c>
      <c r="IH73" s="236">
        <f t="shared" si="90"/>
        <v>0.13361290326693226</v>
      </c>
      <c r="II73" s="236">
        <f t="shared" si="91"/>
        <v>0.66071580665497986</v>
      </c>
      <c r="IJ73" s="236">
        <f t="shared" si="92"/>
        <v>0</v>
      </c>
      <c r="IK73" s="236">
        <f t="shared" si="93"/>
        <v>0</v>
      </c>
      <c r="IL73" s="236">
        <f t="shared" si="94"/>
        <v>0</v>
      </c>
      <c r="IM73" s="236">
        <f t="shared" si="95"/>
        <v>0</v>
      </c>
      <c r="IN73" s="236">
        <f t="shared" si="96"/>
        <v>0</v>
      </c>
      <c r="IO73" s="236">
        <f t="shared" si="97"/>
        <v>0</v>
      </c>
    </row>
    <row r="74" spans="1:249" ht="18" x14ac:dyDescent="0.25">
      <c r="A74" s="9">
        <v>2011</v>
      </c>
      <c r="B74" s="564"/>
      <c r="C74" s="530">
        <f>'POSF Inventory'!AD66*$D$5*'POSF Zone Def'!$M63</f>
        <v>0</v>
      </c>
      <c r="D74" s="530">
        <f>'POSF Inventory'!AE66*$D$6*'POSF Zone Def'!$M63</f>
        <v>0</v>
      </c>
      <c r="E74" s="530">
        <f>'POSF Inventory'!AF66*$D$5*'POSF Zone Def'!$M63</f>
        <v>0</v>
      </c>
      <c r="F74" s="530">
        <f>'POSF Inventory'!AG66*$D$6*'POSF Zone Def'!$M63</f>
        <v>0</v>
      </c>
      <c r="G74" s="530">
        <f>'POSF Inventory'!AH66*$D$5*'POSF Zone Def'!$M63</f>
        <v>0</v>
      </c>
      <c r="H74" s="531">
        <f>'POSF Inventory'!AI66*$D$6*'POSF Zone Def'!$M63</f>
        <v>0</v>
      </c>
      <c r="I74" s="57">
        <f>'POSF Inventory'!AD66*$D$5*'POSF Zone Def'!$N63</f>
        <v>0</v>
      </c>
      <c r="J74" s="57">
        <f>'POSF Inventory'!AE66*$D$6*'POSF Zone Def'!$N63</f>
        <v>0</v>
      </c>
      <c r="K74" s="57">
        <f>'POSF Inventory'!AF66*$D$5*'POSF Zone Def'!$N63</f>
        <v>0</v>
      </c>
      <c r="L74" s="57">
        <f>'POSF Inventory'!AG66*$D$6*'POSF Zone Def'!$N63</f>
        <v>0</v>
      </c>
      <c r="M74" s="57">
        <f>'POSF Inventory'!AH66*$D$5*'POSF Zone Def'!$N63</f>
        <v>0</v>
      </c>
      <c r="N74" s="127">
        <f>'POSF Inventory'!AI66*$D$6*'POSF Zone Def'!$N63</f>
        <v>0</v>
      </c>
      <c r="O74" s="530">
        <f>'POSF Inventory'!AJ66*$D$5*'POSF Zone Def'!$AP63</f>
        <v>0.26293146749999996</v>
      </c>
      <c r="P74" s="530">
        <f>'POSF Inventory'!AK66*$D$6*'POSF Zone Def'!$AP63</f>
        <v>0.26355379049999994</v>
      </c>
      <c r="Q74" s="530">
        <f>'POSF Inventory'!AL66*$D$5*'POSF Zone Def'!$AP63</f>
        <v>0</v>
      </c>
      <c r="R74" s="530">
        <f>'POSF Inventory'!AM66*$D$6*'POSF Zone Def'!$AP63</f>
        <v>0</v>
      </c>
      <c r="S74" s="530">
        <f>'POSF Inventory'!AN66*$D$5*'POSF Zone Def'!$AP63</f>
        <v>0.19476405000000002</v>
      </c>
      <c r="T74" s="531">
        <f>'POSF Inventory'!AO66*$D$6*'POSF Zone Def'!$AP63</f>
        <v>0.19522503000000002</v>
      </c>
      <c r="U74" s="57">
        <f>'POSF Inventory'!AJ66*$D$5*'POSF Zone Def'!$AQ63</f>
        <v>0.61350675749999994</v>
      </c>
      <c r="V74" s="57">
        <f>'POSF Inventory'!AK66*$D$6*'POSF Zone Def'!$AQ63</f>
        <v>0.61495884449999982</v>
      </c>
      <c r="W74" s="57">
        <f>'POSF Inventory'!AL66*$D$5*'POSF Zone Def'!$AQ63</f>
        <v>0</v>
      </c>
      <c r="X74" s="57">
        <f>'POSF Inventory'!AM66*$D$6*'POSF Zone Def'!$AQ63</f>
        <v>0</v>
      </c>
      <c r="Y74" s="57">
        <f>'POSF Inventory'!AN66*$D$5*'POSF Zone Def'!$AQ63</f>
        <v>0.45444945000000003</v>
      </c>
      <c r="Z74" s="81">
        <f>'POSF Inventory'!AO66*$D$6*'POSF Zone Def'!$AQ63</f>
        <v>0.45552507000000003</v>
      </c>
      <c r="AA74" s="530">
        <f>'POSF Inventory'!AV66*'POSF Emiss by Zone'!$D$5*'POSF Zone Def'!$M63</f>
        <v>0</v>
      </c>
      <c r="AB74" s="530">
        <f>'POSF Inventory'!AW66*'POSF Emiss by Zone'!$D$6*'POSF Zone Def'!$M63</f>
        <v>0</v>
      </c>
      <c r="AC74" s="530">
        <f>'POSF Inventory'!AX66*'POSF Emiss by Zone'!$D$5*'POSF Zone Def'!$M63</f>
        <v>0</v>
      </c>
      <c r="AD74" s="530">
        <f>'POSF Inventory'!AY66*'POSF Emiss by Zone'!$D$6*'POSF Zone Def'!$M63</f>
        <v>0</v>
      </c>
      <c r="AE74" s="530">
        <f>'POSF Inventory'!AZ66*'POSF Emiss by Zone'!$D$5*'POSF Zone Def'!$M63</f>
        <v>0</v>
      </c>
      <c r="AF74" s="531">
        <f>'POSF Inventory'!BA66*'POSF Emiss by Zone'!$D$6*'POSF Zone Def'!$M63</f>
        <v>0</v>
      </c>
      <c r="AG74" s="57">
        <f>'POSF Inventory'!AV66*'POSF Emiss by Zone'!$D$5*'POSF Zone Def'!$N63</f>
        <v>0</v>
      </c>
      <c r="AH74" s="57">
        <f>'POSF Inventory'!AW66*'POSF Emiss by Zone'!$D$6*'POSF Zone Def'!$N63</f>
        <v>0</v>
      </c>
      <c r="AI74" s="57">
        <f>'POSF Inventory'!AX66*'POSF Emiss by Zone'!$D$5*'POSF Zone Def'!$N63</f>
        <v>0</v>
      </c>
      <c r="AJ74" s="57">
        <f>'POSF Inventory'!AY66*'POSF Emiss by Zone'!$D$6*'POSF Zone Def'!$N63</f>
        <v>0</v>
      </c>
      <c r="AK74" s="57">
        <f>'POSF Inventory'!AZ66*'POSF Emiss by Zone'!$D$5*'POSF Zone Def'!$N63</f>
        <v>0</v>
      </c>
      <c r="AL74" s="127">
        <f>'POSF Inventory'!BA66*'POSF Emiss by Zone'!$D$6*'POSF Zone Def'!$N63</f>
        <v>0</v>
      </c>
      <c r="AM74" s="530">
        <f>'POSF Inventory'!BB66*'POSF Emiss by Zone'!$D$5*'POSF Zone Def'!$AP63</f>
        <v>0</v>
      </c>
      <c r="AN74" s="530">
        <f>'POSF Inventory'!BC66*'POSF Emiss by Zone'!$D$6*'POSF Zone Def'!$AP63</f>
        <v>0</v>
      </c>
      <c r="AO74" s="530">
        <f>'POSF Inventory'!BD66*'POSF Emiss by Zone'!$D$5*'POSF Zone Def'!$AP63</f>
        <v>0.17528764500000002</v>
      </c>
      <c r="AP74" s="530">
        <f>'POSF Inventory'!BE66*'POSF Emiss by Zone'!$D$6*'POSF Zone Def'!$AP63</f>
        <v>0.17570252700000002</v>
      </c>
      <c r="AQ74" s="530">
        <f>'POSF Inventory'!BF66*'POSF Emiss by Zone'!$D$5*'POSF Zone Def'!$AP63</f>
        <v>0.32460675</v>
      </c>
      <c r="AR74" s="531">
        <f>'POSF Inventory'!BG66*'POSF Emiss by Zone'!$D$6*'POSF Zone Def'!$AP63</f>
        <v>0.32537505000000005</v>
      </c>
      <c r="AS74" s="57">
        <f>'POSF Inventory'!BB66*'POSF Emiss by Zone'!$D$5*'POSF Zone Def'!$AQ63</f>
        <v>0</v>
      </c>
      <c r="AT74" s="57">
        <f>'POSF Inventory'!BC66*'POSF Emiss by Zone'!$D$6*'POSF Zone Def'!$AQ63</f>
        <v>0</v>
      </c>
      <c r="AU74" s="57">
        <f>'POSF Inventory'!BD66*'POSF Emiss by Zone'!$D$5*'POSF Zone Def'!$AQ63</f>
        <v>0.40900450500000007</v>
      </c>
      <c r="AV74" s="57">
        <f>'POSF Inventory'!BE66*'POSF Emiss by Zone'!$D$6*'POSF Zone Def'!$AQ63</f>
        <v>0.40997256300000001</v>
      </c>
      <c r="AW74" s="57">
        <f>'POSF Inventory'!BF66*'POSF Emiss by Zone'!$D$5*'POSF Zone Def'!$AQ63</f>
        <v>0.75741575000000005</v>
      </c>
      <c r="AX74" s="81">
        <f>'POSF Inventory'!BG66*'POSF Emiss by Zone'!$D$6*'POSF Zone Def'!$AQ63</f>
        <v>0.75920845000000003</v>
      </c>
      <c r="AY74" s="530">
        <f>'POSF Inventory'!EA66*'POSF Emiss by Zone'!$D$5*'POSF Zone Def'!$Y63</f>
        <v>0</v>
      </c>
      <c r="AZ74" s="530">
        <f>'POSF Inventory'!EB66*'POSF Emiss by Zone'!$D$6*'POSF Zone Def'!$Y63</f>
        <v>0</v>
      </c>
      <c r="BA74" s="530">
        <f>'POSF Inventory'!EC66*'POSF Emiss by Zone'!$D$5*'POSF Zone Def'!$Y63</f>
        <v>0</v>
      </c>
      <c r="BB74" s="530">
        <f>'POSF Inventory'!ED66*'POSF Emiss by Zone'!$D$6*'POSF Zone Def'!$Y63</f>
        <v>0</v>
      </c>
      <c r="BC74" s="530">
        <f>'POSF Inventory'!EE66*'POSF Emiss by Zone'!$D$5*'POSF Zone Def'!$Y63</f>
        <v>0</v>
      </c>
      <c r="BD74" s="531">
        <f>'POSF Inventory'!EF66*'POSF Emiss by Zone'!$D$6*'POSF Zone Def'!$Y63</f>
        <v>0</v>
      </c>
      <c r="BE74" s="57">
        <f>'POSF Inventory'!EA66*'POSF Emiss by Zone'!$D$5*'POSF Zone Def'!$Z63</f>
        <v>0</v>
      </c>
      <c r="BF74" s="57">
        <f>'POSF Inventory'!EB66*'POSF Emiss by Zone'!$D$6*'POSF Zone Def'!$Z63</f>
        <v>0</v>
      </c>
      <c r="BG74" s="57">
        <f>'POSF Inventory'!EC66*'POSF Emiss by Zone'!$D$5*'POSF Zone Def'!$Z63</f>
        <v>0</v>
      </c>
      <c r="BH74" s="57">
        <f>'POSF Inventory'!ED66*'POSF Emiss by Zone'!$D$6*'POSF Zone Def'!$Z63</f>
        <v>0</v>
      </c>
      <c r="BI74" s="57">
        <f>'POSF Inventory'!EE66*'POSF Emiss by Zone'!$D$5*'POSF Zone Def'!$Z63</f>
        <v>0</v>
      </c>
      <c r="BJ74" s="127">
        <f>'POSF Inventory'!EF66*'POSF Emiss by Zone'!$D$6*'POSF Zone Def'!$Z63</f>
        <v>0</v>
      </c>
      <c r="BK74" s="57">
        <f>'POSF Inventory'!$EA66*'POSF Emiss by Zone'!$D$5*'POSF Zone Def'!$AC63</f>
        <v>0</v>
      </c>
      <c r="BL74" s="57">
        <f>'POSF Inventory'!$EB66*'POSF Emiss by Zone'!$D$6*'POSF Zone Def'!$AC63</f>
        <v>0</v>
      </c>
      <c r="BM74" s="57">
        <f>'POSF Inventory'!$EC66*'POSF Emiss by Zone'!$D$5*'POSF Zone Def'!$AC63</f>
        <v>0</v>
      </c>
      <c r="BN74" s="57">
        <f>'POSF Inventory'!$ED66*'POSF Emiss by Zone'!$D$6*'POSF Zone Def'!$AC63</f>
        <v>0</v>
      </c>
      <c r="BO74" s="57">
        <f>'POSF Inventory'!$EE66*'POSF Emiss by Zone'!$D$5*'POSF Zone Def'!$AC63</f>
        <v>0</v>
      </c>
      <c r="BP74" s="127">
        <f>'POSF Inventory'!$EF66*'POSF Emiss by Zone'!$D$6*'POSF Zone Def'!$AC63</f>
        <v>0</v>
      </c>
      <c r="BQ74" s="530">
        <f>'POSF Inventory'!EG66*'POSF Emiss by Zone'!$D$5*'POSF Zone Def'!$BB63</f>
        <v>0</v>
      </c>
      <c r="BR74" s="530">
        <f>'POSF Inventory'!EH66*'POSF Emiss by Zone'!$D$6*'POSF Zone Def'!$BB63</f>
        <v>0</v>
      </c>
      <c r="BS74" s="530">
        <f>'POSF Inventory'!EI66*'POSF Emiss by Zone'!$D$5*'POSF Zone Def'!$BB63</f>
        <v>0.56142030262500009</v>
      </c>
      <c r="BT74" s="530">
        <f>'POSF Inventory'!EJ66*'POSF Emiss by Zone'!$D$6*'POSF Zone Def'!$BB63</f>
        <v>5.6274910807499996</v>
      </c>
      <c r="BU74" s="530">
        <f>'POSF Inventory'!EK66*'POSF Emiss by Zone'!$D$5*'POSF Zone Def'!$BB63</f>
        <v>0</v>
      </c>
      <c r="BV74" s="531">
        <f>'POSF Inventory'!EL66*'POSF Emiss by Zone'!$D$6*'POSF Zone Def'!$BB63</f>
        <v>0</v>
      </c>
      <c r="BW74" s="57">
        <f>'POSF Inventory'!EG66*'POSF Emiss by Zone'!$D$5*'POSF Zone Def'!$BC63</f>
        <v>0</v>
      </c>
      <c r="BX74" s="57">
        <f>'POSF Inventory'!EH66*'POSF Emiss by Zone'!$D$6*'POSF Zone Def'!$BC63</f>
        <v>0</v>
      </c>
      <c r="BY74" s="57">
        <f>'POSF Inventory'!EI66*'POSF Emiss by Zone'!$D$5*'POSF Zone Def'!$BC63</f>
        <v>1.3099807061250002</v>
      </c>
      <c r="BZ74" s="57">
        <f>'POSF Inventory'!EJ66*'POSF Emiss by Zone'!$D$6*'POSF Zone Def'!$BC63</f>
        <v>13.130812521749998</v>
      </c>
      <c r="CA74" s="57">
        <f>'POSF Inventory'!EK66*'POSF Emiss by Zone'!$D$5*'POSF Zone Def'!$BC63</f>
        <v>0</v>
      </c>
      <c r="CB74" s="81">
        <f>'POSF Inventory'!EL66*'POSF Emiss by Zone'!$D$6*'POSF Zone Def'!$BC63</f>
        <v>0</v>
      </c>
      <c r="CC74" s="530">
        <f>'POSF Inventory'!GC66*'POSF Emiss by Zone'!$D$7*'POSF Zone Def'!$M63</f>
        <v>0</v>
      </c>
      <c r="CD74" s="530">
        <f>'POSF Inventory'!GD66*'POSF Emiss by Zone'!$D$9*'POSF Zone Def'!$M63</f>
        <v>0</v>
      </c>
      <c r="CE74" s="530">
        <f>'POSF Inventory'!GE66*'POSF Emiss by Zone'!$D$7*'POSF Zone Def'!$M63</f>
        <v>0</v>
      </c>
      <c r="CF74" s="530">
        <f>'POSF Inventory'!GF66*'POSF Emiss by Zone'!$D$9*'POSF Zone Def'!$M63</f>
        <v>0</v>
      </c>
      <c r="CG74" s="530">
        <f>'POSF Inventory'!GG66*'POSF Emiss by Zone'!$D$7*'POSF Zone Def'!$M63</f>
        <v>0</v>
      </c>
      <c r="CH74" s="531">
        <f>'POSF Inventory'!GH66*'POSF Emiss by Zone'!$D$9*'POSF Zone Def'!$M63</f>
        <v>0</v>
      </c>
      <c r="CI74" s="57">
        <f>'POSF Inventory'!GC66*'POSF Emiss by Zone'!$D$7*'POSF Zone Def'!$N63</f>
        <v>0</v>
      </c>
      <c r="CJ74" s="57">
        <f>'POSF Inventory'!GD66*'POSF Emiss by Zone'!$D$9*'POSF Zone Def'!$N63</f>
        <v>0</v>
      </c>
      <c r="CK74" s="57">
        <f>'POSF Inventory'!GE66*'POSF Emiss by Zone'!$D$7*'POSF Zone Def'!$N63</f>
        <v>0</v>
      </c>
      <c r="CL74" s="57">
        <f>'POSF Inventory'!GF66*'POSF Emiss by Zone'!$D$9*'POSF Zone Def'!$N63</f>
        <v>0</v>
      </c>
      <c r="CM74" s="57">
        <f>'POSF Inventory'!GG66*'POSF Emiss by Zone'!$D$7*'POSF Zone Def'!$N63</f>
        <v>0</v>
      </c>
      <c r="CN74" s="127">
        <f>'POSF Inventory'!GH66*'POSF Emiss by Zone'!$D$9*'POSF Zone Def'!$N63</f>
        <v>0</v>
      </c>
      <c r="CO74" s="530">
        <f>'POSF Inventory'!GI66*'POSF Emiss by Zone'!$D$7*'POSF Zone Def'!$AP63</f>
        <v>1.2292800000000001E-3</v>
      </c>
      <c r="CP74" s="530">
        <f>'POSF Inventory'!GJ66*'POSF Emiss by Zone'!$D$9*'POSF Zone Def'!$AP63</f>
        <v>1.5196974000000003E-3</v>
      </c>
      <c r="CQ74" s="530">
        <f>'POSF Inventory'!GK66*'POSF Emiss by Zone'!$D$7*'POSF Zone Def'!$AP63</f>
        <v>1.8439199999999999E-2</v>
      </c>
      <c r="CR74" s="530">
        <f>'POSF Inventory'!GL66*'POSF Emiss by Zone'!$D$9*'POSF Zone Def'!$AP63</f>
        <v>2.2795461000000003E-2</v>
      </c>
      <c r="CS74" s="530">
        <f>'POSF Inventory'!GM66*'POSF Emiss by Zone'!$D$7*'POSF Zone Def'!$AP63</f>
        <v>6.7610400000000001E-2</v>
      </c>
      <c r="CT74" s="531">
        <f>'POSF Inventory'!GN66*'POSF Emiss by Zone'!$D$9*'POSF Zone Def'!$AP63</f>
        <v>0.33433342800000004</v>
      </c>
      <c r="CU74" s="57">
        <f>'POSF Inventory'!GI66*'POSF Emiss by Zone'!$D$7*'POSF Zone Def'!$AQ63</f>
        <v>2.8683200000000002E-3</v>
      </c>
      <c r="CV74" s="57">
        <f>'POSF Inventory'!GJ66*'POSF Emiss by Zone'!$D$9*'POSF Zone Def'!$AQ63</f>
        <v>3.545960600000001E-3</v>
      </c>
      <c r="CW74" s="57">
        <f>'POSF Inventory'!GK66*'POSF Emiss by Zone'!$D$7*'POSF Zone Def'!$AQ63</f>
        <v>4.3024799999999995E-2</v>
      </c>
      <c r="CX74" s="57">
        <f>'POSF Inventory'!GL66*'POSF Emiss by Zone'!$D$9*'POSF Zone Def'!$AQ63</f>
        <v>5.3189409000000007E-2</v>
      </c>
      <c r="CY74" s="57">
        <f>'POSF Inventory'!GM66*'POSF Emiss by Zone'!$D$7*'POSF Zone Def'!$AQ63</f>
        <v>0.1577576</v>
      </c>
      <c r="CZ74" s="81">
        <f>'POSF Inventory'!GN66*'POSF Emiss by Zone'!$D$9*'POSF Zone Def'!$AQ63</f>
        <v>0.78011133200000016</v>
      </c>
      <c r="DA74" s="530">
        <f>SUM('POSF Inventory'!GQ66,'POSF Inventory'!GS66)*'POSF Emiss by Zone'!$D$7*'POSF Zone Def'!$Y63</f>
        <v>1.9268559755999997E-4</v>
      </c>
      <c r="DB74" s="530">
        <f>SUM('POSF Inventory'!GR66,'POSF Inventory'!GT66)*'POSF Emiss by Zone'!$D$9*'POSF Zone Def'!$Y63</f>
        <v>0.11910378499177497</v>
      </c>
      <c r="DC74" s="530"/>
      <c r="DD74" s="530"/>
      <c r="DE74" s="530">
        <f>'POSF Inventory'!GU66*'POSF Emiss by Zone'!$D$7*'POSF Zone Def'!$Y63</f>
        <v>0</v>
      </c>
      <c r="DF74" s="531">
        <f>'POSF Inventory'!GV66*'POSF Emiss by Zone'!$D$9*'POSF Zone Def'!$Y63</f>
        <v>0</v>
      </c>
      <c r="DG74" s="57">
        <f>SUM('POSF Inventory'!GQ66,'POSF Inventory'!GS66)*'POSF Emiss by Zone'!$D$7*'POSF Zone Def'!$Z63</f>
        <v>2.1409510839999998E-5</v>
      </c>
      <c r="DH74" s="57">
        <f>SUM('POSF Inventory'!GR66,'POSF Inventory'!GT66)*'POSF Emiss by Zone'!$D$9*'POSF Zone Def'!$Z63</f>
        <v>1.3233753887974998E-2</v>
      </c>
      <c r="DI74" s="57"/>
      <c r="DJ74" s="57"/>
      <c r="DK74" s="57">
        <f>'POSF Inventory'!GU66*'POSF Emiss by Zone'!$D$7*'POSF Zone Def'!$Z63</f>
        <v>0</v>
      </c>
      <c r="DL74" s="127">
        <f>'POSF Inventory'!GV66*'POSF Emiss by Zone'!$D$9*'POSF Zone Def'!$Z63</f>
        <v>0</v>
      </c>
      <c r="DM74" s="57">
        <f>SUM('POSF Inventory'!$GQ66,'POSF Inventory'!$GS66)*'POSF Emiss by Zone'!$D$7*'POSF Zone Def'!$AC63</f>
        <v>0</v>
      </c>
      <c r="DN74" s="57">
        <f>SUM('POSF Inventory'!$GR66,'POSF Inventory'!$GT66)*'POSF Emiss by Zone'!$D$9*'POSF Zone Def'!$AC63</f>
        <v>0</v>
      </c>
      <c r="DO74" s="57"/>
      <c r="DP74" s="57"/>
      <c r="DQ74" s="57">
        <f>'POSF Inventory'!$GU66*'POSF Emiss by Zone'!$D$7*'POSF Zone Def'!$AC63</f>
        <v>0</v>
      </c>
      <c r="DR74" s="127">
        <f>'POSF Inventory'!$GV66*'POSF Emiss by Zone'!$D$9*'POSF Zone Def'!$AC63</f>
        <v>0</v>
      </c>
      <c r="DS74" s="530">
        <f>SUM('POSF Inventory'!GW66,'POSF Inventory'!GY66)*$D$7*'POSF Zone Def'!$BB63</f>
        <v>0.33333866257650002</v>
      </c>
      <c r="DT74" s="530">
        <f>SUM('POSF Inventory'!GX66,'POSF Inventory'!GZ66)*$D$9*'POSF Zone Def'!$BB63</f>
        <v>5.0064265248243762</v>
      </c>
      <c r="DU74" s="530"/>
      <c r="DV74" s="530"/>
      <c r="DW74" s="530">
        <f>'POSF Inventory'!HA66*'POSF Emiss by Zone'!$D$7*'POSF Zone Def'!$BB63</f>
        <v>0</v>
      </c>
      <c r="DX74" s="531">
        <f>'POSF Inventory'!HB66*'POSF Emiss by Zone'!$D$9*'POSF Zone Def'!$BB63</f>
        <v>0</v>
      </c>
      <c r="DY74" s="57">
        <f>SUM('POSF Inventory'!GW66,'POSF Inventory'!GY66)*$D$7*'POSF Zone Def'!$BC63</f>
        <v>0.77779021267850001</v>
      </c>
      <c r="DZ74" s="57">
        <f>SUM('POSF Inventory'!GX66,'POSF Inventory'!GZ66)*$D$9*'POSF Zone Def'!$BC63</f>
        <v>11.681661891256876</v>
      </c>
      <c r="EA74" s="57"/>
      <c r="EB74" s="57"/>
      <c r="EC74" s="57">
        <f>'POSF Inventory'!HA66*'POSF Emiss by Zone'!$D$7*'POSF Zone Def'!$BC63</f>
        <v>0</v>
      </c>
      <c r="ED74" s="81">
        <f>'POSF Inventory'!HB66*'POSF Emiss by Zone'!$D$9*'POSF Zone Def'!$BC63</f>
        <v>0</v>
      </c>
      <c r="EE74" s="236">
        <f>'POSF Inventory'!$CF66*'POSF Emiss by Zone'!$D$7*'POSF Zone Def'!$CE63</f>
        <v>0</v>
      </c>
      <c r="EF74" s="236">
        <f>'POSF Inventory'!$CG66*'POSF Emiss by Zone'!$D$9*'POSF Zone Def'!$CE63</f>
        <v>0</v>
      </c>
      <c r="EG74" s="236">
        <f>'POSF Inventory'!$CH66*'POSF Emiss by Zone'!$D$7*'POSF Zone Def'!$CE63</f>
        <v>0</v>
      </c>
      <c r="EH74" s="236">
        <f>'POSF Inventory'!$CI66*'POSF Emiss by Zone'!$D$9*'POSF Zone Def'!$CE63</f>
        <v>0</v>
      </c>
      <c r="EI74" s="236">
        <f>'POSF Inventory'!$CJ66*'POSF Emiss by Zone'!$D$7*'POSF Zone Def'!$CE63</f>
        <v>0</v>
      </c>
      <c r="EJ74" s="581">
        <f>'POSF Inventory'!$CK66*'POSF Emiss by Zone'!$D$9*'POSF Zone Def'!$CE63</f>
        <v>0</v>
      </c>
      <c r="EK74" s="236">
        <f>'POSF Inventory'!$CF66*'POSF Emiss by Zone'!$D$7*'POSF Zone Def'!$CF63</f>
        <v>0</v>
      </c>
      <c r="EL74" s="236">
        <f>'POSF Inventory'!$CG66*'POSF Emiss by Zone'!$D$9*'POSF Zone Def'!$CF63</f>
        <v>0</v>
      </c>
      <c r="EM74" s="236">
        <f>'POSF Inventory'!$CH66*'POSF Emiss by Zone'!$D$7*'POSF Zone Def'!$CF63</f>
        <v>0</v>
      </c>
      <c r="EN74" s="236">
        <f>'POSF Inventory'!$CI66*'POSF Emiss by Zone'!$D$9*'POSF Zone Def'!$CF63</f>
        <v>0</v>
      </c>
      <c r="EO74" s="236">
        <f>'POSF Inventory'!$CJ66*'POSF Emiss by Zone'!$D$7*'POSF Zone Def'!$CF63</f>
        <v>0</v>
      </c>
      <c r="EP74" s="581">
        <f>'POSF Inventory'!$CK66*'POSF Emiss by Zone'!$D$9*'POSF Zone Def'!$CF63</f>
        <v>0</v>
      </c>
      <c r="EQ74" s="236">
        <f>'POSF Inventory'!$CF66*'POSF Emiss by Zone'!$D$7*'POSF Zone Def'!$CG63</f>
        <v>6.836992084947894E-5</v>
      </c>
      <c r="ER74" s="236">
        <f>'POSF Inventory'!$CG66*'POSF Emiss by Zone'!$D$9*'POSF Zone Def'!$CG63</f>
        <v>8.4522314650168335E-5</v>
      </c>
      <c r="ES74" s="236">
        <f>'POSF Inventory'!$CH66*'POSF Emiss by Zone'!$D$7*'POSF Zone Def'!$CG63</f>
        <v>0</v>
      </c>
      <c r="ET74" s="236">
        <f>'POSF Inventory'!$CI66*'POSF Emiss by Zone'!$D$9*'POSF Zone Def'!$CG63</f>
        <v>0</v>
      </c>
      <c r="EU74" s="236">
        <f>'POSF Inventory'!$CJ66*'POSF Emiss by Zone'!$D$7*'POSF Zone Def'!$CG63</f>
        <v>6.1532928764531031E-4</v>
      </c>
      <c r="EV74" s="581">
        <f>'POSF Inventory'!$CK66*'POSF Emiss by Zone'!$D$9*'POSF Zone Def'!$CG63</f>
        <v>7.6070083185151498E-4</v>
      </c>
      <c r="EW74" s="236">
        <f>'POSF Inventory'!$CF66*'POSF Emiss by Zone'!$D$7*'POSF Zone Def'!$CH63</f>
        <v>1.4270412584652614</v>
      </c>
      <c r="EX74" s="236">
        <f>'POSF Inventory'!$CG66*'POSF Emiss by Zone'!$D$9*'POSF Zone Def'!$CH63</f>
        <v>1.7641797557776795</v>
      </c>
      <c r="EY74" s="236">
        <f>'POSF Inventory'!$CH66*'POSF Emiss by Zone'!$D$7*'POSF Zone Def'!$CH63</f>
        <v>0</v>
      </c>
      <c r="EZ74" s="236">
        <f>'POSF Inventory'!$CI66*'POSF Emiss by Zone'!$D$9*'POSF Zone Def'!$CH63</f>
        <v>0</v>
      </c>
      <c r="FA74" s="236">
        <f>'POSF Inventory'!$CJ66*'POSF Emiss by Zone'!$D$7*'POSF Zone Def'!$CH63</f>
        <v>12.84337132618735</v>
      </c>
      <c r="FB74" s="581">
        <f>'POSF Inventory'!$CK66*'POSF Emiss by Zone'!$D$9*'POSF Zone Def'!$CH63</f>
        <v>15.877617801999115</v>
      </c>
      <c r="FC74" s="236">
        <f>'POSF Inventory'!$CF66*'POSF Emiss by Zone'!$D$7*'POSF Zone Def'!$CI63</f>
        <v>1.4501063716138896</v>
      </c>
      <c r="FD74" s="236">
        <f>'POSF Inventory'!$CG66*'POSF Emiss by Zone'!$D$9*'POSF Zone Def'!$CI63</f>
        <v>1.7926940019076709</v>
      </c>
      <c r="FE74" s="236">
        <f>'POSF Inventory'!$CH66*'POSF Emiss by Zone'!$D$7*'POSF Zone Def'!$CI63</f>
        <v>0</v>
      </c>
      <c r="FF74" s="236">
        <f>'POSF Inventory'!$CI66*'POSF Emiss by Zone'!$D$9*'POSF Zone Def'!$CI63</f>
        <v>0</v>
      </c>
      <c r="FG74" s="236">
        <f>'POSF Inventory'!$CJ66*'POSF Emiss by Zone'!$D$7*'POSF Zone Def'!$CI63</f>
        <v>13.050957344525004</v>
      </c>
      <c r="FH74" s="578">
        <f>'POSF Inventory'!$CK66*'POSF Emiss by Zone'!$D$9*'POSF Zone Def'!$CI63</f>
        <v>16.134246017169037</v>
      </c>
      <c r="FI74" s="595"/>
      <c r="FJ74" s="595"/>
      <c r="FM74" s="592">
        <v>57</v>
      </c>
      <c r="FN74" s="592">
        <f t="shared" si="98"/>
        <v>2011</v>
      </c>
      <c r="FO74" s="587">
        <v>54</v>
      </c>
      <c r="FP74" s="85">
        <f t="shared" si="20"/>
        <v>0.26293146749999996</v>
      </c>
      <c r="FQ74" s="530">
        <f t="shared" si="21"/>
        <v>0.26355379049999994</v>
      </c>
      <c r="FR74" s="530">
        <f t="shared" si="22"/>
        <v>0</v>
      </c>
      <c r="FS74" s="530">
        <f t="shared" si="23"/>
        <v>0</v>
      </c>
      <c r="FT74" s="530">
        <f t="shared" si="24"/>
        <v>0.19476405000000002</v>
      </c>
      <c r="FU74" s="531">
        <f t="shared" si="25"/>
        <v>0.19522503000000002</v>
      </c>
      <c r="FV74" s="57">
        <f t="shared" si="26"/>
        <v>0.61350675749999994</v>
      </c>
      <c r="FW74" s="57">
        <f t="shared" si="27"/>
        <v>0.61495884449999982</v>
      </c>
      <c r="FX74" s="57">
        <f t="shared" si="28"/>
        <v>0</v>
      </c>
      <c r="FY74" s="57">
        <f t="shared" si="29"/>
        <v>0</v>
      </c>
      <c r="FZ74" s="57">
        <f t="shared" si="30"/>
        <v>0.45444945000000003</v>
      </c>
      <c r="GA74" s="81">
        <f t="shared" si="31"/>
        <v>0.45552507000000003</v>
      </c>
      <c r="GB74" s="530">
        <f t="shared" si="32"/>
        <v>0</v>
      </c>
      <c r="GC74" s="530">
        <f t="shared" si="33"/>
        <v>0</v>
      </c>
      <c r="GD74" s="530">
        <f t="shared" si="34"/>
        <v>0.73377285620019939</v>
      </c>
      <c r="GE74" s="530">
        <f t="shared" si="35"/>
        <v>5.7800733144920322</v>
      </c>
      <c r="GF74" s="530">
        <f t="shared" si="36"/>
        <v>0.32331349601593623</v>
      </c>
      <c r="GG74" s="531">
        <f t="shared" si="37"/>
        <v>0.32407873505976104</v>
      </c>
      <c r="GH74" s="57">
        <f t="shared" si="38"/>
        <v>0</v>
      </c>
      <c r="GI74" s="57">
        <f t="shared" si="39"/>
        <v>0</v>
      </c>
      <c r="GJ74" s="57">
        <f t="shared" si="40"/>
        <v>1.7121366644671316</v>
      </c>
      <c r="GK74" s="57">
        <f t="shared" si="41"/>
        <v>13.48683773381474</v>
      </c>
      <c r="GL74" s="57">
        <f t="shared" si="42"/>
        <v>0.75439815737051796</v>
      </c>
      <c r="GM74" s="57">
        <f t="shared" si="43"/>
        <v>0.75618371513944227</v>
      </c>
      <c r="GN74" s="57">
        <f t="shared" si="44"/>
        <v>0</v>
      </c>
      <c r="GO74" s="57">
        <f t="shared" si="45"/>
        <v>0</v>
      </c>
      <c r="GP74" s="57">
        <f t="shared" si="46"/>
        <v>0</v>
      </c>
      <c r="GQ74" s="57">
        <f t="shared" si="47"/>
        <v>0</v>
      </c>
      <c r="GR74" s="57">
        <f t="shared" si="48"/>
        <v>0</v>
      </c>
      <c r="GS74" s="81">
        <f t="shared" si="49"/>
        <v>0</v>
      </c>
      <c r="GT74" s="530">
        <f t="shared" si="50"/>
        <v>6.9352799462355065E-3</v>
      </c>
      <c r="GU74" s="530">
        <f t="shared" si="51"/>
        <v>0.10621776907380073</v>
      </c>
      <c r="GV74" s="530">
        <f t="shared" si="52"/>
        <v>3.820073306772908E-4</v>
      </c>
      <c r="GW74" s="530">
        <f t="shared" si="53"/>
        <v>4.7225656254980085E-4</v>
      </c>
      <c r="GX74" s="530">
        <f t="shared" si="54"/>
        <v>1.4006935458167331E-3</v>
      </c>
      <c r="GY74" s="531">
        <f t="shared" si="55"/>
        <v>6.9264295840637457E-3</v>
      </c>
      <c r="GZ74" s="57">
        <f t="shared" si="56"/>
        <v>1.6173449001532145E-2</v>
      </c>
      <c r="HA74" s="57">
        <f t="shared" si="57"/>
        <v>0.24235815278833953</v>
      </c>
      <c r="HB74" s="57">
        <f t="shared" si="58"/>
        <v>8.9135043824701177E-4</v>
      </c>
      <c r="HC74" s="57">
        <f t="shared" si="59"/>
        <v>1.1019319792828686E-3</v>
      </c>
      <c r="HD74" s="57">
        <f t="shared" si="60"/>
        <v>3.2682849402390439E-3</v>
      </c>
      <c r="HE74" s="127">
        <f t="shared" si="61"/>
        <v>1.6161669029482073E-2</v>
      </c>
      <c r="HF74" s="236">
        <f t="shared" si="62"/>
        <v>7.0821431955635559E-5</v>
      </c>
      <c r="HG74" s="236">
        <f t="shared" si="63"/>
        <v>8.7552995255154445E-5</v>
      </c>
      <c r="HH74" s="236">
        <f t="shared" si="64"/>
        <v>0</v>
      </c>
      <c r="HI74" s="236">
        <f t="shared" si="65"/>
        <v>0</v>
      </c>
      <c r="HJ74" s="236">
        <f t="shared" si="66"/>
        <v>6.3739288760071978E-4</v>
      </c>
      <c r="HK74" s="581">
        <f t="shared" si="67"/>
        <v>7.8797695729638996E-4</v>
      </c>
      <c r="HL74" s="236">
        <f t="shared" si="68"/>
        <v>1.4782100685297528</v>
      </c>
      <c r="HM74" s="236">
        <f t="shared" si="69"/>
        <v>1.8274371972199071</v>
      </c>
      <c r="HN74" s="236">
        <f t="shared" si="70"/>
        <v>0</v>
      </c>
      <c r="HO74" s="236">
        <f t="shared" si="71"/>
        <v>0</v>
      </c>
      <c r="HP74" s="236">
        <f t="shared" si="72"/>
        <v>13.303890616767772</v>
      </c>
      <c r="HQ74" s="581">
        <f t="shared" si="73"/>
        <v>16.446934774979162</v>
      </c>
      <c r="HR74" s="236">
        <f t="shared" si="74"/>
        <v>1.502102217608013</v>
      </c>
      <c r="HS74" s="236">
        <f t="shared" si="75"/>
        <v>1.8569738665179061</v>
      </c>
      <c r="HT74" s="236">
        <f t="shared" si="76"/>
        <v>0</v>
      </c>
      <c r="HU74" s="236">
        <f t="shared" si="77"/>
        <v>0</v>
      </c>
      <c r="HV74" s="236">
        <f t="shared" si="78"/>
        <v>13.518919958472116</v>
      </c>
      <c r="HW74" s="578">
        <f t="shared" si="79"/>
        <v>16.712764798661155</v>
      </c>
      <c r="HX74" s="236">
        <f t="shared" si="80"/>
        <v>0.3685834549887777</v>
      </c>
      <c r="HY74" s="236">
        <f t="shared" si="81"/>
        <v>5.645065896391456</v>
      </c>
      <c r="HZ74" s="236">
        <f t="shared" si="82"/>
        <v>2.0302220366533862E-2</v>
      </c>
      <c r="IA74" s="236">
        <f t="shared" si="83"/>
        <v>2.5098619928127491E-2</v>
      </c>
      <c r="IB74" s="236">
        <f t="shared" si="84"/>
        <v>7.4441474677290828E-2</v>
      </c>
      <c r="IC74" s="236">
        <f t="shared" si="85"/>
        <v>0.36811309227920319</v>
      </c>
      <c r="ID74" s="236">
        <f t="shared" si="86"/>
        <v>0.85955660885835039</v>
      </c>
      <c r="IE74" s="236">
        <f t="shared" si="87"/>
        <v>12.880403673958751</v>
      </c>
      <c r="IF74" s="236">
        <f t="shared" si="88"/>
        <v>4.7371847521912334E-2</v>
      </c>
      <c r="IG74" s="236">
        <f t="shared" si="89"/>
        <v>5.8563446498964139E-2</v>
      </c>
      <c r="IH74" s="236">
        <f t="shared" si="90"/>
        <v>0.17369677424701194</v>
      </c>
      <c r="II74" s="236">
        <f t="shared" si="91"/>
        <v>0.85893054865147422</v>
      </c>
      <c r="IJ74" s="236">
        <f t="shared" si="92"/>
        <v>0</v>
      </c>
      <c r="IK74" s="236">
        <f t="shared" si="93"/>
        <v>0</v>
      </c>
      <c r="IL74" s="236">
        <f t="shared" si="94"/>
        <v>0</v>
      </c>
      <c r="IM74" s="236">
        <f t="shared" si="95"/>
        <v>0</v>
      </c>
      <c r="IN74" s="236">
        <f t="shared" si="96"/>
        <v>0</v>
      </c>
      <c r="IO74" s="236">
        <f t="shared" si="97"/>
        <v>0</v>
      </c>
    </row>
    <row r="75" spans="1:249" ht="18" x14ac:dyDescent="0.25">
      <c r="A75" s="9">
        <v>2012</v>
      </c>
      <c r="B75" s="564"/>
      <c r="C75" s="530">
        <f>'POSF Inventory'!AD67*$D$5*'POSF Zone Def'!$M64</f>
        <v>0</v>
      </c>
      <c r="D75" s="530">
        <f>'POSF Inventory'!AE67*$D$6*'POSF Zone Def'!$M64</f>
        <v>0</v>
      </c>
      <c r="E75" s="530">
        <f>'POSF Inventory'!AF67*$D$5*'POSF Zone Def'!$M64</f>
        <v>0</v>
      </c>
      <c r="F75" s="530">
        <f>'POSF Inventory'!AG67*$D$6*'POSF Zone Def'!$M64</f>
        <v>0</v>
      </c>
      <c r="G75" s="530">
        <f>'POSF Inventory'!AH67*$D$5*'POSF Zone Def'!$M64</f>
        <v>0</v>
      </c>
      <c r="H75" s="531">
        <f>'POSF Inventory'!AI67*$D$6*'POSF Zone Def'!$M64</f>
        <v>0</v>
      </c>
      <c r="I75" s="57">
        <f>'POSF Inventory'!AD67*$D$5*'POSF Zone Def'!$N64</f>
        <v>0</v>
      </c>
      <c r="J75" s="57">
        <f>'POSF Inventory'!AE67*$D$6*'POSF Zone Def'!$N64</f>
        <v>0</v>
      </c>
      <c r="K75" s="57">
        <f>'POSF Inventory'!AF67*$D$5*'POSF Zone Def'!$N64</f>
        <v>0</v>
      </c>
      <c r="L75" s="57">
        <f>'POSF Inventory'!AG67*$D$6*'POSF Zone Def'!$N64</f>
        <v>0</v>
      </c>
      <c r="M75" s="57">
        <f>'POSF Inventory'!AH67*$D$5*'POSF Zone Def'!$N64</f>
        <v>0</v>
      </c>
      <c r="N75" s="127">
        <f>'POSF Inventory'!AI67*$D$6*'POSF Zone Def'!$N64</f>
        <v>0</v>
      </c>
      <c r="O75" s="530">
        <f>'POSF Inventory'!AJ67*$D$5*'POSF Zone Def'!$AP64</f>
        <v>0.26293146749999996</v>
      </c>
      <c r="P75" s="530">
        <f>'POSF Inventory'!AK67*$D$6*'POSF Zone Def'!$AP64</f>
        <v>0.26355379049999994</v>
      </c>
      <c r="Q75" s="530">
        <f>'POSF Inventory'!AL67*$D$5*'POSF Zone Def'!$AP64</f>
        <v>0</v>
      </c>
      <c r="R75" s="530">
        <f>'POSF Inventory'!AM67*$D$6*'POSF Zone Def'!$AP64</f>
        <v>0</v>
      </c>
      <c r="S75" s="530">
        <f>'POSF Inventory'!AN67*$D$5*'POSF Zone Def'!$AP64</f>
        <v>0.19476405000000002</v>
      </c>
      <c r="T75" s="531">
        <f>'POSF Inventory'!AO67*$D$6*'POSF Zone Def'!$AP64</f>
        <v>0.19522503000000002</v>
      </c>
      <c r="U75" s="57">
        <f>'POSF Inventory'!AJ67*$D$5*'POSF Zone Def'!$AQ64</f>
        <v>0.61350675749999994</v>
      </c>
      <c r="V75" s="57">
        <f>'POSF Inventory'!AK67*$D$6*'POSF Zone Def'!$AQ64</f>
        <v>0.61495884449999982</v>
      </c>
      <c r="W75" s="57">
        <f>'POSF Inventory'!AL67*$D$5*'POSF Zone Def'!$AQ64</f>
        <v>0</v>
      </c>
      <c r="X75" s="57">
        <f>'POSF Inventory'!AM67*$D$6*'POSF Zone Def'!$AQ64</f>
        <v>0</v>
      </c>
      <c r="Y75" s="57">
        <f>'POSF Inventory'!AN67*$D$5*'POSF Zone Def'!$AQ64</f>
        <v>0.45444945000000003</v>
      </c>
      <c r="Z75" s="81">
        <f>'POSF Inventory'!AO67*$D$6*'POSF Zone Def'!$AQ64</f>
        <v>0.45552507000000003</v>
      </c>
      <c r="AA75" s="530">
        <f>'POSF Inventory'!AV67*'POSF Emiss by Zone'!$D$5*'POSF Zone Def'!$M64</f>
        <v>0</v>
      </c>
      <c r="AB75" s="530">
        <f>'POSF Inventory'!AW67*'POSF Emiss by Zone'!$D$6*'POSF Zone Def'!$M64</f>
        <v>0</v>
      </c>
      <c r="AC75" s="530">
        <f>'POSF Inventory'!AX67*'POSF Emiss by Zone'!$D$5*'POSF Zone Def'!$M64</f>
        <v>0</v>
      </c>
      <c r="AD75" s="530">
        <f>'POSF Inventory'!AY67*'POSF Emiss by Zone'!$D$6*'POSF Zone Def'!$M64</f>
        <v>0</v>
      </c>
      <c r="AE75" s="530">
        <f>'POSF Inventory'!AZ67*'POSF Emiss by Zone'!$D$5*'POSF Zone Def'!$M64</f>
        <v>0</v>
      </c>
      <c r="AF75" s="531">
        <f>'POSF Inventory'!BA67*'POSF Emiss by Zone'!$D$6*'POSF Zone Def'!$M64</f>
        <v>0</v>
      </c>
      <c r="AG75" s="57">
        <f>'POSF Inventory'!AV67*'POSF Emiss by Zone'!$D$5*'POSF Zone Def'!$N64</f>
        <v>0</v>
      </c>
      <c r="AH75" s="57">
        <f>'POSF Inventory'!AW67*'POSF Emiss by Zone'!$D$6*'POSF Zone Def'!$N64</f>
        <v>0</v>
      </c>
      <c r="AI75" s="57">
        <f>'POSF Inventory'!AX67*'POSF Emiss by Zone'!$D$5*'POSF Zone Def'!$N64</f>
        <v>0</v>
      </c>
      <c r="AJ75" s="57">
        <f>'POSF Inventory'!AY67*'POSF Emiss by Zone'!$D$6*'POSF Zone Def'!$N64</f>
        <v>0</v>
      </c>
      <c r="AK75" s="57">
        <f>'POSF Inventory'!AZ67*'POSF Emiss by Zone'!$D$5*'POSF Zone Def'!$N64</f>
        <v>0</v>
      </c>
      <c r="AL75" s="127">
        <f>'POSF Inventory'!BA67*'POSF Emiss by Zone'!$D$6*'POSF Zone Def'!$N64</f>
        <v>0</v>
      </c>
      <c r="AM75" s="530">
        <f>'POSF Inventory'!BB67*'POSF Emiss by Zone'!$D$5*'POSF Zone Def'!$AP64</f>
        <v>0</v>
      </c>
      <c r="AN75" s="530">
        <f>'POSF Inventory'!BC67*'POSF Emiss by Zone'!$D$6*'POSF Zone Def'!$AP64</f>
        <v>0</v>
      </c>
      <c r="AO75" s="530">
        <f>'POSF Inventory'!BD67*'POSF Emiss by Zone'!$D$5*'POSF Zone Def'!$AP64</f>
        <v>0.17528764500000002</v>
      </c>
      <c r="AP75" s="530">
        <f>'POSF Inventory'!BE67*'POSF Emiss by Zone'!$D$6*'POSF Zone Def'!$AP64</f>
        <v>0.17570252700000002</v>
      </c>
      <c r="AQ75" s="530">
        <f>'POSF Inventory'!BF67*'POSF Emiss by Zone'!$D$5*'POSF Zone Def'!$AP64</f>
        <v>0.32460675</v>
      </c>
      <c r="AR75" s="531">
        <f>'POSF Inventory'!BG67*'POSF Emiss by Zone'!$D$6*'POSF Zone Def'!$AP64</f>
        <v>0.32537505000000005</v>
      </c>
      <c r="AS75" s="57">
        <f>'POSF Inventory'!BB67*'POSF Emiss by Zone'!$D$5*'POSF Zone Def'!$AQ64</f>
        <v>0</v>
      </c>
      <c r="AT75" s="57">
        <f>'POSF Inventory'!BC67*'POSF Emiss by Zone'!$D$6*'POSF Zone Def'!$AQ64</f>
        <v>0</v>
      </c>
      <c r="AU75" s="57">
        <f>'POSF Inventory'!BD67*'POSF Emiss by Zone'!$D$5*'POSF Zone Def'!$AQ64</f>
        <v>0.40900450500000007</v>
      </c>
      <c r="AV75" s="57">
        <f>'POSF Inventory'!BE67*'POSF Emiss by Zone'!$D$6*'POSF Zone Def'!$AQ64</f>
        <v>0.40997256300000001</v>
      </c>
      <c r="AW75" s="57">
        <f>'POSF Inventory'!BF67*'POSF Emiss by Zone'!$D$5*'POSF Zone Def'!$AQ64</f>
        <v>0.75741575000000005</v>
      </c>
      <c r="AX75" s="81">
        <f>'POSF Inventory'!BG67*'POSF Emiss by Zone'!$D$6*'POSF Zone Def'!$AQ64</f>
        <v>0.75920845000000003</v>
      </c>
      <c r="AY75" s="530">
        <f>'POSF Inventory'!EA67*'POSF Emiss by Zone'!$D$5*'POSF Zone Def'!$Y64</f>
        <v>0</v>
      </c>
      <c r="AZ75" s="530">
        <f>'POSF Inventory'!EB67*'POSF Emiss by Zone'!$D$6*'POSF Zone Def'!$Y64</f>
        <v>0</v>
      </c>
      <c r="BA75" s="530">
        <f>'POSF Inventory'!EC67*'POSF Emiss by Zone'!$D$5*'POSF Zone Def'!$Y64</f>
        <v>0</v>
      </c>
      <c r="BB75" s="530">
        <f>'POSF Inventory'!ED67*'POSF Emiss by Zone'!$D$6*'POSF Zone Def'!$Y64</f>
        <v>0</v>
      </c>
      <c r="BC75" s="530">
        <f>'POSF Inventory'!EE67*'POSF Emiss by Zone'!$D$5*'POSF Zone Def'!$Y64</f>
        <v>0</v>
      </c>
      <c r="BD75" s="531">
        <f>'POSF Inventory'!EF67*'POSF Emiss by Zone'!$D$6*'POSF Zone Def'!$Y64</f>
        <v>0</v>
      </c>
      <c r="BE75" s="57">
        <f>'POSF Inventory'!EA67*'POSF Emiss by Zone'!$D$5*'POSF Zone Def'!$Z64</f>
        <v>0</v>
      </c>
      <c r="BF75" s="57">
        <f>'POSF Inventory'!EB67*'POSF Emiss by Zone'!$D$6*'POSF Zone Def'!$Z64</f>
        <v>0</v>
      </c>
      <c r="BG75" s="57">
        <f>'POSF Inventory'!EC67*'POSF Emiss by Zone'!$D$5*'POSF Zone Def'!$Z64</f>
        <v>0</v>
      </c>
      <c r="BH75" s="57">
        <f>'POSF Inventory'!ED67*'POSF Emiss by Zone'!$D$6*'POSF Zone Def'!$Z64</f>
        <v>0</v>
      </c>
      <c r="BI75" s="57">
        <f>'POSF Inventory'!EE67*'POSF Emiss by Zone'!$D$5*'POSF Zone Def'!$Z64</f>
        <v>0</v>
      </c>
      <c r="BJ75" s="127">
        <f>'POSF Inventory'!EF67*'POSF Emiss by Zone'!$D$6*'POSF Zone Def'!$Z64</f>
        <v>0</v>
      </c>
      <c r="BK75" s="57">
        <f>'POSF Inventory'!$EA67*'POSF Emiss by Zone'!$D$5*'POSF Zone Def'!$AC64</f>
        <v>0</v>
      </c>
      <c r="BL75" s="57">
        <f>'POSF Inventory'!$EB67*'POSF Emiss by Zone'!$D$6*'POSF Zone Def'!$AC64</f>
        <v>0</v>
      </c>
      <c r="BM75" s="57">
        <f>'POSF Inventory'!$EC67*'POSF Emiss by Zone'!$D$5*'POSF Zone Def'!$AC64</f>
        <v>0</v>
      </c>
      <c r="BN75" s="57">
        <f>'POSF Inventory'!$ED67*'POSF Emiss by Zone'!$D$6*'POSF Zone Def'!$AC64</f>
        <v>0</v>
      </c>
      <c r="BO75" s="57">
        <f>'POSF Inventory'!$EE67*'POSF Emiss by Zone'!$D$5*'POSF Zone Def'!$AC64</f>
        <v>0</v>
      </c>
      <c r="BP75" s="127">
        <f>'POSF Inventory'!$EF67*'POSF Emiss by Zone'!$D$6*'POSF Zone Def'!$AC64</f>
        <v>0</v>
      </c>
      <c r="BQ75" s="530">
        <f>'POSF Inventory'!EG67*'POSF Emiss by Zone'!$D$5*'POSF Zone Def'!$BB64</f>
        <v>0</v>
      </c>
      <c r="BR75" s="530">
        <f>'POSF Inventory'!EH67*'POSF Emiss by Zone'!$D$6*'POSF Zone Def'!$BB64</f>
        <v>0</v>
      </c>
      <c r="BS75" s="530">
        <f>'POSF Inventory'!EI67*'POSF Emiss by Zone'!$D$5*'POSF Zone Def'!$BB64</f>
        <v>0.66464924175000029</v>
      </c>
      <c r="BT75" s="530">
        <f>'POSF Inventory'!EJ67*'POSF Emiss by Zone'!$D$6*'POSF Zone Def'!$BB64</f>
        <v>6.6622237605000016</v>
      </c>
      <c r="BU75" s="530">
        <f>'POSF Inventory'!EK67*'POSF Emiss by Zone'!$D$5*'POSF Zone Def'!$BB64</f>
        <v>0</v>
      </c>
      <c r="BV75" s="531">
        <f>'POSF Inventory'!EL67*'POSF Emiss by Zone'!$D$6*'POSF Zone Def'!$BB64</f>
        <v>0</v>
      </c>
      <c r="BW75" s="57">
        <f>'POSF Inventory'!EG67*'POSF Emiss by Zone'!$D$5*'POSF Zone Def'!$BC64</f>
        <v>0</v>
      </c>
      <c r="BX75" s="57">
        <f>'POSF Inventory'!EH67*'POSF Emiss by Zone'!$D$6*'POSF Zone Def'!$BC64</f>
        <v>0</v>
      </c>
      <c r="BY75" s="57">
        <f>'POSF Inventory'!EI67*'POSF Emiss by Zone'!$D$5*'POSF Zone Def'!$BC64</f>
        <v>1.5508482307500007</v>
      </c>
      <c r="BZ75" s="57">
        <f>'POSF Inventory'!EJ67*'POSF Emiss by Zone'!$D$6*'POSF Zone Def'!$BC64</f>
        <v>15.545188774500003</v>
      </c>
      <c r="CA75" s="57">
        <f>'POSF Inventory'!EK67*'POSF Emiss by Zone'!$D$5*'POSF Zone Def'!$BC64</f>
        <v>0</v>
      </c>
      <c r="CB75" s="81">
        <f>'POSF Inventory'!EL67*'POSF Emiss by Zone'!$D$6*'POSF Zone Def'!$BC64</f>
        <v>0</v>
      </c>
      <c r="CC75" s="530">
        <f>'POSF Inventory'!GC67*'POSF Emiss by Zone'!$D$7*'POSF Zone Def'!$M64</f>
        <v>0</v>
      </c>
      <c r="CD75" s="530">
        <f>'POSF Inventory'!GD67*'POSF Emiss by Zone'!$D$9*'POSF Zone Def'!$M64</f>
        <v>0</v>
      </c>
      <c r="CE75" s="530">
        <f>'POSF Inventory'!GE67*'POSF Emiss by Zone'!$D$7*'POSF Zone Def'!$M64</f>
        <v>0</v>
      </c>
      <c r="CF75" s="530">
        <f>'POSF Inventory'!GF67*'POSF Emiss by Zone'!$D$9*'POSF Zone Def'!$M64</f>
        <v>0</v>
      </c>
      <c r="CG75" s="530">
        <f>'POSF Inventory'!GG67*'POSF Emiss by Zone'!$D$7*'POSF Zone Def'!$M64</f>
        <v>0</v>
      </c>
      <c r="CH75" s="531">
        <f>'POSF Inventory'!GH67*'POSF Emiss by Zone'!$D$9*'POSF Zone Def'!$M64</f>
        <v>0</v>
      </c>
      <c r="CI75" s="57">
        <f>'POSF Inventory'!GC67*'POSF Emiss by Zone'!$D$7*'POSF Zone Def'!$N64</f>
        <v>0</v>
      </c>
      <c r="CJ75" s="57">
        <f>'POSF Inventory'!GD67*'POSF Emiss by Zone'!$D$9*'POSF Zone Def'!$N64</f>
        <v>0</v>
      </c>
      <c r="CK75" s="57">
        <f>'POSF Inventory'!GE67*'POSF Emiss by Zone'!$D$7*'POSF Zone Def'!$N64</f>
        <v>0</v>
      </c>
      <c r="CL75" s="57">
        <f>'POSF Inventory'!GF67*'POSF Emiss by Zone'!$D$9*'POSF Zone Def'!$N64</f>
        <v>0</v>
      </c>
      <c r="CM75" s="57">
        <f>'POSF Inventory'!GG67*'POSF Emiss by Zone'!$D$7*'POSF Zone Def'!$N64</f>
        <v>0</v>
      </c>
      <c r="CN75" s="127">
        <f>'POSF Inventory'!GH67*'POSF Emiss by Zone'!$D$9*'POSF Zone Def'!$N64</f>
        <v>0</v>
      </c>
      <c r="CO75" s="530">
        <f>'POSF Inventory'!GI67*'POSF Emiss by Zone'!$D$7*'POSF Zone Def'!$AP64</f>
        <v>1.2292800000000001E-3</v>
      </c>
      <c r="CP75" s="530">
        <f>'POSF Inventory'!GJ67*'POSF Emiss by Zone'!$D$9*'POSF Zone Def'!$AP64</f>
        <v>1.5196974000000003E-3</v>
      </c>
      <c r="CQ75" s="530">
        <f>'POSF Inventory'!GK67*'POSF Emiss by Zone'!$D$7*'POSF Zone Def'!$AP64</f>
        <v>1.8439199999999999E-2</v>
      </c>
      <c r="CR75" s="530">
        <f>'POSF Inventory'!GL67*'POSF Emiss by Zone'!$D$9*'POSF Zone Def'!$AP64</f>
        <v>2.2795461000000003E-2</v>
      </c>
      <c r="CS75" s="530">
        <f>'POSF Inventory'!GM67*'POSF Emiss by Zone'!$D$7*'POSF Zone Def'!$AP64</f>
        <v>6.7610400000000001E-2</v>
      </c>
      <c r="CT75" s="531">
        <f>'POSF Inventory'!GN67*'POSF Emiss by Zone'!$D$9*'POSF Zone Def'!$AP64</f>
        <v>0.33433342800000004</v>
      </c>
      <c r="CU75" s="57">
        <f>'POSF Inventory'!GI67*'POSF Emiss by Zone'!$D$7*'POSF Zone Def'!$AQ64</f>
        <v>2.8683200000000002E-3</v>
      </c>
      <c r="CV75" s="57">
        <f>'POSF Inventory'!GJ67*'POSF Emiss by Zone'!$D$9*'POSF Zone Def'!$AQ64</f>
        <v>3.545960600000001E-3</v>
      </c>
      <c r="CW75" s="57">
        <f>'POSF Inventory'!GK67*'POSF Emiss by Zone'!$D$7*'POSF Zone Def'!$AQ64</f>
        <v>4.3024799999999995E-2</v>
      </c>
      <c r="CX75" s="57">
        <f>'POSF Inventory'!GL67*'POSF Emiss by Zone'!$D$9*'POSF Zone Def'!$AQ64</f>
        <v>5.3189409000000007E-2</v>
      </c>
      <c r="CY75" s="57">
        <f>'POSF Inventory'!GM67*'POSF Emiss by Zone'!$D$7*'POSF Zone Def'!$AQ64</f>
        <v>0.1577576</v>
      </c>
      <c r="CZ75" s="81">
        <f>'POSF Inventory'!GN67*'POSF Emiss by Zone'!$D$9*'POSF Zone Def'!$AQ64</f>
        <v>0.78011133200000016</v>
      </c>
      <c r="DA75" s="530">
        <f>SUM('POSF Inventory'!GQ67,'POSF Inventory'!GS67)*'POSF Emiss by Zone'!$D$7*'POSF Zone Def'!$Y64</f>
        <v>0</v>
      </c>
      <c r="DB75" s="530">
        <f>SUM('POSF Inventory'!GR67,'POSF Inventory'!GT67)*'POSF Emiss by Zone'!$D$9*'POSF Zone Def'!$Y64</f>
        <v>0</v>
      </c>
      <c r="DC75" s="530"/>
      <c r="DD75" s="530"/>
      <c r="DE75" s="530">
        <f>'POSF Inventory'!GU67*'POSF Emiss by Zone'!$D$7*'POSF Zone Def'!$Y64</f>
        <v>0</v>
      </c>
      <c r="DF75" s="531">
        <f>'POSF Inventory'!GV67*'POSF Emiss by Zone'!$D$9*'POSF Zone Def'!$Y64</f>
        <v>0</v>
      </c>
      <c r="DG75" s="57">
        <f>SUM('POSF Inventory'!GQ67,'POSF Inventory'!GS67)*'POSF Emiss by Zone'!$D$7*'POSF Zone Def'!$Z64</f>
        <v>0</v>
      </c>
      <c r="DH75" s="57">
        <f>SUM('POSF Inventory'!GR67,'POSF Inventory'!GT67)*'POSF Emiss by Zone'!$D$9*'POSF Zone Def'!$Z64</f>
        <v>0</v>
      </c>
      <c r="DI75" s="57"/>
      <c r="DJ75" s="57"/>
      <c r="DK75" s="57">
        <f>'POSF Inventory'!GU67*'POSF Emiss by Zone'!$D$7*'POSF Zone Def'!$Z64</f>
        <v>0</v>
      </c>
      <c r="DL75" s="127">
        <f>'POSF Inventory'!GV67*'POSF Emiss by Zone'!$D$9*'POSF Zone Def'!$Z64</f>
        <v>0</v>
      </c>
      <c r="DM75" s="57">
        <f>SUM('POSF Inventory'!$GQ67,'POSF Inventory'!$GS67)*'POSF Emiss by Zone'!$D$7*'POSF Zone Def'!$AC64</f>
        <v>0</v>
      </c>
      <c r="DN75" s="57">
        <f>SUM('POSF Inventory'!$GR67,'POSF Inventory'!$GT67)*'POSF Emiss by Zone'!$D$9*'POSF Zone Def'!$AC64</f>
        <v>0</v>
      </c>
      <c r="DO75" s="57"/>
      <c r="DP75" s="57"/>
      <c r="DQ75" s="57">
        <f>'POSF Inventory'!$GU67*'POSF Emiss by Zone'!$D$7*'POSF Zone Def'!$AC64</f>
        <v>0</v>
      </c>
      <c r="DR75" s="127">
        <f>'POSF Inventory'!$GV67*'POSF Emiss by Zone'!$D$9*'POSF Zone Def'!$AC64</f>
        <v>0</v>
      </c>
      <c r="DS75" s="530">
        <f>SUM('POSF Inventory'!GW67,'POSF Inventory'!GY67)*$D$7*'POSF Zone Def'!$BB64</f>
        <v>0.34969229941800006</v>
      </c>
      <c r="DT75" s="530">
        <f>SUM('POSF Inventory'!GX67,'POSF Inventory'!GZ67)*$D$9*'POSF Zone Def'!$BB64</f>
        <v>5.2245563677190638</v>
      </c>
      <c r="DU75" s="530"/>
      <c r="DV75" s="530"/>
      <c r="DW75" s="530">
        <f>'POSF Inventory'!HA67*'POSF Emiss by Zone'!$D$7*'POSF Zone Def'!$BB64</f>
        <v>0</v>
      </c>
      <c r="DX75" s="531">
        <f>'POSF Inventory'!HB67*'POSF Emiss by Zone'!$D$9*'POSF Zone Def'!$BB64</f>
        <v>0</v>
      </c>
      <c r="DY75" s="57">
        <f>SUM('POSF Inventory'!GW67,'POSF Inventory'!GY67)*$D$7*'POSF Zone Def'!$BC64</f>
        <v>0.81594869864200015</v>
      </c>
      <c r="DZ75" s="57">
        <f>SUM('POSF Inventory'!GX67,'POSF Inventory'!GZ67)*$D$9*'POSF Zone Def'!$BC64</f>
        <v>12.190631524677816</v>
      </c>
      <c r="EA75" s="57"/>
      <c r="EB75" s="57"/>
      <c r="EC75" s="57">
        <f>'POSF Inventory'!HA67*'POSF Emiss by Zone'!$D$7*'POSF Zone Def'!$BC64</f>
        <v>0</v>
      </c>
      <c r="ED75" s="81">
        <f>'POSF Inventory'!HB67*'POSF Emiss by Zone'!$D$9*'POSF Zone Def'!$BC64</f>
        <v>0</v>
      </c>
      <c r="EE75" s="236">
        <f>'POSF Inventory'!$CF67*'POSF Emiss by Zone'!$D$7*'POSF Zone Def'!$CE64</f>
        <v>0</v>
      </c>
      <c r="EF75" s="236">
        <f>'POSF Inventory'!$CG67*'POSF Emiss by Zone'!$D$9*'POSF Zone Def'!$CE64</f>
        <v>0</v>
      </c>
      <c r="EG75" s="236">
        <f>'POSF Inventory'!$CH67*'POSF Emiss by Zone'!$D$7*'POSF Zone Def'!$CE64</f>
        <v>0</v>
      </c>
      <c r="EH75" s="236">
        <f>'POSF Inventory'!$CI67*'POSF Emiss by Zone'!$D$9*'POSF Zone Def'!$CE64</f>
        <v>0</v>
      </c>
      <c r="EI75" s="236">
        <f>'POSF Inventory'!$CJ67*'POSF Emiss by Zone'!$D$7*'POSF Zone Def'!$CE64</f>
        <v>0</v>
      </c>
      <c r="EJ75" s="581">
        <f>'POSF Inventory'!$CK67*'POSF Emiss by Zone'!$D$9*'POSF Zone Def'!$CE64</f>
        <v>0</v>
      </c>
      <c r="EK75" s="236">
        <f>'POSF Inventory'!$CF67*'POSF Emiss by Zone'!$D$7*'POSF Zone Def'!$CF64</f>
        <v>0</v>
      </c>
      <c r="EL75" s="236">
        <f>'POSF Inventory'!$CG67*'POSF Emiss by Zone'!$D$9*'POSF Zone Def'!$CF64</f>
        <v>0</v>
      </c>
      <c r="EM75" s="236">
        <f>'POSF Inventory'!$CH67*'POSF Emiss by Zone'!$D$7*'POSF Zone Def'!$CF64</f>
        <v>0</v>
      </c>
      <c r="EN75" s="236">
        <f>'POSF Inventory'!$CI67*'POSF Emiss by Zone'!$D$9*'POSF Zone Def'!$CF64</f>
        <v>0</v>
      </c>
      <c r="EO75" s="236">
        <f>'POSF Inventory'!$CJ67*'POSF Emiss by Zone'!$D$7*'POSF Zone Def'!$CF64</f>
        <v>0</v>
      </c>
      <c r="EP75" s="581">
        <f>'POSF Inventory'!$CK67*'POSF Emiss by Zone'!$D$9*'POSF Zone Def'!$CF64</f>
        <v>0</v>
      </c>
      <c r="EQ75" s="236">
        <f>'POSF Inventory'!$CF67*'POSF Emiss by Zone'!$D$7*'POSF Zone Def'!$CG64</f>
        <v>5.7495380529899086E-5</v>
      </c>
      <c r="ER75" s="236">
        <f>'POSF Inventory'!$CG67*'POSF Emiss by Zone'!$D$9*'POSF Zone Def'!$CG64</f>
        <v>7.1078664180087745E-5</v>
      </c>
      <c r="ES75" s="236">
        <f>'POSF Inventory'!$CH67*'POSF Emiss by Zone'!$D$7*'POSF Zone Def'!$CG64</f>
        <v>0</v>
      </c>
      <c r="ET75" s="236">
        <f>'POSF Inventory'!$CI67*'POSF Emiss by Zone'!$D$9*'POSF Zone Def'!$CG64</f>
        <v>0</v>
      </c>
      <c r="EU75" s="236">
        <f>'POSF Inventory'!$CJ67*'POSF Emiss by Zone'!$D$7*'POSF Zone Def'!$CG64</f>
        <v>5.174584247690918E-4</v>
      </c>
      <c r="EV75" s="581">
        <f>'POSF Inventory'!$CK67*'POSF Emiss by Zone'!$D$9*'POSF Zone Def'!$CG64</f>
        <v>6.3970797762078965E-4</v>
      </c>
      <c r="EW75" s="236">
        <f>'POSF Inventory'!$CF67*'POSF Emiss by Zone'!$D$7*'POSF Zone Def'!$CH64</f>
        <v>1.2339841188434346</v>
      </c>
      <c r="EX75" s="236">
        <f>'POSF Inventory'!$CG67*'POSF Emiss by Zone'!$D$9*'POSF Zone Def'!$CH64</f>
        <v>1.5255128669201961</v>
      </c>
      <c r="EY75" s="236">
        <f>'POSF Inventory'!$CH67*'POSF Emiss by Zone'!$D$7*'POSF Zone Def'!$CH64</f>
        <v>0</v>
      </c>
      <c r="EZ75" s="236">
        <f>'POSF Inventory'!$CI67*'POSF Emiss by Zone'!$D$9*'POSF Zone Def'!$CH64</f>
        <v>0</v>
      </c>
      <c r="FA75" s="236">
        <f>'POSF Inventory'!$CJ67*'POSF Emiss by Zone'!$D$7*'POSF Zone Def'!$CH64</f>
        <v>11.105857069590911</v>
      </c>
      <c r="FB75" s="581">
        <f>'POSF Inventory'!$CK67*'POSF Emiss by Zone'!$D$9*'POSF Zone Def'!$CH64</f>
        <v>13.729615802281764</v>
      </c>
      <c r="FC75" s="236">
        <f>'POSF Inventory'!$CF67*'POSF Emiss by Zone'!$D$7*'POSF Zone Def'!$CI64</f>
        <v>1.3074623857760357</v>
      </c>
      <c r="FD75" s="236">
        <f>'POSF Inventory'!$CG67*'POSF Emiss by Zone'!$D$9*'POSF Zone Def'!$CI64</f>
        <v>1.6163503744156242</v>
      </c>
      <c r="FE75" s="236">
        <f>'POSF Inventory'!$CH67*'POSF Emiss by Zone'!$D$7*'POSF Zone Def'!$CI64</f>
        <v>0</v>
      </c>
      <c r="FF75" s="236">
        <f>'POSF Inventory'!$CI67*'POSF Emiss by Zone'!$D$9*'POSF Zone Def'!$CI64</f>
        <v>0</v>
      </c>
      <c r="FG75" s="236">
        <f>'POSF Inventory'!$CJ67*'POSF Emiss by Zone'!$D$7*'POSF Zone Def'!$CI64</f>
        <v>11.767161471984322</v>
      </c>
      <c r="FH75" s="578">
        <f>'POSF Inventory'!$CK67*'POSF Emiss by Zone'!$D$9*'POSF Zone Def'!$CI64</f>
        <v>14.547153369740617</v>
      </c>
      <c r="FI75" s="595"/>
      <c r="FJ75" s="595"/>
      <c r="FM75" s="592">
        <v>58</v>
      </c>
      <c r="FN75" s="592">
        <f t="shared" si="98"/>
        <v>2012</v>
      </c>
      <c r="FO75" s="587">
        <v>55</v>
      </c>
      <c r="FP75" s="85">
        <f t="shared" si="20"/>
        <v>0.26293146749999996</v>
      </c>
      <c r="FQ75" s="530">
        <f t="shared" si="21"/>
        <v>0.26355379049999994</v>
      </c>
      <c r="FR75" s="530">
        <f t="shared" si="22"/>
        <v>0</v>
      </c>
      <c r="FS75" s="530">
        <f t="shared" si="23"/>
        <v>0</v>
      </c>
      <c r="FT75" s="530">
        <f t="shared" si="24"/>
        <v>0.19476405000000002</v>
      </c>
      <c r="FU75" s="531">
        <f t="shared" si="25"/>
        <v>0.19522503000000002</v>
      </c>
      <c r="FV75" s="57">
        <f t="shared" si="26"/>
        <v>0.61350675749999994</v>
      </c>
      <c r="FW75" s="57">
        <f t="shared" si="27"/>
        <v>0.61495884449999982</v>
      </c>
      <c r="FX75" s="57">
        <f t="shared" si="28"/>
        <v>0</v>
      </c>
      <c r="FY75" s="57">
        <f t="shared" si="29"/>
        <v>0</v>
      </c>
      <c r="FZ75" s="57">
        <f t="shared" si="30"/>
        <v>0.45444945000000003</v>
      </c>
      <c r="GA75" s="81">
        <f t="shared" si="31"/>
        <v>0.45552507000000003</v>
      </c>
      <c r="GB75" s="530">
        <f t="shared" si="32"/>
        <v>0</v>
      </c>
      <c r="GC75" s="530">
        <f t="shared" si="33"/>
        <v>0</v>
      </c>
      <c r="GD75" s="530">
        <f t="shared" si="34"/>
        <v>0.83659052465139472</v>
      </c>
      <c r="GE75" s="530">
        <f t="shared" si="35"/>
        <v>6.8106835532868546</v>
      </c>
      <c r="GF75" s="530">
        <f t="shared" si="36"/>
        <v>0.32331349601593623</v>
      </c>
      <c r="GG75" s="531">
        <f t="shared" si="37"/>
        <v>0.32407873505976104</v>
      </c>
      <c r="GH75" s="57">
        <f t="shared" si="38"/>
        <v>0</v>
      </c>
      <c r="GI75" s="57">
        <f t="shared" si="39"/>
        <v>0</v>
      </c>
      <c r="GJ75" s="57">
        <f t="shared" si="40"/>
        <v>1.952044557519921</v>
      </c>
      <c r="GK75" s="57">
        <f t="shared" si="41"/>
        <v>15.891594957669327</v>
      </c>
      <c r="GL75" s="57">
        <f t="shared" si="42"/>
        <v>0.75439815737051796</v>
      </c>
      <c r="GM75" s="57">
        <f t="shared" si="43"/>
        <v>0.75618371513944227</v>
      </c>
      <c r="GN75" s="57">
        <f t="shared" si="44"/>
        <v>0</v>
      </c>
      <c r="GO75" s="57">
        <f t="shared" si="45"/>
        <v>0</v>
      </c>
      <c r="GP75" s="57">
        <f t="shared" si="46"/>
        <v>0</v>
      </c>
      <c r="GQ75" s="57">
        <f t="shared" si="47"/>
        <v>0</v>
      </c>
      <c r="GR75" s="57">
        <f t="shared" si="48"/>
        <v>0</v>
      </c>
      <c r="GS75" s="81">
        <f t="shared" si="49"/>
        <v>0</v>
      </c>
      <c r="GT75" s="530">
        <f t="shared" si="50"/>
        <v>7.2700884979027902E-3</v>
      </c>
      <c r="GU75" s="530">
        <f t="shared" si="51"/>
        <v>0.10826930493473758</v>
      </c>
      <c r="GV75" s="530">
        <f t="shared" si="52"/>
        <v>3.820073306772908E-4</v>
      </c>
      <c r="GW75" s="530">
        <f t="shared" si="53"/>
        <v>4.7225656254980085E-4</v>
      </c>
      <c r="GX75" s="530">
        <f t="shared" si="54"/>
        <v>1.4006935458167331E-3</v>
      </c>
      <c r="GY75" s="531">
        <f t="shared" si="55"/>
        <v>6.9264295840637457E-3</v>
      </c>
      <c r="GZ75" s="57">
        <f t="shared" si="56"/>
        <v>1.6963539828439844E-2</v>
      </c>
      <c r="HA75" s="57">
        <f t="shared" si="57"/>
        <v>0.25262837818105432</v>
      </c>
      <c r="HB75" s="57">
        <f t="shared" si="58"/>
        <v>8.9135043824701177E-4</v>
      </c>
      <c r="HC75" s="57">
        <f t="shared" si="59"/>
        <v>1.1019319792828686E-3</v>
      </c>
      <c r="HD75" s="57">
        <f t="shared" si="60"/>
        <v>3.2682849402390439E-3</v>
      </c>
      <c r="HE75" s="127">
        <f t="shared" si="61"/>
        <v>1.6161669029482073E-2</v>
      </c>
      <c r="HF75" s="236">
        <f t="shared" si="62"/>
        <v>5.9556967879576741E-5</v>
      </c>
      <c r="HG75" s="236">
        <f t="shared" si="63"/>
        <v>7.3627301541126749E-5</v>
      </c>
      <c r="HH75" s="236">
        <f t="shared" si="64"/>
        <v>0</v>
      </c>
      <c r="HI75" s="236">
        <f t="shared" si="65"/>
        <v>0</v>
      </c>
      <c r="HJ75" s="236">
        <f t="shared" si="66"/>
        <v>5.3601271091619071E-4</v>
      </c>
      <c r="HK75" s="581">
        <f t="shared" si="67"/>
        <v>6.6264571387014064E-4</v>
      </c>
      <c r="HL75" s="236">
        <f t="shared" si="68"/>
        <v>1.2782305613517648</v>
      </c>
      <c r="HM75" s="236">
        <f t="shared" si="69"/>
        <v>1.5802125314711193</v>
      </c>
      <c r="HN75" s="236">
        <f t="shared" si="70"/>
        <v>0</v>
      </c>
      <c r="HO75" s="236">
        <f t="shared" si="71"/>
        <v>0</v>
      </c>
      <c r="HP75" s="236">
        <f t="shared" si="72"/>
        <v>11.504075052165884</v>
      </c>
      <c r="HQ75" s="581">
        <f t="shared" si="73"/>
        <v>14.221912783240073</v>
      </c>
      <c r="HR75" s="236">
        <f t="shared" si="74"/>
        <v>1.3543435071783636</v>
      </c>
      <c r="HS75" s="236">
        <f t="shared" si="75"/>
        <v>1.6743071607492521</v>
      </c>
      <c r="HT75" s="236">
        <f t="shared" si="76"/>
        <v>0</v>
      </c>
      <c r="HU75" s="236">
        <f t="shared" si="77"/>
        <v>0</v>
      </c>
      <c r="HV75" s="236">
        <f t="shared" si="78"/>
        <v>12.189091564605272</v>
      </c>
      <c r="HW75" s="578">
        <f t="shared" si="79"/>
        <v>15.068764446743268</v>
      </c>
      <c r="HX75" s="236">
        <f t="shared" si="80"/>
        <v>0.38637724178469512</v>
      </c>
      <c r="HY75" s="236">
        <f t="shared" si="81"/>
        <v>5.7540971368777063</v>
      </c>
      <c r="HZ75" s="236">
        <f t="shared" si="82"/>
        <v>2.0302220366533862E-2</v>
      </c>
      <c r="IA75" s="236">
        <f t="shared" si="83"/>
        <v>2.5098619928127491E-2</v>
      </c>
      <c r="IB75" s="236">
        <f t="shared" si="84"/>
        <v>7.4441474677290828E-2</v>
      </c>
      <c r="IC75" s="236">
        <f t="shared" si="85"/>
        <v>0.36811309227920319</v>
      </c>
      <c r="ID75" s="236">
        <f t="shared" si="86"/>
        <v>0.90154689749762218</v>
      </c>
      <c r="IE75" s="236">
        <f t="shared" si="87"/>
        <v>13.42622665271465</v>
      </c>
      <c r="IF75" s="236">
        <f t="shared" si="88"/>
        <v>4.7371847521912334E-2</v>
      </c>
      <c r="IG75" s="236">
        <f t="shared" si="89"/>
        <v>5.8563446498964139E-2</v>
      </c>
      <c r="IH75" s="236">
        <f t="shared" si="90"/>
        <v>0.17369677424701194</v>
      </c>
      <c r="II75" s="236">
        <f t="shared" si="91"/>
        <v>0.85893054865147422</v>
      </c>
      <c r="IJ75" s="236">
        <f t="shared" si="92"/>
        <v>0</v>
      </c>
      <c r="IK75" s="236">
        <f t="shared" si="93"/>
        <v>0</v>
      </c>
      <c r="IL75" s="236">
        <f t="shared" si="94"/>
        <v>0</v>
      </c>
      <c r="IM75" s="236">
        <f t="shared" si="95"/>
        <v>0</v>
      </c>
      <c r="IN75" s="236">
        <f t="shared" si="96"/>
        <v>0</v>
      </c>
      <c r="IO75" s="236">
        <f t="shared" si="97"/>
        <v>0</v>
      </c>
    </row>
    <row r="76" spans="1:249" ht="18" x14ac:dyDescent="0.25">
      <c r="A76" s="9">
        <v>2013</v>
      </c>
      <c r="B76" s="564"/>
      <c r="C76" s="530">
        <f>'POSF Inventory'!AD68*$D$5*'POSF Zone Def'!$M65</f>
        <v>0</v>
      </c>
      <c r="D76" s="530">
        <f>'POSF Inventory'!AE68*$D$6*'POSF Zone Def'!$M65</f>
        <v>0</v>
      </c>
      <c r="E76" s="530">
        <f>'POSF Inventory'!AF68*$D$5*'POSF Zone Def'!$M65</f>
        <v>0</v>
      </c>
      <c r="F76" s="530">
        <f>'POSF Inventory'!AG68*$D$6*'POSF Zone Def'!$M65</f>
        <v>0</v>
      </c>
      <c r="G76" s="530">
        <f>'POSF Inventory'!AH68*$D$5*'POSF Zone Def'!$M65</f>
        <v>0</v>
      </c>
      <c r="H76" s="531">
        <f>'POSF Inventory'!AI68*$D$6*'POSF Zone Def'!$M65</f>
        <v>0</v>
      </c>
      <c r="I76" s="57">
        <f>'POSF Inventory'!AD68*$D$5*'POSF Zone Def'!$N65</f>
        <v>0</v>
      </c>
      <c r="J76" s="57">
        <f>'POSF Inventory'!AE68*$D$6*'POSF Zone Def'!$N65</f>
        <v>0</v>
      </c>
      <c r="K76" s="57">
        <f>'POSF Inventory'!AF68*$D$5*'POSF Zone Def'!$N65</f>
        <v>0</v>
      </c>
      <c r="L76" s="57">
        <f>'POSF Inventory'!AG68*$D$6*'POSF Zone Def'!$N65</f>
        <v>0</v>
      </c>
      <c r="M76" s="57">
        <f>'POSF Inventory'!AH68*$D$5*'POSF Zone Def'!$N65</f>
        <v>0</v>
      </c>
      <c r="N76" s="127">
        <f>'POSF Inventory'!AI68*$D$6*'POSF Zone Def'!$N65</f>
        <v>0</v>
      </c>
      <c r="O76" s="530">
        <f>'POSF Inventory'!AJ68*$D$5*'POSF Zone Def'!$AP65</f>
        <v>0.30338246249999995</v>
      </c>
      <c r="P76" s="530">
        <f>'POSF Inventory'!AK68*$D$6*'POSF Zone Def'!$AP65</f>
        <v>0.30410052749999994</v>
      </c>
      <c r="Q76" s="530">
        <f>'POSF Inventory'!AL68*$D$5*'POSF Zone Def'!$AP65</f>
        <v>0</v>
      </c>
      <c r="R76" s="530">
        <f>'POSF Inventory'!AM68*$D$6*'POSF Zone Def'!$AP65</f>
        <v>0</v>
      </c>
      <c r="S76" s="530">
        <f>'POSF Inventory'!AN68*$D$5*'POSF Zone Def'!$AP65</f>
        <v>0.22472775</v>
      </c>
      <c r="T76" s="531">
        <f>'POSF Inventory'!AO68*$D$6*'POSF Zone Def'!$AP65</f>
        <v>0.22525965000000001</v>
      </c>
      <c r="U76" s="57">
        <f>'POSF Inventory'!AJ68*$D$5*'POSF Zone Def'!$AQ65</f>
        <v>0.70789241249999979</v>
      </c>
      <c r="V76" s="57">
        <f>'POSF Inventory'!AK68*$D$6*'POSF Zone Def'!$AQ65</f>
        <v>0.70956789749999982</v>
      </c>
      <c r="W76" s="57">
        <f>'POSF Inventory'!AL68*$D$5*'POSF Zone Def'!$AQ65</f>
        <v>0</v>
      </c>
      <c r="X76" s="57">
        <f>'POSF Inventory'!AM68*$D$6*'POSF Zone Def'!$AQ65</f>
        <v>0</v>
      </c>
      <c r="Y76" s="57">
        <f>'POSF Inventory'!AN68*$D$5*'POSF Zone Def'!$AQ65</f>
        <v>0.52436475000000005</v>
      </c>
      <c r="Z76" s="81">
        <f>'POSF Inventory'!AO68*$D$6*'POSF Zone Def'!$AQ65</f>
        <v>0.52560585000000004</v>
      </c>
      <c r="AA76" s="530">
        <f>'POSF Inventory'!AV68*'POSF Emiss by Zone'!$D$5*'POSF Zone Def'!$M65</f>
        <v>0</v>
      </c>
      <c r="AB76" s="530">
        <f>'POSF Inventory'!AW68*'POSF Emiss by Zone'!$D$6*'POSF Zone Def'!$M65</f>
        <v>0</v>
      </c>
      <c r="AC76" s="530">
        <f>'POSF Inventory'!AX68*'POSF Emiss by Zone'!$D$5*'POSF Zone Def'!$M65</f>
        <v>0</v>
      </c>
      <c r="AD76" s="530">
        <f>'POSF Inventory'!AY68*'POSF Emiss by Zone'!$D$6*'POSF Zone Def'!$M65</f>
        <v>0</v>
      </c>
      <c r="AE76" s="530">
        <f>'POSF Inventory'!AZ68*'POSF Emiss by Zone'!$D$5*'POSF Zone Def'!$M65</f>
        <v>0</v>
      </c>
      <c r="AF76" s="531">
        <f>'POSF Inventory'!BA68*'POSF Emiss by Zone'!$D$6*'POSF Zone Def'!$M65</f>
        <v>0</v>
      </c>
      <c r="AG76" s="57">
        <f>'POSF Inventory'!AV68*'POSF Emiss by Zone'!$D$5*'POSF Zone Def'!$N65</f>
        <v>0</v>
      </c>
      <c r="AH76" s="57">
        <f>'POSF Inventory'!AW68*'POSF Emiss by Zone'!$D$6*'POSF Zone Def'!$N65</f>
        <v>0</v>
      </c>
      <c r="AI76" s="57">
        <f>'POSF Inventory'!AX68*'POSF Emiss by Zone'!$D$5*'POSF Zone Def'!$N65</f>
        <v>0</v>
      </c>
      <c r="AJ76" s="57">
        <f>'POSF Inventory'!AY68*'POSF Emiss by Zone'!$D$6*'POSF Zone Def'!$N65</f>
        <v>0</v>
      </c>
      <c r="AK76" s="57">
        <f>'POSF Inventory'!AZ68*'POSF Emiss by Zone'!$D$5*'POSF Zone Def'!$N65</f>
        <v>0</v>
      </c>
      <c r="AL76" s="127">
        <f>'POSF Inventory'!BA68*'POSF Emiss by Zone'!$D$6*'POSF Zone Def'!$N65</f>
        <v>0</v>
      </c>
      <c r="AM76" s="530">
        <f>'POSF Inventory'!BB68*'POSF Emiss by Zone'!$D$5*'POSF Zone Def'!$AP65</f>
        <v>0</v>
      </c>
      <c r="AN76" s="530">
        <f>'POSF Inventory'!BC68*'POSF Emiss by Zone'!$D$6*'POSF Zone Def'!$AP65</f>
        <v>0</v>
      </c>
      <c r="AO76" s="530">
        <f>'POSF Inventory'!BD68*'POSF Emiss by Zone'!$D$5*'POSF Zone Def'!$AP65</f>
        <v>0.202254975</v>
      </c>
      <c r="AP76" s="530">
        <f>'POSF Inventory'!BE68*'POSF Emiss by Zone'!$D$6*'POSF Zone Def'!$AP65</f>
        <v>0.202733685</v>
      </c>
      <c r="AQ76" s="530">
        <f>'POSF Inventory'!BF68*'POSF Emiss by Zone'!$D$5*'POSF Zone Def'!$AP65</f>
        <v>0.37454624999999997</v>
      </c>
      <c r="AR76" s="531">
        <f>'POSF Inventory'!BG68*'POSF Emiss by Zone'!$D$6*'POSF Zone Def'!$AP65</f>
        <v>0.37543274999999998</v>
      </c>
      <c r="AS76" s="57">
        <f>'POSF Inventory'!BB68*'POSF Emiss by Zone'!$D$5*'POSF Zone Def'!$AQ65</f>
        <v>0</v>
      </c>
      <c r="AT76" s="57">
        <f>'POSF Inventory'!BC68*'POSF Emiss by Zone'!$D$6*'POSF Zone Def'!$AQ65</f>
        <v>0</v>
      </c>
      <c r="AU76" s="57">
        <f>'POSF Inventory'!BD68*'POSF Emiss by Zone'!$D$5*'POSF Zone Def'!$AQ65</f>
        <v>0.47192827499999995</v>
      </c>
      <c r="AV76" s="57">
        <f>'POSF Inventory'!BE68*'POSF Emiss by Zone'!$D$6*'POSF Zone Def'!$AQ65</f>
        <v>0.47304526499999994</v>
      </c>
      <c r="AW76" s="57">
        <f>'POSF Inventory'!BF68*'POSF Emiss by Zone'!$D$5*'POSF Zone Def'!$AQ65</f>
        <v>0.87394124999999989</v>
      </c>
      <c r="AX76" s="81">
        <f>'POSF Inventory'!BG68*'POSF Emiss by Zone'!$D$6*'POSF Zone Def'!$AQ65</f>
        <v>0.87600974999999992</v>
      </c>
      <c r="AY76" s="530">
        <f>'POSF Inventory'!EA68*'POSF Emiss by Zone'!$D$5*'POSF Zone Def'!$Y65</f>
        <v>0</v>
      </c>
      <c r="AZ76" s="530">
        <f>'POSF Inventory'!EB68*'POSF Emiss by Zone'!$D$6*'POSF Zone Def'!$Y65</f>
        <v>0</v>
      </c>
      <c r="BA76" s="530">
        <f>'POSF Inventory'!EC68*'POSF Emiss by Zone'!$D$5*'POSF Zone Def'!$Y65</f>
        <v>0</v>
      </c>
      <c r="BB76" s="530">
        <f>'POSF Inventory'!ED68*'POSF Emiss by Zone'!$D$6*'POSF Zone Def'!$Y65</f>
        <v>0</v>
      </c>
      <c r="BC76" s="530">
        <f>'POSF Inventory'!EE68*'POSF Emiss by Zone'!$D$5*'POSF Zone Def'!$Y65</f>
        <v>0</v>
      </c>
      <c r="BD76" s="531">
        <f>'POSF Inventory'!EF68*'POSF Emiss by Zone'!$D$6*'POSF Zone Def'!$Y65</f>
        <v>0</v>
      </c>
      <c r="BE76" s="57">
        <f>'POSF Inventory'!EA68*'POSF Emiss by Zone'!$D$5*'POSF Zone Def'!$Z65</f>
        <v>0</v>
      </c>
      <c r="BF76" s="57">
        <f>'POSF Inventory'!EB68*'POSF Emiss by Zone'!$D$6*'POSF Zone Def'!$Z65</f>
        <v>0</v>
      </c>
      <c r="BG76" s="57">
        <f>'POSF Inventory'!EC68*'POSF Emiss by Zone'!$D$5*'POSF Zone Def'!$Z65</f>
        <v>0</v>
      </c>
      <c r="BH76" s="57">
        <f>'POSF Inventory'!ED68*'POSF Emiss by Zone'!$D$6*'POSF Zone Def'!$Z65</f>
        <v>0</v>
      </c>
      <c r="BI76" s="57">
        <f>'POSF Inventory'!EE68*'POSF Emiss by Zone'!$D$5*'POSF Zone Def'!$Z65</f>
        <v>0</v>
      </c>
      <c r="BJ76" s="127">
        <f>'POSF Inventory'!EF68*'POSF Emiss by Zone'!$D$6*'POSF Zone Def'!$Z65</f>
        <v>0</v>
      </c>
      <c r="BK76" s="57">
        <f>'POSF Inventory'!$EA68*'POSF Emiss by Zone'!$D$5*'POSF Zone Def'!$AC65</f>
        <v>0</v>
      </c>
      <c r="BL76" s="57">
        <f>'POSF Inventory'!$EB68*'POSF Emiss by Zone'!$D$6*'POSF Zone Def'!$AC65</f>
        <v>0</v>
      </c>
      <c r="BM76" s="57">
        <f>'POSF Inventory'!$EC68*'POSF Emiss by Zone'!$D$5*'POSF Zone Def'!$AC65</f>
        <v>0</v>
      </c>
      <c r="BN76" s="57">
        <f>'POSF Inventory'!$ED68*'POSF Emiss by Zone'!$D$6*'POSF Zone Def'!$AC65</f>
        <v>0</v>
      </c>
      <c r="BO76" s="57">
        <f>'POSF Inventory'!$EE68*'POSF Emiss by Zone'!$D$5*'POSF Zone Def'!$AC65</f>
        <v>0</v>
      </c>
      <c r="BP76" s="127">
        <f>'POSF Inventory'!$EF68*'POSF Emiss by Zone'!$D$6*'POSF Zone Def'!$AC65</f>
        <v>0</v>
      </c>
      <c r="BQ76" s="530">
        <f>'POSF Inventory'!EG68*'POSF Emiss by Zone'!$D$5*'POSF Zone Def'!$BB65</f>
        <v>0</v>
      </c>
      <c r="BR76" s="530">
        <f>'POSF Inventory'!EH68*'POSF Emiss by Zone'!$D$6*'POSF Zone Def'!$BB65</f>
        <v>0</v>
      </c>
      <c r="BS76" s="530">
        <f>'POSF Inventory'!EI68*'POSF Emiss by Zone'!$D$5*'POSF Zone Def'!$BB65</f>
        <v>0.71810592750000002</v>
      </c>
      <c r="BT76" s="530">
        <f>'POSF Inventory'!EJ68*'POSF Emiss by Zone'!$D$6*'POSF Zone Def'!$BB65</f>
        <v>7.1980558649999997</v>
      </c>
      <c r="BU76" s="530">
        <f>'POSF Inventory'!EK68*'POSF Emiss by Zone'!$D$5*'POSF Zone Def'!$BB65</f>
        <v>0</v>
      </c>
      <c r="BV76" s="531">
        <f>'POSF Inventory'!EL68*'POSF Emiss by Zone'!$D$6*'POSF Zone Def'!$BB65</f>
        <v>0</v>
      </c>
      <c r="BW76" s="57">
        <f>'POSF Inventory'!EG68*'POSF Emiss by Zone'!$D$5*'POSF Zone Def'!$BC65</f>
        <v>0</v>
      </c>
      <c r="BX76" s="57">
        <f>'POSF Inventory'!EH68*'POSF Emiss by Zone'!$D$6*'POSF Zone Def'!$BC65</f>
        <v>0</v>
      </c>
      <c r="BY76" s="57">
        <f>'POSF Inventory'!EI68*'POSF Emiss by Zone'!$D$5*'POSF Zone Def'!$BC65</f>
        <v>1.6755804975000002</v>
      </c>
      <c r="BZ76" s="57">
        <f>'POSF Inventory'!EJ68*'POSF Emiss by Zone'!$D$6*'POSF Zone Def'!$BC65</f>
        <v>16.795463684999998</v>
      </c>
      <c r="CA76" s="57">
        <f>'POSF Inventory'!EK68*'POSF Emiss by Zone'!$D$5*'POSF Zone Def'!$BC65</f>
        <v>0</v>
      </c>
      <c r="CB76" s="81">
        <f>'POSF Inventory'!EL68*'POSF Emiss by Zone'!$D$6*'POSF Zone Def'!$BC65</f>
        <v>0</v>
      </c>
      <c r="CC76" s="530">
        <f>'POSF Inventory'!GC68*'POSF Emiss by Zone'!$D$7*'POSF Zone Def'!$M65</f>
        <v>0</v>
      </c>
      <c r="CD76" s="530">
        <f>'POSF Inventory'!GD68*'POSF Emiss by Zone'!$D$9*'POSF Zone Def'!$M65</f>
        <v>0</v>
      </c>
      <c r="CE76" s="530">
        <f>'POSF Inventory'!GE68*'POSF Emiss by Zone'!$D$7*'POSF Zone Def'!$M65</f>
        <v>0</v>
      </c>
      <c r="CF76" s="530">
        <f>'POSF Inventory'!GF68*'POSF Emiss by Zone'!$D$9*'POSF Zone Def'!$M65</f>
        <v>0</v>
      </c>
      <c r="CG76" s="530">
        <f>'POSF Inventory'!GG68*'POSF Emiss by Zone'!$D$7*'POSF Zone Def'!$M65</f>
        <v>0</v>
      </c>
      <c r="CH76" s="531">
        <f>'POSF Inventory'!GH68*'POSF Emiss by Zone'!$D$9*'POSF Zone Def'!$M65</f>
        <v>0</v>
      </c>
      <c r="CI76" s="57">
        <f>'POSF Inventory'!GC68*'POSF Emiss by Zone'!$D$7*'POSF Zone Def'!$N65</f>
        <v>0</v>
      </c>
      <c r="CJ76" s="57">
        <f>'POSF Inventory'!GD68*'POSF Emiss by Zone'!$D$9*'POSF Zone Def'!$N65</f>
        <v>0</v>
      </c>
      <c r="CK76" s="57">
        <f>'POSF Inventory'!GE68*'POSF Emiss by Zone'!$D$7*'POSF Zone Def'!$N65</f>
        <v>0</v>
      </c>
      <c r="CL76" s="57">
        <f>'POSF Inventory'!GF68*'POSF Emiss by Zone'!$D$9*'POSF Zone Def'!$N65</f>
        <v>0</v>
      </c>
      <c r="CM76" s="57">
        <f>'POSF Inventory'!GG68*'POSF Emiss by Zone'!$D$7*'POSF Zone Def'!$N65</f>
        <v>0</v>
      </c>
      <c r="CN76" s="127">
        <f>'POSF Inventory'!GH68*'POSF Emiss by Zone'!$D$9*'POSF Zone Def'!$N65</f>
        <v>0</v>
      </c>
      <c r="CO76" s="530">
        <f>'POSF Inventory'!GI68*'POSF Emiss by Zone'!$D$7*'POSF Zone Def'!$AP65</f>
        <v>1.4184E-3</v>
      </c>
      <c r="CP76" s="530">
        <f>'POSF Inventory'!GJ68*'POSF Emiss by Zone'!$D$9*'POSF Zone Def'!$AP65</f>
        <v>1.7534970000000003E-3</v>
      </c>
      <c r="CQ76" s="530">
        <f>'POSF Inventory'!GK68*'POSF Emiss by Zone'!$D$7*'POSF Zone Def'!$AP65</f>
        <v>2.1276E-2</v>
      </c>
      <c r="CR76" s="530">
        <f>'POSF Inventory'!GL68*'POSF Emiss by Zone'!$D$9*'POSF Zone Def'!$AP65</f>
        <v>2.6302454999999999E-2</v>
      </c>
      <c r="CS76" s="530">
        <f>'POSF Inventory'!GM68*'POSF Emiss by Zone'!$D$7*'POSF Zone Def'!$AP65</f>
        <v>7.8011999999999998E-2</v>
      </c>
      <c r="CT76" s="531">
        <f>'POSF Inventory'!GN68*'POSF Emiss by Zone'!$D$9*'POSF Zone Def'!$AP65</f>
        <v>0.38576934000000002</v>
      </c>
      <c r="CU76" s="57">
        <f>'POSF Inventory'!GI68*'POSF Emiss by Zone'!$D$7*'POSF Zone Def'!$AQ65</f>
        <v>3.3096000000000002E-3</v>
      </c>
      <c r="CV76" s="57">
        <f>'POSF Inventory'!GJ68*'POSF Emiss by Zone'!$D$9*'POSF Zone Def'!$AQ65</f>
        <v>4.0914930000000007E-3</v>
      </c>
      <c r="CW76" s="57">
        <f>'POSF Inventory'!GK68*'POSF Emiss by Zone'!$D$7*'POSF Zone Def'!$AQ65</f>
        <v>4.9643999999999994E-2</v>
      </c>
      <c r="CX76" s="57">
        <f>'POSF Inventory'!GL68*'POSF Emiss by Zone'!$D$9*'POSF Zone Def'!$AQ65</f>
        <v>6.1372394999999996E-2</v>
      </c>
      <c r="CY76" s="57">
        <f>'POSF Inventory'!GM68*'POSF Emiss by Zone'!$D$7*'POSF Zone Def'!$AQ65</f>
        <v>0.182028</v>
      </c>
      <c r="CZ76" s="81">
        <f>'POSF Inventory'!GN68*'POSF Emiss by Zone'!$D$9*'POSF Zone Def'!$AQ65</f>
        <v>0.90012846000000002</v>
      </c>
      <c r="DA76" s="530">
        <f>SUM('POSF Inventory'!GQ68,'POSF Inventory'!GS68)*'POSF Emiss by Zone'!$D$7*'POSF Zone Def'!$Y65</f>
        <v>0</v>
      </c>
      <c r="DB76" s="530">
        <f>SUM('POSF Inventory'!GR68,'POSF Inventory'!GT68)*'POSF Emiss by Zone'!$D$9*'POSF Zone Def'!$Y65</f>
        <v>0</v>
      </c>
      <c r="DC76" s="530"/>
      <c r="DD76" s="530"/>
      <c r="DE76" s="530">
        <f>'POSF Inventory'!GU68*'POSF Emiss by Zone'!$D$7*'POSF Zone Def'!$Y65</f>
        <v>0</v>
      </c>
      <c r="DF76" s="531">
        <f>'POSF Inventory'!GV68*'POSF Emiss by Zone'!$D$9*'POSF Zone Def'!$Y65</f>
        <v>0</v>
      </c>
      <c r="DG76" s="57">
        <f>SUM('POSF Inventory'!GQ68,'POSF Inventory'!GS68)*'POSF Emiss by Zone'!$D$7*'POSF Zone Def'!$Z65</f>
        <v>0</v>
      </c>
      <c r="DH76" s="57">
        <f>SUM('POSF Inventory'!GR68,'POSF Inventory'!GT68)*'POSF Emiss by Zone'!$D$9*'POSF Zone Def'!$Z65</f>
        <v>0</v>
      </c>
      <c r="DI76" s="57"/>
      <c r="DJ76" s="57"/>
      <c r="DK76" s="57">
        <f>'POSF Inventory'!GU68*'POSF Emiss by Zone'!$D$7*'POSF Zone Def'!$Z65</f>
        <v>0</v>
      </c>
      <c r="DL76" s="127">
        <f>'POSF Inventory'!GV68*'POSF Emiss by Zone'!$D$9*'POSF Zone Def'!$Z65</f>
        <v>0</v>
      </c>
      <c r="DM76" s="57">
        <f>SUM('POSF Inventory'!$GQ68,'POSF Inventory'!$GS68)*'POSF Emiss by Zone'!$D$7*'POSF Zone Def'!$AC65</f>
        <v>0</v>
      </c>
      <c r="DN76" s="57">
        <f>SUM('POSF Inventory'!$GR68,'POSF Inventory'!$GT68)*'POSF Emiss by Zone'!$D$9*'POSF Zone Def'!$AC65</f>
        <v>0</v>
      </c>
      <c r="DO76" s="57"/>
      <c r="DP76" s="57"/>
      <c r="DQ76" s="57">
        <f>'POSF Inventory'!$GU68*'POSF Emiss by Zone'!$D$7*'POSF Zone Def'!$AC65</f>
        <v>0</v>
      </c>
      <c r="DR76" s="127">
        <f>'POSF Inventory'!$GV68*'POSF Emiss by Zone'!$D$9*'POSF Zone Def'!$AC65</f>
        <v>0</v>
      </c>
      <c r="DS76" s="530">
        <f>SUM('POSF Inventory'!GW68,'POSF Inventory'!GY68)*$D$7*'POSF Zone Def'!$BB65</f>
        <v>0.3881120151195</v>
      </c>
      <c r="DT76" s="530">
        <f>SUM('POSF Inventory'!GX68,'POSF Inventory'!GZ68)*$D$9*'POSF Zone Def'!$BB65</f>
        <v>5.7293091196293746</v>
      </c>
      <c r="DU76" s="530"/>
      <c r="DV76" s="530"/>
      <c r="DW76" s="530">
        <f>'POSF Inventory'!HA68*'POSF Emiss by Zone'!$D$7*'POSF Zone Def'!$BB65</f>
        <v>0</v>
      </c>
      <c r="DX76" s="531">
        <f>'POSF Inventory'!HB68*'POSF Emiss by Zone'!$D$9*'POSF Zone Def'!$BB65</f>
        <v>0</v>
      </c>
      <c r="DY76" s="57">
        <f>SUM('POSF Inventory'!GW68,'POSF Inventory'!GY68)*$D$7*'POSF Zone Def'!$BC65</f>
        <v>0.90559470194549996</v>
      </c>
      <c r="DZ76" s="57">
        <f>SUM('POSF Inventory'!GX68,'POSF Inventory'!GZ68)*$D$9*'POSF Zone Def'!$BC65</f>
        <v>13.368387945801873</v>
      </c>
      <c r="EA76" s="57"/>
      <c r="EB76" s="57"/>
      <c r="EC76" s="57">
        <f>'POSF Inventory'!HA68*'POSF Emiss by Zone'!$D$7*'POSF Zone Def'!$BC65</f>
        <v>0</v>
      </c>
      <c r="ED76" s="81">
        <f>'POSF Inventory'!HB68*'POSF Emiss by Zone'!$D$9*'POSF Zone Def'!$BC65</f>
        <v>0</v>
      </c>
      <c r="EE76" s="236">
        <f>'POSF Inventory'!$CF68*'POSF Emiss by Zone'!$D$7*'POSF Zone Def'!$CE65</f>
        <v>0</v>
      </c>
      <c r="EF76" s="236">
        <f>'POSF Inventory'!$CG68*'POSF Emiss by Zone'!$D$9*'POSF Zone Def'!$CE65</f>
        <v>0</v>
      </c>
      <c r="EG76" s="236">
        <f>'POSF Inventory'!$CH68*'POSF Emiss by Zone'!$D$7*'POSF Zone Def'!$CE65</f>
        <v>0</v>
      </c>
      <c r="EH76" s="236">
        <f>'POSF Inventory'!$CI68*'POSF Emiss by Zone'!$D$9*'POSF Zone Def'!$CE65</f>
        <v>0</v>
      </c>
      <c r="EI76" s="236">
        <f>'POSF Inventory'!$CJ68*'POSF Emiss by Zone'!$D$7*'POSF Zone Def'!$CE65</f>
        <v>0</v>
      </c>
      <c r="EJ76" s="581">
        <f>'POSF Inventory'!$CK68*'POSF Emiss by Zone'!$D$9*'POSF Zone Def'!$CE65</f>
        <v>0</v>
      </c>
      <c r="EK76" s="236">
        <f>'POSF Inventory'!$CF68*'POSF Emiss by Zone'!$D$7*'POSF Zone Def'!$CF65</f>
        <v>0</v>
      </c>
      <c r="EL76" s="236">
        <f>'POSF Inventory'!$CG68*'POSF Emiss by Zone'!$D$9*'POSF Zone Def'!$CF65</f>
        <v>0</v>
      </c>
      <c r="EM76" s="236">
        <f>'POSF Inventory'!$CH68*'POSF Emiss by Zone'!$D$7*'POSF Zone Def'!$CF65</f>
        <v>0</v>
      </c>
      <c r="EN76" s="236">
        <f>'POSF Inventory'!$CI68*'POSF Emiss by Zone'!$D$9*'POSF Zone Def'!$CF65</f>
        <v>0</v>
      </c>
      <c r="EO76" s="236">
        <f>'POSF Inventory'!$CJ68*'POSF Emiss by Zone'!$D$7*'POSF Zone Def'!$CF65</f>
        <v>0</v>
      </c>
      <c r="EP76" s="581">
        <f>'POSF Inventory'!$CK68*'POSF Emiss by Zone'!$D$9*'POSF Zone Def'!$CF65</f>
        <v>0</v>
      </c>
      <c r="EQ76" s="236">
        <f>'POSF Inventory'!$CF68*'POSF Emiss by Zone'!$D$7*'POSF Zone Def'!$CG65</f>
        <v>8.8243838885061407E-5</v>
      </c>
      <c r="ER76" s="236">
        <f>'POSF Inventory'!$CG68*'POSF Emiss by Zone'!$D$9*'POSF Zone Def'!$CG65</f>
        <v>1.0909144582165718E-4</v>
      </c>
      <c r="ES76" s="236">
        <f>'POSF Inventory'!$CH68*'POSF Emiss by Zone'!$D$7*'POSF Zone Def'!$CG65</f>
        <v>0</v>
      </c>
      <c r="ET76" s="236">
        <f>'POSF Inventory'!$CI68*'POSF Emiss by Zone'!$D$9*'POSF Zone Def'!$CG65</f>
        <v>0</v>
      </c>
      <c r="EU76" s="236">
        <f>'POSF Inventory'!$CJ68*'POSF Emiss by Zone'!$D$7*'POSF Zone Def'!$CG65</f>
        <v>7.9419454996555272E-4</v>
      </c>
      <c r="EV76" s="581">
        <f>'POSF Inventory'!$CK68*'POSF Emiss by Zone'!$D$9*'POSF Zone Def'!$CG65</f>
        <v>9.8182301239491446E-4</v>
      </c>
      <c r="EW76" s="236">
        <f>'POSF Inventory'!$CF68*'POSF Emiss by Zone'!$D$7*'POSF Zone Def'!$CH65</f>
        <v>1.3857492819031001</v>
      </c>
      <c r="EX76" s="236">
        <f>'POSF Inventory'!$CG68*'POSF Emiss by Zone'!$D$9*'POSF Zone Def'!$CH65</f>
        <v>1.7131325497527077</v>
      </c>
      <c r="EY76" s="236">
        <f>'POSF Inventory'!$CH68*'POSF Emiss by Zone'!$D$7*'POSF Zone Def'!$CH65</f>
        <v>0</v>
      </c>
      <c r="EZ76" s="236">
        <f>'POSF Inventory'!$CI68*'POSF Emiss by Zone'!$D$9*'POSF Zone Def'!$CH65</f>
        <v>0</v>
      </c>
      <c r="FA76" s="236">
        <f>'POSF Inventory'!$CJ68*'POSF Emiss by Zone'!$D$7*'POSF Zone Def'!$CH65</f>
        <v>12.471743537127901</v>
      </c>
      <c r="FB76" s="581">
        <f>'POSF Inventory'!$CK68*'POSF Emiss by Zone'!$D$9*'POSF Zone Def'!$CH65</f>
        <v>15.418192947774367</v>
      </c>
      <c r="FC76" s="236">
        <f>'POSF Inventory'!$CF68*'POSF Emiss by Zone'!$D$7*'POSF Zone Def'!$CI65</f>
        <v>1.8591864742580151</v>
      </c>
      <c r="FD76" s="236">
        <f>'POSF Inventory'!$CG68*'POSF Emiss by Zone'!$D$9*'POSF Zone Def'!$CI65</f>
        <v>2.2984192788014712</v>
      </c>
      <c r="FE76" s="236">
        <f>'POSF Inventory'!$CH68*'POSF Emiss by Zone'!$D$7*'POSF Zone Def'!$CI65</f>
        <v>0</v>
      </c>
      <c r="FF76" s="236">
        <f>'POSF Inventory'!$CI68*'POSF Emiss by Zone'!$D$9*'POSF Zone Def'!$CI65</f>
        <v>0</v>
      </c>
      <c r="FG76" s="236">
        <f>'POSF Inventory'!$CJ68*'POSF Emiss by Zone'!$D$7*'POSF Zone Def'!$CI65</f>
        <v>16.732678268322136</v>
      </c>
      <c r="FH76" s="578">
        <f>'POSF Inventory'!$CK68*'POSF Emiss by Zone'!$D$9*'POSF Zone Def'!$CI65</f>
        <v>20.685773509213238</v>
      </c>
      <c r="FI76" s="595"/>
      <c r="FJ76" s="595"/>
      <c r="FM76" s="592">
        <v>59</v>
      </c>
      <c r="FN76" s="592">
        <f t="shared" si="98"/>
        <v>2013</v>
      </c>
      <c r="FO76" s="587">
        <v>56</v>
      </c>
      <c r="FP76" s="85">
        <f t="shared" si="20"/>
        <v>0.30338246249999995</v>
      </c>
      <c r="FQ76" s="530">
        <f t="shared" si="21"/>
        <v>0.30410052749999994</v>
      </c>
      <c r="FR76" s="530">
        <f t="shared" si="22"/>
        <v>0</v>
      </c>
      <c r="FS76" s="530">
        <f t="shared" si="23"/>
        <v>0</v>
      </c>
      <c r="FT76" s="530">
        <f t="shared" si="24"/>
        <v>0.22472775</v>
      </c>
      <c r="FU76" s="531">
        <f t="shared" si="25"/>
        <v>0.22525965000000001</v>
      </c>
      <c r="FV76" s="57">
        <f t="shared" si="26"/>
        <v>0.70789241249999979</v>
      </c>
      <c r="FW76" s="57">
        <f t="shared" si="27"/>
        <v>0.70956789749999982</v>
      </c>
      <c r="FX76" s="57">
        <f t="shared" si="28"/>
        <v>0</v>
      </c>
      <c r="FY76" s="57">
        <f t="shared" si="29"/>
        <v>0</v>
      </c>
      <c r="FZ76" s="57">
        <f t="shared" si="30"/>
        <v>0.52436475000000005</v>
      </c>
      <c r="GA76" s="81">
        <f t="shared" si="31"/>
        <v>0.52560585000000004</v>
      </c>
      <c r="GB76" s="530">
        <f t="shared" si="32"/>
        <v>0</v>
      </c>
      <c r="GC76" s="530">
        <f t="shared" si="33"/>
        <v>0</v>
      </c>
      <c r="GD76" s="530">
        <f t="shared" si="34"/>
        <v>0.91669412599601596</v>
      </c>
      <c r="GE76" s="530">
        <f t="shared" si="35"/>
        <v>7.3713043326693226</v>
      </c>
      <c r="GF76" s="530">
        <f t="shared" si="36"/>
        <v>0.37305403386454178</v>
      </c>
      <c r="GG76" s="531">
        <f t="shared" si="37"/>
        <v>0.37393700199203184</v>
      </c>
      <c r="GH76" s="57">
        <f t="shared" si="38"/>
        <v>0</v>
      </c>
      <c r="GI76" s="57">
        <f t="shared" si="39"/>
        <v>0</v>
      </c>
      <c r="GJ76" s="57">
        <f t="shared" si="40"/>
        <v>2.1389529606573707</v>
      </c>
      <c r="GK76" s="57">
        <f t="shared" si="41"/>
        <v>17.19971010956175</v>
      </c>
      <c r="GL76" s="57">
        <f t="shared" si="42"/>
        <v>0.87045941235059754</v>
      </c>
      <c r="GM76" s="57">
        <f t="shared" si="43"/>
        <v>0.87251967131474095</v>
      </c>
      <c r="GN76" s="57">
        <f t="shared" si="44"/>
        <v>0</v>
      </c>
      <c r="GO76" s="57">
        <f t="shared" si="45"/>
        <v>0</v>
      </c>
      <c r="GP76" s="57">
        <f t="shared" si="46"/>
        <v>0</v>
      </c>
      <c r="GQ76" s="57">
        <f t="shared" si="47"/>
        <v>0</v>
      </c>
      <c r="GR76" s="57">
        <f t="shared" si="48"/>
        <v>0</v>
      </c>
      <c r="GS76" s="81">
        <f t="shared" si="49"/>
        <v>0</v>
      </c>
      <c r="GT76" s="530">
        <f t="shared" si="50"/>
        <v>8.0699528231928282E-3</v>
      </c>
      <c r="GU76" s="530">
        <f t="shared" si="51"/>
        <v>0.11873117771503086</v>
      </c>
      <c r="GV76" s="530">
        <f t="shared" si="52"/>
        <v>4.4077768924302783E-4</v>
      </c>
      <c r="GW76" s="530">
        <f t="shared" si="53"/>
        <v>5.449114183266933E-4</v>
      </c>
      <c r="GX76" s="530">
        <f t="shared" si="54"/>
        <v>1.616184860557769E-3</v>
      </c>
      <c r="GY76" s="531">
        <f t="shared" si="55"/>
        <v>7.9920341354581675E-3</v>
      </c>
      <c r="GZ76" s="57">
        <f t="shared" si="56"/>
        <v>1.8829889920783265E-2</v>
      </c>
      <c r="HA76" s="57">
        <f t="shared" si="57"/>
        <v>0.27703941466840531</v>
      </c>
      <c r="HB76" s="57">
        <f t="shared" si="58"/>
        <v>1.0284812749003982E-3</v>
      </c>
      <c r="HC76" s="57">
        <f t="shared" si="59"/>
        <v>1.2714599760956173E-3</v>
      </c>
      <c r="HD76" s="57">
        <f t="shared" si="60"/>
        <v>3.7710980079681275E-3</v>
      </c>
      <c r="HE76" s="127">
        <f t="shared" si="61"/>
        <v>1.8648079649402391E-2</v>
      </c>
      <c r="HF76" s="236">
        <f t="shared" si="62"/>
        <v>9.1407960598071574E-5</v>
      </c>
      <c r="HG76" s="236">
        <f t="shared" si="63"/>
        <v>1.13003091289366E-4</v>
      </c>
      <c r="HH76" s="236">
        <f t="shared" si="64"/>
        <v>0</v>
      </c>
      <c r="HI76" s="236">
        <f t="shared" si="65"/>
        <v>0</v>
      </c>
      <c r="HJ76" s="236">
        <f t="shared" si="66"/>
        <v>8.2267164538264422E-4</v>
      </c>
      <c r="HK76" s="581">
        <f t="shared" si="67"/>
        <v>1.0170278216042939E-3</v>
      </c>
      <c r="HL76" s="236">
        <f t="shared" si="68"/>
        <v>1.4354375031665578</v>
      </c>
      <c r="HM76" s="236">
        <f t="shared" si="69"/>
        <v>1.7745596132896573</v>
      </c>
      <c r="HN76" s="236">
        <f t="shared" si="70"/>
        <v>0</v>
      </c>
      <c r="HO76" s="236">
        <f t="shared" si="71"/>
        <v>0</v>
      </c>
      <c r="HP76" s="236">
        <f t="shared" si="72"/>
        <v>12.91893752849902</v>
      </c>
      <c r="HQ76" s="581">
        <f t="shared" si="73"/>
        <v>15.971036519606914</v>
      </c>
      <c r="HR76" s="236">
        <f t="shared" si="74"/>
        <v>1.92585053110392</v>
      </c>
      <c r="HS76" s="236">
        <f t="shared" si="75"/>
        <v>2.3808327190772212</v>
      </c>
      <c r="HT76" s="236">
        <f t="shared" si="76"/>
        <v>0</v>
      </c>
      <c r="HU76" s="236">
        <f t="shared" si="77"/>
        <v>0</v>
      </c>
      <c r="HV76" s="236">
        <f t="shared" si="78"/>
        <v>17.332654779935279</v>
      </c>
      <c r="HW76" s="578">
        <f t="shared" si="79"/>
        <v>21.427494471694988</v>
      </c>
      <c r="HX76" s="236">
        <f t="shared" si="80"/>
        <v>0.42888695427260953</v>
      </c>
      <c r="HY76" s="236">
        <f t="shared" si="81"/>
        <v>6.3101054371780636</v>
      </c>
      <c r="HZ76" s="236">
        <f t="shared" si="82"/>
        <v>2.3425638884462151E-2</v>
      </c>
      <c r="IA76" s="236">
        <f t="shared" si="83"/>
        <v>2.8959946070916329E-2</v>
      </c>
      <c r="IB76" s="236">
        <f t="shared" si="84"/>
        <v>8.5894009243027869E-2</v>
      </c>
      <c r="IC76" s="236">
        <f t="shared" si="85"/>
        <v>0.42474587570677286</v>
      </c>
      <c r="ID76" s="236">
        <f t="shared" si="86"/>
        <v>1.0007362266360891</v>
      </c>
      <c r="IE76" s="236">
        <f t="shared" si="87"/>
        <v>14.723579353415477</v>
      </c>
      <c r="IF76" s="236">
        <f t="shared" si="88"/>
        <v>5.4659824063745005E-2</v>
      </c>
      <c r="IG76" s="236">
        <f t="shared" si="89"/>
        <v>6.7573207498804772E-2</v>
      </c>
      <c r="IH76" s="236">
        <f t="shared" si="90"/>
        <v>0.20041935490039836</v>
      </c>
      <c r="II76" s="236">
        <f t="shared" si="91"/>
        <v>0.99107370998247002</v>
      </c>
      <c r="IJ76" s="236">
        <f t="shared" si="92"/>
        <v>0</v>
      </c>
      <c r="IK76" s="236">
        <f t="shared" si="93"/>
        <v>0</v>
      </c>
      <c r="IL76" s="236">
        <f t="shared" si="94"/>
        <v>0</v>
      </c>
      <c r="IM76" s="236">
        <f t="shared" si="95"/>
        <v>0</v>
      </c>
      <c r="IN76" s="236">
        <f t="shared" si="96"/>
        <v>0</v>
      </c>
      <c r="IO76" s="236">
        <f t="shared" si="97"/>
        <v>0</v>
      </c>
    </row>
    <row r="77" spans="1:249" ht="18" x14ac:dyDescent="0.25">
      <c r="A77" s="9">
        <v>2014</v>
      </c>
      <c r="B77" s="564"/>
      <c r="C77" s="530">
        <f>'POSF Inventory'!AD69*$D$5*'POSF Zone Def'!$M66</f>
        <v>0</v>
      </c>
      <c r="D77" s="530">
        <f>'POSF Inventory'!AE69*$D$6*'POSF Zone Def'!$M66</f>
        <v>0</v>
      </c>
      <c r="E77" s="530">
        <f>'POSF Inventory'!AF69*$D$5*'POSF Zone Def'!$M66</f>
        <v>0</v>
      </c>
      <c r="F77" s="530">
        <f>'POSF Inventory'!AG69*$D$6*'POSF Zone Def'!$M66</f>
        <v>0</v>
      </c>
      <c r="G77" s="530">
        <f>'POSF Inventory'!AH69*$D$5*'POSF Zone Def'!$M66</f>
        <v>0</v>
      </c>
      <c r="H77" s="531">
        <f>'POSF Inventory'!AI69*$D$6*'POSF Zone Def'!$M66</f>
        <v>0</v>
      </c>
      <c r="I77" s="57">
        <f>'POSF Inventory'!AD69*$D$5*'POSF Zone Def'!$N66</f>
        <v>0</v>
      </c>
      <c r="J77" s="57">
        <f>'POSF Inventory'!AE69*$D$6*'POSF Zone Def'!$N66</f>
        <v>0</v>
      </c>
      <c r="K77" s="57">
        <f>'POSF Inventory'!AF69*$D$5*'POSF Zone Def'!$N66</f>
        <v>0</v>
      </c>
      <c r="L77" s="57">
        <f>'POSF Inventory'!AG69*$D$6*'POSF Zone Def'!$N66</f>
        <v>0</v>
      </c>
      <c r="M77" s="57">
        <f>'POSF Inventory'!AH69*$D$5*'POSF Zone Def'!$N66</f>
        <v>0</v>
      </c>
      <c r="N77" s="127">
        <f>'POSF Inventory'!AI69*$D$6*'POSF Zone Def'!$N66</f>
        <v>0</v>
      </c>
      <c r="O77" s="530">
        <f>'POSF Inventory'!AJ69*$D$5*'POSF Zone Def'!$AP66</f>
        <v>0.34383345749999994</v>
      </c>
      <c r="P77" s="530">
        <f>'POSF Inventory'!AK69*$D$6*'POSF Zone Def'!$AP66</f>
        <v>0.34464726449999994</v>
      </c>
      <c r="Q77" s="530">
        <f>'POSF Inventory'!AL69*$D$5*'POSF Zone Def'!$AP66</f>
        <v>0</v>
      </c>
      <c r="R77" s="530">
        <f>'POSF Inventory'!AM69*$D$6*'POSF Zone Def'!$AP66</f>
        <v>0</v>
      </c>
      <c r="S77" s="530">
        <f>'POSF Inventory'!AN69*$D$5*'POSF Zone Def'!$AP66</f>
        <v>0.25469144999999993</v>
      </c>
      <c r="T77" s="531">
        <f>'POSF Inventory'!AO69*$D$6*'POSF Zone Def'!$AP66</f>
        <v>0.25529426999999999</v>
      </c>
      <c r="U77" s="57">
        <f>'POSF Inventory'!AJ69*$D$5*'POSF Zone Def'!$AQ66</f>
        <v>0.80227806749999986</v>
      </c>
      <c r="V77" s="57">
        <f>'POSF Inventory'!AK69*$D$6*'POSF Zone Def'!$AQ66</f>
        <v>0.80417695049999982</v>
      </c>
      <c r="W77" s="57">
        <f>'POSF Inventory'!AL69*$D$5*'POSF Zone Def'!$AQ66</f>
        <v>0</v>
      </c>
      <c r="X77" s="57">
        <f>'POSF Inventory'!AM69*$D$6*'POSF Zone Def'!$AQ66</f>
        <v>0</v>
      </c>
      <c r="Y77" s="57">
        <f>'POSF Inventory'!AN69*$D$5*'POSF Zone Def'!$AQ66</f>
        <v>0.59428004999999984</v>
      </c>
      <c r="Z77" s="81">
        <f>'POSF Inventory'!AO69*$D$6*'POSF Zone Def'!$AQ66</f>
        <v>0.59568662999999988</v>
      </c>
      <c r="AA77" s="530">
        <f>'POSF Inventory'!AV69*'POSF Emiss by Zone'!$D$5*'POSF Zone Def'!$M66</f>
        <v>0</v>
      </c>
      <c r="AB77" s="530">
        <f>'POSF Inventory'!AW69*'POSF Emiss by Zone'!$D$6*'POSF Zone Def'!$M66</f>
        <v>0</v>
      </c>
      <c r="AC77" s="530">
        <f>'POSF Inventory'!AX69*'POSF Emiss by Zone'!$D$5*'POSF Zone Def'!$M66</f>
        <v>0</v>
      </c>
      <c r="AD77" s="530">
        <f>'POSF Inventory'!AY69*'POSF Emiss by Zone'!$D$6*'POSF Zone Def'!$M66</f>
        <v>0</v>
      </c>
      <c r="AE77" s="530">
        <f>'POSF Inventory'!AZ69*'POSF Emiss by Zone'!$D$5*'POSF Zone Def'!$M66</f>
        <v>0</v>
      </c>
      <c r="AF77" s="531">
        <f>'POSF Inventory'!BA69*'POSF Emiss by Zone'!$D$6*'POSF Zone Def'!$M66</f>
        <v>0</v>
      </c>
      <c r="AG77" s="57">
        <f>'POSF Inventory'!AV69*'POSF Emiss by Zone'!$D$5*'POSF Zone Def'!$N66</f>
        <v>0</v>
      </c>
      <c r="AH77" s="57">
        <f>'POSF Inventory'!AW69*'POSF Emiss by Zone'!$D$6*'POSF Zone Def'!$N66</f>
        <v>0</v>
      </c>
      <c r="AI77" s="57">
        <f>'POSF Inventory'!AX69*'POSF Emiss by Zone'!$D$5*'POSF Zone Def'!$N66</f>
        <v>0</v>
      </c>
      <c r="AJ77" s="57">
        <f>'POSF Inventory'!AY69*'POSF Emiss by Zone'!$D$6*'POSF Zone Def'!$N66</f>
        <v>0</v>
      </c>
      <c r="AK77" s="57">
        <f>'POSF Inventory'!AZ69*'POSF Emiss by Zone'!$D$5*'POSF Zone Def'!$N66</f>
        <v>0</v>
      </c>
      <c r="AL77" s="127">
        <f>'POSF Inventory'!BA69*'POSF Emiss by Zone'!$D$6*'POSF Zone Def'!$N66</f>
        <v>0</v>
      </c>
      <c r="AM77" s="530">
        <f>'POSF Inventory'!BB69*'POSF Emiss by Zone'!$D$5*'POSF Zone Def'!$AP66</f>
        <v>0</v>
      </c>
      <c r="AN77" s="530">
        <f>'POSF Inventory'!BC69*'POSF Emiss by Zone'!$D$6*'POSF Zone Def'!$AP66</f>
        <v>0</v>
      </c>
      <c r="AO77" s="530">
        <f>'POSF Inventory'!BD69*'POSF Emiss by Zone'!$D$5*'POSF Zone Def'!$AP66</f>
        <v>0.22922230499999996</v>
      </c>
      <c r="AP77" s="530">
        <f>'POSF Inventory'!BE69*'POSF Emiss by Zone'!$D$6*'POSF Zone Def'!$AP66</f>
        <v>0.22976484299999997</v>
      </c>
      <c r="AQ77" s="530">
        <f>'POSF Inventory'!BF69*'POSF Emiss by Zone'!$D$5*'POSF Zone Def'!$AP66</f>
        <v>0.42448574999999994</v>
      </c>
      <c r="AR77" s="531">
        <f>'POSF Inventory'!BG69*'POSF Emiss by Zone'!$D$6*'POSF Zone Def'!$AP66</f>
        <v>0.42549044999999996</v>
      </c>
      <c r="AS77" s="57">
        <f>'POSF Inventory'!BB69*'POSF Emiss by Zone'!$D$5*'POSF Zone Def'!$AQ66</f>
        <v>0</v>
      </c>
      <c r="AT77" s="57">
        <f>'POSF Inventory'!BC69*'POSF Emiss by Zone'!$D$6*'POSF Zone Def'!$AQ66</f>
        <v>0</v>
      </c>
      <c r="AU77" s="57">
        <f>'POSF Inventory'!BD69*'POSF Emiss by Zone'!$D$5*'POSF Zone Def'!$AQ66</f>
        <v>0.53485204499999994</v>
      </c>
      <c r="AV77" s="57">
        <f>'POSF Inventory'!BE69*'POSF Emiss by Zone'!$D$6*'POSF Zone Def'!$AQ66</f>
        <v>0.53611796699999992</v>
      </c>
      <c r="AW77" s="57">
        <f>'POSF Inventory'!BF69*'POSF Emiss by Zone'!$D$5*'POSF Zone Def'!$AQ66</f>
        <v>0.99046674999999984</v>
      </c>
      <c r="AX77" s="81">
        <f>'POSF Inventory'!BG69*'POSF Emiss by Zone'!$D$6*'POSF Zone Def'!$AQ66</f>
        <v>0.99281104999999981</v>
      </c>
      <c r="AY77" s="530">
        <f>'POSF Inventory'!EA69*'POSF Emiss by Zone'!$D$5*'POSF Zone Def'!$Y66</f>
        <v>0</v>
      </c>
      <c r="AZ77" s="530">
        <f>'POSF Inventory'!EB69*'POSF Emiss by Zone'!$D$6*'POSF Zone Def'!$Y66</f>
        <v>0</v>
      </c>
      <c r="BA77" s="530">
        <f>'POSF Inventory'!EC69*'POSF Emiss by Zone'!$D$5*'POSF Zone Def'!$Y66</f>
        <v>0</v>
      </c>
      <c r="BB77" s="530">
        <f>'POSF Inventory'!ED69*'POSF Emiss by Zone'!$D$6*'POSF Zone Def'!$Y66</f>
        <v>0</v>
      </c>
      <c r="BC77" s="530">
        <f>'POSF Inventory'!EE69*'POSF Emiss by Zone'!$D$5*'POSF Zone Def'!$Y66</f>
        <v>0</v>
      </c>
      <c r="BD77" s="531">
        <f>'POSF Inventory'!EF69*'POSF Emiss by Zone'!$D$6*'POSF Zone Def'!$Y66</f>
        <v>0</v>
      </c>
      <c r="BE77" s="57">
        <f>'POSF Inventory'!EA69*'POSF Emiss by Zone'!$D$5*'POSF Zone Def'!$Z66</f>
        <v>0</v>
      </c>
      <c r="BF77" s="57">
        <f>'POSF Inventory'!EB69*'POSF Emiss by Zone'!$D$6*'POSF Zone Def'!$Z66</f>
        <v>0</v>
      </c>
      <c r="BG77" s="57">
        <f>'POSF Inventory'!EC69*'POSF Emiss by Zone'!$D$5*'POSF Zone Def'!$Z66</f>
        <v>0</v>
      </c>
      <c r="BH77" s="57">
        <f>'POSF Inventory'!ED69*'POSF Emiss by Zone'!$D$6*'POSF Zone Def'!$Z66</f>
        <v>0</v>
      </c>
      <c r="BI77" s="57">
        <f>'POSF Inventory'!EE69*'POSF Emiss by Zone'!$D$5*'POSF Zone Def'!$Z66</f>
        <v>0</v>
      </c>
      <c r="BJ77" s="127">
        <f>'POSF Inventory'!EF69*'POSF Emiss by Zone'!$D$6*'POSF Zone Def'!$Z66</f>
        <v>0</v>
      </c>
      <c r="BK77" s="57">
        <f>'POSF Inventory'!$EA69*'POSF Emiss by Zone'!$D$5*'POSF Zone Def'!$AC66</f>
        <v>0</v>
      </c>
      <c r="BL77" s="57">
        <f>'POSF Inventory'!$EB69*'POSF Emiss by Zone'!$D$6*'POSF Zone Def'!$AC66</f>
        <v>0</v>
      </c>
      <c r="BM77" s="57">
        <f>'POSF Inventory'!$EC69*'POSF Emiss by Zone'!$D$5*'POSF Zone Def'!$AC66</f>
        <v>0</v>
      </c>
      <c r="BN77" s="57">
        <f>'POSF Inventory'!$ED69*'POSF Emiss by Zone'!$D$6*'POSF Zone Def'!$AC66</f>
        <v>0</v>
      </c>
      <c r="BO77" s="57">
        <f>'POSF Inventory'!$EE69*'POSF Emiss by Zone'!$D$5*'POSF Zone Def'!$AC66</f>
        <v>0</v>
      </c>
      <c r="BP77" s="127">
        <f>'POSF Inventory'!$EF69*'POSF Emiss by Zone'!$D$6*'POSF Zone Def'!$AC66</f>
        <v>0</v>
      </c>
      <c r="BQ77" s="530">
        <f>'POSF Inventory'!EG69*'POSF Emiss by Zone'!$D$5*'POSF Zone Def'!$BB66</f>
        <v>0</v>
      </c>
      <c r="BR77" s="530">
        <f>'POSF Inventory'!EH69*'POSF Emiss by Zone'!$D$6*'POSF Zone Def'!$BB66</f>
        <v>0</v>
      </c>
      <c r="BS77" s="530">
        <f>'POSF Inventory'!EI69*'POSF Emiss by Zone'!$D$5*'POSF Zone Def'!$BB66</f>
        <v>0.82817917649999973</v>
      </c>
      <c r="BT77" s="530">
        <f>'POSF Inventory'!EJ69*'POSF Emiss by Zone'!$D$6*'POSF Zone Def'!$BB66</f>
        <v>8.3013936389999969</v>
      </c>
      <c r="BU77" s="530">
        <f>'POSF Inventory'!EK69*'POSF Emiss by Zone'!$D$5*'POSF Zone Def'!$BB66</f>
        <v>0</v>
      </c>
      <c r="BV77" s="531">
        <f>'POSF Inventory'!EL69*'POSF Emiss by Zone'!$D$6*'POSF Zone Def'!$BB66</f>
        <v>0</v>
      </c>
      <c r="BW77" s="57">
        <f>'POSF Inventory'!EG69*'POSF Emiss by Zone'!$D$5*'POSF Zone Def'!$BC66</f>
        <v>0</v>
      </c>
      <c r="BX77" s="57">
        <f>'POSF Inventory'!EH69*'POSF Emiss by Zone'!$D$6*'POSF Zone Def'!$BC66</f>
        <v>0</v>
      </c>
      <c r="BY77" s="57">
        <f>'POSF Inventory'!EI69*'POSF Emiss by Zone'!$D$5*'POSF Zone Def'!$BC66</f>
        <v>1.9324180784999991</v>
      </c>
      <c r="BZ77" s="57">
        <f>'POSF Inventory'!EJ69*'POSF Emiss by Zone'!$D$6*'POSF Zone Def'!$BC66</f>
        <v>19.369918490999993</v>
      </c>
      <c r="CA77" s="57">
        <f>'POSF Inventory'!EK69*'POSF Emiss by Zone'!$D$5*'POSF Zone Def'!$BC66</f>
        <v>0</v>
      </c>
      <c r="CB77" s="81">
        <f>'POSF Inventory'!EL69*'POSF Emiss by Zone'!$D$6*'POSF Zone Def'!$BC66</f>
        <v>0</v>
      </c>
      <c r="CC77" s="530">
        <f>'POSF Inventory'!GC69*'POSF Emiss by Zone'!$D$7*'POSF Zone Def'!$M66</f>
        <v>0</v>
      </c>
      <c r="CD77" s="530">
        <f>'POSF Inventory'!GD69*'POSF Emiss by Zone'!$D$9*'POSF Zone Def'!$M66</f>
        <v>0</v>
      </c>
      <c r="CE77" s="530">
        <f>'POSF Inventory'!GE69*'POSF Emiss by Zone'!$D$7*'POSF Zone Def'!$M66</f>
        <v>0</v>
      </c>
      <c r="CF77" s="530">
        <f>'POSF Inventory'!GF69*'POSF Emiss by Zone'!$D$9*'POSF Zone Def'!$M66</f>
        <v>0</v>
      </c>
      <c r="CG77" s="530">
        <f>'POSF Inventory'!GG69*'POSF Emiss by Zone'!$D$7*'POSF Zone Def'!$M66</f>
        <v>0</v>
      </c>
      <c r="CH77" s="531">
        <f>'POSF Inventory'!GH69*'POSF Emiss by Zone'!$D$9*'POSF Zone Def'!$M66</f>
        <v>0</v>
      </c>
      <c r="CI77" s="57">
        <f>'POSF Inventory'!GC69*'POSF Emiss by Zone'!$D$7*'POSF Zone Def'!$N66</f>
        <v>0</v>
      </c>
      <c r="CJ77" s="57">
        <f>'POSF Inventory'!GD69*'POSF Emiss by Zone'!$D$9*'POSF Zone Def'!$N66</f>
        <v>0</v>
      </c>
      <c r="CK77" s="57">
        <f>'POSF Inventory'!GE69*'POSF Emiss by Zone'!$D$7*'POSF Zone Def'!$N66</f>
        <v>0</v>
      </c>
      <c r="CL77" s="57">
        <f>'POSF Inventory'!GF69*'POSF Emiss by Zone'!$D$9*'POSF Zone Def'!$N66</f>
        <v>0</v>
      </c>
      <c r="CM77" s="57">
        <f>'POSF Inventory'!GG69*'POSF Emiss by Zone'!$D$7*'POSF Zone Def'!$N66</f>
        <v>0</v>
      </c>
      <c r="CN77" s="127">
        <f>'POSF Inventory'!GH69*'POSF Emiss by Zone'!$D$9*'POSF Zone Def'!$N66</f>
        <v>0</v>
      </c>
      <c r="CO77" s="530">
        <f>'POSF Inventory'!GI69*'POSF Emiss by Zone'!$D$7*'POSF Zone Def'!$AP66</f>
        <v>1.6075200000000001E-3</v>
      </c>
      <c r="CP77" s="530">
        <f>'POSF Inventory'!GJ69*'POSF Emiss by Zone'!$D$9*'POSF Zone Def'!$AP66</f>
        <v>1.9872966000000001E-3</v>
      </c>
      <c r="CQ77" s="530">
        <f>'POSF Inventory'!GK69*'POSF Emiss by Zone'!$D$7*'POSF Zone Def'!$AP66</f>
        <v>2.41128E-2</v>
      </c>
      <c r="CR77" s="530">
        <f>'POSF Inventory'!GL69*'POSF Emiss by Zone'!$D$9*'POSF Zone Def'!$AP66</f>
        <v>2.9809448999999998E-2</v>
      </c>
      <c r="CS77" s="530">
        <f>'POSF Inventory'!GM69*'POSF Emiss by Zone'!$D$7*'POSF Zone Def'!$AP66</f>
        <v>8.8413600000000009E-2</v>
      </c>
      <c r="CT77" s="531">
        <f>'POSF Inventory'!GN69*'POSF Emiss by Zone'!$D$9*'POSF Zone Def'!$AP66</f>
        <v>0.43720525200000004</v>
      </c>
      <c r="CU77" s="57">
        <f>'POSF Inventory'!GI69*'POSF Emiss by Zone'!$D$7*'POSF Zone Def'!$AQ66</f>
        <v>3.7508799999999998E-3</v>
      </c>
      <c r="CV77" s="57">
        <f>'POSF Inventory'!GJ69*'POSF Emiss by Zone'!$D$9*'POSF Zone Def'!$AQ66</f>
        <v>4.6370254000000005E-3</v>
      </c>
      <c r="CW77" s="57">
        <f>'POSF Inventory'!GK69*'POSF Emiss by Zone'!$D$7*'POSF Zone Def'!$AQ66</f>
        <v>5.6263199999999999E-2</v>
      </c>
      <c r="CX77" s="57">
        <f>'POSF Inventory'!GL69*'POSF Emiss by Zone'!$D$9*'POSF Zone Def'!$AQ66</f>
        <v>6.9555380999999999E-2</v>
      </c>
      <c r="CY77" s="57">
        <f>'POSF Inventory'!GM69*'POSF Emiss by Zone'!$D$7*'POSF Zone Def'!$AQ66</f>
        <v>0.20629840000000002</v>
      </c>
      <c r="CZ77" s="81">
        <f>'POSF Inventory'!GN69*'POSF Emiss by Zone'!$D$9*'POSF Zone Def'!$AQ66</f>
        <v>1.0201455880000001</v>
      </c>
      <c r="DA77" s="530">
        <f>SUM('POSF Inventory'!GQ69,'POSF Inventory'!GS69)*'POSF Emiss by Zone'!$D$7*'POSF Zone Def'!$Y66</f>
        <v>0</v>
      </c>
      <c r="DB77" s="530">
        <f>SUM('POSF Inventory'!GR69,'POSF Inventory'!GT69)*'POSF Emiss by Zone'!$D$9*'POSF Zone Def'!$Y66</f>
        <v>0</v>
      </c>
      <c r="DC77" s="530"/>
      <c r="DD77" s="530"/>
      <c r="DE77" s="530">
        <f>'POSF Inventory'!GU69*'POSF Emiss by Zone'!$D$7*'POSF Zone Def'!$Y66</f>
        <v>0</v>
      </c>
      <c r="DF77" s="531">
        <f>'POSF Inventory'!GV69*'POSF Emiss by Zone'!$D$9*'POSF Zone Def'!$Y66</f>
        <v>0</v>
      </c>
      <c r="DG77" s="57">
        <f>SUM('POSF Inventory'!GQ69,'POSF Inventory'!GS69)*'POSF Emiss by Zone'!$D$7*'POSF Zone Def'!$Z66</f>
        <v>0</v>
      </c>
      <c r="DH77" s="57">
        <f>SUM('POSF Inventory'!GR69,'POSF Inventory'!GT69)*'POSF Emiss by Zone'!$D$9*'POSF Zone Def'!$Z66</f>
        <v>0</v>
      </c>
      <c r="DI77" s="57"/>
      <c r="DJ77" s="57"/>
      <c r="DK77" s="57">
        <f>'POSF Inventory'!GU69*'POSF Emiss by Zone'!$D$7*'POSF Zone Def'!$Z66</f>
        <v>0</v>
      </c>
      <c r="DL77" s="127">
        <f>'POSF Inventory'!GV69*'POSF Emiss by Zone'!$D$9*'POSF Zone Def'!$Z66</f>
        <v>0</v>
      </c>
      <c r="DM77" s="57">
        <f>SUM('POSF Inventory'!$GQ69,'POSF Inventory'!$GS69)*'POSF Emiss by Zone'!$D$7*'POSF Zone Def'!$AC66</f>
        <v>0</v>
      </c>
      <c r="DN77" s="57">
        <f>SUM('POSF Inventory'!$GR69,'POSF Inventory'!$GT69)*'POSF Emiss by Zone'!$D$9*'POSF Zone Def'!$AC66</f>
        <v>0</v>
      </c>
      <c r="DO77" s="57"/>
      <c r="DP77" s="57"/>
      <c r="DQ77" s="57">
        <f>'POSF Inventory'!$GU69*'POSF Emiss by Zone'!$D$7*'POSF Zone Def'!$AC66</f>
        <v>0</v>
      </c>
      <c r="DR77" s="127">
        <f>'POSF Inventory'!$GV69*'POSF Emiss by Zone'!$D$9*'POSF Zone Def'!$AC66</f>
        <v>0</v>
      </c>
      <c r="DS77" s="530">
        <f>SUM('POSF Inventory'!GW69,'POSF Inventory'!GY69)*$D$7*'POSF Zone Def'!$BB66</f>
        <v>0.46243800396149987</v>
      </c>
      <c r="DT77" s="530">
        <f>SUM('POSF Inventory'!GX69,'POSF Inventory'!GZ69)*$D$9*'POSF Zone Def'!$BB66</f>
        <v>6.689125777477499</v>
      </c>
      <c r="DU77" s="530"/>
      <c r="DV77" s="530"/>
      <c r="DW77" s="530">
        <f>'POSF Inventory'!HA69*'POSF Emiss by Zone'!$D$7*'POSF Zone Def'!$BB66</f>
        <v>0</v>
      </c>
      <c r="DX77" s="531">
        <f>'POSF Inventory'!HB69*'POSF Emiss by Zone'!$D$9*'POSF Zone Def'!$BB66</f>
        <v>0</v>
      </c>
      <c r="DY77" s="57">
        <f>SUM('POSF Inventory'!GW69,'POSF Inventory'!GY69)*$D$7*'POSF Zone Def'!$BC66</f>
        <v>1.0790220092434997</v>
      </c>
      <c r="DZ77" s="57">
        <f>SUM('POSF Inventory'!GX69,'POSF Inventory'!GZ69)*$D$9*'POSF Zone Def'!$BC66</f>
        <v>15.607960147447496</v>
      </c>
      <c r="EA77" s="57"/>
      <c r="EB77" s="57"/>
      <c r="EC77" s="57">
        <f>'POSF Inventory'!HA69*'POSF Emiss by Zone'!$D$7*'POSF Zone Def'!$BC66</f>
        <v>0</v>
      </c>
      <c r="ED77" s="81">
        <f>'POSF Inventory'!HB69*'POSF Emiss by Zone'!$D$9*'POSF Zone Def'!$BC66</f>
        <v>0</v>
      </c>
      <c r="EE77" s="236">
        <f>'POSF Inventory'!$CF69*'POSF Emiss by Zone'!$D$7*'POSF Zone Def'!$CE66</f>
        <v>0</v>
      </c>
      <c r="EF77" s="236">
        <f>'POSF Inventory'!$CG69*'POSF Emiss by Zone'!$D$9*'POSF Zone Def'!$CE66</f>
        <v>0</v>
      </c>
      <c r="EG77" s="236">
        <f>'POSF Inventory'!$CH69*'POSF Emiss by Zone'!$D$7*'POSF Zone Def'!$CE66</f>
        <v>0</v>
      </c>
      <c r="EH77" s="236">
        <f>'POSF Inventory'!$CI69*'POSF Emiss by Zone'!$D$9*'POSF Zone Def'!$CE66</f>
        <v>0</v>
      </c>
      <c r="EI77" s="236">
        <f>'POSF Inventory'!$CJ69*'POSF Emiss by Zone'!$D$7*'POSF Zone Def'!$CE66</f>
        <v>0</v>
      </c>
      <c r="EJ77" s="581">
        <f>'POSF Inventory'!$CK69*'POSF Emiss by Zone'!$D$9*'POSF Zone Def'!$CE66</f>
        <v>0</v>
      </c>
      <c r="EK77" s="236">
        <f>'POSF Inventory'!$CF69*'POSF Emiss by Zone'!$D$7*'POSF Zone Def'!$CF66</f>
        <v>0</v>
      </c>
      <c r="EL77" s="236">
        <f>'POSF Inventory'!$CG69*'POSF Emiss by Zone'!$D$9*'POSF Zone Def'!$CF66</f>
        <v>0</v>
      </c>
      <c r="EM77" s="236">
        <f>'POSF Inventory'!$CH69*'POSF Emiss by Zone'!$D$7*'POSF Zone Def'!$CF66</f>
        <v>0</v>
      </c>
      <c r="EN77" s="236">
        <f>'POSF Inventory'!$CI69*'POSF Emiss by Zone'!$D$9*'POSF Zone Def'!$CF66</f>
        <v>0</v>
      </c>
      <c r="EO77" s="236">
        <f>'POSF Inventory'!$CJ69*'POSF Emiss by Zone'!$D$7*'POSF Zone Def'!$CF66</f>
        <v>0</v>
      </c>
      <c r="EP77" s="581">
        <f>'POSF Inventory'!$CK69*'POSF Emiss by Zone'!$D$9*'POSF Zone Def'!$CF66</f>
        <v>0</v>
      </c>
      <c r="EQ77" s="236">
        <f>'POSF Inventory'!$CF69*'POSF Emiss by Zone'!$D$7*'POSF Zone Def'!$CG66</f>
        <v>8.7308814627544686E-5</v>
      </c>
      <c r="ER77" s="236">
        <f>'POSF Inventory'!$CG69*'POSF Emiss by Zone'!$D$9*'POSF Zone Def'!$CG66</f>
        <v>1.0793552208330213E-4</v>
      </c>
      <c r="ES77" s="236">
        <f>'POSF Inventory'!$CH69*'POSF Emiss by Zone'!$D$7*'POSF Zone Def'!$CG66</f>
        <v>0</v>
      </c>
      <c r="ET77" s="236">
        <f>'POSF Inventory'!$CI69*'POSF Emiss by Zone'!$D$9*'POSF Zone Def'!$CG66</f>
        <v>0</v>
      </c>
      <c r="EU77" s="236">
        <f>'POSF Inventory'!$CJ69*'POSF Emiss by Zone'!$D$7*'POSF Zone Def'!$CG66</f>
        <v>7.8577933164790219E-4</v>
      </c>
      <c r="EV77" s="581">
        <f>'POSF Inventory'!$CK69*'POSF Emiss by Zone'!$D$9*'POSF Zone Def'!$CG66</f>
        <v>9.7141969874971906E-4</v>
      </c>
      <c r="EW77" s="236">
        <f>'POSF Inventory'!$CF69*'POSF Emiss by Zone'!$D$7*'POSF Zone Def'!$CH66</f>
        <v>1.3710659996503474</v>
      </c>
      <c r="EX77" s="236">
        <f>'POSF Inventory'!$CG69*'POSF Emiss by Zone'!$D$9*'POSF Zone Def'!$CH66</f>
        <v>1.6949803420677423</v>
      </c>
      <c r="EY77" s="236">
        <f>'POSF Inventory'!$CH69*'POSF Emiss by Zone'!$D$7*'POSF Zone Def'!$CH66</f>
        <v>0</v>
      </c>
      <c r="EZ77" s="236">
        <f>'POSF Inventory'!$CI69*'POSF Emiss by Zone'!$D$9*'POSF Zone Def'!$CH66</f>
        <v>0</v>
      </c>
      <c r="FA77" s="236">
        <f>'POSF Inventory'!$CJ69*'POSF Emiss by Zone'!$D$7*'POSF Zone Def'!$CH66</f>
        <v>12.339593996853127</v>
      </c>
      <c r="FB77" s="581">
        <f>'POSF Inventory'!$CK69*'POSF Emiss by Zone'!$D$9*'POSF Zone Def'!$CH66</f>
        <v>15.254823078609679</v>
      </c>
      <c r="FC77" s="236">
        <f>'POSF Inventory'!$CF69*'POSF Emiss by Zone'!$D$7*'POSF Zone Def'!$CI66</f>
        <v>1.839486691535025</v>
      </c>
      <c r="FD77" s="236">
        <f>'POSF Inventory'!$CG69*'POSF Emiss by Zone'!$D$9*'POSF Zone Def'!$CI66</f>
        <v>2.2740654224101751</v>
      </c>
      <c r="FE77" s="236">
        <f>'POSF Inventory'!$CH69*'POSF Emiss by Zone'!$D$7*'POSF Zone Def'!$CI66</f>
        <v>0</v>
      </c>
      <c r="FF77" s="236">
        <f>'POSF Inventory'!$CI69*'POSF Emiss by Zone'!$D$9*'POSF Zone Def'!$CI66</f>
        <v>0</v>
      </c>
      <c r="FG77" s="236">
        <f>'POSF Inventory'!$CJ69*'POSF Emiss by Zone'!$D$7*'POSF Zone Def'!$CI66</f>
        <v>16.555380223815227</v>
      </c>
      <c r="FH77" s="578">
        <f>'POSF Inventory'!$CK69*'POSF Emiss by Zone'!$D$9*'POSF Zone Def'!$CI66</f>
        <v>20.466588801691575</v>
      </c>
      <c r="FI77" s="595"/>
      <c r="FJ77" s="595"/>
      <c r="FM77" s="592">
        <v>60</v>
      </c>
      <c r="FN77" s="592">
        <f t="shared" si="98"/>
        <v>2014</v>
      </c>
      <c r="FO77" s="587">
        <v>57</v>
      </c>
      <c r="FP77" s="85">
        <f t="shared" si="20"/>
        <v>0.34383345749999994</v>
      </c>
      <c r="FQ77" s="530">
        <f t="shared" si="21"/>
        <v>0.34464726449999994</v>
      </c>
      <c r="FR77" s="530">
        <f t="shared" si="22"/>
        <v>0</v>
      </c>
      <c r="FS77" s="530">
        <f t="shared" si="23"/>
        <v>0</v>
      </c>
      <c r="FT77" s="530">
        <f t="shared" si="24"/>
        <v>0.25469144999999993</v>
      </c>
      <c r="FU77" s="531">
        <f t="shared" si="25"/>
        <v>0.25529426999999999</v>
      </c>
      <c r="FV77" s="57">
        <f t="shared" si="26"/>
        <v>0.80227806749999986</v>
      </c>
      <c r="FW77" s="57">
        <f t="shared" si="27"/>
        <v>0.80417695049999982</v>
      </c>
      <c r="FX77" s="57">
        <f t="shared" si="28"/>
        <v>0</v>
      </c>
      <c r="FY77" s="57">
        <f t="shared" si="29"/>
        <v>0</v>
      </c>
      <c r="FZ77" s="57">
        <f t="shared" si="30"/>
        <v>0.59428004999999984</v>
      </c>
      <c r="GA77" s="81">
        <f t="shared" si="31"/>
        <v>0.59568662999999988</v>
      </c>
      <c r="GB77" s="530">
        <f t="shared" si="32"/>
        <v>0</v>
      </c>
      <c r="GC77" s="530">
        <f t="shared" si="33"/>
        <v>0</v>
      </c>
      <c r="GD77" s="530">
        <f t="shared" si="34"/>
        <v>1.0531887265936253</v>
      </c>
      <c r="GE77" s="530">
        <f t="shared" si="35"/>
        <v>8.4971698027888412</v>
      </c>
      <c r="GF77" s="530">
        <f t="shared" si="36"/>
        <v>0.42279457171314733</v>
      </c>
      <c r="GG77" s="531">
        <f t="shared" si="37"/>
        <v>0.42379526892430275</v>
      </c>
      <c r="GH77" s="57">
        <f t="shared" si="38"/>
        <v>0</v>
      </c>
      <c r="GI77" s="57">
        <f t="shared" si="39"/>
        <v>0</v>
      </c>
      <c r="GJ77" s="57">
        <f t="shared" si="40"/>
        <v>2.4574403620517922</v>
      </c>
      <c r="GK77" s="57">
        <f t="shared" si="41"/>
        <v>19.826729539840631</v>
      </c>
      <c r="GL77" s="57">
        <f t="shared" si="42"/>
        <v>0.98652066733067711</v>
      </c>
      <c r="GM77" s="57">
        <f t="shared" si="43"/>
        <v>0.98885562749003963</v>
      </c>
      <c r="GN77" s="57">
        <f t="shared" si="44"/>
        <v>0</v>
      </c>
      <c r="GO77" s="57">
        <f t="shared" si="45"/>
        <v>0</v>
      </c>
      <c r="GP77" s="57">
        <f t="shared" si="46"/>
        <v>0</v>
      </c>
      <c r="GQ77" s="57">
        <f t="shared" si="47"/>
        <v>0</v>
      </c>
      <c r="GR77" s="57">
        <f t="shared" si="48"/>
        <v>0</v>
      </c>
      <c r="GS77" s="81">
        <f t="shared" si="49"/>
        <v>0</v>
      </c>
      <c r="GT77" s="530">
        <f t="shared" si="50"/>
        <v>9.6136921298796783E-3</v>
      </c>
      <c r="GU77" s="530">
        <f t="shared" si="51"/>
        <v>0.13862066926375696</v>
      </c>
      <c r="GV77" s="530">
        <f t="shared" si="52"/>
        <v>4.9954804780876492E-4</v>
      </c>
      <c r="GW77" s="530">
        <f t="shared" si="53"/>
        <v>6.1756627410358559E-4</v>
      </c>
      <c r="GX77" s="530">
        <f t="shared" si="54"/>
        <v>1.8316761752988049E-3</v>
      </c>
      <c r="GY77" s="531">
        <f t="shared" si="55"/>
        <v>9.057638686852592E-3</v>
      </c>
      <c r="GZ77" s="57">
        <f t="shared" si="56"/>
        <v>2.2431948303052583E-2</v>
      </c>
      <c r="HA77" s="57">
        <f t="shared" si="57"/>
        <v>0.32344822828209957</v>
      </c>
      <c r="HB77" s="57">
        <f t="shared" si="58"/>
        <v>1.1656121115537848E-3</v>
      </c>
      <c r="HC77" s="57">
        <f t="shared" si="59"/>
        <v>1.4409879729083666E-3</v>
      </c>
      <c r="HD77" s="57">
        <f t="shared" si="60"/>
        <v>4.2739110756972115E-3</v>
      </c>
      <c r="HE77" s="127">
        <f t="shared" si="61"/>
        <v>2.1134490269322712E-2</v>
      </c>
      <c r="HF77" s="236">
        <f t="shared" si="62"/>
        <v>9.0439409574349079E-5</v>
      </c>
      <c r="HG77" s="236">
        <f t="shared" si="63"/>
        <v>1.1180572008628905E-4</v>
      </c>
      <c r="HH77" s="236">
        <f t="shared" si="64"/>
        <v>0</v>
      </c>
      <c r="HI77" s="236">
        <f t="shared" si="65"/>
        <v>0</v>
      </c>
      <c r="HJ77" s="236">
        <f t="shared" si="66"/>
        <v>8.1395468616914167E-4</v>
      </c>
      <c r="HK77" s="581">
        <f t="shared" si="67"/>
        <v>1.0062514807766014E-3</v>
      </c>
      <c r="HL77" s="236">
        <f t="shared" si="68"/>
        <v>1.4202277287214753</v>
      </c>
      <c r="HM77" s="236">
        <f t="shared" si="69"/>
        <v>1.7557565296319242</v>
      </c>
      <c r="HN77" s="236">
        <f t="shared" si="70"/>
        <v>0</v>
      </c>
      <c r="HO77" s="236">
        <f t="shared" si="71"/>
        <v>0</v>
      </c>
      <c r="HP77" s="236">
        <f t="shared" si="72"/>
        <v>12.782049558493279</v>
      </c>
      <c r="HQ77" s="581">
        <f t="shared" si="73"/>
        <v>15.801808766687316</v>
      </c>
      <c r="HR77" s="236">
        <f t="shared" si="74"/>
        <v>1.9054443816697468</v>
      </c>
      <c r="HS77" s="236">
        <f t="shared" si="75"/>
        <v>2.3556056168392252</v>
      </c>
      <c r="HT77" s="236">
        <f t="shared" si="76"/>
        <v>0</v>
      </c>
      <c r="HU77" s="236">
        <f t="shared" si="77"/>
        <v>0</v>
      </c>
      <c r="HV77" s="236">
        <f t="shared" si="78"/>
        <v>17.148999435027726</v>
      </c>
      <c r="HW77" s="578">
        <f t="shared" si="79"/>
        <v>21.200450551553025</v>
      </c>
      <c r="HX77" s="236">
        <f t="shared" si="80"/>
        <v>0.5109307609641438</v>
      </c>
      <c r="HY77" s="236">
        <f t="shared" si="81"/>
        <v>7.367155414948436</v>
      </c>
      <c r="HZ77" s="236">
        <f t="shared" si="82"/>
        <v>2.6549057402390434E-2</v>
      </c>
      <c r="IA77" s="236">
        <f t="shared" si="83"/>
        <v>3.2821272213705177E-2</v>
      </c>
      <c r="IB77" s="236">
        <f t="shared" si="84"/>
        <v>9.7346543808764938E-2</v>
      </c>
      <c r="IC77" s="236">
        <f t="shared" si="85"/>
        <v>0.48137865913434263</v>
      </c>
      <c r="ID77" s="236">
        <f t="shared" si="86"/>
        <v>1.1921717755830021</v>
      </c>
      <c r="IE77" s="236">
        <f t="shared" si="87"/>
        <v>17.19002930154635</v>
      </c>
      <c r="IF77" s="236">
        <f t="shared" si="88"/>
        <v>6.1947800605577683E-2</v>
      </c>
      <c r="IG77" s="236">
        <f t="shared" si="89"/>
        <v>7.6582968498645418E-2</v>
      </c>
      <c r="IH77" s="236">
        <f t="shared" si="90"/>
        <v>0.22714193555378484</v>
      </c>
      <c r="II77" s="236">
        <f t="shared" si="91"/>
        <v>1.1232168713134663</v>
      </c>
      <c r="IJ77" s="236">
        <f t="shared" si="92"/>
        <v>0</v>
      </c>
      <c r="IK77" s="236">
        <f t="shared" si="93"/>
        <v>0</v>
      </c>
      <c r="IL77" s="236">
        <f t="shared" si="94"/>
        <v>0</v>
      </c>
      <c r="IM77" s="236">
        <f t="shared" si="95"/>
        <v>0</v>
      </c>
      <c r="IN77" s="236">
        <f t="shared" si="96"/>
        <v>0</v>
      </c>
      <c r="IO77" s="236">
        <f t="shared" si="97"/>
        <v>0</v>
      </c>
    </row>
    <row r="78" spans="1:249" ht="18" x14ac:dyDescent="0.25">
      <c r="A78" s="9">
        <v>2015</v>
      </c>
      <c r="B78" s="564"/>
      <c r="C78" s="530">
        <f>'POSF Inventory'!AD70*$D$5*'POSF Zone Def'!$M67</f>
        <v>0</v>
      </c>
      <c r="D78" s="530">
        <f>'POSF Inventory'!AE70*$D$6*'POSF Zone Def'!$M67</f>
        <v>0</v>
      </c>
      <c r="E78" s="530">
        <f>'POSF Inventory'!AF70*$D$5*'POSF Zone Def'!$M67</f>
        <v>0</v>
      </c>
      <c r="F78" s="530">
        <f>'POSF Inventory'!AG70*$D$6*'POSF Zone Def'!$M67</f>
        <v>0</v>
      </c>
      <c r="G78" s="530">
        <f>'POSF Inventory'!AH70*$D$5*'POSF Zone Def'!$M67</f>
        <v>0</v>
      </c>
      <c r="H78" s="531">
        <f>'POSF Inventory'!AI70*$D$6*'POSF Zone Def'!$M67</f>
        <v>0</v>
      </c>
      <c r="I78" s="57">
        <f>'POSF Inventory'!AD70*$D$5*'POSF Zone Def'!$N67</f>
        <v>0</v>
      </c>
      <c r="J78" s="57">
        <f>'POSF Inventory'!AE70*$D$6*'POSF Zone Def'!$N67</f>
        <v>0</v>
      </c>
      <c r="K78" s="57">
        <f>'POSF Inventory'!AF70*$D$5*'POSF Zone Def'!$N67</f>
        <v>0</v>
      </c>
      <c r="L78" s="57">
        <f>'POSF Inventory'!AG70*$D$6*'POSF Zone Def'!$N67</f>
        <v>0</v>
      </c>
      <c r="M78" s="57">
        <f>'POSF Inventory'!AH70*$D$5*'POSF Zone Def'!$N67</f>
        <v>0</v>
      </c>
      <c r="N78" s="127">
        <f>'POSF Inventory'!AI70*$D$6*'POSF Zone Def'!$N67</f>
        <v>0</v>
      </c>
      <c r="O78" s="530">
        <f>'POSF Inventory'!AJ70*$D$5*'POSF Zone Def'!$AP67</f>
        <v>0.34383345749999994</v>
      </c>
      <c r="P78" s="530">
        <f>'POSF Inventory'!AK70*$D$6*'POSF Zone Def'!$AP67</f>
        <v>0.34464726449999994</v>
      </c>
      <c r="Q78" s="530">
        <f>'POSF Inventory'!AL70*$D$5*'POSF Zone Def'!$AP67</f>
        <v>0</v>
      </c>
      <c r="R78" s="530">
        <f>'POSF Inventory'!AM70*$D$6*'POSF Zone Def'!$AP67</f>
        <v>0</v>
      </c>
      <c r="S78" s="530">
        <f>'POSF Inventory'!AN70*$D$5*'POSF Zone Def'!$AP67</f>
        <v>0.25469144999999993</v>
      </c>
      <c r="T78" s="531">
        <f>'POSF Inventory'!AO70*$D$6*'POSF Zone Def'!$AP67</f>
        <v>0.25529426999999999</v>
      </c>
      <c r="U78" s="57">
        <f>'POSF Inventory'!AJ70*$D$5*'POSF Zone Def'!$AQ67</f>
        <v>0.80227806749999986</v>
      </c>
      <c r="V78" s="57">
        <f>'POSF Inventory'!AK70*$D$6*'POSF Zone Def'!$AQ67</f>
        <v>0.80417695049999982</v>
      </c>
      <c r="W78" s="57">
        <f>'POSF Inventory'!AL70*$D$5*'POSF Zone Def'!$AQ67</f>
        <v>0</v>
      </c>
      <c r="X78" s="57">
        <f>'POSF Inventory'!AM70*$D$6*'POSF Zone Def'!$AQ67</f>
        <v>0</v>
      </c>
      <c r="Y78" s="57">
        <f>'POSF Inventory'!AN70*$D$5*'POSF Zone Def'!$AQ67</f>
        <v>0.59428004999999984</v>
      </c>
      <c r="Z78" s="81">
        <f>'POSF Inventory'!AO70*$D$6*'POSF Zone Def'!$AQ67</f>
        <v>0.59568662999999988</v>
      </c>
      <c r="AA78" s="530">
        <f>'POSF Inventory'!AV70*'POSF Emiss by Zone'!$D$5*'POSF Zone Def'!$M67</f>
        <v>0</v>
      </c>
      <c r="AB78" s="530">
        <f>'POSF Inventory'!AW70*'POSF Emiss by Zone'!$D$6*'POSF Zone Def'!$M67</f>
        <v>0</v>
      </c>
      <c r="AC78" s="530">
        <f>'POSF Inventory'!AX70*'POSF Emiss by Zone'!$D$5*'POSF Zone Def'!$M67</f>
        <v>0</v>
      </c>
      <c r="AD78" s="530">
        <f>'POSF Inventory'!AY70*'POSF Emiss by Zone'!$D$6*'POSF Zone Def'!$M67</f>
        <v>0</v>
      </c>
      <c r="AE78" s="530">
        <f>'POSF Inventory'!AZ70*'POSF Emiss by Zone'!$D$5*'POSF Zone Def'!$M67</f>
        <v>0</v>
      </c>
      <c r="AF78" s="531">
        <f>'POSF Inventory'!BA70*'POSF Emiss by Zone'!$D$6*'POSF Zone Def'!$M67</f>
        <v>0</v>
      </c>
      <c r="AG78" s="57">
        <f>'POSF Inventory'!AV70*'POSF Emiss by Zone'!$D$5*'POSF Zone Def'!$N67</f>
        <v>0</v>
      </c>
      <c r="AH78" s="57">
        <f>'POSF Inventory'!AW70*'POSF Emiss by Zone'!$D$6*'POSF Zone Def'!$N67</f>
        <v>0</v>
      </c>
      <c r="AI78" s="57">
        <f>'POSF Inventory'!AX70*'POSF Emiss by Zone'!$D$5*'POSF Zone Def'!$N67</f>
        <v>0</v>
      </c>
      <c r="AJ78" s="57">
        <f>'POSF Inventory'!AY70*'POSF Emiss by Zone'!$D$6*'POSF Zone Def'!$N67</f>
        <v>0</v>
      </c>
      <c r="AK78" s="57">
        <f>'POSF Inventory'!AZ70*'POSF Emiss by Zone'!$D$5*'POSF Zone Def'!$N67</f>
        <v>0</v>
      </c>
      <c r="AL78" s="127">
        <f>'POSF Inventory'!BA70*'POSF Emiss by Zone'!$D$6*'POSF Zone Def'!$N67</f>
        <v>0</v>
      </c>
      <c r="AM78" s="530">
        <f>'POSF Inventory'!BB70*'POSF Emiss by Zone'!$D$5*'POSF Zone Def'!$AP67</f>
        <v>0</v>
      </c>
      <c r="AN78" s="530">
        <f>'POSF Inventory'!BC70*'POSF Emiss by Zone'!$D$6*'POSF Zone Def'!$AP67</f>
        <v>0</v>
      </c>
      <c r="AO78" s="530">
        <f>'POSF Inventory'!BD70*'POSF Emiss by Zone'!$D$5*'POSF Zone Def'!$AP67</f>
        <v>0.22922230499999996</v>
      </c>
      <c r="AP78" s="530">
        <f>'POSF Inventory'!BE70*'POSF Emiss by Zone'!$D$6*'POSF Zone Def'!$AP67</f>
        <v>0.22976484299999997</v>
      </c>
      <c r="AQ78" s="530">
        <f>'POSF Inventory'!BF70*'POSF Emiss by Zone'!$D$5*'POSF Zone Def'!$AP67</f>
        <v>0.42448574999999994</v>
      </c>
      <c r="AR78" s="531">
        <f>'POSF Inventory'!BG70*'POSF Emiss by Zone'!$D$6*'POSF Zone Def'!$AP67</f>
        <v>0.42549044999999996</v>
      </c>
      <c r="AS78" s="57">
        <f>'POSF Inventory'!BB70*'POSF Emiss by Zone'!$D$5*'POSF Zone Def'!$AQ67</f>
        <v>0</v>
      </c>
      <c r="AT78" s="57">
        <f>'POSF Inventory'!BC70*'POSF Emiss by Zone'!$D$6*'POSF Zone Def'!$AQ67</f>
        <v>0</v>
      </c>
      <c r="AU78" s="57">
        <f>'POSF Inventory'!BD70*'POSF Emiss by Zone'!$D$5*'POSF Zone Def'!$AQ67</f>
        <v>0.53485204499999994</v>
      </c>
      <c r="AV78" s="57">
        <f>'POSF Inventory'!BE70*'POSF Emiss by Zone'!$D$6*'POSF Zone Def'!$AQ67</f>
        <v>0.53611796699999992</v>
      </c>
      <c r="AW78" s="57">
        <f>'POSF Inventory'!BF70*'POSF Emiss by Zone'!$D$5*'POSF Zone Def'!$AQ67</f>
        <v>0.99046674999999984</v>
      </c>
      <c r="AX78" s="81">
        <f>'POSF Inventory'!BG70*'POSF Emiss by Zone'!$D$6*'POSF Zone Def'!$AQ67</f>
        <v>0.99281104999999981</v>
      </c>
      <c r="AY78" s="530">
        <f>'POSF Inventory'!EA70*'POSF Emiss by Zone'!$D$5*'POSF Zone Def'!$Y67</f>
        <v>0</v>
      </c>
      <c r="AZ78" s="530">
        <f>'POSF Inventory'!EB70*'POSF Emiss by Zone'!$D$6*'POSF Zone Def'!$Y67</f>
        <v>0</v>
      </c>
      <c r="BA78" s="530">
        <f>'POSF Inventory'!EC70*'POSF Emiss by Zone'!$D$5*'POSF Zone Def'!$Y67</f>
        <v>0</v>
      </c>
      <c r="BB78" s="530">
        <f>'POSF Inventory'!ED70*'POSF Emiss by Zone'!$D$6*'POSF Zone Def'!$Y67</f>
        <v>0</v>
      </c>
      <c r="BC78" s="530">
        <f>'POSF Inventory'!EE70*'POSF Emiss by Zone'!$D$5*'POSF Zone Def'!$Y67</f>
        <v>0</v>
      </c>
      <c r="BD78" s="531">
        <f>'POSF Inventory'!EF70*'POSF Emiss by Zone'!$D$6*'POSF Zone Def'!$Y67</f>
        <v>0</v>
      </c>
      <c r="BE78" s="57">
        <f>'POSF Inventory'!EA70*'POSF Emiss by Zone'!$D$5*'POSF Zone Def'!$Z67</f>
        <v>0</v>
      </c>
      <c r="BF78" s="57">
        <f>'POSF Inventory'!EB70*'POSF Emiss by Zone'!$D$6*'POSF Zone Def'!$Z67</f>
        <v>0</v>
      </c>
      <c r="BG78" s="57">
        <f>'POSF Inventory'!EC70*'POSF Emiss by Zone'!$D$5*'POSF Zone Def'!$Z67</f>
        <v>0</v>
      </c>
      <c r="BH78" s="57">
        <f>'POSF Inventory'!ED70*'POSF Emiss by Zone'!$D$6*'POSF Zone Def'!$Z67</f>
        <v>0</v>
      </c>
      <c r="BI78" s="57">
        <f>'POSF Inventory'!EE70*'POSF Emiss by Zone'!$D$5*'POSF Zone Def'!$Z67</f>
        <v>0</v>
      </c>
      <c r="BJ78" s="127">
        <f>'POSF Inventory'!EF70*'POSF Emiss by Zone'!$D$6*'POSF Zone Def'!$Z67</f>
        <v>0</v>
      </c>
      <c r="BK78" s="57">
        <f>'POSF Inventory'!$EA70*'POSF Emiss by Zone'!$D$5*'POSF Zone Def'!$AC67</f>
        <v>0</v>
      </c>
      <c r="BL78" s="57">
        <f>'POSF Inventory'!$EB70*'POSF Emiss by Zone'!$D$6*'POSF Zone Def'!$AC67</f>
        <v>0</v>
      </c>
      <c r="BM78" s="57">
        <f>'POSF Inventory'!$EC70*'POSF Emiss by Zone'!$D$5*'POSF Zone Def'!$AC67</f>
        <v>0</v>
      </c>
      <c r="BN78" s="57">
        <f>'POSF Inventory'!$ED70*'POSF Emiss by Zone'!$D$6*'POSF Zone Def'!$AC67</f>
        <v>0</v>
      </c>
      <c r="BO78" s="57">
        <f>'POSF Inventory'!$EE70*'POSF Emiss by Zone'!$D$5*'POSF Zone Def'!$AC67</f>
        <v>0</v>
      </c>
      <c r="BP78" s="127">
        <f>'POSF Inventory'!$EF70*'POSF Emiss by Zone'!$D$6*'POSF Zone Def'!$AC67</f>
        <v>0</v>
      </c>
      <c r="BQ78" s="530">
        <f>'POSF Inventory'!EG70*'POSF Emiss by Zone'!$D$5*'POSF Zone Def'!$BB67</f>
        <v>0</v>
      </c>
      <c r="BR78" s="530">
        <f>'POSF Inventory'!EH70*'POSF Emiss by Zone'!$D$6*'POSF Zone Def'!$BB67</f>
        <v>0</v>
      </c>
      <c r="BS78" s="530">
        <f>'POSF Inventory'!EI70*'POSF Emiss by Zone'!$D$5*'POSF Zone Def'!$BB67</f>
        <v>0.90238648499999963</v>
      </c>
      <c r="BT78" s="530">
        <f>'POSF Inventory'!EJ70*'POSF Emiss by Zone'!$D$6*'POSF Zone Def'!$BB67</f>
        <v>9.0452231099999949</v>
      </c>
      <c r="BU78" s="530">
        <f>'POSF Inventory'!EK70*'POSF Emiss by Zone'!$D$5*'POSF Zone Def'!$BB67</f>
        <v>0</v>
      </c>
      <c r="BV78" s="531">
        <f>'POSF Inventory'!EL70*'POSF Emiss by Zone'!$D$6*'POSF Zone Def'!$BB67</f>
        <v>0</v>
      </c>
      <c r="BW78" s="57">
        <f>'POSF Inventory'!EG70*'POSF Emiss by Zone'!$D$5*'POSF Zone Def'!$BC67</f>
        <v>0</v>
      </c>
      <c r="BX78" s="57">
        <f>'POSF Inventory'!EH70*'POSF Emiss by Zone'!$D$6*'POSF Zone Def'!$BC67</f>
        <v>0</v>
      </c>
      <c r="BY78" s="57">
        <f>'POSF Inventory'!EI70*'POSF Emiss by Zone'!$D$5*'POSF Zone Def'!$BC67</f>
        <v>2.1055684649999993</v>
      </c>
      <c r="BZ78" s="57">
        <f>'POSF Inventory'!EJ70*'POSF Emiss by Zone'!$D$6*'POSF Zone Def'!$BC67</f>
        <v>21.105520589999987</v>
      </c>
      <c r="CA78" s="57">
        <f>'POSF Inventory'!EK70*'POSF Emiss by Zone'!$D$5*'POSF Zone Def'!$BC67</f>
        <v>0</v>
      </c>
      <c r="CB78" s="81">
        <f>'POSF Inventory'!EL70*'POSF Emiss by Zone'!$D$6*'POSF Zone Def'!$BC67</f>
        <v>0</v>
      </c>
      <c r="CC78" s="530">
        <f>'POSF Inventory'!GC70*'POSF Emiss by Zone'!$D$7*'POSF Zone Def'!$M67</f>
        <v>0</v>
      </c>
      <c r="CD78" s="530">
        <f>'POSF Inventory'!GD70*'POSF Emiss by Zone'!$D$9*'POSF Zone Def'!$M67</f>
        <v>0</v>
      </c>
      <c r="CE78" s="530">
        <f>'POSF Inventory'!GE70*'POSF Emiss by Zone'!$D$7*'POSF Zone Def'!$M67</f>
        <v>0</v>
      </c>
      <c r="CF78" s="530">
        <f>'POSF Inventory'!GF70*'POSF Emiss by Zone'!$D$9*'POSF Zone Def'!$M67</f>
        <v>0</v>
      </c>
      <c r="CG78" s="530">
        <f>'POSF Inventory'!GG70*'POSF Emiss by Zone'!$D$7*'POSF Zone Def'!$M67</f>
        <v>0</v>
      </c>
      <c r="CH78" s="531">
        <f>'POSF Inventory'!GH70*'POSF Emiss by Zone'!$D$9*'POSF Zone Def'!$M67</f>
        <v>0</v>
      </c>
      <c r="CI78" s="57">
        <f>'POSF Inventory'!GC70*'POSF Emiss by Zone'!$D$7*'POSF Zone Def'!$N67</f>
        <v>0</v>
      </c>
      <c r="CJ78" s="57">
        <f>'POSF Inventory'!GD70*'POSF Emiss by Zone'!$D$9*'POSF Zone Def'!$N67</f>
        <v>0</v>
      </c>
      <c r="CK78" s="57">
        <f>'POSF Inventory'!GE70*'POSF Emiss by Zone'!$D$7*'POSF Zone Def'!$N67</f>
        <v>0</v>
      </c>
      <c r="CL78" s="57">
        <f>'POSF Inventory'!GF70*'POSF Emiss by Zone'!$D$9*'POSF Zone Def'!$N67</f>
        <v>0</v>
      </c>
      <c r="CM78" s="57">
        <f>'POSF Inventory'!GG70*'POSF Emiss by Zone'!$D$7*'POSF Zone Def'!$N67</f>
        <v>0</v>
      </c>
      <c r="CN78" s="127">
        <f>'POSF Inventory'!GH70*'POSF Emiss by Zone'!$D$9*'POSF Zone Def'!$N67</f>
        <v>0</v>
      </c>
      <c r="CO78" s="530">
        <f>'POSF Inventory'!GI70*'POSF Emiss by Zone'!$D$7*'POSF Zone Def'!$AP67</f>
        <v>1.6075200000000001E-3</v>
      </c>
      <c r="CP78" s="530">
        <f>'POSF Inventory'!GJ70*'POSF Emiss by Zone'!$D$9*'POSF Zone Def'!$AP67</f>
        <v>1.9872966000000001E-3</v>
      </c>
      <c r="CQ78" s="530">
        <f>'POSF Inventory'!GK70*'POSF Emiss by Zone'!$D$7*'POSF Zone Def'!$AP67</f>
        <v>2.41128E-2</v>
      </c>
      <c r="CR78" s="530">
        <f>'POSF Inventory'!GL70*'POSF Emiss by Zone'!$D$9*'POSF Zone Def'!$AP67</f>
        <v>2.9809448999999998E-2</v>
      </c>
      <c r="CS78" s="530">
        <f>'POSF Inventory'!GM70*'POSF Emiss by Zone'!$D$7*'POSF Zone Def'!$AP67</f>
        <v>8.8413600000000009E-2</v>
      </c>
      <c r="CT78" s="531">
        <f>'POSF Inventory'!GN70*'POSF Emiss by Zone'!$D$9*'POSF Zone Def'!$AP67</f>
        <v>0.43720525200000004</v>
      </c>
      <c r="CU78" s="57">
        <f>'POSF Inventory'!GI70*'POSF Emiss by Zone'!$D$7*'POSF Zone Def'!$AQ67</f>
        <v>3.7508799999999998E-3</v>
      </c>
      <c r="CV78" s="57">
        <f>'POSF Inventory'!GJ70*'POSF Emiss by Zone'!$D$9*'POSF Zone Def'!$AQ67</f>
        <v>4.6370254000000005E-3</v>
      </c>
      <c r="CW78" s="57">
        <f>'POSF Inventory'!GK70*'POSF Emiss by Zone'!$D$7*'POSF Zone Def'!$AQ67</f>
        <v>5.6263199999999999E-2</v>
      </c>
      <c r="CX78" s="57">
        <f>'POSF Inventory'!GL70*'POSF Emiss by Zone'!$D$9*'POSF Zone Def'!$AQ67</f>
        <v>6.9555380999999999E-2</v>
      </c>
      <c r="CY78" s="57">
        <f>'POSF Inventory'!GM70*'POSF Emiss by Zone'!$D$7*'POSF Zone Def'!$AQ67</f>
        <v>0.20629840000000002</v>
      </c>
      <c r="CZ78" s="81">
        <f>'POSF Inventory'!GN70*'POSF Emiss by Zone'!$D$9*'POSF Zone Def'!$AQ67</f>
        <v>1.0201455880000001</v>
      </c>
      <c r="DA78" s="530">
        <f>SUM('POSF Inventory'!GQ70,'POSF Inventory'!GS70)*'POSF Emiss by Zone'!$D$7*'POSF Zone Def'!$Y67</f>
        <v>0</v>
      </c>
      <c r="DB78" s="530">
        <f>SUM('POSF Inventory'!GR70,'POSF Inventory'!GT70)*'POSF Emiss by Zone'!$D$9*'POSF Zone Def'!$Y67</f>
        <v>0</v>
      </c>
      <c r="DC78" s="530"/>
      <c r="DD78" s="530"/>
      <c r="DE78" s="530">
        <f>'POSF Inventory'!GU70*'POSF Emiss by Zone'!$D$7*'POSF Zone Def'!$Y67</f>
        <v>0</v>
      </c>
      <c r="DF78" s="531">
        <f>'POSF Inventory'!GV70*'POSF Emiss by Zone'!$D$9*'POSF Zone Def'!$Y67</f>
        <v>0</v>
      </c>
      <c r="DG78" s="57">
        <f>SUM('POSF Inventory'!GQ70,'POSF Inventory'!GS70)*'POSF Emiss by Zone'!$D$7*'POSF Zone Def'!$Z67</f>
        <v>0</v>
      </c>
      <c r="DH78" s="57">
        <f>SUM('POSF Inventory'!GR70,'POSF Inventory'!GT70)*'POSF Emiss by Zone'!$D$9*'POSF Zone Def'!$Z67</f>
        <v>0</v>
      </c>
      <c r="DI78" s="57"/>
      <c r="DJ78" s="57"/>
      <c r="DK78" s="57">
        <f>'POSF Inventory'!GU70*'POSF Emiss by Zone'!$D$7*'POSF Zone Def'!$Z67</f>
        <v>0</v>
      </c>
      <c r="DL78" s="127">
        <f>'POSF Inventory'!GV70*'POSF Emiss by Zone'!$D$9*'POSF Zone Def'!$Z67</f>
        <v>0</v>
      </c>
      <c r="DM78" s="57">
        <f>SUM('POSF Inventory'!$GQ70,'POSF Inventory'!$GS70)*'POSF Emiss by Zone'!$D$7*'POSF Zone Def'!$AC67</f>
        <v>0</v>
      </c>
      <c r="DN78" s="57">
        <f>SUM('POSF Inventory'!$GR70,'POSF Inventory'!$GT70)*'POSF Emiss by Zone'!$D$9*'POSF Zone Def'!$AC67</f>
        <v>0</v>
      </c>
      <c r="DO78" s="57"/>
      <c r="DP78" s="57"/>
      <c r="DQ78" s="57">
        <f>'POSF Inventory'!$GU70*'POSF Emiss by Zone'!$D$7*'POSF Zone Def'!$AC67</f>
        <v>0</v>
      </c>
      <c r="DR78" s="127">
        <f>'POSF Inventory'!$GV70*'POSF Emiss by Zone'!$D$9*'POSF Zone Def'!$AC67</f>
        <v>0</v>
      </c>
      <c r="DS78" s="530">
        <f>SUM('POSF Inventory'!GW70,'POSF Inventory'!GY70)*$D$7*'POSF Zone Def'!$BB67</f>
        <v>0.46397792408099986</v>
      </c>
      <c r="DT78" s="530">
        <f>SUM('POSF Inventory'!GX70,'POSF Inventory'!GZ70)*$D$9*'POSF Zone Def'!$BB67</f>
        <v>6.6282323740303122</v>
      </c>
      <c r="DU78" s="530"/>
      <c r="DV78" s="530"/>
      <c r="DW78" s="530">
        <f>'POSF Inventory'!HA70*'POSF Emiss by Zone'!$D$7*'POSF Zone Def'!$BB67</f>
        <v>0</v>
      </c>
      <c r="DX78" s="531">
        <f>'POSF Inventory'!HB70*'POSF Emiss by Zone'!$D$9*'POSF Zone Def'!$BB67</f>
        <v>0</v>
      </c>
      <c r="DY78" s="57">
        <f>SUM('POSF Inventory'!GW70,'POSF Inventory'!GY70)*$D$7*'POSF Zone Def'!$BC67</f>
        <v>1.0826151561889996</v>
      </c>
      <c r="DZ78" s="57">
        <f>SUM('POSF Inventory'!GX70,'POSF Inventory'!GZ70)*$D$9*'POSF Zone Def'!$BC67</f>
        <v>15.465875539404061</v>
      </c>
      <c r="EA78" s="57"/>
      <c r="EB78" s="57"/>
      <c r="EC78" s="57">
        <f>'POSF Inventory'!HA70*'POSF Emiss by Zone'!$D$7*'POSF Zone Def'!$BC67</f>
        <v>0</v>
      </c>
      <c r="ED78" s="81">
        <f>'POSF Inventory'!HB70*'POSF Emiss by Zone'!$D$9*'POSF Zone Def'!$BC67</f>
        <v>0</v>
      </c>
      <c r="EE78" s="236">
        <f>'POSF Inventory'!$CF70*'POSF Emiss by Zone'!$D$7*'POSF Zone Def'!$CE67</f>
        <v>0</v>
      </c>
      <c r="EF78" s="236">
        <f>'POSF Inventory'!$CG70*'POSF Emiss by Zone'!$D$9*'POSF Zone Def'!$CE67</f>
        <v>0</v>
      </c>
      <c r="EG78" s="236">
        <f>'POSF Inventory'!$CH70*'POSF Emiss by Zone'!$D$7*'POSF Zone Def'!$CE67</f>
        <v>0</v>
      </c>
      <c r="EH78" s="236">
        <f>'POSF Inventory'!$CI70*'POSF Emiss by Zone'!$D$9*'POSF Zone Def'!$CE67</f>
        <v>0</v>
      </c>
      <c r="EI78" s="236">
        <f>'POSF Inventory'!$CJ70*'POSF Emiss by Zone'!$D$7*'POSF Zone Def'!$CE67</f>
        <v>0</v>
      </c>
      <c r="EJ78" s="581">
        <f>'POSF Inventory'!$CK70*'POSF Emiss by Zone'!$D$9*'POSF Zone Def'!$CE67</f>
        <v>0</v>
      </c>
      <c r="EK78" s="236">
        <f>'POSF Inventory'!$CF70*'POSF Emiss by Zone'!$D$7*'POSF Zone Def'!$CF67</f>
        <v>0</v>
      </c>
      <c r="EL78" s="236">
        <f>'POSF Inventory'!$CG70*'POSF Emiss by Zone'!$D$9*'POSF Zone Def'!$CF67</f>
        <v>0</v>
      </c>
      <c r="EM78" s="236">
        <f>'POSF Inventory'!$CH70*'POSF Emiss by Zone'!$D$7*'POSF Zone Def'!$CF67</f>
        <v>0</v>
      </c>
      <c r="EN78" s="236">
        <f>'POSF Inventory'!$CI70*'POSF Emiss by Zone'!$D$9*'POSF Zone Def'!$CF67</f>
        <v>0</v>
      </c>
      <c r="EO78" s="236">
        <f>'POSF Inventory'!$CJ70*'POSF Emiss by Zone'!$D$7*'POSF Zone Def'!$CF67</f>
        <v>0</v>
      </c>
      <c r="EP78" s="581">
        <f>'POSF Inventory'!$CK70*'POSF Emiss by Zone'!$D$9*'POSF Zone Def'!$CF67</f>
        <v>0</v>
      </c>
      <c r="EQ78" s="236">
        <f>'POSF Inventory'!$CF70*'POSF Emiss by Zone'!$D$7*'POSF Zone Def'!$CG67</f>
        <v>8.6374007918715159E-5</v>
      </c>
      <c r="ER78" s="236">
        <f>'POSF Inventory'!$CG70*'POSF Emiss by Zone'!$D$9*'POSF Zone Def'!$CG67</f>
        <v>1.0677986728951161E-4</v>
      </c>
      <c r="ES78" s="236">
        <f>'POSF Inventory'!$CH70*'POSF Emiss by Zone'!$D$7*'POSF Zone Def'!$CG67</f>
        <v>0</v>
      </c>
      <c r="ET78" s="236">
        <f>'POSF Inventory'!$CI70*'POSF Emiss by Zone'!$D$9*'POSF Zone Def'!$CG67</f>
        <v>0</v>
      </c>
      <c r="EU78" s="236">
        <f>'POSF Inventory'!$CJ70*'POSF Emiss by Zone'!$D$7*'POSF Zone Def'!$CG67</f>
        <v>7.773660712684365E-4</v>
      </c>
      <c r="EV78" s="581">
        <f>'POSF Inventory'!$CK70*'POSF Emiss by Zone'!$D$9*'POSF Zone Def'!$CG67</f>
        <v>9.6101880560560458E-4</v>
      </c>
      <c r="EW78" s="236">
        <f>'POSF Inventory'!$CF70*'POSF Emiss by Zone'!$D$7*'POSF Zone Def'!$CH67</f>
        <v>1.3563861337033776</v>
      </c>
      <c r="EX78" s="236">
        <f>'POSF Inventory'!$CG70*'POSF Emiss by Zone'!$D$9*'POSF Zone Def'!$CH67</f>
        <v>1.6768323577908004</v>
      </c>
      <c r="EY78" s="236">
        <f>'POSF Inventory'!$CH70*'POSF Emiss by Zone'!$D$7*'POSF Zone Def'!$CH67</f>
        <v>0</v>
      </c>
      <c r="EZ78" s="236">
        <f>'POSF Inventory'!$CI70*'POSF Emiss by Zone'!$D$9*'POSF Zone Def'!$CH67</f>
        <v>0</v>
      </c>
      <c r="FA78" s="236">
        <f>'POSF Inventory'!$CJ70*'POSF Emiss by Zone'!$D$7*'POSF Zone Def'!$CH67</f>
        <v>12.207475203330398</v>
      </c>
      <c r="FB78" s="581">
        <f>'POSF Inventory'!$CK70*'POSF Emiss by Zone'!$D$9*'POSF Zone Def'!$CH67</f>
        <v>15.091491220117206</v>
      </c>
      <c r="FC78" s="236">
        <f>'POSF Inventory'!$CF70*'POSF Emiss by Zone'!$D$7*'POSF Zone Def'!$CI67</f>
        <v>1.8197914922887044</v>
      </c>
      <c r="FD78" s="236">
        <f>'POSF Inventory'!$CG70*'POSF Emiss by Zone'!$D$9*'POSF Zone Def'!$CI67</f>
        <v>2.2497172323419106</v>
      </c>
      <c r="FE78" s="236">
        <f>'POSF Inventory'!$CH70*'POSF Emiss by Zone'!$D$7*'POSF Zone Def'!$CI67</f>
        <v>0</v>
      </c>
      <c r="FF78" s="236">
        <f>'POSF Inventory'!$CI70*'POSF Emiss by Zone'!$D$9*'POSF Zone Def'!$CI67</f>
        <v>0</v>
      </c>
      <c r="FG78" s="236">
        <f>'POSF Inventory'!$CJ70*'POSF Emiss by Zone'!$D$7*'POSF Zone Def'!$CI67</f>
        <v>16.37812343059834</v>
      </c>
      <c r="FH78" s="578">
        <f>'POSF Inventory'!$CK70*'POSF Emiss by Zone'!$D$9*'POSF Zone Def'!$CI67</f>
        <v>20.2474550910772</v>
      </c>
      <c r="FI78" s="595"/>
      <c r="FJ78" s="595"/>
      <c r="FM78" s="592">
        <v>61</v>
      </c>
      <c r="FN78" s="592">
        <f t="shared" si="98"/>
        <v>2015</v>
      </c>
      <c r="FO78" s="587">
        <v>58</v>
      </c>
      <c r="FP78" s="85">
        <f t="shared" si="20"/>
        <v>0.34383345749999994</v>
      </c>
      <c r="FQ78" s="530">
        <f t="shared" si="21"/>
        <v>0.34464726449999994</v>
      </c>
      <c r="FR78" s="530">
        <f t="shared" si="22"/>
        <v>0</v>
      </c>
      <c r="FS78" s="530">
        <f t="shared" si="23"/>
        <v>0</v>
      </c>
      <c r="FT78" s="530">
        <f t="shared" si="24"/>
        <v>0.25469144999999993</v>
      </c>
      <c r="FU78" s="531">
        <f t="shared" si="25"/>
        <v>0.25529426999999999</v>
      </c>
      <c r="FV78" s="57">
        <f t="shared" si="26"/>
        <v>0.80227806749999986</v>
      </c>
      <c r="FW78" s="57">
        <f t="shared" si="27"/>
        <v>0.80417695049999982</v>
      </c>
      <c r="FX78" s="57">
        <f t="shared" si="28"/>
        <v>0</v>
      </c>
      <c r="FY78" s="57">
        <f t="shared" si="29"/>
        <v>0</v>
      </c>
      <c r="FZ78" s="57">
        <f t="shared" si="30"/>
        <v>0.59428004999999984</v>
      </c>
      <c r="GA78" s="81">
        <f t="shared" si="31"/>
        <v>0.59568662999999988</v>
      </c>
      <c r="GB78" s="530">
        <f t="shared" si="32"/>
        <v>0</v>
      </c>
      <c r="GC78" s="530">
        <f t="shared" si="33"/>
        <v>0</v>
      </c>
      <c r="GD78" s="530">
        <f t="shared" si="34"/>
        <v>1.1271003884462147</v>
      </c>
      <c r="GE78" s="530">
        <f t="shared" si="35"/>
        <v>9.2380358097609516</v>
      </c>
      <c r="GF78" s="530">
        <f t="shared" si="36"/>
        <v>0.42279457171314733</v>
      </c>
      <c r="GG78" s="531">
        <f t="shared" si="37"/>
        <v>0.42379526892430275</v>
      </c>
      <c r="GH78" s="57">
        <f t="shared" si="38"/>
        <v>0</v>
      </c>
      <c r="GI78" s="57">
        <f t="shared" si="39"/>
        <v>0</v>
      </c>
      <c r="GJ78" s="57">
        <f t="shared" si="40"/>
        <v>2.6299009063745014</v>
      </c>
      <c r="GK78" s="57">
        <f t="shared" si="41"/>
        <v>21.555416889442217</v>
      </c>
      <c r="GL78" s="57">
        <f t="shared" si="42"/>
        <v>0.98652066733067711</v>
      </c>
      <c r="GM78" s="57">
        <f t="shared" si="43"/>
        <v>0.98885562749003963</v>
      </c>
      <c r="GN78" s="57">
        <f t="shared" si="44"/>
        <v>0</v>
      </c>
      <c r="GO78" s="57">
        <f t="shared" si="45"/>
        <v>0</v>
      </c>
      <c r="GP78" s="57">
        <f t="shared" si="46"/>
        <v>0</v>
      </c>
      <c r="GQ78" s="57">
        <f t="shared" si="47"/>
        <v>0</v>
      </c>
      <c r="GR78" s="57">
        <f t="shared" si="48"/>
        <v>0</v>
      </c>
      <c r="GS78" s="81">
        <f t="shared" si="49"/>
        <v>0</v>
      </c>
      <c r="GT78" s="530">
        <f t="shared" si="50"/>
        <v>9.6455948574549772E-3</v>
      </c>
      <c r="GU78" s="530">
        <f t="shared" si="51"/>
        <v>0.13735913261863597</v>
      </c>
      <c r="GV78" s="530">
        <f t="shared" si="52"/>
        <v>4.9954804780876492E-4</v>
      </c>
      <c r="GW78" s="530">
        <f t="shared" si="53"/>
        <v>6.1756627410358559E-4</v>
      </c>
      <c r="GX78" s="530">
        <f t="shared" si="54"/>
        <v>1.8316761752988049E-3</v>
      </c>
      <c r="GY78" s="531">
        <f t="shared" si="55"/>
        <v>9.057638686852592E-3</v>
      </c>
      <c r="GZ78" s="57">
        <f t="shared" si="56"/>
        <v>2.2506388000728281E-2</v>
      </c>
      <c r="HA78" s="57">
        <f t="shared" si="57"/>
        <v>0.32050464277681723</v>
      </c>
      <c r="HB78" s="57">
        <f t="shared" si="58"/>
        <v>1.1656121115537848E-3</v>
      </c>
      <c r="HC78" s="57">
        <f t="shared" si="59"/>
        <v>1.4409879729083666E-3</v>
      </c>
      <c r="HD78" s="57">
        <f t="shared" si="60"/>
        <v>4.2739110756972115E-3</v>
      </c>
      <c r="HE78" s="127">
        <f t="shared" si="61"/>
        <v>2.1134490269322712E-2</v>
      </c>
      <c r="HF78" s="236">
        <f t="shared" si="62"/>
        <v>8.9471083899864308E-5</v>
      </c>
      <c r="HG78" s="236">
        <f t="shared" si="63"/>
        <v>1.1060862747120724E-4</v>
      </c>
      <c r="HH78" s="236">
        <f t="shared" si="64"/>
        <v>0</v>
      </c>
      <c r="HI78" s="236">
        <f t="shared" si="65"/>
        <v>0</v>
      </c>
      <c r="HJ78" s="236">
        <f t="shared" si="66"/>
        <v>8.0523975509877877E-4</v>
      </c>
      <c r="HK78" s="581">
        <f t="shared" si="67"/>
        <v>9.9547764724086532E-4</v>
      </c>
      <c r="HL78" s="236">
        <f t="shared" si="68"/>
        <v>1.4050214930791958</v>
      </c>
      <c r="HM78" s="236">
        <f t="shared" si="69"/>
        <v>1.7369578208191558</v>
      </c>
      <c r="HN78" s="236">
        <f t="shared" si="70"/>
        <v>0</v>
      </c>
      <c r="HO78" s="236">
        <f t="shared" si="71"/>
        <v>0</v>
      </c>
      <c r="HP78" s="236">
        <f t="shared" si="72"/>
        <v>12.645193437712763</v>
      </c>
      <c r="HQ78" s="581">
        <f t="shared" si="73"/>
        <v>15.632620387372404</v>
      </c>
      <c r="HR78" s="236">
        <f t="shared" si="74"/>
        <v>1.8850429800600124</v>
      </c>
      <c r="HS78" s="236">
        <f t="shared" si="75"/>
        <v>2.3303843840991902</v>
      </c>
      <c r="HT78" s="236">
        <f t="shared" si="76"/>
        <v>0</v>
      </c>
      <c r="HU78" s="236">
        <f t="shared" si="77"/>
        <v>0</v>
      </c>
      <c r="HV78" s="236">
        <f t="shared" si="78"/>
        <v>16.965386820540111</v>
      </c>
      <c r="HW78" s="578">
        <f t="shared" si="79"/>
        <v>20.973459456892716</v>
      </c>
      <c r="HX78" s="236">
        <f t="shared" si="80"/>
        <v>0.51262626823197255</v>
      </c>
      <c r="HY78" s="236">
        <f t="shared" si="81"/>
        <v>7.3001095943242742</v>
      </c>
      <c r="HZ78" s="236">
        <f t="shared" si="82"/>
        <v>2.6549057402390434E-2</v>
      </c>
      <c r="IA78" s="236">
        <f t="shared" si="83"/>
        <v>3.2821272213705177E-2</v>
      </c>
      <c r="IB78" s="236">
        <f t="shared" si="84"/>
        <v>9.7346543808764938E-2</v>
      </c>
      <c r="IC78" s="236">
        <f t="shared" si="85"/>
        <v>0.48137865913434263</v>
      </c>
      <c r="ID78" s="236">
        <f t="shared" si="86"/>
        <v>1.1961279592079357</v>
      </c>
      <c r="IE78" s="236">
        <f t="shared" si="87"/>
        <v>17.033589053423306</v>
      </c>
      <c r="IF78" s="236">
        <f t="shared" si="88"/>
        <v>6.1947800605577683E-2</v>
      </c>
      <c r="IG78" s="236">
        <f t="shared" si="89"/>
        <v>7.6582968498645418E-2</v>
      </c>
      <c r="IH78" s="236">
        <f t="shared" si="90"/>
        <v>0.22714193555378484</v>
      </c>
      <c r="II78" s="236">
        <f t="shared" si="91"/>
        <v>1.1232168713134663</v>
      </c>
      <c r="IJ78" s="236">
        <f t="shared" si="92"/>
        <v>0</v>
      </c>
      <c r="IK78" s="236">
        <f t="shared" si="93"/>
        <v>0</v>
      </c>
      <c r="IL78" s="236">
        <f t="shared" si="94"/>
        <v>0</v>
      </c>
      <c r="IM78" s="236">
        <f t="shared" si="95"/>
        <v>0</v>
      </c>
      <c r="IN78" s="236">
        <f t="shared" si="96"/>
        <v>0</v>
      </c>
      <c r="IO78" s="236">
        <f t="shared" si="97"/>
        <v>0</v>
      </c>
    </row>
    <row r="79" spans="1:249" ht="18" x14ac:dyDescent="0.25">
      <c r="A79" s="12">
        <v>2016</v>
      </c>
      <c r="B79" s="564"/>
      <c r="C79" s="532">
        <f>'POSF Inventory'!AD71*$D$5*'POSF Zone Def'!$M68</f>
        <v>0</v>
      </c>
      <c r="D79" s="532">
        <f>'POSF Inventory'!AE71*$D$6*'POSF Zone Def'!$M68</f>
        <v>0</v>
      </c>
      <c r="E79" s="532">
        <f>'POSF Inventory'!AF71*$D$5*'POSF Zone Def'!$M68</f>
        <v>0</v>
      </c>
      <c r="F79" s="532">
        <f>'POSF Inventory'!AG71*$D$6*'POSF Zone Def'!$M68</f>
        <v>0</v>
      </c>
      <c r="G79" s="532">
        <f>'POSF Inventory'!AH71*$D$5*'POSF Zone Def'!$M68</f>
        <v>0</v>
      </c>
      <c r="H79" s="533">
        <f>'POSF Inventory'!AI71*$D$6*'POSF Zone Def'!$M68</f>
        <v>0</v>
      </c>
      <c r="I79" s="545">
        <f>'POSF Inventory'!AD71*$D$5*'POSF Zone Def'!$N68</f>
        <v>0</v>
      </c>
      <c r="J79" s="545">
        <f>'POSF Inventory'!AE71*$D$6*'POSF Zone Def'!$N68</f>
        <v>0</v>
      </c>
      <c r="K79" s="545">
        <f>'POSF Inventory'!AF71*$D$5*'POSF Zone Def'!$N68</f>
        <v>0</v>
      </c>
      <c r="L79" s="545">
        <f>'POSF Inventory'!AG71*$D$6*'POSF Zone Def'!$N68</f>
        <v>0</v>
      </c>
      <c r="M79" s="545">
        <f>'POSF Inventory'!AH71*$D$5*'POSF Zone Def'!$N68</f>
        <v>0</v>
      </c>
      <c r="N79" s="558">
        <f>'POSF Inventory'!AI71*$D$6*'POSF Zone Def'!$N68</f>
        <v>0</v>
      </c>
      <c r="O79" s="532">
        <f>'POSF Inventory'!AJ71*$D$5*'POSF Zone Def'!$AP68</f>
        <v>0.22922230499999996</v>
      </c>
      <c r="P79" s="532">
        <f>'POSF Inventory'!AK71*$D$6*'POSF Zone Def'!$AP68</f>
        <v>0.3101825380499999</v>
      </c>
      <c r="Q79" s="532">
        <f>'POSF Inventory'!AL71*$D$5*'POSF Zone Def'!$AP68</f>
        <v>0</v>
      </c>
      <c r="R79" s="532">
        <f>'POSF Inventory'!AM71*$D$6*'POSF Zone Def'!$AP68</f>
        <v>0</v>
      </c>
      <c r="S79" s="532">
        <f>'POSF Inventory'!AN71*$D$5*'POSF Zone Def'!$AP68</f>
        <v>0.16979430000000001</v>
      </c>
      <c r="T79" s="533">
        <f>'POSF Inventory'!AO71*$D$6*'POSF Zone Def'!$AP68</f>
        <v>0.22976484299999997</v>
      </c>
      <c r="U79" s="545">
        <f>'POSF Inventory'!AJ71*$D$5*'POSF Zone Def'!$AQ68</f>
        <v>0.53485204499999994</v>
      </c>
      <c r="V79" s="545">
        <f>'POSF Inventory'!AK71*$D$6*'POSF Zone Def'!$AQ68</f>
        <v>0.72375925544999975</v>
      </c>
      <c r="W79" s="545">
        <f>'POSF Inventory'!AL71*$D$5*'POSF Zone Def'!$AQ68</f>
        <v>0</v>
      </c>
      <c r="X79" s="545">
        <f>'POSF Inventory'!AM71*$D$6*'POSF Zone Def'!$AQ68</f>
        <v>0</v>
      </c>
      <c r="Y79" s="545">
        <f>'POSF Inventory'!AN71*$D$5*'POSF Zone Def'!$AQ68</f>
        <v>0.3961867</v>
      </c>
      <c r="Z79" s="554">
        <f>'POSF Inventory'!AO71*$D$6*'POSF Zone Def'!$AQ68</f>
        <v>0.53611796699999992</v>
      </c>
      <c r="AA79" s="532">
        <f>'POSF Inventory'!AV71*'POSF Emiss by Zone'!$D$5*'POSF Zone Def'!$M68</f>
        <v>0</v>
      </c>
      <c r="AB79" s="532">
        <f>'POSF Inventory'!AW71*'POSF Emiss by Zone'!$D$6*'POSF Zone Def'!$M68</f>
        <v>0</v>
      </c>
      <c r="AC79" s="532">
        <f>'POSF Inventory'!AX71*'POSF Emiss by Zone'!$D$5*'POSF Zone Def'!$M68</f>
        <v>0</v>
      </c>
      <c r="AD79" s="532">
        <f>'POSF Inventory'!AY71*'POSF Emiss by Zone'!$D$6*'POSF Zone Def'!$M68</f>
        <v>0</v>
      </c>
      <c r="AE79" s="532">
        <f>'POSF Inventory'!AZ71*'POSF Emiss by Zone'!$D$5*'POSF Zone Def'!$M68</f>
        <v>0</v>
      </c>
      <c r="AF79" s="533">
        <f>'POSF Inventory'!BA71*'POSF Emiss by Zone'!$D$6*'POSF Zone Def'!$M68</f>
        <v>0</v>
      </c>
      <c r="AG79" s="545">
        <f>'POSF Inventory'!AV71*'POSF Emiss by Zone'!$D$5*'POSF Zone Def'!$N68</f>
        <v>0</v>
      </c>
      <c r="AH79" s="545">
        <f>'POSF Inventory'!AW71*'POSF Emiss by Zone'!$D$6*'POSF Zone Def'!$N68</f>
        <v>0</v>
      </c>
      <c r="AI79" s="545">
        <f>'POSF Inventory'!AX71*'POSF Emiss by Zone'!$D$5*'POSF Zone Def'!$N68</f>
        <v>0</v>
      </c>
      <c r="AJ79" s="545">
        <f>'POSF Inventory'!AY71*'POSF Emiss by Zone'!$D$6*'POSF Zone Def'!$N68</f>
        <v>0</v>
      </c>
      <c r="AK79" s="545">
        <f>'POSF Inventory'!AZ71*'POSF Emiss by Zone'!$D$5*'POSF Zone Def'!$N68</f>
        <v>0</v>
      </c>
      <c r="AL79" s="558">
        <f>'POSF Inventory'!BA71*'POSF Emiss by Zone'!$D$6*'POSF Zone Def'!$N68</f>
        <v>0</v>
      </c>
      <c r="AM79" s="532">
        <f>'POSF Inventory'!BB71*'POSF Emiss by Zone'!$D$5*'POSF Zone Def'!$AP68</f>
        <v>0</v>
      </c>
      <c r="AN79" s="532">
        <f>'POSF Inventory'!BC71*'POSF Emiss by Zone'!$D$6*'POSF Zone Def'!$AP68</f>
        <v>0</v>
      </c>
      <c r="AO79" s="532">
        <f>'POSF Inventory'!BD71*'POSF Emiss by Zone'!$D$5*'POSF Zone Def'!$AP68</f>
        <v>0.15281486999999999</v>
      </c>
      <c r="AP79" s="532">
        <f>'POSF Inventory'!BE71*'POSF Emiss by Zone'!$D$6*'POSF Zone Def'!$AP68</f>
        <v>0.20678835869999998</v>
      </c>
      <c r="AQ79" s="532">
        <f>'POSF Inventory'!BF71*'POSF Emiss by Zone'!$D$5*'POSF Zone Def'!$AP68</f>
        <v>0.28299049999999998</v>
      </c>
      <c r="AR79" s="533">
        <f>'POSF Inventory'!BG71*'POSF Emiss by Zone'!$D$6*'POSF Zone Def'!$AP68</f>
        <v>0.3829414049999999</v>
      </c>
      <c r="AS79" s="545">
        <f>'POSF Inventory'!BB71*'POSF Emiss by Zone'!$D$5*'POSF Zone Def'!$AQ68</f>
        <v>0</v>
      </c>
      <c r="AT79" s="545">
        <f>'POSF Inventory'!BC71*'POSF Emiss by Zone'!$D$6*'POSF Zone Def'!$AQ68</f>
        <v>0</v>
      </c>
      <c r="AU79" s="545">
        <f>'POSF Inventory'!BD71*'POSF Emiss by Zone'!$D$5*'POSF Zone Def'!$AQ68</f>
        <v>0.35656802999999998</v>
      </c>
      <c r="AV79" s="545">
        <f>'POSF Inventory'!BE71*'POSF Emiss by Zone'!$D$6*'POSF Zone Def'!$AQ68</f>
        <v>0.48250617029999998</v>
      </c>
      <c r="AW79" s="545">
        <f>'POSF Inventory'!BF71*'POSF Emiss by Zone'!$D$5*'POSF Zone Def'!$AQ68</f>
        <v>0.66031116666666667</v>
      </c>
      <c r="AX79" s="554">
        <f>'POSF Inventory'!BG71*'POSF Emiss by Zone'!$D$6*'POSF Zone Def'!$AQ68</f>
        <v>0.89352994499999983</v>
      </c>
      <c r="AY79" s="532">
        <f>'POSF Inventory'!EA71*'POSF Emiss by Zone'!$D$5*'POSF Zone Def'!$Y68</f>
        <v>0</v>
      </c>
      <c r="AZ79" s="532">
        <f>'POSF Inventory'!EB71*'POSF Emiss by Zone'!$D$6*'POSF Zone Def'!$Y68</f>
        <v>0</v>
      </c>
      <c r="BA79" s="532">
        <f>'POSF Inventory'!EC71*'POSF Emiss by Zone'!$D$5*'POSF Zone Def'!$Y68</f>
        <v>0</v>
      </c>
      <c r="BB79" s="532">
        <f>'POSF Inventory'!ED71*'POSF Emiss by Zone'!$D$6*'POSF Zone Def'!$Y68</f>
        <v>0</v>
      </c>
      <c r="BC79" s="532">
        <f>'POSF Inventory'!EE71*'POSF Emiss by Zone'!$D$5*'POSF Zone Def'!$Y68</f>
        <v>0</v>
      </c>
      <c r="BD79" s="533">
        <f>'POSF Inventory'!EF71*'POSF Emiss by Zone'!$D$6*'POSF Zone Def'!$Y68</f>
        <v>0</v>
      </c>
      <c r="BE79" s="545">
        <f>'POSF Inventory'!EA71*'POSF Emiss by Zone'!$D$5*'POSF Zone Def'!$Z68</f>
        <v>0</v>
      </c>
      <c r="BF79" s="545">
        <f>'POSF Inventory'!EB71*'POSF Emiss by Zone'!$D$6*'POSF Zone Def'!$Z68</f>
        <v>0</v>
      </c>
      <c r="BG79" s="545">
        <f>'POSF Inventory'!EC71*'POSF Emiss by Zone'!$D$5*'POSF Zone Def'!$Z68</f>
        <v>0</v>
      </c>
      <c r="BH79" s="545">
        <f>'POSF Inventory'!ED71*'POSF Emiss by Zone'!$D$6*'POSF Zone Def'!$Z68</f>
        <v>0</v>
      </c>
      <c r="BI79" s="545">
        <f>'POSF Inventory'!EE71*'POSF Emiss by Zone'!$D$5*'POSF Zone Def'!$Z68</f>
        <v>0</v>
      </c>
      <c r="BJ79" s="558">
        <f>'POSF Inventory'!EF71*'POSF Emiss by Zone'!$D$6*'POSF Zone Def'!$Z68</f>
        <v>0</v>
      </c>
      <c r="BK79" s="545">
        <f>'POSF Inventory'!$EA71*'POSF Emiss by Zone'!$D$5*'POSF Zone Def'!$AC68</f>
        <v>0</v>
      </c>
      <c r="BL79" s="545">
        <f>'POSF Inventory'!$EB71*'POSF Emiss by Zone'!$D$6*'POSF Zone Def'!$AC68</f>
        <v>0</v>
      </c>
      <c r="BM79" s="545">
        <f>'POSF Inventory'!$EC71*'POSF Emiss by Zone'!$D$5*'POSF Zone Def'!$AC68</f>
        <v>0</v>
      </c>
      <c r="BN79" s="545">
        <f>'POSF Inventory'!$ED71*'POSF Emiss by Zone'!$D$6*'POSF Zone Def'!$AC68</f>
        <v>0</v>
      </c>
      <c r="BO79" s="545">
        <f>'POSF Inventory'!$EE71*'POSF Emiss by Zone'!$D$5*'POSF Zone Def'!$AC68</f>
        <v>0</v>
      </c>
      <c r="BP79" s="558">
        <f>'POSF Inventory'!$EF71*'POSF Emiss by Zone'!$D$6*'POSF Zone Def'!$AC68</f>
        <v>0</v>
      </c>
      <c r="BQ79" s="532">
        <f>'POSF Inventory'!EG71*'POSF Emiss by Zone'!$D$5*'POSF Zone Def'!$BB68</f>
        <v>0</v>
      </c>
      <c r="BR79" s="532">
        <f>'POSF Inventory'!EH71*'POSF Emiss by Zone'!$D$6*'POSF Zone Def'!$BB68</f>
        <v>0</v>
      </c>
      <c r="BS79" s="532">
        <f>'POSF Inventory'!EI71*'POSF Emiss by Zone'!$D$5*'POSF Zone Def'!$BB68</f>
        <v>0.85399821487499972</v>
      </c>
      <c r="BT79" s="532">
        <f>'POSF Inventory'!EJ71*'POSF Emiss by Zone'!$D$6*'POSF Zone Def'!$BB68</f>
        <v>8.4571919412749956</v>
      </c>
      <c r="BU79" s="532">
        <f>'POSF Inventory'!EK71*'POSF Emiss by Zone'!$D$5*'POSF Zone Def'!$BB68</f>
        <v>0</v>
      </c>
      <c r="BV79" s="533">
        <f>'POSF Inventory'!EL71*'POSF Emiss by Zone'!$D$6*'POSF Zone Def'!$BB68</f>
        <v>0</v>
      </c>
      <c r="BW79" s="545">
        <f>'POSF Inventory'!EG71*'POSF Emiss by Zone'!$D$5*'POSF Zone Def'!$BC68</f>
        <v>0</v>
      </c>
      <c r="BX79" s="545">
        <f>'POSF Inventory'!EH71*'POSF Emiss by Zone'!$D$6*'POSF Zone Def'!$BC68</f>
        <v>0</v>
      </c>
      <c r="BY79" s="545">
        <f>'POSF Inventory'!EI71*'POSF Emiss by Zone'!$D$5*'POSF Zone Def'!$BC68</f>
        <v>1.9926625013749995</v>
      </c>
      <c r="BZ79" s="545">
        <f>'POSF Inventory'!EJ71*'POSF Emiss by Zone'!$D$6*'POSF Zone Def'!$BC68</f>
        <v>19.733447862974991</v>
      </c>
      <c r="CA79" s="545">
        <f>'POSF Inventory'!EK71*'POSF Emiss by Zone'!$D$5*'POSF Zone Def'!$BC68</f>
        <v>0</v>
      </c>
      <c r="CB79" s="554">
        <f>'POSF Inventory'!EL71*'POSF Emiss by Zone'!$D$6*'POSF Zone Def'!$BC68</f>
        <v>0</v>
      </c>
      <c r="CC79" s="532">
        <f>'POSF Inventory'!GC71*'POSF Emiss by Zone'!$D$7*'POSF Zone Def'!$M68</f>
        <v>0</v>
      </c>
      <c r="CD79" s="532">
        <f>'POSF Inventory'!GD71*'POSF Emiss by Zone'!$D$9*'POSF Zone Def'!$M68</f>
        <v>0</v>
      </c>
      <c r="CE79" s="532">
        <f>'POSF Inventory'!GE71*'POSF Emiss by Zone'!$D$7*'POSF Zone Def'!$M68</f>
        <v>0</v>
      </c>
      <c r="CF79" s="532">
        <f>'POSF Inventory'!GF71*'POSF Emiss by Zone'!$D$9*'POSF Zone Def'!$M68</f>
        <v>0</v>
      </c>
      <c r="CG79" s="532">
        <f>'POSF Inventory'!GG71*'POSF Emiss by Zone'!$D$7*'POSF Zone Def'!$M68</f>
        <v>0</v>
      </c>
      <c r="CH79" s="533">
        <f>'POSF Inventory'!GH71*'POSF Emiss by Zone'!$D$9*'POSF Zone Def'!$M68</f>
        <v>0</v>
      </c>
      <c r="CI79" s="545">
        <f>'POSF Inventory'!GC71*'POSF Emiss by Zone'!$D$7*'POSF Zone Def'!$N68</f>
        <v>0</v>
      </c>
      <c r="CJ79" s="545">
        <f>'POSF Inventory'!GD71*'POSF Emiss by Zone'!$D$9*'POSF Zone Def'!$N68</f>
        <v>0</v>
      </c>
      <c r="CK79" s="545">
        <f>'POSF Inventory'!GE71*'POSF Emiss by Zone'!$D$7*'POSF Zone Def'!$N68</f>
        <v>0</v>
      </c>
      <c r="CL79" s="545">
        <f>'POSF Inventory'!GF71*'POSF Emiss by Zone'!$D$9*'POSF Zone Def'!$N68</f>
        <v>0</v>
      </c>
      <c r="CM79" s="545">
        <f>'POSF Inventory'!GG71*'POSF Emiss by Zone'!$D$7*'POSF Zone Def'!$N68</f>
        <v>0</v>
      </c>
      <c r="CN79" s="558">
        <f>'POSF Inventory'!GH71*'POSF Emiss by Zone'!$D$9*'POSF Zone Def'!$N68</f>
        <v>0</v>
      </c>
      <c r="CO79" s="532">
        <f>'POSF Inventory'!GI71*'POSF Emiss by Zone'!$D$7*'POSF Zone Def'!$AP68</f>
        <v>1.0716800000000002E-3</v>
      </c>
      <c r="CP79" s="532">
        <f>'POSF Inventory'!GJ71*'POSF Emiss by Zone'!$D$9*'POSF Zone Def'!$AP68</f>
        <v>1.7885669400000003E-3</v>
      </c>
      <c r="CQ79" s="532">
        <f>'POSF Inventory'!GK71*'POSF Emiss by Zone'!$D$7*'POSF Zone Def'!$AP68</f>
        <v>1.6075199999999998E-2</v>
      </c>
      <c r="CR79" s="532">
        <f>'POSF Inventory'!GL71*'POSF Emiss by Zone'!$D$9*'POSF Zone Def'!$AP68</f>
        <v>2.6828504099999997E-2</v>
      </c>
      <c r="CS79" s="532">
        <f>'POSF Inventory'!GM71*'POSF Emiss by Zone'!$D$7*'POSF Zone Def'!$AP68</f>
        <v>5.8942400000000006E-2</v>
      </c>
      <c r="CT79" s="533">
        <f>'POSF Inventory'!GN71*'POSF Emiss by Zone'!$D$9*'POSF Zone Def'!$AP68</f>
        <v>0.39348472679999996</v>
      </c>
      <c r="CU79" s="545">
        <f>'POSF Inventory'!GI71*'POSF Emiss by Zone'!$D$7*'POSF Zone Def'!$AQ68</f>
        <v>2.5005866666666671E-3</v>
      </c>
      <c r="CV79" s="545">
        <f>'POSF Inventory'!GJ71*'POSF Emiss by Zone'!$D$9*'POSF Zone Def'!$AQ68</f>
        <v>4.1733228600000002E-3</v>
      </c>
      <c r="CW79" s="545">
        <f>'POSF Inventory'!GK71*'POSF Emiss by Zone'!$D$7*'POSF Zone Def'!$AQ68</f>
        <v>3.7508799999999995E-2</v>
      </c>
      <c r="CX79" s="545">
        <f>'POSF Inventory'!GL71*'POSF Emiss by Zone'!$D$9*'POSF Zone Def'!$AQ68</f>
        <v>6.2599842899999994E-2</v>
      </c>
      <c r="CY79" s="545">
        <f>'POSF Inventory'!GM71*'POSF Emiss by Zone'!$D$7*'POSF Zone Def'!$AQ68</f>
        <v>0.13753226666666668</v>
      </c>
      <c r="CZ79" s="554">
        <f>'POSF Inventory'!GN71*'POSF Emiss by Zone'!$D$9*'POSF Zone Def'!$AQ68</f>
        <v>0.91813102919999989</v>
      </c>
      <c r="DA79" s="532">
        <f>SUM('POSF Inventory'!GQ71,'POSF Inventory'!GS71)*'POSF Emiss by Zone'!$D$7*'POSF Zone Def'!$Y68</f>
        <v>0</v>
      </c>
      <c r="DB79" s="532">
        <f>SUM('POSF Inventory'!GR71,'POSF Inventory'!GT71)*'POSF Emiss by Zone'!$D$9*'POSF Zone Def'!$Y68</f>
        <v>0</v>
      </c>
      <c r="DC79" s="532"/>
      <c r="DD79" s="532"/>
      <c r="DE79" s="532">
        <f>'POSF Inventory'!GU71*'POSF Emiss by Zone'!$D$7*'POSF Zone Def'!$Y68</f>
        <v>0</v>
      </c>
      <c r="DF79" s="533">
        <f>'POSF Inventory'!GV71*'POSF Emiss by Zone'!$D$9*'POSF Zone Def'!$Y68</f>
        <v>0</v>
      </c>
      <c r="DG79" s="545">
        <f>SUM('POSF Inventory'!GQ71,'POSF Inventory'!GS71)*'POSF Emiss by Zone'!$D$7*'POSF Zone Def'!$Z68</f>
        <v>0</v>
      </c>
      <c r="DH79" s="545">
        <f>SUM('POSF Inventory'!GR71,'POSF Inventory'!GT71)*'POSF Emiss by Zone'!$D$9*'POSF Zone Def'!$Z68</f>
        <v>0</v>
      </c>
      <c r="DI79" s="545"/>
      <c r="DJ79" s="545"/>
      <c r="DK79" s="545">
        <f>'POSF Inventory'!GU71*'POSF Emiss by Zone'!$D$7*'POSF Zone Def'!$Z68</f>
        <v>0</v>
      </c>
      <c r="DL79" s="558">
        <f>'POSF Inventory'!GV71*'POSF Emiss by Zone'!$D$9*'POSF Zone Def'!$Z68</f>
        <v>0</v>
      </c>
      <c r="DM79" s="545">
        <f>SUM('POSF Inventory'!$GQ71,'POSF Inventory'!$GS71)*'POSF Emiss by Zone'!$D$7*'POSF Zone Def'!$AC68</f>
        <v>0</v>
      </c>
      <c r="DN79" s="545">
        <f>SUM('POSF Inventory'!$GR71,'POSF Inventory'!$GT71)*'POSF Emiss by Zone'!$D$9*'POSF Zone Def'!$AC68</f>
        <v>0</v>
      </c>
      <c r="DO79" s="545"/>
      <c r="DP79" s="545"/>
      <c r="DQ79" s="545">
        <f>'POSF Inventory'!$GU71*'POSF Emiss by Zone'!$D$7*'POSF Zone Def'!$AC68</f>
        <v>0</v>
      </c>
      <c r="DR79" s="558">
        <f>'POSF Inventory'!$GV71*'POSF Emiss by Zone'!$D$9*'POSF Zone Def'!$AC68</f>
        <v>0</v>
      </c>
      <c r="DS79" s="532">
        <f>SUM('POSF Inventory'!GW71,'POSF Inventory'!GY71)*$D$7*'POSF Zone Def'!$BB68</f>
        <v>0.41248955277600002</v>
      </c>
      <c r="DT79" s="532">
        <f>SUM('POSF Inventory'!GX71,'POSF Inventory'!GZ71)*$D$9*'POSF Zone Def'!$BB68</f>
        <v>5.6653744193497468</v>
      </c>
      <c r="DU79" s="532"/>
      <c r="DV79" s="532"/>
      <c r="DW79" s="532">
        <f>'POSF Inventory'!HA71*'POSF Emiss by Zone'!$D$7*'POSF Zone Def'!$BB68</f>
        <v>0</v>
      </c>
      <c r="DX79" s="533">
        <f>'POSF Inventory'!HB71*'POSF Emiss by Zone'!$D$9*'POSF Zone Def'!$BB68</f>
        <v>0</v>
      </c>
      <c r="DY79" s="545">
        <f>SUM('POSF Inventory'!GW71,'POSF Inventory'!GY71)*$D$7*'POSF Zone Def'!$BC68</f>
        <v>0.96247562314400004</v>
      </c>
      <c r="DZ79" s="545">
        <f>SUM('POSF Inventory'!GX71,'POSF Inventory'!GZ71)*$D$9*'POSF Zone Def'!$BC68</f>
        <v>13.219206978482744</v>
      </c>
      <c r="EA79" s="545"/>
      <c r="EB79" s="545"/>
      <c r="EC79" s="545">
        <f>'POSF Inventory'!HA71*'POSF Emiss by Zone'!$D$7*'POSF Zone Def'!$BC68</f>
        <v>0</v>
      </c>
      <c r="ED79" s="554">
        <f>'POSF Inventory'!HB71*'POSF Emiss by Zone'!$D$9*'POSF Zone Def'!$BC68</f>
        <v>0</v>
      </c>
      <c r="EE79" s="575">
        <f>'POSF Inventory'!$CF71*'POSF Emiss by Zone'!$D$7*'POSF Zone Def'!$CE68</f>
        <v>0</v>
      </c>
      <c r="EF79" s="575">
        <f>'POSF Inventory'!$CG71*'POSF Emiss by Zone'!$D$9*'POSF Zone Def'!$CE68</f>
        <v>0</v>
      </c>
      <c r="EG79" s="575">
        <f>'POSF Inventory'!$CH71*'POSF Emiss by Zone'!$D$7*'POSF Zone Def'!$CE68</f>
        <v>0</v>
      </c>
      <c r="EH79" s="575">
        <f>'POSF Inventory'!$CI71*'POSF Emiss by Zone'!$D$9*'POSF Zone Def'!$CE68</f>
        <v>0</v>
      </c>
      <c r="EI79" s="575">
        <f>'POSF Inventory'!$CJ71*'POSF Emiss by Zone'!$D$7*'POSF Zone Def'!$CE68</f>
        <v>0</v>
      </c>
      <c r="EJ79" s="582">
        <f>'POSF Inventory'!$CK71*'POSF Emiss by Zone'!$D$9*'POSF Zone Def'!$CE68</f>
        <v>0</v>
      </c>
      <c r="EK79" s="575">
        <f>'POSF Inventory'!$CF71*'POSF Emiss by Zone'!$D$7*'POSF Zone Def'!$CF68</f>
        <v>0</v>
      </c>
      <c r="EL79" s="575">
        <f>'POSF Inventory'!$CG71*'POSF Emiss by Zone'!$D$9*'POSF Zone Def'!$CF68</f>
        <v>0</v>
      </c>
      <c r="EM79" s="575">
        <f>'POSF Inventory'!$CH71*'POSF Emiss by Zone'!$D$7*'POSF Zone Def'!$CF68</f>
        <v>0</v>
      </c>
      <c r="EN79" s="575">
        <f>'POSF Inventory'!$CI71*'POSF Emiss by Zone'!$D$9*'POSF Zone Def'!$CF68</f>
        <v>0</v>
      </c>
      <c r="EO79" s="575">
        <f>'POSF Inventory'!$CJ71*'POSF Emiss by Zone'!$D$7*'POSF Zone Def'!$CF68</f>
        <v>0</v>
      </c>
      <c r="EP79" s="582">
        <f>'POSF Inventory'!$CK71*'POSF Emiss by Zone'!$D$9*'POSF Zone Def'!$CF68</f>
        <v>0</v>
      </c>
      <c r="EQ79" s="575">
        <f>'POSF Inventory'!$CF71*'POSF Emiss by Zone'!$D$7*'POSF Zone Def'!$CG68</f>
        <v>0</v>
      </c>
      <c r="ER79" s="575">
        <f>'POSF Inventory'!$CG71*'POSF Emiss by Zone'!$D$9*'POSF Zone Def'!$CG68</f>
        <v>1.0677986728951161E-4</v>
      </c>
      <c r="ES79" s="575">
        <f>'POSF Inventory'!$CH71*'POSF Emiss by Zone'!$D$7*'POSF Zone Def'!$CG68</f>
        <v>0</v>
      </c>
      <c r="ET79" s="575">
        <f>'POSF Inventory'!$CI71*'POSF Emiss by Zone'!$D$9*'POSF Zone Def'!$CG68</f>
        <v>0</v>
      </c>
      <c r="EU79" s="575">
        <f>'POSF Inventory'!$CJ71*'POSF Emiss by Zone'!$D$7*'POSF Zone Def'!$CG68</f>
        <v>0</v>
      </c>
      <c r="EV79" s="582">
        <f>'POSF Inventory'!$CK71*'POSF Emiss by Zone'!$D$9*'POSF Zone Def'!$CG68</f>
        <v>9.6101880560560458E-4</v>
      </c>
      <c r="EW79" s="575">
        <f>'POSF Inventory'!$CF71*'POSF Emiss by Zone'!$D$7*'POSF Zone Def'!$CH68</f>
        <v>0</v>
      </c>
      <c r="EX79" s="575">
        <f>'POSF Inventory'!$CG71*'POSF Emiss by Zone'!$D$9*'POSF Zone Def'!$CH68</f>
        <v>1.6768323577908004</v>
      </c>
      <c r="EY79" s="575">
        <f>'POSF Inventory'!$CH71*'POSF Emiss by Zone'!$D$7*'POSF Zone Def'!$CH68</f>
        <v>0</v>
      </c>
      <c r="EZ79" s="575">
        <f>'POSF Inventory'!$CI71*'POSF Emiss by Zone'!$D$9*'POSF Zone Def'!$CH68</f>
        <v>0</v>
      </c>
      <c r="FA79" s="575">
        <f>'POSF Inventory'!$CJ71*'POSF Emiss by Zone'!$D$7*'POSF Zone Def'!$CH68</f>
        <v>0</v>
      </c>
      <c r="FB79" s="582">
        <f>'POSF Inventory'!$CK71*'POSF Emiss by Zone'!$D$9*'POSF Zone Def'!$CH68</f>
        <v>15.091491220117206</v>
      </c>
      <c r="FC79" s="575">
        <f>'POSF Inventory'!$CF71*'POSF Emiss by Zone'!$D$7*'POSF Zone Def'!$CI68</f>
        <v>0</v>
      </c>
      <c r="FD79" s="575">
        <f>'POSF Inventory'!$CG71*'POSF Emiss by Zone'!$D$9*'POSF Zone Def'!$CI68</f>
        <v>2.2497172323419106</v>
      </c>
      <c r="FE79" s="575">
        <f>'POSF Inventory'!$CH71*'POSF Emiss by Zone'!$D$7*'POSF Zone Def'!$CI68</f>
        <v>0</v>
      </c>
      <c r="FF79" s="575">
        <f>'POSF Inventory'!$CI71*'POSF Emiss by Zone'!$D$9*'POSF Zone Def'!$CI68</f>
        <v>0</v>
      </c>
      <c r="FG79" s="575">
        <f>'POSF Inventory'!$CJ71*'POSF Emiss by Zone'!$D$7*'POSF Zone Def'!$CI68</f>
        <v>0</v>
      </c>
      <c r="FH79" s="579">
        <f>'POSF Inventory'!$CK71*'POSF Emiss by Zone'!$D$9*'POSF Zone Def'!$CI68</f>
        <v>20.2474550910772</v>
      </c>
      <c r="FI79" s="595"/>
      <c r="FJ79" s="595"/>
      <c r="FM79" s="592">
        <v>62</v>
      </c>
      <c r="FN79" s="592">
        <f t="shared" si="98"/>
        <v>2016</v>
      </c>
      <c r="FO79" s="587">
        <v>59</v>
      </c>
      <c r="FP79" s="576">
        <f t="shared" si="20"/>
        <v>0.22922230499999996</v>
      </c>
      <c r="FQ79" s="532">
        <f t="shared" si="21"/>
        <v>0.3101825380499999</v>
      </c>
      <c r="FR79" s="532">
        <f t="shared" si="22"/>
        <v>0</v>
      </c>
      <c r="FS79" s="532">
        <f t="shared" si="23"/>
        <v>0</v>
      </c>
      <c r="FT79" s="532">
        <f t="shared" si="24"/>
        <v>0.16979430000000001</v>
      </c>
      <c r="FU79" s="533">
        <f t="shared" si="25"/>
        <v>0.22976484299999997</v>
      </c>
      <c r="FV79" s="545">
        <f t="shared" si="26"/>
        <v>0.53485204499999994</v>
      </c>
      <c r="FW79" s="545">
        <f t="shared" si="27"/>
        <v>0.72375925544999975</v>
      </c>
      <c r="FX79" s="545">
        <f t="shared" si="28"/>
        <v>0</v>
      </c>
      <c r="FY79" s="545">
        <f t="shared" si="29"/>
        <v>0</v>
      </c>
      <c r="FZ79" s="545">
        <f t="shared" si="30"/>
        <v>0.3961867</v>
      </c>
      <c r="GA79" s="554">
        <f t="shared" si="31"/>
        <v>0.53611796699999992</v>
      </c>
      <c r="GB79" s="532">
        <f t="shared" si="32"/>
        <v>0</v>
      </c>
      <c r="GC79" s="532">
        <f t="shared" si="33"/>
        <v>0</v>
      </c>
      <c r="GD79" s="532">
        <f t="shared" si="34"/>
        <v>1.0028018773655376</v>
      </c>
      <c r="GE79" s="532">
        <f t="shared" si="35"/>
        <v>8.6294624501742998</v>
      </c>
      <c r="GF79" s="532">
        <f t="shared" si="36"/>
        <v>0.28186304780876492</v>
      </c>
      <c r="GG79" s="533">
        <f t="shared" si="37"/>
        <v>0.3814157420318724</v>
      </c>
      <c r="GH79" s="545">
        <f t="shared" si="38"/>
        <v>0</v>
      </c>
      <c r="GI79" s="545">
        <f t="shared" si="39"/>
        <v>0</v>
      </c>
      <c r="GJ79" s="545">
        <f t="shared" si="40"/>
        <v>2.3398710471862545</v>
      </c>
      <c r="GK79" s="545">
        <f t="shared" si="41"/>
        <v>20.135412383740029</v>
      </c>
      <c r="GL79" s="545">
        <f t="shared" si="42"/>
        <v>0.65768044488711819</v>
      </c>
      <c r="GM79" s="545">
        <f t="shared" si="43"/>
        <v>0.88997006474103568</v>
      </c>
      <c r="GN79" s="545">
        <f t="shared" si="44"/>
        <v>0</v>
      </c>
      <c r="GO79" s="545">
        <f t="shared" si="45"/>
        <v>0</v>
      </c>
      <c r="GP79" s="545">
        <f t="shared" si="46"/>
        <v>0</v>
      </c>
      <c r="GQ79" s="545">
        <f t="shared" si="47"/>
        <v>0</v>
      </c>
      <c r="GR79" s="545">
        <f t="shared" si="48"/>
        <v>0</v>
      </c>
      <c r="GS79" s="554">
        <f t="shared" si="49"/>
        <v>0</v>
      </c>
      <c r="GT79" s="532">
        <f t="shared" si="50"/>
        <v>8.5678024320127513E-3</v>
      </c>
      <c r="GU79" s="532">
        <f t="shared" si="51"/>
        <v>0.11740736067213818</v>
      </c>
      <c r="GV79" s="532">
        <f t="shared" si="52"/>
        <v>3.3303203187250993E-4</v>
      </c>
      <c r="GW79" s="532">
        <f t="shared" si="53"/>
        <v>5.5580964669322706E-4</v>
      </c>
      <c r="GX79" s="532">
        <f t="shared" si="54"/>
        <v>1.2211174501992033E-3</v>
      </c>
      <c r="GY79" s="533">
        <f t="shared" si="55"/>
        <v>8.1518748181673307E-3</v>
      </c>
      <c r="GZ79" s="545">
        <f t="shared" si="56"/>
        <v>1.999153900802975E-2</v>
      </c>
      <c r="HA79" s="545">
        <f t="shared" si="57"/>
        <v>0.27395050823498912</v>
      </c>
      <c r="HB79" s="545">
        <f t="shared" si="58"/>
        <v>7.7707474103585648E-4</v>
      </c>
      <c r="HC79" s="545">
        <f t="shared" si="59"/>
        <v>1.2968891756175297E-3</v>
      </c>
      <c r="HD79" s="545">
        <f t="shared" si="60"/>
        <v>2.8492740504648074E-3</v>
      </c>
      <c r="HE79" s="558">
        <f t="shared" si="61"/>
        <v>1.9021041242390437E-2</v>
      </c>
      <c r="HF79" s="575">
        <f t="shared" si="62"/>
        <v>0</v>
      </c>
      <c r="HG79" s="575">
        <f t="shared" si="63"/>
        <v>1.1060862747120724E-4</v>
      </c>
      <c r="HH79" s="575">
        <f t="shared" si="64"/>
        <v>0</v>
      </c>
      <c r="HI79" s="575">
        <f t="shared" si="65"/>
        <v>0</v>
      </c>
      <c r="HJ79" s="575">
        <f t="shared" si="66"/>
        <v>0</v>
      </c>
      <c r="HK79" s="582">
        <f t="shared" si="67"/>
        <v>9.9547764724086532E-4</v>
      </c>
      <c r="HL79" s="575">
        <f t="shared" si="68"/>
        <v>0</v>
      </c>
      <c r="HM79" s="575">
        <f t="shared" si="69"/>
        <v>1.7369578208191558</v>
      </c>
      <c r="HN79" s="575">
        <f t="shared" si="70"/>
        <v>0</v>
      </c>
      <c r="HO79" s="575">
        <f t="shared" si="71"/>
        <v>0</v>
      </c>
      <c r="HP79" s="575">
        <f t="shared" si="72"/>
        <v>0</v>
      </c>
      <c r="HQ79" s="582">
        <f t="shared" si="73"/>
        <v>15.632620387372404</v>
      </c>
      <c r="HR79" s="575">
        <f t="shared" si="74"/>
        <v>0</v>
      </c>
      <c r="HS79" s="575">
        <f t="shared" si="75"/>
        <v>2.3303843840991902</v>
      </c>
      <c r="HT79" s="575">
        <f t="shared" si="76"/>
        <v>0</v>
      </c>
      <c r="HU79" s="575">
        <f t="shared" si="77"/>
        <v>0</v>
      </c>
      <c r="HV79" s="575">
        <f t="shared" si="78"/>
        <v>0</v>
      </c>
      <c r="HW79" s="579">
        <f t="shared" si="79"/>
        <v>20.973459456892716</v>
      </c>
      <c r="HX79" s="575">
        <f t="shared" si="80"/>
        <v>0.45534574617520063</v>
      </c>
      <c r="HY79" s="575">
        <f t="shared" si="81"/>
        <v>6.2397496529523275</v>
      </c>
      <c r="HZ79" s="575">
        <f t="shared" si="82"/>
        <v>1.7699371601593621E-2</v>
      </c>
      <c r="IA79" s="575">
        <f t="shared" si="83"/>
        <v>2.9539144992334655E-2</v>
      </c>
      <c r="IB79" s="575">
        <f t="shared" si="84"/>
        <v>6.4897695872509958E-2</v>
      </c>
      <c r="IC79" s="575">
        <f t="shared" si="85"/>
        <v>0.43324079322090825</v>
      </c>
      <c r="ID79" s="575">
        <f t="shared" si="86"/>
        <v>1.0624734077421347</v>
      </c>
      <c r="IE79" s="575">
        <f t="shared" si="87"/>
        <v>14.559415856888766</v>
      </c>
      <c r="IF79" s="575">
        <f t="shared" si="88"/>
        <v>4.1298533737051786E-2</v>
      </c>
      <c r="IG79" s="575">
        <f t="shared" si="89"/>
        <v>6.8924671648780855E-2</v>
      </c>
      <c r="IH79" s="575">
        <f t="shared" si="90"/>
        <v>0.15142795703585657</v>
      </c>
      <c r="II79" s="575">
        <f t="shared" si="91"/>
        <v>1.0108951841821192</v>
      </c>
      <c r="IJ79" s="575">
        <f t="shared" si="92"/>
        <v>0</v>
      </c>
      <c r="IK79" s="575">
        <f t="shared" si="93"/>
        <v>0</v>
      </c>
      <c r="IL79" s="575">
        <f t="shared" si="94"/>
        <v>0</v>
      </c>
      <c r="IM79" s="575">
        <f t="shared" si="95"/>
        <v>0</v>
      </c>
      <c r="IN79" s="575">
        <f t="shared" si="96"/>
        <v>0</v>
      </c>
      <c r="IO79" s="575">
        <f t="shared" si="97"/>
        <v>0</v>
      </c>
    </row>
    <row r="80" spans="1:249" ht="18" x14ac:dyDescent="0.25">
      <c r="A80" s="12">
        <v>2017</v>
      </c>
      <c r="B80" s="564"/>
      <c r="C80" s="532">
        <f>'POSF Inventory'!AD72*$D$5*'POSF Zone Def'!$M69</f>
        <v>0</v>
      </c>
      <c r="D80" s="532">
        <f>'POSF Inventory'!AE72*$D$6*'POSF Zone Def'!$M69</f>
        <v>0</v>
      </c>
      <c r="E80" s="532">
        <f>'POSF Inventory'!AF72*$D$5*'POSF Zone Def'!$M69</f>
        <v>0</v>
      </c>
      <c r="F80" s="532">
        <f>'POSF Inventory'!AG72*$D$6*'POSF Zone Def'!$M69</f>
        <v>0</v>
      </c>
      <c r="G80" s="532">
        <f>'POSF Inventory'!AH72*$D$5*'POSF Zone Def'!$M69</f>
        <v>0</v>
      </c>
      <c r="H80" s="533">
        <f>'POSF Inventory'!AI72*$D$6*'POSF Zone Def'!$M69</f>
        <v>0</v>
      </c>
      <c r="I80" s="545">
        <f>'POSF Inventory'!AD72*$D$5*'POSF Zone Def'!$N69</f>
        <v>0</v>
      </c>
      <c r="J80" s="545">
        <f>'POSF Inventory'!AE72*$D$6*'POSF Zone Def'!$N69</f>
        <v>0</v>
      </c>
      <c r="K80" s="545">
        <f>'POSF Inventory'!AF72*$D$5*'POSF Zone Def'!$N69</f>
        <v>0</v>
      </c>
      <c r="L80" s="545">
        <f>'POSF Inventory'!AG72*$D$6*'POSF Zone Def'!$N69</f>
        <v>0</v>
      </c>
      <c r="M80" s="545">
        <f>'POSF Inventory'!AH72*$D$5*'POSF Zone Def'!$N69</f>
        <v>0</v>
      </c>
      <c r="N80" s="558">
        <f>'POSF Inventory'!AI72*$D$6*'POSF Zone Def'!$N69</f>
        <v>0</v>
      </c>
      <c r="O80" s="532">
        <f>'POSF Inventory'!AJ72*$D$5*'POSF Zone Def'!$AP69</f>
        <v>0.11461115249999999</v>
      </c>
      <c r="P80" s="532">
        <f>'POSF Inventory'!AK72*$D$6*'POSF Zone Def'!$AP69</f>
        <v>0.27571781159999997</v>
      </c>
      <c r="Q80" s="532">
        <f>'POSF Inventory'!AL72*$D$5*'POSF Zone Def'!$AP69</f>
        <v>0</v>
      </c>
      <c r="R80" s="532">
        <f>'POSF Inventory'!AM72*$D$6*'POSF Zone Def'!$AP69</f>
        <v>0</v>
      </c>
      <c r="S80" s="532">
        <f>'POSF Inventory'!AN72*$D$5*'POSF Zone Def'!$AP69</f>
        <v>8.4897150000000018E-2</v>
      </c>
      <c r="T80" s="533">
        <f>'POSF Inventory'!AO72*$D$6*'POSF Zone Def'!$AP69</f>
        <v>0.204235416</v>
      </c>
      <c r="U80" s="545">
        <f>'POSF Inventory'!AJ72*$D$5*'POSF Zone Def'!$AQ69</f>
        <v>0.26742602249999997</v>
      </c>
      <c r="V80" s="545">
        <f>'POSF Inventory'!AK72*$D$6*'POSF Zone Def'!$AQ69</f>
        <v>0.6433415603999999</v>
      </c>
      <c r="W80" s="545">
        <f>'POSF Inventory'!AL72*$D$5*'POSF Zone Def'!$AQ69</f>
        <v>0</v>
      </c>
      <c r="X80" s="545">
        <f>'POSF Inventory'!AM72*$D$6*'POSF Zone Def'!$AQ69</f>
        <v>0</v>
      </c>
      <c r="Y80" s="545">
        <f>'POSF Inventory'!AN72*$D$5*'POSF Zone Def'!$AQ69</f>
        <v>0.19809335000000006</v>
      </c>
      <c r="Z80" s="554">
        <f>'POSF Inventory'!AO72*$D$6*'POSF Zone Def'!$AQ69</f>
        <v>0.47654930399999995</v>
      </c>
      <c r="AA80" s="532">
        <f>'POSF Inventory'!AV72*'POSF Emiss by Zone'!$D$5*'POSF Zone Def'!$M69</f>
        <v>0</v>
      </c>
      <c r="AB80" s="532">
        <f>'POSF Inventory'!AW72*'POSF Emiss by Zone'!$D$6*'POSF Zone Def'!$M69</f>
        <v>0</v>
      </c>
      <c r="AC80" s="532">
        <f>'POSF Inventory'!AX72*'POSF Emiss by Zone'!$D$5*'POSF Zone Def'!$M69</f>
        <v>0</v>
      </c>
      <c r="AD80" s="532">
        <f>'POSF Inventory'!AY72*'POSF Emiss by Zone'!$D$6*'POSF Zone Def'!$M69</f>
        <v>0</v>
      </c>
      <c r="AE80" s="532">
        <f>'POSF Inventory'!AZ72*'POSF Emiss by Zone'!$D$5*'POSF Zone Def'!$M69</f>
        <v>0</v>
      </c>
      <c r="AF80" s="533">
        <f>'POSF Inventory'!BA72*'POSF Emiss by Zone'!$D$6*'POSF Zone Def'!$M69</f>
        <v>0</v>
      </c>
      <c r="AG80" s="545">
        <f>'POSF Inventory'!AV72*'POSF Emiss by Zone'!$D$5*'POSF Zone Def'!$N69</f>
        <v>0</v>
      </c>
      <c r="AH80" s="545">
        <f>'POSF Inventory'!AW72*'POSF Emiss by Zone'!$D$6*'POSF Zone Def'!$N69</f>
        <v>0</v>
      </c>
      <c r="AI80" s="545">
        <f>'POSF Inventory'!AX72*'POSF Emiss by Zone'!$D$5*'POSF Zone Def'!$N69</f>
        <v>0</v>
      </c>
      <c r="AJ80" s="545">
        <f>'POSF Inventory'!AY72*'POSF Emiss by Zone'!$D$6*'POSF Zone Def'!$N69</f>
        <v>0</v>
      </c>
      <c r="AK80" s="545">
        <f>'POSF Inventory'!AZ72*'POSF Emiss by Zone'!$D$5*'POSF Zone Def'!$N69</f>
        <v>0</v>
      </c>
      <c r="AL80" s="558">
        <f>'POSF Inventory'!BA72*'POSF Emiss by Zone'!$D$6*'POSF Zone Def'!$N69</f>
        <v>0</v>
      </c>
      <c r="AM80" s="532">
        <f>'POSF Inventory'!BB72*'POSF Emiss by Zone'!$D$5*'POSF Zone Def'!$AP69</f>
        <v>0</v>
      </c>
      <c r="AN80" s="532">
        <f>'POSF Inventory'!BC72*'POSF Emiss by Zone'!$D$6*'POSF Zone Def'!$AP69</f>
        <v>0</v>
      </c>
      <c r="AO80" s="532">
        <f>'POSF Inventory'!BD72*'POSF Emiss by Zone'!$D$5*'POSF Zone Def'!$AP69</f>
        <v>7.640743500000001E-2</v>
      </c>
      <c r="AP80" s="532">
        <f>'POSF Inventory'!BE72*'POSF Emiss by Zone'!$D$6*'POSF Zone Def'!$AP69</f>
        <v>0.18381187439999999</v>
      </c>
      <c r="AQ80" s="532">
        <f>'POSF Inventory'!BF72*'POSF Emiss by Zone'!$D$5*'POSF Zone Def'!$AP69</f>
        <v>0.14149525000000004</v>
      </c>
      <c r="AR80" s="533">
        <f>'POSF Inventory'!BG72*'POSF Emiss by Zone'!$D$6*'POSF Zone Def'!$AP69</f>
        <v>0.34039236</v>
      </c>
      <c r="AS80" s="545">
        <f>'POSF Inventory'!BB72*'POSF Emiss by Zone'!$D$5*'POSF Zone Def'!$AQ69</f>
        <v>0</v>
      </c>
      <c r="AT80" s="545">
        <f>'POSF Inventory'!BC72*'POSF Emiss by Zone'!$D$6*'POSF Zone Def'!$AQ69</f>
        <v>0</v>
      </c>
      <c r="AU80" s="545">
        <f>'POSF Inventory'!BD72*'POSF Emiss by Zone'!$D$5*'POSF Zone Def'!$AQ69</f>
        <v>0.17828401500000002</v>
      </c>
      <c r="AV80" s="545">
        <f>'POSF Inventory'!BE72*'POSF Emiss by Zone'!$D$6*'POSF Zone Def'!$AQ69</f>
        <v>0.42889437359999993</v>
      </c>
      <c r="AW80" s="545">
        <f>'POSF Inventory'!BF72*'POSF Emiss by Zone'!$D$5*'POSF Zone Def'!$AQ69</f>
        <v>0.33015558333333339</v>
      </c>
      <c r="AX80" s="554">
        <f>'POSF Inventory'!BG72*'POSF Emiss by Zone'!$D$6*'POSF Zone Def'!$AQ69</f>
        <v>0.79424884000000007</v>
      </c>
      <c r="AY80" s="532">
        <f>'POSF Inventory'!EA72*'POSF Emiss by Zone'!$D$5*'POSF Zone Def'!$Y69</f>
        <v>0</v>
      </c>
      <c r="AZ80" s="532">
        <f>'POSF Inventory'!EB72*'POSF Emiss by Zone'!$D$6*'POSF Zone Def'!$Y69</f>
        <v>0</v>
      </c>
      <c r="BA80" s="532">
        <f>'POSF Inventory'!EC72*'POSF Emiss by Zone'!$D$5*'POSF Zone Def'!$Y69</f>
        <v>0</v>
      </c>
      <c r="BB80" s="532">
        <f>'POSF Inventory'!ED72*'POSF Emiss by Zone'!$D$6*'POSF Zone Def'!$Y69</f>
        <v>0</v>
      </c>
      <c r="BC80" s="532">
        <f>'POSF Inventory'!EE72*'POSF Emiss by Zone'!$D$5*'POSF Zone Def'!$Y69</f>
        <v>0</v>
      </c>
      <c r="BD80" s="533">
        <f>'POSF Inventory'!EF72*'POSF Emiss by Zone'!$D$6*'POSF Zone Def'!$Y69</f>
        <v>0</v>
      </c>
      <c r="BE80" s="545">
        <f>'POSF Inventory'!EA72*'POSF Emiss by Zone'!$D$5*'POSF Zone Def'!$Z69</f>
        <v>0</v>
      </c>
      <c r="BF80" s="545">
        <f>'POSF Inventory'!EB72*'POSF Emiss by Zone'!$D$6*'POSF Zone Def'!$Z69</f>
        <v>0</v>
      </c>
      <c r="BG80" s="545">
        <f>'POSF Inventory'!EC72*'POSF Emiss by Zone'!$D$5*'POSF Zone Def'!$Z69</f>
        <v>0</v>
      </c>
      <c r="BH80" s="545">
        <f>'POSF Inventory'!ED72*'POSF Emiss by Zone'!$D$6*'POSF Zone Def'!$Z69</f>
        <v>0</v>
      </c>
      <c r="BI80" s="545">
        <f>'POSF Inventory'!EE72*'POSF Emiss by Zone'!$D$5*'POSF Zone Def'!$Z69</f>
        <v>0</v>
      </c>
      <c r="BJ80" s="558">
        <f>'POSF Inventory'!EF72*'POSF Emiss by Zone'!$D$6*'POSF Zone Def'!$Z69</f>
        <v>0</v>
      </c>
      <c r="BK80" s="545">
        <f>'POSF Inventory'!$EA72*'POSF Emiss by Zone'!$D$5*'POSF Zone Def'!$AC69</f>
        <v>0</v>
      </c>
      <c r="BL80" s="545">
        <f>'POSF Inventory'!$EB72*'POSF Emiss by Zone'!$D$6*'POSF Zone Def'!$AC69</f>
        <v>0</v>
      </c>
      <c r="BM80" s="545">
        <f>'POSF Inventory'!$EC72*'POSF Emiss by Zone'!$D$5*'POSF Zone Def'!$AC69</f>
        <v>0</v>
      </c>
      <c r="BN80" s="545">
        <f>'POSF Inventory'!$ED72*'POSF Emiss by Zone'!$D$6*'POSF Zone Def'!$AC69</f>
        <v>0</v>
      </c>
      <c r="BO80" s="545">
        <f>'POSF Inventory'!$EE72*'POSF Emiss by Zone'!$D$5*'POSF Zone Def'!$AC69</f>
        <v>0</v>
      </c>
      <c r="BP80" s="558">
        <f>'POSF Inventory'!$EF72*'POSF Emiss by Zone'!$D$6*'POSF Zone Def'!$AC69</f>
        <v>0</v>
      </c>
      <c r="BQ80" s="532">
        <f>'POSF Inventory'!EG72*'POSF Emiss by Zone'!$D$5*'POSF Zone Def'!$BB69</f>
        <v>0</v>
      </c>
      <c r="BR80" s="532">
        <f>'POSF Inventory'!EH72*'POSF Emiss by Zone'!$D$6*'POSF Zone Def'!$BB69</f>
        <v>0</v>
      </c>
      <c r="BS80" s="532">
        <f>'POSF Inventory'!EI72*'POSF Emiss by Zone'!$D$5*'POSF Zone Def'!$BB69</f>
        <v>0.60298200787499989</v>
      </c>
      <c r="BT80" s="532">
        <f>'POSF Inventory'!EJ72*'POSF Emiss by Zone'!$D$6*'POSF Zone Def'!$BB69</f>
        <v>7.2483735728249981</v>
      </c>
      <c r="BU80" s="532">
        <f>'POSF Inventory'!EK72*'POSF Emiss by Zone'!$D$5*'POSF Zone Def'!$BB69</f>
        <v>0</v>
      </c>
      <c r="BV80" s="533">
        <f>'POSF Inventory'!EL72*'POSF Emiss by Zone'!$D$6*'POSF Zone Def'!$BB69</f>
        <v>0</v>
      </c>
      <c r="BW80" s="545">
        <f>'POSF Inventory'!EG72*'POSF Emiss by Zone'!$D$5*'POSF Zone Def'!$BC69</f>
        <v>0</v>
      </c>
      <c r="BX80" s="545">
        <f>'POSF Inventory'!EH72*'POSF Emiss by Zone'!$D$6*'POSF Zone Def'!$BC69</f>
        <v>0</v>
      </c>
      <c r="BY80" s="545">
        <f>'POSF Inventory'!EI72*'POSF Emiss by Zone'!$D$5*'POSF Zone Def'!$BC69</f>
        <v>1.4069580183749997</v>
      </c>
      <c r="BZ80" s="545">
        <f>'POSF Inventory'!EJ72*'POSF Emiss by Zone'!$D$6*'POSF Zone Def'!$BC69</f>
        <v>16.912871669924996</v>
      </c>
      <c r="CA80" s="545">
        <f>'POSF Inventory'!EK72*'POSF Emiss by Zone'!$D$5*'POSF Zone Def'!$BC69</f>
        <v>0</v>
      </c>
      <c r="CB80" s="554">
        <f>'POSF Inventory'!EL72*'POSF Emiss by Zone'!$D$6*'POSF Zone Def'!$BC69</f>
        <v>0</v>
      </c>
      <c r="CC80" s="532">
        <f>'POSF Inventory'!GC72*'POSF Emiss by Zone'!$D$7*'POSF Zone Def'!$M69</f>
        <v>0</v>
      </c>
      <c r="CD80" s="532">
        <f>'POSF Inventory'!GD72*'POSF Emiss by Zone'!$D$9*'POSF Zone Def'!$M69</f>
        <v>0</v>
      </c>
      <c r="CE80" s="532">
        <f>'POSF Inventory'!GE72*'POSF Emiss by Zone'!$D$7*'POSF Zone Def'!$M69</f>
        <v>0</v>
      </c>
      <c r="CF80" s="532">
        <f>'POSF Inventory'!GF72*'POSF Emiss by Zone'!$D$9*'POSF Zone Def'!$M69</f>
        <v>0</v>
      </c>
      <c r="CG80" s="532">
        <f>'POSF Inventory'!GG72*'POSF Emiss by Zone'!$D$7*'POSF Zone Def'!$M69</f>
        <v>0</v>
      </c>
      <c r="CH80" s="533">
        <f>'POSF Inventory'!GH72*'POSF Emiss by Zone'!$D$9*'POSF Zone Def'!$M69</f>
        <v>0</v>
      </c>
      <c r="CI80" s="545">
        <f>'POSF Inventory'!GC72*'POSF Emiss by Zone'!$D$7*'POSF Zone Def'!$N69</f>
        <v>0</v>
      </c>
      <c r="CJ80" s="545">
        <f>'POSF Inventory'!GD72*'POSF Emiss by Zone'!$D$9*'POSF Zone Def'!$N69</f>
        <v>0</v>
      </c>
      <c r="CK80" s="545">
        <f>'POSF Inventory'!GE72*'POSF Emiss by Zone'!$D$7*'POSF Zone Def'!$N69</f>
        <v>0</v>
      </c>
      <c r="CL80" s="545">
        <f>'POSF Inventory'!GF72*'POSF Emiss by Zone'!$D$9*'POSF Zone Def'!$N69</f>
        <v>0</v>
      </c>
      <c r="CM80" s="545">
        <f>'POSF Inventory'!GG72*'POSF Emiss by Zone'!$D$7*'POSF Zone Def'!$N69</f>
        <v>0</v>
      </c>
      <c r="CN80" s="558">
        <f>'POSF Inventory'!GH72*'POSF Emiss by Zone'!$D$9*'POSF Zone Def'!$N69</f>
        <v>0</v>
      </c>
      <c r="CO80" s="532">
        <f>'POSF Inventory'!GI72*'POSF Emiss by Zone'!$D$7*'POSF Zone Def'!$AP69</f>
        <v>5.358400000000001E-4</v>
      </c>
      <c r="CP80" s="532">
        <f>'POSF Inventory'!GJ72*'POSF Emiss by Zone'!$D$9*'POSF Zone Def'!$AP69</f>
        <v>1.5898372800000004E-3</v>
      </c>
      <c r="CQ80" s="532">
        <f>'POSF Inventory'!GK72*'POSF Emiss by Zone'!$D$7*'POSF Zone Def'!$AP69</f>
        <v>8.0376000000000024E-3</v>
      </c>
      <c r="CR80" s="532">
        <f>'POSF Inventory'!GL72*'POSF Emiss by Zone'!$D$9*'POSF Zone Def'!$AP69</f>
        <v>2.3847559200000003E-2</v>
      </c>
      <c r="CS80" s="532">
        <f>'POSF Inventory'!GM72*'POSF Emiss by Zone'!$D$7*'POSF Zone Def'!$AP69</f>
        <v>2.9471200000000006E-2</v>
      </c>
      <c r="CT80" s="533">
        <f>'POSF Inventory'!GN72*'POSF Emiss by Zone'!$D$9*'POSF Zone Def'!$AP69</f>
        <v>0.3497642016000001</v>
      </c>
      <c r="CU80" s="545">
        <f>'POSF Inventory'!GI72*'POSF Emiss by Zone'!$D$7*'POSF Zone Def'!$AQ69</f>
        <v>1.2502933333333336E-3</v>
      </c>
      <c r="CV80" s="545">
        <f>'POSF Inventory'!GJ72*'POSF Emiss by Zone'!$D$9*'POSF Zone Def'!$AQ69</f>
        <v>3.7096203200000007E-3</v>
      </c>
      <c r="CW80" s="545">
        <f>'POSF Inventory'!GK72*'POSF Emiss by Zone'!$D$7*'POSF Zone Def'!$AQ69</f>
        <v>1.8754400000000004E-2</v>
      </c>
      <c r="CX80" s="545">
        <f>'POSF Inventory'!GL72*'POSF Emiss by Zone'!$D$9*'POSF Zone Def'!$AQ69</f>
        <v>5.5644304800000002E-2</v>
      </c>
      <c r="CY80" s="545">
        <f>'POSF Inventory'!GM72*'POSF Emiss by Zone'!$D$7*'POSF Zone Def'!$AQ69</f>
        <v>6.876613333333334E-2</v>
      </c>
      <c r="CZ80" s="554">
        <f>'POSF Inventory'!GN72*'POSF Emiss by Zone'!$D$9*'POSF Zone Def'!$AQ69</f>
        <v>0.81611647040000024</v>
      </c>
      <c r="DA80" s="532">
        <f>SUM('POSF Inventory'!GQ72,'POSF Inventory'!GS72)*'POSF Emiss by Zone'!$D$7*'POSF Zone Def'!$Y69</f>
        <v>0</v>
      </c>
      <c r="DB80" s="532">
        <f>SUM('POSF Inventory'!GR72,'POSF Inventory'!GT72)*'POSF Emiss by Zone'!$D$9*'POSF Zone Def'!$Y69</f>
        <v>0</v>
      </c>
      <c r="DC80" s="532"/>
      <c r="DD80" s="532"/>
      <c r="DE80" s="532">
        <f>'POSF Inventory'!GU72*'POSF Emiss by Zone'!$D$7*'POSF Zone Def'!$Y69</f>
        <v>0</v>
      </c>
      <c r="DF80" s="533">
        <f>'POSF Inventory'!GV72*'POSF Emiss by Zone'!$D$9*'POSF Zone Def'!$Y69</f>
        <v>0</v>
      </c>
      <c r="DG80" s="545">
        <f>SUM('POSF Inventory'!GQ72,'POSF Inventory'!GS72)*'POSF Emiss by Zone'!$D$7*'POSF Zone Def'!$Z69</f>
        <v>0</v>
      </c>
      <c r="DH80" s="545">
        <f>SUM('POSF Inventory'!GR72,'POSF Inventory'!GT72)*'POSF Emiss by Zone'!$D$9*'POSF Zone Def'!$Z69</f>
        <v>0</v>
      </c>
      <c r="DI80" s="545"/>
      <c r="DJ80" s="545"/>
      <c r="DK80" s="545">
        <f>'POSF Inventory'!GU72*'POSF Emiss by Zone'!$D$7*'POSF Zone Def'!$Z69</f>
        <v>0</v>
      </c>
      <c r="DL80" s="558">
        <f>'POSF Inventory'!GV72*'POSF Emiss by Zone'!$D$9*'POSF Zone Def'!$Z69</f>
        <v>0</v>
      </c>
      <c r="DM80" s="545">
        <f>SUM('POSF Inventory'!$GQ72,'POSF Inventory'!$GS72)*'POSF Emiss by Zone'!$D$7*'POSF Zone Def'!$AC69</f>
        <v>0</v>
      </c>
      <c r="DN80" s="545">
        <f>SUM('POSF Inventory'!$GR72,'POSF Inventory'!$GT72)*'POSF Emiss by Zone'!$D$9*'POSF Zone Def'!$AC69</f>
        <v>0</v>
      </c>
      <c r="DO80" s="545"/>
      <c r="DP80" s="545"/>
      <c r="DQ80" s="545">
        <f>'POSF Inventory'!$GU72*'POSF Emiss by Zone'!$D$7*'POSF Zone Def'!$AC69</f>
        <v>0</v>
      </c>
      <c r="DR80" s="558">
        <f>'POSF Inventory'!$GV72*'POSF Emiss by Zone'!$D$9*'POSF Zone Def'!$AC69</f>
        <v>0</v>
      </c>
      <c r="DS80" s="532">
        <f>SUM('POSF Inventory'!GW72,'POSF Inventory'!GY72)*$D$7*'POSF Zone Def'!$BB69</f>
        <v>0.20624529382800003</v>
      </c>
      <c r="DT80" s="532">
        <f>SUM('POSF Inventory'!GX72,'POSF Inventory'!GZ72)*$D$9*'POSF Zone Def'!$BB69</f>
        <v>4.7025363250254379</v>
      </c>
      <c r="DU80" s="532"/>
      <c r="DV80" s="532"/>
      <c r="DW80" s="532">
        <f>'POSF Inventory'!HA72*'POSF Emiss by Zone'!$D$7*'POSF Zone Def'!$BB69</f>
        <v>0</v>
      </c>
      <c r="DX80" s="533">
        <f>'POSF Inventory'!HB72*'POSF Emiss by Zone'!$D$9*'POSF Zone Def'!$BB69</f>
        <v>0</v>
      </c>
      <c r="DY80" s="545">
        <f>SUM('POSF Inventory'!GW72,'POSF Inventory'!GY72)*$D$7*'POSF Zone Def'!$BC69</f>
        <v>0.48123901893200005</v>
      </c>
      <c r="DZ80" s="545">
        <f>SUM('POSF Inventory'!GX72,'POSF Inventory'!GZ72)*$D$9*'POSF Zone Def'!$BC69</f>
        <v>10.972584758392689</v>
      </c>
      <c r="EA80" s="545"/>
      <c r="EB80" s="545"/>
      <c r="EC80" s="545">
        <f>'POSF Inventory'!HA72*'POSF Emiss by Zone'!$D$7*'POSF Zone Def'!$BC69</f>
        <v>0</v>
      </c>
      <c r="ED80" s="554">
        <f>'POSF Inventory'!HB72*'POSF Emiss by Zone'!$D$9*'POSF Zone Def'!$BC69</f>
        <v>0</v>
      </c>
      <c r="EE80" s="575">
        <f>'POSF Inventory'!$CF72*'POSF Emiss by Zone'!$D$7*'POSF Zone Def'!$CE69</f>
        <v>0</v>
      </c>
      <c r="EF80" s="575">
        <f>'POSF Inventory'!$CG72*'POSF Emiss by Zone'!$D$9*'POSF Zone Def'!$CE69</f>
        <v>0</v>
      </c>
      <c r="EG80" s="575">
        <f>'POSF Inventory'!$CH72*'POSF Emiss by Zone'!$D$7*'POSF Zone Def'!$CE69</f>
        <v>0</v>
      </c>
      <c r="EH80" s="575">
        <f>'POSF Inventory'!$CI72*'POSF Emiss by Zone'!$D$9*'POSF Zone Def'!$CE69</f>
        <v>0</v>
      </c>
      <c r="EI80" s="575">
        <f>'POSF Inventory'!$CJ72*'POSF Emiss by Zone'!$D$7*'POSF Zone Def'!$CE69</f>
        <v>0</v>
      </c>
      <c r="EJ80" s="582">
        <f>'POSF Inventory'!$CK72*'POSF Emiss by Zone'!$D$9*'POSF Zone Def'!$CE69</f>
        <v>0</v>
      </c>
      <c r="EK80" s="575">
        <f>'POSF Inventory'!$CF72*'POSF Emiss by Zone'!$D$7*'POSF Zone Def'!$CF69</f>
        <v>0</v>
      </c>
      <c r="EL80" s="575">
        <f>'POSF Inventory'!$CG72*'POSF Emiss by Zone'!$D$9*'POSF Zone Def'!$CF69</f>
        <v>0</v>
      </c>
      <c r="EM80" s="575">
        <f>'POSF Inventory'!$CH72*'POSF Emiss by Zone'!$D$7*'POSF Zone Def'!$CF69</f>
        <v>0</v>
      </c>
      <c r="EN80" s="575">
        <f>'POSF Inventory'!$CI72*'POSF Emiss by Zone'!$D$9*'POSF Zone Def'!$CF69</f>
        <v>0</v>
      </c>
      <c r="EO80" s="575">
        <f>'POSF Inventory'!$CJ72*'POSF Emiss by Zone'!$D$7*'POSF Zone Def'!$CF69</f>
        <v>0</v>
      </c>
      <c r="EP80" s="582">
        <f>'POSF Inventory'!$CK72*'POSF Emiss by Zone'!$D$9*'POSF Zone Def'!$CF69</f>
        <v>0</v>
      </c>
      <c r="EQ80" s="575">
        <f>'POSF Inventory'!$CF72*'POSF Emiss by Zone'!$D$7*'POSF Zone Def'!$CG69</f>
        <v>0</v>
      </c>
      <c r="ER80" s="575">
        <f>'POSF Inventory'!$CG72*'POSF Emiss by Zone'!$D$9*'POSF Zone Def'!$CG69</f>
        <v>1.0677986728951161E-4</v>
      </c>
      <c r="ES80" s="575">
        <f>'POSF Inventory'!$CH72*'POSF Emiss by Zone'!$D$7*'POSF Zone Def'!$CG69</f>
        <v>0</v>
      </c>
      <c r="ET80" s="575">
        <f>'POSF Inventory'!$CI72*'POSF Emiss by Zone'!$D$9*'POSF Zone Def'!$CG69</f>
        <v>0</v>
      </c>
      <c r="EU80" s="575">
        <f>'POSF Inventory'!$CJ72*'POSF Emiss by Zone'!$D$7*'POSF Zone Def'!$CG69</f>
        <v>0</v>
      </c>
      <c r="EV80" s="582">
        <f>'POSF Inventory'!$CK72*'POSF Emiss by Zone'!$D$9*'POSF Zone Def'!$CG69</f>
        <v>9.6101880560560458E-4</v>
      </c>
      <c r="EW80" s="575">
        <f>'POSF Inventory'!$CF72*'POSF Emiss by Zone'!$D$7*'POSF Zone Def'!$CH69</f>
        <v>0</v>
      </c>
      <c r="EX80" s="575">
        <f>'POSF Inventory'!$CG72*'POSF Emiss by Zone'!$D$9*'POSF Zone Def'!$CH69</f>
        <v>1.6768323577908004</v>
      </c>
      <c r="EY80" s="575">
        <f>'POSF Inventory'!$CH72*'POSF Emiss by Zone'!$D$7*'POSF Zone Def'!$CH69</f>
        <v>0</v>
      </c>
      <c r="EZ80" s="575">
        <f>'POSF Inventory'!$CI72*'POSF Emiss by Zone'!$D$9*'POSF Zone Def'!$CH69</f>
        <v>0</v>
      </c>
      <c r="FA80" s="575">
        <f>'POSF Inventory'!$CJ72*'POSF Emiss by Zone'!$D$7*'POSF Zone Def'!$CH69</f>
        <v>0</v>
      </c>
      <c r="FB80" s="582">
        <f>'POSF Inventory'!$CK72*'POSF Emiss by Zone'!$D$9*'POSF Zone Def'!$CH69</f>
        <v>15.091491220117206</v>
      </c>
      <c r="FC80" s="575">
        <f>'POSF Inventory'!$CF72*'POSF Emiss by Zone'!$D$7*'POSF Zone Def'!$CI69</f>
        <v>0</v>
      </c>
      <c r="FD80" s="575">
        <f>'POSF Inventory'!$CG72*'POSF Emiss by Zone'!$D$9*'POSF Zone Def'!$CI69</f>
        <v>2.2497172323419106</v>
      </c>
      <c r="FE80" s="575">
        <f>'POSF Inventory'!$CH72*'POSF Emiss by Zone'!$D$7*'POSF Zone Def'!$CI69</f>
        <v>0</v>
      </c>
      <c r="FF80" s="575">
        <f>'POSF Inventory'!$CI72*'POSF Emiss by Zone'!$D$9*'POSF Zone Def'!$CI69</f>
        <v>0</v>
      </c>
      <c r="FG80" s="575">
        <f>'POSF Inventory'!$CJ72*'POSF Emiss by Zone'!$D$7*'POSF Zone Def'!$CI69</f>
        <v>0</v>
      </c>
      <c r="FH80" s="579">
        <f>'POSF Inventory'!$CK72*'POSF Emiss by Zone'!$D$9*'POSF Zone Def'!$CI69</f>
        <v>20.2474550910772</v>
      </c>
      <c r="FI80" s="595"/>
      <c r="FJ80" s="595"/>
      <c r="FM80" s="592">
        <v>63</v>
      </c>
      <c r="FN80" s="592">
        <f t="shared" si="98"/>
        <v>2017</v>
      </c>
      <c r="FO80" s="587">
        <v>60</v>
      </c>
      <c r="FP80" s="576">
        <f t="shared" si="20"/>
        <v>0.11461115249999999</v>
      </c>
      <c r="FQ80" s="532">
        <f t="shared" si="21"/>
        <v>0.27571781159999997</v>
      </c>
      <c r="FR80" s="532">
        <f t="shared" si="22"/>
        <v>0</v>
      </c>
      <c r="FS80" s="532">
        <f t="shared" si="23"/>
        <v>0</v>
      </c>
      <c r="FT80" s="532">
        <f t="shared" si="24"/>
        <v>8.4897150000000018E-2</v>
      </c>
      <c r="FU80" s="533">
        <f t="shared" si="25"/>
        <v>0.204235416</v>
      </c>
      <c r="FV80" s="545">
        <f t="shared" si="26"/>
        <v>0.26742602249999997</v>
      </c>
      <c r="FW80" s="545">
        <f t="shared" si="27"/>
        <v>0.6433415603999999</v>
      </c>
      <c r="FX80" s="545">
        <f t="shared" si="28"/>
        <v>0</v>
      </c>
      <c r="FY80" s="545">
        <f t="shared" si="29"/>
        <v>0</v>
      </c>
      <c r="FZ80" s="545">
        <f t="shared" si="30"/>
        <v>0.19809335000000006</v>
      </c>
      <c r="GA80" s="554">
        <f t="shared" si="31"/>
        <v>0.47654930399999995</v>
      </c>
      <c r="GB80" s="532">
        <f t="shared" si="32"/>
        <v>0</v>
      </c>
      <c r="GC80" s="532">
        <f t="shared" si="33"/>
        <v>0</v>
      </c>
      <c r="GD80" s="532">
        <f t="shared" si="34"/>
        <v>0.67668271202689234</v>
      </c>
      <c r="GE80" s="532">
        <f t="shared" si="35"/>
        <v>7.4025751466384442</v>
      </c>
      <c r="GF80" s="532">
        <f t="shared" si="36"/>
        <v>0.14093152390438252</v>
      </c>
      <c r="GG80" s="533">
        <f t="shared" si="37"/>
        <v>0.33903621513944221</v>
      </c>
      <c r="GH80" s="545">
        <f t="shared" si="38"/>
        <v>0</v>
      </c>
      <c r="GI80" s="545">
        <f t="shared" si="39"/>
        <v>0</v>
      </c>
      <c r="GJ80" s="545">
        <f t="shared" si="40"/>
        <v>1.5789263280627488</v>
      </c>
      <c r="GK80" s="545">
        <f t="shared" si="41"/>
        <v>17.272675342156369</v>
      </c>
      <c r="GL80" s="545">
        <f t="shared" si="42"/>
        <v>0.32884022244355915</v>
      </c>
      <c r="GM80" s="545">
        <f t="shared" si="43"/>
        <v>0.79108450199203195</v>
      </c>
      <c r="GN80" s="545">
        <f t="shared" si="44"/>
        <v>0</v>
      </c>
      <c r="GO80" s="545">
        <f t="shared" si="45"/>
        <v>0</v>
      </c>
      <c r="GP80" s="545">
        <f t="shared" si="46"/>
        <v>0</v>
      </c>
      <c r="GQ80" s="545">
        <f t="shared" si="47"/>
        <v>0</v>
      </c>
      <c r="GR80" s="545">
        <f t="shared" si="48"/>
        <v>0</v>
      </c>
      <c r="GS80" s="554">
        <f t="shared" si="49"/>
        <v>0</v>
      </c>
      <c r="GT80" s="532">
        <f t="shared" si="50"/>
        <v>4.2839119358788853E-3</v>
      </c>
      <c r="GU80" s="532">
        <f t="shared" si="51"/>
        <v>9.7456000175252105E-2</v>
      </c>
      <c r="GV80" s="532">
        <f t="shared" si="52"/>
        <v>1.6651601593625504E-4</v>
      </c>
      <c r="GW80" s="532">
        <f t="shared" si="53"/>
        <v>4.9405301928286854E-4</v>
      </c>
      <c r="GX80" s="532">
        <f t="shared" si="54"/>
        <v>6.1055872509960176E-4</v>
      </c>
      <c r="GY80" s="533">
        <f t="shared" si="55"/>
        <v>7.2461109494820737E-3</v>
      </c>
      <c r="GZ80" s="545">
        <f t="shared" si="56"/>
        <v>9.9957945170507309E-3</v>
      </c>
      <c r="HA80" s="545">
        <f t="shared" si="57"/>
        <v>0.2273973337422549</v>
      </c>
      <c r="HB80" s="545">
        <f t="shared" si="58"/>
        <v>3.8853737051792835E-4</v>
      </c>
      <c r="HC80" s="545">
        <f t="shared" si="59"/>
        <v>1.1527903783266932E-3</v>
      </c>
      <c r="HD80" s="545">
        <f t="shared" si="60"/>
        <v>1.4246370252324037E-3</v>
      </c>
      <c r="HE80" s="558">
        <f t="shared" si="61"/>
        <v>1.6907592215458171E-2</v>
      </c>
      <c r="HF80" s="575">
        <f t="shared" si="62"/>
        <v>0</v>
      </c>
      <c r="HG80" s="575">
        <f t="shared" si="63"/>
        <v>1.1060862747120724E-4</v>
      </c>
      <c r="HH80" s="575">
        <f t="shared" si="64"/>
        <v>0</v>
      </c>
      <c r="HI80" s="575">
        <f t="shared" si="65"/>
        <v>0</v>
      </c>
      <c r="HJ80" s="575">
        <f t="shared" si="66"/>
        <v>0</v>
      </c>
      <c r="HK80" s="582">
        <f t="shared" si="67"/>
        <v>9.9547764724086532E-4</v>
      </c>
      <c r="HL80" s="575">
        <f t="shared" si="68"/>
        <v>0</v>
      </c>
      <c r="HM80" s="575">
        <f t="shared" si="69"/>
        <v>1.7369578208191558</v>
      </c>
      <c r="HN80" s="575">
        <f t="shared" si="70"/>
        <v>0</v>
      </c>
      <c r="HO80" s="575">
        <f t="shared" si="71"/>
        <v>0</v>
      </c>
      <c r="HP80" s="575">
        <f t="shared" si="72"/>
        <v>0</v>
      </c>
      <c r="HQ80" s="582">
        <f t="shared" si="73"/>
        <v>15.632620387372404</v>
      </c>
      <c r="HR80" s="575">
        <f t="shared" si="74"/>
        <v>0</v>
      </c>
      <c r="HS80" s="575">
        <f t="shared" si="75"/>
        <v>2.3303843840991902</v>
      </c>
      <c r="HT80" s="575">
        <f t="shared" si="76"/>
        <v>0</v>
      </c>
      <c r="HU80" s="575">
        <f t="shared" si="77"/>
        <v>0</v>
      </c>
      <c r="HV80" s="575">
        <f t="shared" si="78"/>
        <v>0</v>
      </c>
      <c r="HW80" s="579">
        <f t="shared" si="79"/>
        <v>20.973459456892716</v>
      </c>
      <c r="HX80" s="575">
        <f t="shared" si="80"/>
        <v>0.22767344280759394</v>
      </c>
      <c r="HY80" s="575">
        <f t="shared" si="81"/>
        <v>5.1794115785447437</v>
      </c>
      <c r="HZ80" s="575">
        <f t="shared" si="82"/>
        <v>8.8496858007968138E-3</v>
      </c>
      <c r="IA80" s="575">
        <f t="shared" si="83"/>
        <v>2.6257017770964147E-2</v>
      </c>
      <c r="IB80" s="575">
        <f t="shared" si="84"/>
        <v>3.2448847936254979E-2</v>
      </c>
      <c r="IC80" s="575">
        <f t="shared" si="85"/>
        <v>0.3851029273074742</v>
      </c>
      <c r="ID80" s="575">
        <f t="shared" si="86"/>
        <v>0.53123803321771923</v>
      </c>
      <c r="IE80" s="575">
        <f t="shared" si="87"/>
        <v>12.08529368327107</v>
      </c>
      <c r="IF80" s="575">
        <f t="shared" si="88"/>
        <v>2.06492668685259E-2</v>
      </c>
      <c r="IG80" s="575">
        <f t="shared" si="89"/>
        <v>6.1266374798916334E-2</v>
      </c>
      <c r="IH80" s="575">
        <f t="shared" si="90"/>
        <v>7.5713978517928285E-2</v>
      </c>
      <c r="II80" s="575">
        <f t="shared" si="91"/>
        <v>0.89857349705077305</v>
      </c>
      <c r="IJ80" s="575">
        <f t="shared" si="92"/>
        <v>0</v>
      </c>
      <c r="IK80" s="575">
        <f t="shared" si="93"/>
        <v>0</v>
      </c>
      <c r="IL80" s="575">
        <f t="shared" si="94"/>
        <v>0</v>
      </c>
      <c r="IM80" s="575">
        <f t="shared" si="95"/>
        <v>0</v>
      </c>
      <c r="IN80" s="575">
        <f t="shared" si="96"/>
        <v>0</v>
      </c>
      <c r="IO80" s="575">
        <f t="shared" si="97"/>
        <v>0</v>
      </c>
    </row>
    <row r="81" spans="1:249" ht="18" x14ac:dyDescent="0.25">
      <c r="A81" s="12">
        <v>2018</v>
      </c>
      <c r="B81" s="564"/>
      <c r="C81" s="532">
        <f>'POSF Inventory'!AD73*$D$5*'POSF Zone Def'!$M70</f>
        <v>0</v>
      </c>
      <c r="D81" s="532">
        <f>'POSF Inventory'!AE73*$D$6*'POSF Zone Def'!$M70</f>
        <v>0</v>
      </c>
      <c r="E81" s="532">
        <f>'POSF Inventory'!AF73*$D$5*'POSF Zone Def'!$M70</f>
        <v>0</v>
      </c>
      <c r="F81" s="532">
        <f>'POSF Inventory'!AG73*$D$6*'POSF Zone Def'!$M70</f>
        <v>0</v>
      </c>
      <c r="G81" s="532">
        <f>'POSF Inventory'!AH73*$D$5*'POSF Zone Def'!$M70</f>
        <v>0</v>
      </c>
      <c r="H81" s="533">
        <f>'POSF Inventory'!AI73*$D$6*'POSF Zone Def'!$M70</f>
        <v>0</v>
      </c>
      <c r="I81" s="545">
        <f>'POSF Inventory'!AD73*$D$5*'POSF Zone Def'!$N70</f>
        <v>0</v>
      </c>
      <c r="J81" s="545">
        <f>'POSF Inventory'!AE73*$D$6*'POSF Zone Def'!$N70</f>
        <v>0</v>
      </c>
      <c r="K81" s="545">
        <f>'POSF Inventory'!AF73*$D$5*'POSF Zone Def'!$N70</f>
        <v>0</v>
      </c>
      <c r="L81" s="545">
        <f>'POSF Inventory'!AG73*$D$6*'POSF Zone Def'!$N70</f>
        <v>0</v>
      </c>
      <c r="M81" s="545">
        <f>'POSF Inventory'!AH73*$D$5*'POSF Zone Def'!$N70</f>
        <v>0</v>
      </c>
      <c r="N81" s="558">
        <f>'POSF Inventory'!AI73*$D$6*'POSF Zone Def'!$N70</f>
        <v>0</v>
      </c>
      <c r="O81" s="532">
        <f>'POSF Inventory'!AJ73*$D$5*'POSF Zone Def'!$AP70</f>
        <v>0</v>
      </c>
      <c r="P81" s="532">
        <f>'POSF Inventory'!AK73*$D$6*'POSF Zone Def'!$AP70</f>
        <v>0.24125308514999996</v>
      </c>
      <c r="Q81" s="532">
        <f>'POSF Inventory'!AL73*$D$5*'POSF Zone Def'!$AP70</f>
        <v>0</v>
      </c>
      <c r="R81" s="532">
        <f>'POSF Inventory'!AM73*$D$6*'POSF Zone Def'!$AP70</f>
        <v>0</v>
      </c>
      <c r="S81" s="532">
        <f>'POSF Inventory'!AN73*$D$5*'POSF Zone Def'!$AP70</f>
        <v>0</v>
      </c>
      <c r="T81" s="533">
        <f>'POSF Inventory'!AO73*$D$6*'POSF Zone Def'!$AP70</f>
        <v>0.17870598900000004</v>
      </c>
      <c r="U81" s="545">
        <f>'POSF Inventory'!AJ73*$D$5*'POSF Zone Def'!$AQ70</f>
        <v>0</v>
      </c>
      <c r="V81" s="545">
        <f>'POSF Inventory'!AK73*$D$6*'POSF Zone Def'!$AQ70</f>
        <v>0.56292386534999994</v>
      </c>
      <c r="W81" s="545">
        <f>'POSF Inventory'!AL73*$D$5*'POSF Zone Def'!$AQ70</f>
        <v>0</v>
      </c>
      <c r="X81" s="545">
        <f>'POSF Inventory'!AM73*$D$6*'POSF Zone Def'!$AQ70</f>
        <v>0</v>
      </c>
      <c r="Y81" s="545">
        <f>'POSF Inventory'!AN73*$D$5*'POSF Zone Def'!$AQ70</f>
        <v>0</v>
      </c>
      <c r="Z81" s="554">
        <f>'POSF Inventory'!AO73*$D$6*'POSF Zone Def'!$AQ70</f>
        <v>0.41698064100000004</v>
      </c>
      <c r="AA81" s="532">
        <f>'POSF Inventory'!AV73*'POSF Emiss by Zone'!$D$5*'POSF Zone Def'!$M70</f>
        <v>0</v>
      </c>
      <c r="AB81" s="532">
        <f>'POSF Inventory'!AW73*'POSF Emiss by Zone'!$D$6*'POSF Zone Def'!$M70</f>
        <v>0</v>
      </c>
      <c r="AC81" s="532">
        <f>'POSF Inventory'!AX73*'POSF Emiss by Zone'!$D$5*'POSF Zone Def'!$M70</f>
        <v>0</v>
      </c>
      <c r="AD81" s="532">
        <f>'POSF Inventory'!AY73*'POSF Emiss by Zone'!$D$6*'POSF Zone Def'!$M70</f>
        <v>0</v>
      </c>
      <c r="AE81" s="532">
        <f>'POSF Inventory'!AZ73*'POSF Emiss by Zone'!$D$5*'POSF Zone Def'!$M70</f>
        <v>0</v>
      </c>
      <c r="AF81" s="533">
        <f>'POSF Inventory'!BA73*'POSF Emiss by Zone'!$D$6*'POSF Zone Def'!$M70</f>
        <v>0</v>
      </c>
      <c r="AG81" s="545">
        <f>'POSF Inventory'!AV73*'POSF Emiss by Zone'!$D$5*'POSF Zone Def'!$N70</f>
        <v>0</v>
      </c>
      <c r="AH81" s="545">
        <f>'POSF Inventory'!AW73*'POSF Emiss by Zone'!$D$6*'POSF Zone Def'!$N70</f>
        <v>0</v>
      </c>
      <c r="AI81" s="545">
        <f>'POSF Inventory'!AX73*'POSF Emiss by Zone'!$D$5*'POSF Zone Def'!$N70</f>
        <v>0</v>
      </c>
      <c r="AJ81" s="545">
        <f>'POSF Inventory'!AY73*'POSF Emiss by Zone'!$D$6*'POSF Zone Def'!$N70</f>
        <v>0</v>
      </c>
      <c r="AK81" s="545">
        <f>'POSF Inventory'!AZ73*'POSF Emiss by Zone'!$D$5*'POSF Zone Def'!$N70</f>
        <v>0</v>
      </c>
      <c r="AL81" s="558">
        <f>'POSF Inventory'!BA73*'POSF Emiss by Zone'!$D$6*'POSF Zone Def'!$N70</f>
        <v>0</v>
      </c>
      <c r="AM81" s="532">
        <f>'POSF Inventory'!BB73*'POSF Emiss by Zone'!$D$5*'POSF Zone Def'!$AP70</f>
        <v>0</v>
      </c>
      <c r="AN81" s="532">
        <f>'POSF Inventory'!BC73*'POSF Emiss by Zone'!$D$6*'POSF Zone Def'!$AP70</f>
        <v>0</v>
      </c>
      <c r="AO81" s="532">
        <f>'POSF Inventory'!BD73*'POSF Emiss by Zone'!$D$5*'POSF Zone Def'!$AP70</f>
        <v>0</v>
      </c>
      <c r="AP81" s="532">
        <f>'POSF Inventory'!BE73*'POSF Emiss by Zone'!$D$6*'POSF Zone Def'!$AP70</f>
        <v>0.1608353901</v>
      </c>
      <c r="AQ81" s="532">
        <f>'POSF Inventory'!BF73*'POSF Emiss by Zone'!$D$5*'POSF Zone Def'!$AP70</f>
        <v>0</v>
      </c>
      <c r="AR81" s="533">
        <f>'POSF Inventory'!BG73*'POSF Emiss by Zone'!$D$6*'POSF Zone Def'!$AP70</f>
        <v>0.297843315</v>
      </c>
      <c r="AS81" s="545">
        <f>'POSF Inventory'!BB73*'POSF Emiss by Zone'!$D$5*'POSF Zone Def'!$AQ70</f>
        <v>0</v>
      </c>
      <c r="AT81" s="545">
        <f>'POSF Inventory'!BC73*'POSF Emiss by Zone'!$D$6*'POSF Zone Def'!$AQ70</f>
        <v>0</v>
      </c>
      <c r="AU81" s="545">
        <f>'POSF Inventory'!BD73*'POSF Emiss by Zone'!$D$5*'POSF Zone Def'!$AQ70</f>
        <v>0</v>
      </c>
      <c r="AV81" s="545">
        <f>'POSF Inventory'!BE73*'POSF Emiss by Zone'!$D$6*'POSF Zone Def'!$AQ70</f>
        <v>0.3752825769</v>
      </c>
      <c r="AW81" s="545">
        <f>'POSF Inventory'!BF73*'POSF Emiss by Zone'!$D$5*'POSF Zone Def'!$AQ70</f>
        <v>0</v>
      </c>
      <c r="AX81" s="554">
        <f>'POSF Inventory'!BG73*'POSF Emiss by Zone'!$D$6*'POSF Zone Def'!$AQ70</f>
        <v>0.69496773499999998</v>
      </c>
      <c r="AY81" s="532">
        <f>'POSF Inventory'!EA73*'POSF Emiss by Zone'!$D$5*'POSF Zone Def'!$Y70</f>
        <v>0</v>
      </c>
      <c r="AZ81" s="532">
        <f>'POSF Inventory'!EB73*'POSF Emiss by Zone'!$D$6*'POSF Zone Def'!$Y70</f>
        <v>0</v>
      </c>
      <c r="BA81" s="532">
        <f>'POSF Inventory'!EC73*'POSF Emiss by Zone'!$D$5*'POSF Zone Def'!$Y70</f>
        <v>0</v>
      </c>
      <c r="BB81" s="532">
        <f>'POSF Inventory'!ED73*'POSF Emiss by Zone'!$D$6*'POSF Zone Def'!$Y70</f>
        <v>0</v>
      </c>
      <c r="BC81" s="532">
        <f>'POSF Inventory'!EE73*'POSF Emiss by Zone'!$D$5*'POSF Zone Def'!$Y70</f>
        <v>0</v>
      </c>
      <c r="BD81" s="533">
        <f>'POSF Inventory'!EF73*'POSF Emiss by Zone'!$D$6*'POSF Zone Def'!$Y70</f>
        <v>0</v>
      </c>
      <c r="BE81" s="545">
        <f>'POSF Inventory'!EA73*'POSF Emiss by Zone'!$D$5*'POSF Zone Def'!$Z70</f>
        <v>0</v>
      </c>
      <c r="BF81" s="545">
        <f>'POSF Inventory'!EB73*'POSF Emiss by Zone'!$D$6*'POSF Zone Def'!$Z70</f>
        <v>0</v>
      </c>
      <c r="BG81" s="545">
        <f>'POSF Inventory'!EC73*'POSF Emiss by Zone'!$D$5*'POSF Zone Def'!$Z70</f>
        <v>0</v>
      </c>
      <c r="BH81" s="545">
        <f>'POSF Inventory'!ED73*'POSF Emiss by Zone'!$D$6*'POSF Zone Def'!$Z70</f>
        <v>0</v>
      </c>
      <c r="BI81" s="545">
        <f>'POSF Inventory'!EE73*'POSF Emiss by Zone'!$D$5*'POSF Zone Def'!$Z70</f>
        <v>0</v>
      </c>
      <c r="BJ81" s="558">
        <f>'POSF Inventory'!EF73*'POSF Emiss by Zone'!$D$6*'POSF Zone Def'!$Z70</f>
        <v>0</v>
      </c>
      <c r="BK81" s="545">
        <f>'POSF Inventory'!$EA73*'POSF Emiss by Zone'!$D$5*'POSF Zone Def'!$AC70</f>
        <v>0</v>
      </c>
      <c r="BL81" s="545">
        <f>'POSF Inventory'!$EB73*'POSF Emiss by Zone'!$D$6*'POSF Zone Def'!$AC70</f>
        <v>0</v>
      </c>
      <c r="BM81" s="545">
        <f>'POSF Inventory'!$EC73*'POSF Emiss by Zone'!$D$5*'POSF Zone Def'!$AC70</f>
        <v>0</v>
      </c>
      <c r="BN81" s="545">
        <f>'POSF Inventory'!$ED73*'POSF Emiss by Zone'!$D$6*'POSF Zone Def'!$AC70</f>
        <v>0</v>
      </c>
      <c r="BO81" s="545">
        <f>'POSF Inventory'!$EE73*'POSF Emiss by Zone'!$D$5*'POSF Zone Def'!$AC70</f>
        <v>0</v>
      </c>
      <c r="BP81" s="558">
        <f>'POSF Inventory'!$EF73*'POSF Emiss by Zone'!$D$6*'POSF Zone Def'!$AC70</f>
        <v>0</v>
      </c>
      <c r="BQ81" s="532">
        <f>'POSF Inventory'!EG73*'POSF Emiss by Zone'!$D$5*'POSF Zone Def'!$BB70</f>
        <v>0</v>
      </c>
      <c r="BR81" s="532">
        <f>'POSF Inventory'!EH73*'POSF Emiss by Zone'!$D$6*'POSF Zone Def'!$BB70</f>
        <v>0</v>
      </c>
      <c r="BS81" s="532">
        <f>'POSF Inventory'!EI73*'POSF Emiss by Zone'!$D$5*'POSF Zone Def'!$BB70</f>
        <v>0.20099400262500006</v>
      </c>
      <c r="BT81" s="532">
        <f>'POSF Inventory'!EJ73*'POSF Emiss by Zone'!$D$6*'POSF Zone Def'!$BB70</f>
        <v>6.0395552043749996</v>
      </c>
      <c r="BU81" s="532">
        <f>'POSF Inventory'!EK73*'POSF Emiss by Zone'!$D$5*'POSF Zone Def'!$BB70</f>
        <v>0</v>
      </c>
      <c r="BV81" s="533">
        <f>'POSF Inventory'!EL73*'POSF Emiss by Zone'!$D$6*'POSF Zone Def'!$BB70</f>
        <v>0</v>
      </c>
      <c r="BW81" s="545">
        <f>'POSF Inventory'!EG73*'POSF Emiss by Zone'!$D$5*'POSF Zone Def'!$BC70</f>
        <v>0</v>
      </c>
      <c r="BX81" s="545">
        <f>'POSF Inventory'!EH73*'POSF Emiss by Zone'!$D$6*'POSF Zone Def'!$BC70</f>
        <v>0</v>
      </c>
      <c r="BY81" s="545">
        <f>'POSF Inventory'!EI73*'POSF Emiss by Zone'!$D$5*'POSF Zone Def'!$BC70</f>
        <v>0.46898600612500008</v>
      </c>
      <c r="BZ81" s="545">
        <f>'POSF Inventory'!EJ73*'POSF Emiss by Zone'!$D$6*'POSF Zone Def'!$BC70</f>
        <v>14.092295476875</v>
      </c>
      <c r="CA81" s="545">
        <f>'POSF Inventory'!EK73*'POSF Emiss by Zone'!$D$5*'POSF Zone Def'!$BC70</f>
        <v>0</v>
      </c>
      <c r="CB81" s="554">
        <f>'POSF Inventory'!EL73*'POSF Emiss by Zone'!$D$6*'POSF Zone Def'!$BC70</f>
        <v>0</v>
      </c>
      <c r="CC81" s="532">
        <f>'POSF Inventory'!GC73*'POSF Emiss by Zone'!$D$7*'POSF Zone Def'!$M70</f>
        <v>0</v>
      </c>
      <c r="CD81" s="532">
        <f>'POSF Inventory'!GD73*'POSF Emiss by Zone'!$D$9*'POSF Zone Def'!$M70</f>
        <v>0</v>
      </c>
      <c r="CE81" s="532">
        <f>'POSF Inventory'!GE73*'POSF Emiss by Zone'!$D$7*'POSF Zone Def'!$M70</f>
        <v>0</v>
      </c>
      <c r="CF81" s="532">
        <f>'POSF Inventory'!GF73*'POSF Emiss by Zone'!$D$9*'POSF Zone Def'!$M70</f>
        <v>0</v>
      </c>
      <c r="CG81" s="532">
        <f>'POSF Inventory'!GG73*'POSF Emiss by Zone'!$D$7*'POSF Zone Def'!$M70</f>
        <v>0</v>
      </c>
      <c r="CH81" s="533">
        <f>'POSF Inventory'!GH73*'POSF Emiss by Zone'!$D$9*'POSF Zone Def'!$M70</f>
        <v>0</v>
      </c>
      <c r="CI81" s="545">
        <f>'POSF Inventory'!GC73*'POSF Emiss by Zone'!$D$7*'POSF Zone Def'!$N70</f>
        <v>0</v>
      </c>
      <c r="CJ81" s="545">
        <f>'POSF Inventory'!GD73*'POSF Emiss by Zone'!$D$9*'POSF Zone Def'!$N70</f>
        <v>0</v>
      </c>
      <c r="CK81" s="545">
        <f>'POSF Inventory'!GE73*'POSF Emiss by Zone'!$D$7*'POSF Zone Def'!$N70</f>
        <v>0</v>
      </c>
      <c r="CL81" s="545">
        <f>'POSF Inventory'!GF73*'POSF Emiss by Zone'!$D$9*'POSF Zone Def'!$N70</f>
        <v>0</v>
      </c>
      <c r="CM81" s="545">
        <f>'POSF Inventory'!GG73*'POSF Emiss by Zone'!$D$7*'POSF Zone Def'!$N70</f>
        <v>0</v>
      </c>
      <c r="CN81" s="558">
        <f>'POSF Inventory'!GH73*'POSF Emiss by Zone'!$D$9*'POSF Zone Def'!$N70</f>
        <v>0</v>
      </c>
      <c r="CO81" s="532">
        <f>'POSF Inventory'!GI73*'POSF Emiss by Zone'!$D$7*'POSF Zone Def'!$AP70</f>
        <v>0</v>
      </c>
      <c r="CP81" s="532">
        <f>'POSF Inventory'!GJ73*'POSF Emiss by Zone'!$D$9*'POSF Zone Def'!$AP70</f>
        <v>1.3911076200000001E-3</v>
      </c>
      <c r="CQ81" s="532">
        <f>'POSF Inventory'!GK73*'POSF Emiss by Zone'!$D$7*'POSF Zone Def'!$AP70</f>
        <v>0</v>
      </c>
      <c r="CR81" s="532">
        <f>'POSF Inventory'!GL73*'POSF Emiss by Zone'!$D$9*'POSF Zone Def'!$AP70</f>
        <v>2.0866614300000003E-2</v>
      </c>
      <c r="CS81" s="532">
        <f>'POSF Inventory'!GM73*'POSF Emiss by Zone'!$D$7*'POSF Zone Def'!$AP70</f>
        <v>0</v>
      </c>
      <c r="CT81" s="533">
        <f>'POSF Inventory'!GN73*'POSF Emiss by Zone'!$D$9*'POSF Zone Def'!$AP70</f>
        <v>0.30604367639999996</v>
      </c>
      <c r="CU81" s="545">
        <f>'POSF Inventory'!GI73*'POSF Emiss by Zone'!$D$7*'POSF Zone Def'!$AQ70</f>
        <v>0</v>
      </c>
      <c r="CV81" s="545">
        <f>'POSF Inventory'!GJ73*'POSF Emiss by Zone'!$D$9*'POSF Zone Def'!$AQ70</f>
        <v>3.24591778E-3</v>
      </c>
      <c r="CW81" s="545">
        <f>'POSF Inventory'!GK73*'POSF Emiss by Zone'!$D$7*'POSF Zone Def'!$AQ70</f>
        <v>0</v>
      </c>
      <c r="CX81" s="545">
        <f>'POSF Inventory'!GL73*'POSF Emiss by Zone'!$D$9*'POSF Zone Def'!$AQ70</f>
        <v>4.8688766700000004E-2</v>
      </c>
      <c r="CY81" s="545">
        <f>'POSF Inventory'!GM73*'POSF Emiss by Zone'!$D$7*'POSF Zone Def'!$AQ70</f>
        <v>0</v>
      </c>
      <c r="CZ81" s="554">
        <f>'POSF Inventory'!GN73*'POSF Emiss by Zone'!$D$9*'POSF Zone Def'!$AQ70</f>
        <v>0.71410191159999992</v>
      </c>
      <c r="DA81" s="532">
        <f>SUM('POSF Inventory'!GQ73,'POSF Inventory'!GS73)*'POSF Emiss by Zone'!$D$7*'POSF Zone Def'!$Y70</f>
        <v>0</v>
      </c>
      <c r="DB81" s="532">
        <f>SUM('POSF Inventory'!GR73,'POSF Inventory'!GT73)*'POSF Emiss by Zone'!$D$9*'POSF Zone Def'!$Y70</f>
        <v>0</v>
      </c>
      <c r="DC81" s="532"/>
      <c r="DD81" s="532"/>
      <c r="DE81" s="532">
        <f>'POSF Inventory'!GU73*'POSF Emiss by Zone'!$D$7*'POSF Zone Def'!$Y70</f>
        <v>0</v>
      </c>
      <c r="DF81" s="533">
        <f>'POSF Inventory'!GV73*'POSF Emiss by Zone'!$D$9*'POSF Zone Def'!$Y70</f>
        <v>0</v>
      </c>
      <c r="DG81" s="545">
        <f>SUM('POSF Inventory'!GQ73,'POSF Inventory'!GS73)*'POSF Emiss by Zone'!$D$7*'POSF Zone Def'!$Z70</f>
        <v>0</v>
      </c>
      <c r="DH81" s="545">
        <f>SUM('POSF Inventory'!GR73,'POSF Inventory'!GT73)*'POSF Emiss by Zone'!$D$9*'POSF Zone Def'!$Z70</f>
        <v>0</v>
      </c>
      <c r="DI81" s="545"/>
      <c r="DJ81" s="545"/>
      <c r="DK81" s="545">
        <f>'POSF Inventory'!GU73*'POSF Emiss by Zone'!$D$7*'POSF Zone Def'!$Z70</f>
        <v>0</v>
      </c>
      <c r="DL81" s="558">
        <f>'POSF Inventory'!GV73*'POSF Emiss by Zone'!$D$9*'POSF Zone Def'!$Z70</f>
        <v>0</v>
      </c>
      <c r="DM81" s="545">
        <f>SUM('POSF Inventory'!$GQ73,'POSF Inventory'!$GS73)*'POSF Emiss by Zone'!$D$7*'POSF Zone Def'!$AC70</f>
        <v>0</v>
      </c>
      <c r="DN81" s="545">
        <f>SUM('POSF Inventory'!$GR73,'POSF Inventory'!$GT73)*'POSF Emiss by Zone'!$D$9*'POSF Zone Def'!$AC70</f>
        <v>0</v>
      </c>
      <c r="DO81" s="545"/>
      <c r="DP81" s="545"/>
      <c r="DQ81" s="545">
        <f>'POSF Inventory'!$GU73*'POSF Emiss by Zone'!$D$7*'POSF Zone Def'!$AC70</f>
        <v>0</v>
      </c>
      <c r="DR81" s="558">
        <f>'POSF Inventory'!$GV73*'POSF Emiss by Zone'!$D$9*'POSF Zone Def'!$AC70</f>
        <v>0</v>
      </c>
      <c r="DS81" s="532">
        <f>SUM('POSF Inventory'!GW73,'POSF Inventory'!GY73)*$D$7*'POSF Zone Def'!$BB70</f>
        <v>0</v>
      </c>
      <c r="DT81" s="532">
        <f>SUM('POSF Inventory'!GX73,'POSF Inventory'!GZ73)*$D$9*'POSF Zone Def'!$BB70</f>
        <v>3.7390585455011252</v>
      </c>
      <c r="DU81" s="532"/>
      <c r="DV81" s="532"/>
      <c r="DW81" s="532">
        <f>'POSF Inventory'!HA73*'POSF Emiss by Zone'!$D$7*'POSF Zone Def'!$BB70</f>
        <v>0</v>
      </c>
      <c r="DX81" s="533">
        <f>'POSF Inventory'!HB73*'POSF Emiss by Zone'!$D$9*'POSF Zone Def'!$BB70</f>
        <v>0</v>
      </c>
      <c r="DY81" s="545">
        <f>SUM('POSF Inventory'!GW73,'POSF Inventory'!GY73)*$D$7*'POSF Zone Def'!$BC70</f>
        <v>0</v>
      </c>
      <c r="DZ81" s="545">
        <f>SUM('POSF Inventory'!GX73,'POSF Inventory'!GZ73)*$D$9*'POSF Zone Def'!$BC70</f>
        <v>8.7244699395026259</v>
      </c>
      <c r="EA81" s="545"/>
      <c r="EB81" s="545"/>
      <c r="EC81" s="545">
        <f>'POSF Inventory'!HA73*'POSF Emiss by Zone'!$D$7*'POSF Zone Def'!$BC70</f>
        <v>0</v>
      </c>
      <c r="ED81" s="554">
        <f>'POSF Inventory'!HB73*'POSF Emiss by Zone'!$D$9*'POSF Zone Def'!$BC70</f>
        <v>0</v>
      </c>
      <c r="EE81" s="575">
        <f>'POSF Inventory'!$CF73*'POSF Emiss by Zone'!$D$7*'POSF Zone Def'!$CE70</f>
        <v>0</v>
      </c>
      <c r="EF81" s="575">
        <f>'POSF Inventory'!$CG73*'POSF Emiss by Zone'!$D$9*'POSF Zone Def'!$CE70</f>
        <v>0</v>
      </c>
      <c r="EG81" s="575">
        <f>'POSF Inventory'!$CH73*'POSF Emiss by Zone'!$D$7*'POSF Zone Def'!$CE70</f>
        <v>0</v>
      </c>
      <c r="EH81" s="575">
        <f>'POSF Inventory'!$CI73*'POSF Emiss by Zone'!$D$9*'POSF Zone Def'!$CE70</f>
        <v>0</v>
      </c>
      <c r="EI81" s="575">
        <f>'POSF Inventory'!$CJ73*'POSF Emiss by Zone'!$D$7*'POSF Zone Def'!$CE70</f>
        <v>0</v>
      </c>
      <c r="EJ81" s="582">
        <f>'POSF Inventory'!$CK73*'POSF Emiss by Zone'!$D$9*'POSF Zone Def'!$CE70</f>
        <v>0</v>
      </c>
      <c r="EK81" s="575">
        <f>'POSF Inventory'!$CF73*'POSF Emiss by Zone'!$D$7*'POSF Zone Def'!$CF70</f>
        <v>0</v>
      </c>
      <c r="EL81" s="575">
        <f>'POSF Inventory'!$CG73*'POSF Emiss by Zone'!$D$9*'POSF Zone Def'!$CF70</f>
        <v>0</v>
      </c>
      <c r="EM81" s="575">
        <f>'POSF Inventory'!$CH73*'POSF Emiss by Zone'!$D$7*'POSF Zone Def'!$CF70</f>
        <v>0</v>
      </c>
      <c r="EN81" s="575">
        <f>'POSF Inventory'!$CI73*'POSF Emiss by Zone'!$D$9*'POSF Zone Def'!$CF70</f>
        <v>0</v>
      </c>
      <c r="EO81" s="575">
        <f>'POSF Inventory'!$CJ73*'POSF Emiss by Zone'!$D$7*'POSF Zone Def'!$CF70</f>
        <v>0</v>
      </c>
      <c r="EP81" s="582">
        <f>'POSF Inventory'!$CK73*'POSF Emiss by Zone'!$D$9*'POSF Zone Def'!$CF70</f>
        <v>0</v>
      </c>
      <c r="EQ81" s="575">
        <f>'POSF Inventory'!$CF73*'POSF Emiss by Zone'!$D$7*'POSF Zone Def'!$CG70</f>
        <v>0</v>
      </c>
      <c r="ER81" s="575">
        <f>'POSF Inventory'!$CG73*'POSF Emiss by Zone'!$D$9*'POSF Zone Def'!$CG70</f>
        <v>1.0677986728951161E-4</v>
      </c>
      <c r="ES81" s="575">
        <f>'POSF Inventory'!$CH73*'POSF Emiss by Zone'!$D$7*'POSF Zone Def'!$CG70</f>
        <v>0</v>
      </c>
      <c r="ET81" s="575">
        <f>'POSF Inventory'!$CI73*'POSF Emiss by Zone'!$D$9*'POSF Zone Def'!$CG70</f>
        <v>0</v>
      </c>
      <c r="EU81" s="575">
        <f>'POSF Inventory'!$CJ73*'POSF Emiss by Zone'!$D$7*'POSF Zone Def'!$CG70</f>
        <v>0</v>
      </c>
      <c r="EV81" s="582">
        <f>'POSF Inventory'!$CK73*'POSF Emiss by Zone'!$D$9*'POSF Zone Def'!$CG70</f>
        <v>9.6101880560560458E-4</v>
      </c>
      <c r="EW81" s="575">
        <f>'POSF Inventory'!$CF73*'POSF Emiss by Zone'!$D$7*'POSF Zone Def'!$CH70</f>
        <v>0</v>
      </c>
      <c r="EX81" s="575">
        <f>'POSF Inventory'!$CG73*'POSF Emiss by Zone'!$D$9*'POSF Zone Def'!$CH70</f>
        <v>1.6768323577908004</v>
      </c>
      <c r="EY81" s="575">
        <f>'POSF Inventory'!$CH73*'POSF Emiss by Zone'!$D$7*'POSF Zone Def'!$CH70</f>
        <v>0</v>
      </c>
      <c r="EZ81" s="575">
        <f>'POSF Inventory'!$CI73*'POSF Emiss by Zone'!$D$9*'POSF Zone Def'!$CH70</f>
        <v>0</v>
      </c>
      <c r="FA81" s="575">
        <f>'POSF Inventory'!$CJ73*'POSF Emiss by Zone'!$D$7*'POSF Zone Def'!$CH70</f>
        <v>0</v>
      </c>
      <c r="FB81" s="582">
        <f>'POSF Inventory'!$CK73*'POSF Emiss by Zone'!$D$9*'POSF Zone Def'!$CH70</f>
        <v>15.091491220117206</v>
      </c>
      <c r="FC81" s="575">
        <f>'POSF Inventory'!$CF73*'POSF Emiss by Zone'!$D$7*'POSF Zone Def'!$CI70</f>
        <v>0</v>
      </c>
      <c r="FD81" s="575">
        <f>'POSF Inventory'!$CG73*'POSF Emiss by Zone'!$D$9*'POSF Zone Def'!$CI70</f>
        <v>2.2497172323419106</v>
      </c>
      <c r="FE81" s="575">
        <f>'POSF Inventory'!$CH73*'POSF Emiss by Zone'!$D$7*'POSF Zone Def'!$CI70</f>
        <v>0</v>
      </c>
      <c r="FF81" s="575">
        <f>'POSF Inventory'!$CI73*'POSF Emiss by Zone'!$D$9*'POSF Zone Def'!$CI70</f>
        <v>0</v>
      </c>
      <c r="FG81" s="575">
        <f>'POSF Inventory'!$CJ73*'POSF Emiss by Zone'!$D$7*'POSF Zone Def'!$CI70</f>
        <v>0</v>
      </c>
      <c r="FH81" s="579">
        <f>'POSF Inventory'!$CK73*'POSF Emiss by Zone'!$D$9*'POSF Zone Def'!$CI70</f>
        <v>20.2474550910772</v>
      </c>
      <c r="FI81" s="595"/>
      <c r="FJ81" s="595"/>
      <c r="FM81" s="592">
        <v>64</v>
      </c>
      <c r="FN81" s="592">
        <f t="shared" si="98"/>
        <v>2018</v>
      </c>
      <c r="FO81" s="587">
        <v>61</v>
      </c>
      <c r="FP81" s="576">
        <f t="shared" si="20"/>
        <v>0</v>
      </c>
      <c r="FQ81" s="532">
        <f t="shared" si="21"/>
        <v>0.24125308514999996</v>
      </c>
      <c r="FR81" s="532">
        <f t="shared" si="22"/>
        <v>0</v>
      </c>
      <c r="FS81" s="532">
        <f t="shared" si="23"/>
        <v>0</v>
      </c>
      <c r="FT81" s="532">
        <f t="shared" si="24"/>
        <v>0</v>
      </c>
      <c r="FU81" s="533">
        <f t="shared" si="25"/>
        <v>0.17870598900000004</v>
      </c>
      <c r="FV81" s="545">
        <f t="shared" si="26"/>
        <v>0</v>
      </c>
      <c r="FW81" s="545">
        <f t="shared" si="27"/>
        <v>0.56292386534999994</v>
      </c>
      <c r="FX81" s="545">
        <f t="shared" si="28"/>
        <v>0</v>
      </c>
      <c r="FY81" s="545">
        <f t="shared" si="29"/>
        <v>0</v>
      </c>
      <c r="FZ81" s="545">
        <f t="shared" si="30"/>
        <v>0</v>
      </c>
      <c r="GA81" s="554">
        <f t="shared" si="31"/>
        <v>0.41698064100000004</v>
      </c>
      <c r="GB81" s="532">
        <f t="shared" si="32"/>
        <v>0</v>
      </c>
      <c r="GC81" s="532">
        <f t="shared" si="33"/>
        <v>0</v>
      </c>
      <c r="GD81" s="532">
        <f t="shared" si="34"/>
        <v>0.20019322970617537</v>
      </c>
      <c r="GE81" s="532">
        <f t="shared" si="35"/>
        <v>6.1756878431025894</v>
      </c>
      <c r="GF81" s="532">
        <f t="shared" si="36"/>
        <v>0</v>
      </c>
      <c r="GG81" s="533">
        <f t="shared" si="37"/>
        <v>0.29665668824701197</v>
      </c>
      <c r="GH81" s="545">
        <f t="shared" si="38"/>
        <v>0</v>
      </c>
      <c r="GI81" s="545">
        <f t="shared" si="39"/>
        <v>0</v>
      </c>
      <c r="GJ81" s="545">
        <f t="shared" si="40"/>
        <v>0.46711753598107575</v>
      </c>
      <c r="GK81" s="545">
        <f t="shared" si="41"/>
        <v>14.409938300572708</v>
      </c>
      <c r="GL81" s="545">
        <f t="shared" si="42"/>
        <v>0</v>
      </c>
      <c r="GM81" s="545">
        <f t="shared" si="43"/>
        <v>0.69219893924302789</v>
      </c>
      <c r="GN81" s="545">
        <f t="shared" si="44"/>
        <v>0</v>
      </c>
      <c r="GO81" s="545">
        <f t="shared" si="45"/>
        <v>0</v>
      </c>
      <c r="GP81" s="545">
        <f t="shared" si="46"/>
        <v>0</v>
      </c>
      <c r="GQ81" s="545">
        <f t="shared" si="47"/>
        <v>0</v>
      </c>
      <c r="GR81" s="545">
        <f t="shared" si="48"/>
        <v>0</v>
      </c>
      <c r="GS81" s="554">
        <f t="shared" si="49"/>
        <v>0</v>
      </c>
      <c r="GT81" s="532">
        <f t="shared" si="50"/>
        <v>0</v>
      </c>
      <c r="GU81" s="532">
        <f t="shared" si="51"/>
        <v>7.7491387235975512E-2</v>
      </c>
      <c r="GV81" s="532">
        <f t="shared" si="52"/>
        <v>0</v>
      </c>
      <c r="GW81" s="532">
        <f t="shared" si="53"/>
        <v>4.3229639187251001E-4</v>
      </c>
      <c r="GX81" s="532">
        <f t="shared" si="54"/>
        <v>0</v>
      </c>
      <c r="GY81" s="533">
        <f t="shared" si="55"/>
        <v>6.3403470807968116E-3</v>
      </c>
      <c r="GZ81" s="545">
        <f t="shared" si="56"/>
        <v>0</v>
      </c>
      <c r="HA81" s="545">
        <f t="shared" si="57"/>
        <v>0.18081323688394282</v>
      </c>
      <c r="HB81" s="545">
        <f t="shared" si="58"/>
        <v>0</v>
      </c>
      <c r="HC81" s="545">
        <f t="shared" si="59"/>
        <v>1.0086915810358567E-3</v>
      </c>
      <c r="HD81" s="545">
        <f t="shared" si="60"/>
        <v>0</v>
      </c>
      <c r="HE81" s="558">
        <f t="shared" si="61"/>
        <v>1.4794143188525895E-2</v>
      </c>
      <c r="HF81" s="575">
        <f t="shared" si="62"/>
        <v>0</v>
      </c>
      <c r="HG81" s="575">
        <f t="shared" si="63"/>
        <v>1.1060862747120724E-4</v>
      </c>
      <c r="HH81" s="575">
        <f t="shared" si="64"/>
        <v>0</v>
      </c>
      <c r="HI81" s="575">
        <f t="shared" si="65"/>
        <v>0</v>
      </c>
      <c r="HJ81" s="575">
        <f t="shared" si="66"/>
        <v>0</v>
      </c>
      <c r="HK81" s="582">
        <f t="shared" si="67"/>
        <v>9.9547764724086532E-4</v>
      </c>
      <c r="HL81" s="575">
        <f t="shared" si="68"/>
        <v>0</v>
      </c>
      <c r="HM81" s="575">
        <f t="shared" si="69"/>
        <v>1.7369578208191558</v>
      </c>
      <c r="HN81" s="575">
        <f t="shared" si="70"/>
        <v>0</v>
      </c>
      <c r="HO81" s="575">
        <f t="shared" si="71"/>
        <v>0</v>
      </c>
      <c r="HP81" s="575">
        <f t="shared" si="72"/>
        <v>0</v>
      </c>
      <c r="HQ81" s="582">
        <f t="shared" si="73"/>
        <v>15.632620387372404</v>
      </c>
      <c r="HR81" s="575">
        <f t="shared" si="74"/>
        <v>0</v>
      </c>
      <c r="HS81" s="575">
        <f t="shared" si="75"/>
        <v>2.3303843840991902</v>
      </c>
      <c r="HT81" s="575">
        <f t="shared" si="76"/>
        <v>0</v>
      </c>
      <c r="HU81" s="575">
        <f t="shared" si="77"/>
        <v>0</v>
      </c>
      <c r="HV81" s="575">
        <f t="shared" si="78"/>
        <v>0</v>
      </c>
      <c r="HW81" s="579">
        <f t="shared" si="79"/>
        <v>20.973459456892716</v>
      </c>
      <c r="HX81" s="575">
        <f t="shared" si="80"/>
        <v>0</v>
      </c>
      <c r="HY81" s="575">
        <f t="shared" si="81"/>
        <v>4.1183691877950359</v>
      </c>
      <c r="HZ81" s="575">
        <f t="shared" si="82"/>
        <v>0</v>
      </c>
      <c r="IA81" s="575">
        <f t="shared" si="83"/>
        <v>2.2974890549593625E-2</v>
      </c>
      <c r="IB81" s="575">
        <f t="shared" si="84"/>
        <v>0</v>
      </c>
      <c r="IC81" s="575">
        <f t="shared" si="85"/>
        <v>0.33696506139403976</v>
      </c>
      <c r="ID81" s="575">
        <f t="shared" si="86"/>
        <v>0</v>
      </c>
      <c r="IE81" s="575">
        <f t="shared" si="87"/>
        <v>9.6095281048550838</v>
      </c>
      <c r="IF81" s="575">
        <f t="shared" si="88"/>
        <v>0</v>
      </c>
      <c r="IG81" s="575">
        <f t="shared" si="89"/>
        <v>5.3608077949051786E-2</v>
      </c>
      <c r="IH81" s="575">
        <f t="shared" si="90"/>
        <v>0</v>
      </c>
      <c r="II81" s="575">
        <f t="shared" si="91"/>
        <v>0.78625180991942611</v>
      </c>
      <c r="IJ81" s="575">
        <f t="shared" si="92"/>
        <v>0</v>
      </c>
      <c r="IK81" s="575">
        <f t="shared" si="93"/>
        <v>0</v>
      </c>
      <c r="IL81" s="575">
        <f t="shared" si="94"/>
        <v>0</v>
      </c>
      <c r="IM81" s="575">
        <f t="shared" si="95"/>
        <v>0</v>
      </c>
      <c r="IN81" s="575">
        <f t="shared" si="96"/>
        <v>0</v>
      </c>
      <c r="IO81" s="575">
        <f t="shared" si="97"/>
        <v>0</v>
      </c>
    </row>
    <row r="82" spans="1:249" ht="18" x14ac:dyDescent="0.25">
      <c r="A82" s="12">
        <v>2019</v>
      </c>
      <c r="B82" s="564"/>
      <c r="C82" s="532">
        <f>'POSF Inventory'!AD74*$D$5*'POSF Zone Def'!$M71</f>
        <v>0</v>
      </c>
      <c r="D82" s="532">
        <f>'POSF Inventory'!AE74*$D$6*'POSF Zone Def'!$M71</f>
        <v>0</v>
      </c>
      <c r="E82" s="532">
        <f>'POSF Inventory'!AF74*$D$5*'POSF Zone Def'!$M71</f>
        <v>0</v>
      </c>
      <c r="F82" s="532">
        <f>'POSF Inventory'!AG74*$D$6*'POSF Zone Def'!$M71</f>
        <v>0</v>
      </c>
      <c r="G82" s="532">
        <f>'POSF Inventory'!AH74*$D$5*'POSF Zone Def'!$M71</f>
        <v>0</v>
      </c>
      <c r="H82" s="533">
        <f>'POSF Inventory'!AI74*$D$6*'POSF Zone Def'!$M71</f>
        <v>0</v>
      </c>
      <c r="I82" s="545">
        <f>'POSF Inventory'!AD74*$D$5*'POSF Zone Def'!$N71</f>
        <v>0</v>
      </c>
      <c r="J82" s="545">
        <f>'POSF Inventory'!AE74*$D$6*'POSF Zone Def'!$N71</f>
        <v>0</v>
      </c>
      <c r="K82" s="545">
        <f>'POSF Inventory'!AF74*$D$5*'POSF Zone Def'!$N71</f>
        <v>0</v>
      </c>
      <c r="L82" s="545">
        <f>'POSF Inventory'!AG74*$D$6*'POSF Zone Def'!$N71</f>
        <v>0</v>
      </c>
      <c r="M82" s="545">
        <f>'POSF Inventory'!AH74*$D$5*'POSF Zone Def'!$N71</f>
        <v>0</v>
      </c>
      <c r="N82" s="558">
        <f>'POSF Inventory'!AI74*$D$6*'POSF Zone Def'!$N71</f>
        <v>0</v>
      </c>
      <c r="O82" s="532">
        <f>'POSF Inventory'!AJ74*$D$5*'POSF Zone Def'!$AP71</f>
        <v>0</v>
      </c>
      <c r="P82" s="532">
        <f>'POSF Inventory'!AK74*$D$6*'POSF Zone Def'!$AP71</f>
        <v>0.20678835869999998</v>
      </c>
      <c r="Q82" s="532">
        <f>'POSF Inventory'!AL74*$D$5*'POSF Zone Def'!$AP71</f>
        <v>0</v>
      </c>
      <c r="R82" s="532">
        <f>'POSF Inventory'!AM74*$D$6*'POSF Zone Def'!$AP71</f>
        <v>0</v>
      </c>
      <c r="S82" s="532">
        <f>'POSF Inventory'!AN74*$D$5*'POSF Zone Def'!$AP71</f>
        <v>0</v>
      </c>
      <c r="T82" s="533">
        <f>'POSF Inventory'!AO74*$D$6*'POSF Zone Def'!$AP71</f>
        <v>0.15317656199999999</v>
      </c>
      <c r="U82" s="545">
        <f>'POSF Inventory'!AJ74*$D$5*'POSF Zone Def'!$AQ71</f>
        <v>0</v>
      </c>
      <c r="V82" s="545">
        <f>'POSF Inventory'!AK74*$D$6*'POSF Zone Def'!$AQ71</f>
        <v>0.48250617029999998</v>
      </c>
      <c r="W82" s="545">
        <f>'POSF Inventory'!AL74*$D$5*'POSF Zone Def'!$AQ71</f>
        <v>0</v>
      </c>
      <c r="X82" s="545">
        <f>'POSF Inventory'!AM74*$D$6*'POSF Zone Def'!$AQ71</f>
        <v>0</v>
      </c>
      <c r="Y82" s="545">
        <f>'POSF Inventory'!AN74*$D$5*'POSF Zone Def'!$AQ71</f>
        <v>0</v>
      </c>
      <c r="Z82" s="554">
        <f>'POSF Inventory'!AO74*$D$6*'POSF Zone Def'!$AQ71</f>
        <v>0.35741197799999996</v>
      </c>
      <c r="AA82" s="532">
        <f>'POSF Inventory'!AV74*'POSF Emiss by Zone'!$D$5*'POSF Zone Def'!$M71</f>
        <v>0</v>
      </c>
      <c r="AB82" s="532">
        <f>'POSF Inventory'!AW74*'POSF Emiss by Zone'!$D$6*'POSF Zone Def'!$M71</f>
        <v>0</v>
      </c>
      <c r="AC82" s="532">
        <f>'POSF Inventory'!AX74*'POSF Emiss by Zone'!$D$5*'POSF Zone Def'!$M71</f>
        <v>0</v>
      </c>
      <c r="AD82" s="532">
        <f>'POSF Inventory'!AY74*'POSF Emiss by Zone'!$D$6*'POSF Zone Def'!$M71</f>
        <v>0</v>
      </c>
      <c r="AE82" s="532">
        <f>'POSF Inventory'!AZ74*'POSF Emiss by Zone'!$D$5*'POSF Zone Def'!$M71</f>
        <v>0</v>
      </c>
      <c r="AF82" s="533">
        <f>'POSF Inventory'!BA74*'POSF Emiss by Zone'!$D$6*'POSF Zone Def'!$M71</f>
        <v>0</v>
      </c>
      <c r="AG82" s="545">
        <f>'POSF Inventory'!AV74*'POSF Emiss by Zone'!$D$5*'POSF Zone Def'!$N71</f>
        <v>0</v>
      </c>
      <c r="AH82" s="545">
        <f>'POSF Inventory'!AW74*'POSF Emiss by Zone'!$D$6*'POSF Zone Def'!$N71</f>
        <v>0</v>
      </c>
      <c r="AI82" s="545">
        <f>'POSF Inventory'!AX74*'POSF Emiss by Zone'!$D$5*'POSF Zone Def'!$N71</f>
        <v>0</v>
      </c>
      <c r="AJ82" s="545">
        <f>'POSF Inventory'!AY74*'POSF Emiss by Zone'!$D$6*'POSF Zone Def'!$N71</f>
        <v>0</v>
      </c>
      <c r="AK82" s="545">
        <f>'POSF Inventory'!AZ74*'POSF Emiss by Zone'!$D$5*'POSF Zone Def'!$N71</f>
        <v>0</v>
      </c>
      <c r="AL82" s="558">
        <f>'POSF Inventory'!BA74*'POSF Emiss by Zone'!$D$6*'POSF Zone Def'!$N71</f>
        <v>0</v>
      </c>
      <c r="AM82" s="532">
        <f>'POSF Inventory'!BB74*'POSF Emiss by Zone'!$D$5*'POSF Zone Def'!$AP71</f>
        <v>0</v>
      </c>
      <c r="AN82" s="532">
        <f>'POSF Inventory'!BC74*'POSF Emiss by Zone'!$D$6*'POSF Zone Def'!$AP71</f>
        <v>0</v>
      </c>
      <c r="AO82" s="532">
        <f>'POSF Inventory'!BD74*'POSF Emiss by Zone'!$D$5*'POSF Zone Def'!$AP71</f>
        <v>0</v>
      </c>
      <c r="AP82" s="532">
        <f>'POSF Inventory'!BE74*'POSF Emiss by Zone'!$D$6*'POSF Zone Def'!$AP71</f>
        <v>0.13785890580000001</v>
      </c>
      <c r="AQ82" s="532">
        <f>'POSF Inventory'!BF74*'POSF Emiss by Zone'!$D$5*'POSF Zone Def'!$AP71</f>
        <v>0</v>
      </c>
      <c r="AR82" s="533">
        <f>'POSF Inventory'!BG74*'POSF Emiss by Zone'!$D$6*'POSF Zone Def'!$AP71</f>
        <v>0.25529426999999999</v>
      </c>
      <c r="AS82" s="545">
        <f>'POSF Inventory'!BB74*'POSF Emiss by Zone'!$D$5*'POSF Zone Def'!$AQ71</f>
        <v>0</v>
      </c>
      <c r="AT82" s="545">
        <f>'POSF Inventory'!BC74*'POSF Emiss by Zone'!$D$6*'POSF Zone Def'!$AQ71</f>
        <v>0</v>
      </c>
      <c r="AU82" s="545">
        <f>'POSF Inventory'!BD74*'POSF Emiss by Zone'!$D$5*'POSF Zone Def'!$AQ71</f>
        <v>0</v>
      </c>
      <c r="AV82" s="545">
        <f>'POSF Inventory'!BE74*'POSF Emiss by Zone'!$D$6*'POSF Zone Def'!$AQ71</f>
        <v>0.32167078020000001</v>
      </c>
      <c r="AW82" s="545">
        <f>'POSF Inventory'!BF74*'POSF Emiss by Zone'!$D$5*'POSF Zone Def'!$AQ71</f>
        <v>0</v>
      </c>
      <c r="AX82" s="554">
        <f>'POSF Inventory'!BG74*'POSF Emiss by Zone'!$D$6*'POSF Zone Def'!$AQ71</f>
        <v>0.59568662999999988</v>
      </c>
      <c r="AY82" s="532">
        <f>'POSF Inventory'!EA74*'POSF Emiss by Zone'!$D$5*'POSF Zone Def'!$Y71</f>
        <v>0</v>
      </c>
      <c r="AZ82" s="532">
        <f>'POSF Inventory'!EB74*'POSF Emiss by Zone'!$D$6*'POSF Zone Def'!$Y71</f>
        <v>0</v>
      </c>
      <c r="BA82" s="532">
        <f>'POSF Inventory'!EC74*'POSF Emiss by Zone'!$D$5*'POSF Zone Def'!$Y71</f>
        <v>0</v>
      </c>
      <c r="BB82" s="532">
        <f>'POSF Inventory'!ED74*'POSF Emiss by Zone'!$D$6*'POSF Zone Def'!$Y71</f>
        <v>0</v>
      </c>
      <c r="BC82" s="532">
        <f>'POSF Inventory'!EE74*'POSF Emiss by Zone'!$D$5*'POSF Zone Def'!$Y71</f>
        <v>0</v>
      </c>
      <c r="BD82" s="533">
        <f>'POSF Inventory'!EF74*'POSF Emiss by Zone'!$D$6*'POSF Zone Def'!$Y71</f>
        <v>0</v>
      </c>
      <c r="BE82" s="545">
        <f>'POSF Inventory'!EA74*'POSF Emiss by Zone'!$D$5*'POSF Zone Def'!$Z71</f>
        <v>0</v>
      </c>
      <c r="BF82" s="545">
        <f>'POSF Inventory'!EB74*'POSF Emiss by Zone'!$D$6*'POSF Zone Def'!$Z71</f>
        <v>0</v>
      </c>
      <c r="BG82" s="545">
        <f>'POSF Inventory'!EC74*'POSF Emiss by Zone'!$D$5*'POSF Zone Def'!$Z71</f>
        <v>0</v>
      </c>
      <c r="BH82" s="545">
        <f>'POSF Inventory'!ED74*'POSF Emiss by Zone'!$D$6*'POSF Zone Def'!$Z71</f>
        <v>0</v>
      </c>
      <c r="BI82" s="545">
        <f>'POSF Inventory'!EE74*'POSF Emiss by Zone'!$D$5*'POSF Zone Def'!$Z71</f>
        <v>0</v>
      </c>
      <c r="BJ82" s="558">
        <f>'POSF Inventory'!EF74*'POSF Emiss by Zone'!$D$6*'POSF Zone Def'!$Z71</f>
        <v>0</v>
      </c>
      <c r="BK82" s="545">
        <f>'POSF Inventory'!$EA74*'POSF Emiss by Zone'!$D$5*'POSF Zone Def'!$AC71</f>
        <v>0</v>
      </c>
      <c r="BL82" s="545">
        <f>'POSF Inventory'!$EB74*'POSF Emiss by Zone'!$D$6*'POSF Zone Def'!$AC71</f>
        <v>0</v>
      </c>
      <c r="BM82" s="545">
        <f>'POSF Inventory'!$EC74*'POSF Emiss by Zone'!$D$5*'POSF Zone Def'!$AC71</f>
        <v>0</v>
      </c>
      <c r="BN82" s="545">
        <f>'POSF Inventory'!$ED74*'POSF Emiss by Zone'!$D$6*'POSF Zone Def'!$AC71</f>
        <v>0</v>
      </c>
      <c r="BO82" s="545">
        <f>'POSF Inventory'!$EE74*'POSF Emiss by Zone'!$D$5*'POSF Zone Def'!$AC71</f>
        <v>0</v>
      </c>
      <c r="BP82" s="558">
        <f>'POSF Inventory'!$EF74*'POSF Emiss by Zone'!$D$6*'POSF Zone Def'!$AC71</f>
        <v>0</v>
      </c>
      <c r="BQ82" s="532">
        <f>'POSF Inventory'!EG74*'POSF Emiss by Zone'!$D$5*'POSF Zone Def'!$BB71</f>
        <v>0</v>
      </c>
      <c r="BR82" s="532">
        <f>'POSF Inventory'!EH74*'POSF Emiss by Zone'!$D$6*'POSF Zone Def'!$BB71</f>
        <v>0</v>
      </c>
      <c r="BS82" s="532">
        <f>'POSF Inventory'!EI74*'POSF Emiss by Zone'!$D$5*'POSF Zone Def'!$BB71</f>
        <v>0</v>
      </c>
      <c r="BT82" s="532">
        <f>'POSF Inventory'!EJ74*'POSF Emiss by Zone'!$D$6*'POSF Zone Def'!$BB71</f>
        <v>4.8307368359249994</v>
      </c>
      <c r="BU82" s="532">
        <f>'POSF Inventory'!EK74*'POSF Emiss by Zone'!$D$5*'POSF Zone Def'!$BB71</f>
        <v>0</v>
      </c>
      <c r="BV82" s="533">
        <f>'POSF Inventory'!EL74*'POSF Emiss by Zone'!$D$6*'POSF Zone Def'!$BB71</f>
        <v>0</v>
      </c>
      <c r="BW82" s="545">
        <f>'POSF Inventory'!EG74*'POSF Emiss by Zone'!$D$5*'POSF Zone Def'!$BC71</f>
        <v>0</v>
      </c>
      <c r="BX82" s="545">
        <f>'POSF Inventory'!EH74*'POSF Emiss by Zone'!$D$6*'POSF Zone Def'!$BC71</f>
        <v>0</v>
      </c>
      <c r="BY82" s="545">
        <f>'POSF Inventory'!EI74*'POSF Emiss by Zone'!$D$5*'POSF Zone Def'!$BC71</f>
        <v>0</v>
      </c>
      <c r="BZ82" s="545">
        <f>'POSF Inventory'!EJ74*'POSF Emiss by Zone'!$D$6*'POSF Zone Def'!$BC71</f>
        <v>11.271719283824998</v>
      </c>
      <c r="CA82" s="545">
        <f>'POSF Inventory'!EK74*'POSF Emiss by Zone'!$D$5*'POSF Zone Def'!$BC71</f>
        <v>0</v>
      </c>
      <c r="CB82" s="554">
        <f>'POSF Inventory'!EL74*'POSF Emiss by Zone'!$D$6*'POSF Zone Def'!$BC71</f>
        <v>0</v>
      </c>
      <c r="CC82" s="532">
        <f>'POSF Inventory'!GC74*'POSF Emiss by Zone'!$D$7*'POSF Zone Def'!$M71</f>
        <v>0</v>
      </c>
      <c r="CD82" s="532">
        <f>'POSF Inventory'!GD74*'POSF Emiss by Zone'!$D$9*'POSF Zone Def'!$M71</f>
        <v>0</v>
      </c>
      <c r="CE82" s="532">
        <f>'POSF Inventory'!GE74*'POSF Emiss by Zone'!$D$7*'POSF Zone Def'!$M71</f>
        <v>0</v>
      </c>
      <c r="CF82" s="532">
        <f>'POSF Inventory'!GF74*'POSF Emiss by Zone'!$D$9*'POSF Zone Def'!$M71</f>
        <v>0</v>
      </c>
      <c r="CG82" s="532">
        <f>'POSF Inventory'!GG74*'POSF Emiss by Zone'!$D$7*'POSF Zone Def'!$M71</f>
        <v>0</v>
      </c>
      <c r="CH82" s="533">
        <f>'POSF Inventory'!GH74*'POSF Emiss by Zone'!$D$9*'POSF Zone Def'!$M71</f>
        <v>0</v>
      </c>
      <c r="CI82" s="545">
        <f>'POSF Inventory'!GC74*'POSF Emiss by Zone'!$D$7*'POSF Zone Def'!$N71</f>
        <v>0</v>
      </c>
      <c r="CJ82" s="545">
        <f>'POSF Inventory'!GD74*'POSF Emiss by Zone'!$D$9*'POSF Zone Def'!$N71</f>
        <v>0</v>
      </c>
      <c r="CK82" s="545">
        <f>'POSF Inventory'!GE74*'POSF Emiss by Zone'!$D$7*'POSF Zone Def'!$N71</f>
        <v>0</v>
      </c>
      <c r="CL82" s="545">
        <f>'POSF Inventory'!GF74*'POSF Emiss by Zone'!$D$9*'POSF Zone Def'!$N71</f>
        <v>0</v>
      </c>
      <c r="CM82" s="545">
        <f>'POSF Inventory'!GG74*'POSF Emiss by Zone'!$D$7*'POSF Zone Def'!$N71</f>
        <v>0</v>
      </c>
      <c r="CN82" s="558">
        <f>'POSF Inventory'!GH74*'POSF Emiss by Zone'!$D$9*'POSF Zone Def'!$N71</f>
        <v>0</v>
      </c>
      <c r="CO82" s="532">
        <f>'POSF Inventory'!GI74*'POSF Emiss by Zone'!$D$7*'POSF Zone Def'!$AP71</f>
        <v>0</v>
      </c>
      <c r="CP82" s="532">
        <f>'POSF Inventory'!GJ74*'POSF Emiss by Zone'!$D$9*'POSF Zone Def'!$AP71</f>
        <v>1.1923779600000004E-3</v>
      </c>
      <c r="CQ82" s="532">
        <f>'POSF Inventory'!GK74*'POSF Emiss by Zone'!$D$7*'POSF Zone Def'!$AP71</f>
        <v>0</v>
      </c>
      <c r="CR82" s="532">
        <f>'POSF Inventory'!GL74*'POSF Emiss by Zone'!$D$9*'POSF Zone Def'!$AP71</f>
        <v>1.7885669400000002E-2</v>
      </c>
      <c r="CS82" s="532">
        <f>'POSF Inventory'!GM74*'POSF Emiss by Zone'!$D$7*'POSF Zone Def'!$AP71</f>
        <v>0</v>
      </c>
      <c r="CT82" s="533">
        <f>'POSF Inventory'!GN74*'POSF Emiss by Zone'!$D$9*'POSF Zone Def'!$AP71</f>
        <v>0.26232315119999999</v>
      </c>
      <c r="CU82" s="545">
        <f>'POSF Inventory'!GI74*'POSF Emiss by Zone'!$D$7*'POSF Zone Def'!$AQ71</f>
        <v>0</v>
      </c>
      <c r="CV82" s="545">
        <f>'POSF Inventory'!GJ74*'POSF Emiss by Zone'!$D$9*'POSF Zone Def'!$AQ71</f>
        <v>2.7822152400000006E-3</v>
      </c>
      <c r="CW82" s="545">
        <f>'POSF Inventory'!GK74*'POSF Emiss by Zone'!$D$7*'POSF Zone Def'!$AQ71</f>
        <v>0</v>
      </c>
      <c r="CX82" s="545">
        <f>'POSF Inventory'!GL74*'POSF Emiss by Zone'!$D$9*'POSF Zone Def'!$AQ71</f>
        <v>4.1733228599999998E-2</v>
      </c>
      <c r="CY82" s="545">
        <f>'POSF Inventory'!GM74*'POSF Emiss by Zone'!$D$7*'POSF Zone Def'!$AQ71</f>
        <v>0</v>
      </c>
      <c r="CZ82" s="554">
        <f>'POSF Inventory'!GN74*'POSF Emiss by Zone'!$D$9*'POSF Zone Def'!$AQ71</f>
        <v>0.61208735280000004</v>
      </c>
      <c r="DA82" s="532">
        <f>SUM('POSF Inventory'!GQ74,'POSF Inventory'!GS74)*'POSF Emiss by Zone'!$D$7*'POSF Zone Def'!$Y71</f>
        <v>0</v>
      </c>
      <c r="DB82" s="532">
        <f>SUM('POSF Inventory'!GR74,'POSF Inventory'!GT74)*'POSF Emiss by Zone'!$D$9*'POSF Zone Def'!$Y71</f>
        <v>0</v>
      </c>
      <c r="DC82" s="532"/>
      <c r="DD82" s="532"/>
      <c r="DE82" s="532">
        <f>'POSF Inventory'!GU74*'POSF Emiss by Zone'!$D$7*'POSF Zone Def'!$Y71</f>
        <v>0</v>
      </c>
      <c r="DF82" s="533">
        <f>'POSF Inventory'!GV74*'POSF Emiss by Zone'!$D$9*'POSF Zone Def'!$Y71</f>
        <v>0</v>
      </c>
      <c r="DG82" s="545">
        <f>SUM('POSF Inventory'!GQ74,'POSF Inventory'!GS74)*'POSF Emiss by Zone'!$D$7*'POSF Zone Def'!$Z71</f>
        <v>0</v>
      </c>
      <c r="DH82" s="545">
        <f>SUM('POSF Inventory'!GR74,'POSF Inventory'!GT74)*'POSF Emiss by Zone'!$D$9*'POSF Zone Def'!$Z71</f>
        <v>0</v>
      </c>
      <c r="DI82" s="545"/>
      <c r="DJ82" s="545"/>
      <c r="DK82" s="545">
        <f>'POSF Inventory'!GU74*'POSF Emiss by Zone'!$D$7*'POSF Zone Def'!$Z71</f>
        <v>0</v>
      </c>
      <c r="DL82" s="558">
        <f>'POSF Inventory'!GV74*'POSF Emiss by Zone'!$D$9*'POSF Zone Def'!$Z71</f>
        <v>0</v>
      </c>
      <c r="DM82" s="545">
        <f>SUM('POSF Inventory'!$GQ74,'POSF Inventory'!$GS74)*'POSF Emiss by Zone'!$D$7*'POSF Zone Def'!$AC71</f>
        <v>0</v>
      </c>
      <c r="DN82" s="545">
        <f>SUM('POSF Inventory'!$GR74,'POSF Inventory'!$GT74)*'POSF Emiss by Zone'!$D$9*'POSF Zone Def'!$AC71</f>
        <v>0</v>
      </c>
      <c r="DO82" s="545"/>
      <c r="DP82" s="545"/>
      <c r="DQ82" s="545">
        <f>'POSF Inventory'!$GU74*'POSF Emiss by Zone'!$D$7*'POSF Zone Def'!$AC71</f>
        <v>0</v>
      </c>
      <c r="DR82" s="558">
        <f>'POSF Inventory'!$GV74*'POSF Emiss by Zone'!$D$9*'POSF Zone Def'!$AC71</f>
        <v>0</v>
      </c>
      <c r="DS82" s="532">
        <f>SUM('POSF Inventory'!GW74,'POSF Inventory'!GY74)*$D$7*'POSF Zone Def'!$BB71</f>
        <v>0</v>
      </c>
      <c r="DT82" s="532">
        <f>SUM('POSF Inventory'!GX74,'POSF Inventory'!GZ74)*$D$9*'POSF Zone Def'!$BB71</f>
        <v>2.9074631046877495</v>
      </c>
      <c r="DU82" s="532"/>
      <c r="DV82" s="532"/>
      <c r="DW82" s="532">
        <f>'POSF Inventory'!HA74*'POSF Emiss by Zone'!$D$7*'POSF Zone Def'!$BB71</f>
        <v>0</v>
      </c>
      <c r="DX82" s="533">
        <f>'POSF Inventory'!HB74*'POSF Emiss by Zone'!$D$9*'POSF Zone Def'!$BB71</f>
        <v>0</v>
      </c>
      <c r="DY82" s="545">
        <f>SUM('POSF Inventory'!GW74,'POSF Inventory'!GY74)*$D$7*'POSF Zone Def'!$BC71</f>
        <v>0</v>
      </c>
      <c r="DZ82" s="545">
        <f>SUM('POSF Inventory'!GX74,'POSF Inventory'!GZ74)*$D$9*'POSF Zone Def'!$BC71</f>
        <v>6.7840805776047493</v>
      </c>
      <c r="EA82" s="545"/>
      <c r="EB82" s="545"/>
      <c r="EC82" s="545">
        <f>'POSF Inventory'!HA74*'POSF Emiss by Zone'!$D$7*'POSF Zone Def'!$BC71</f>
        <v>0</v>
      </c>
      <c r="ED82" s="554">
        <f>'POSF Inventory'!HB74*'POSF Emiss by Zone'!$D$9*'POSF Zone Def'!$BC71</f>
        <v>0</v>
      </c>
      <c r="EE82" s="575">
        <f>'POSF Inventory'!$CF74*'POSF Emiss by Zone'!$D$7*'POSF Zone Def'!$CE71</f>
        <v>0</v>
      </c>
      <c r="EF82" s="575">
        <f>'POSF Inventory'!$CG74*'POSF Emiss by Zone'!$D$9*'POSF Zone Def'!$CE71</f>
        <v>0</v>
      </c>
      <c r="EG82" s="575">
        <f>'POSF Inventory'!$CH74*'POSF Emiss by Zone'!$D$7*'POSF Zone Def'!$CE71</f>
        <v>0</v>
      </c>
      <c r="EH82" s="575">
        <f>'POSF Inventory'!$CI74*'POSF Emiss by Zone'!$D$9*'POSF Zone Def'!$CE71</f>
        <v>0</v>
      </c>
      <c r="EI82" s="575">
        <f>'POSF Inventory'!$CJ74*'POSF Emiss by Zone'!$D$7*'POSF Zone Def'!$CE71</f>
        <v>0</v>
      </c>
      <c r="EJ82" s="582">
        <f>'POSF Inventory'!$CK74*'POSF Emiss by Zone'!$D$9*'POSF Zone Def'!$CE71</f>
        <v>0</v>
      </c>
      <c r="EK82" s="575">
        <f>'POSF Inventory'!$CF74*'POSF Emiss by Zone'!$D$7*'POSF Zone Def'!$CF71</f>
        <v>0</v>
      </c>
      <c r="EL82" s="575">
        <f>'POSF Inventory'!$CG74*'POSF Emiss by Zone'!$D$9*'POSF Zone Def'!$CF71</f>
        <v>0</v>
      </c>
      <c r="EM82" s="575">
        <f>'POSF Inventory'!$CH74*'POSF Emiss by Zone'!$D$7*'POSF Zone Def'!$CF71</f>
        <v>0</v>
      </c>
      <c r="EN82" s="575">
        <f>'POSF Inventory'!$CI74*'POSF Emiss by Zone'!$D$9*'POSF Zone Def'!$CF71</f>
        <v>0</v>
      </c>
      <c r="EO82" s="575">
        <f>'POSF Inventory'!$CJ74*'POSF Emiss by Zone'!$D$7*'POSF Zone Def'!$CF71</f>
        <v>0</v>
      </c>
      <c r="EP82" s="582">
        <f>'POSF Inventory'!$CK74*'POSF Emiss by Zone'!$D$9*'POSF Zone Def'!$CF71</f>
        <v>0</v>
      </c>
      <c r="EQ82" s="575">
        <f>'POSF Inventory'!$CF74*'POSF Emiss by Zone'!$D$7*'POSF Zone Def'!$CG71</f>
        <v>0</v>
      </c>
      <c r="ER82" s="575">
        <f>'POSF Inventory'!$CG74*'POSF Emiss by Zone'!$D$9*'POSF Zone Def'!$CG71</f>
        <v>1.0677986728951161E-4</v>
      </c>
      <c r="ES82" s="575">
        <f>'POSF Inventory'!$CH74*'POSF Emiss by Zone'!$D$7*'POSF Zone Def'!$CG71</f>
        <v>0</v>
      </c>
      <c r="ET82" s="575">
        <f>'POSF Inventory'!$CI74*'POSF Emiss by Zone'!$D$9*'POSF Zone Def'!$CG71</f>
        <v>0</v>
      </c>
      <c r="EU82" s="575">
        <f>'POSF Inventory'!$CJ74*'POSF Emiss by Zone'!$D$7*'POSF Zone Def'!$CG71</f>
        <v>0</v>
      </c>
      <c r="EV82" s="582">
        <f>'POSF Inventory'!$CK74*'POSF Emiss by Zone'!$D$9*'POSF Zone Def'!$CG71</f>
        <v>9.6101880560560458E-4</v>
      </c>
      <c r="EW82" s="575">
        <f>'POSF Inventory'!$CF74*'POSF Emiss by Zone'!$D$7*'POSF Zone Def'!$CH71</f>
        <v>0</v>
      </c>
      <c r="EX82" s="575">
        <f>'POSF Inventory'!$CG74*'POSF Emiss by Zone'!$D$9*'POSF Zone Def'!$CH71</f>
        <v>1.6768323577908004</v>
      </c>
      <c r="EY82" s="575">
        <f>'POSF Inventory'!$CH74*'POSF Emiss by Zone'!$D$7*'POSF Zone Def'!$CH71</f>
        <v>0</v>
      </c>
      <c r="EZ82" s="575">
        <f>'POSF Inventory'!$CI74*'POSF Emiss by Zone'!$D$9*'POSF Zone Def'!$CH71</f>
        <v>0</v>
      </c>
      <c r="FA82" s="575">
        <f>'POSF Inventory'!$CJ74*'POSF Emiss by Zone'!$D$7*'POSF Zone Def'!$CH71</f>
        <v>0</v>
      </c>
      <c r="FB82" s="582">
        <f>'POSF Inventory'!$CK74*'POSF Emiss by Zone'!$D$9*'POSF Zone Def'!$CH71</f>
        <v>15.091491220117206</v>
      </c>
      <c r="FC82" s="575">
        <f>'POSF Inventory'!$CF74*'POSF Emiss by Zone'!$D$7*'POSF Zone Def'!$CI71</f>
        <v>0</v>
      </c>
      <c r="FD82" s="575">
        <f>'POSF Inventory'!$CG74*'POSF Emiss by Zone'!$D$9*'POSF Zone Def'!$CI71</f>
        <v>2.2497172323419106</v>
      </c>
      <c r="FE82" s="575">
        <f>'POSF Inventory'!$CH74*'POSF Emiss by Zone'!$D$7*'POSF Zone Def'!$CI71</f>
        <v>0</v>
      </c>
      <c r="FF82" s="575">
        <f>'POSF Inventory'!$CI74*'POSF Emiss by Zone'!$D$9*'POSF Zone Def'!$CI71</f>
        <v>0</v>
      </c>
      <c r="FG82" s="575">
        <f>'POSF Inventory'!$CJ74*'POSF Emiss by Zone'!$D$7*'POSF Zone Def'!$CI71</f>
        <v>0</v>
      </c>
      <c r="FH82" s="579">
        <f>'POSF Inventory'!$CK74*'POSF Emiss by Zone'!$D$9*'POSF Zone Def'!$CI71</f>
        <v>20.2474550910772</v>
      </c>
      <c r="FI82" s="595"/>
      <c r="FJ82" s="595"/>
      <c r="FM82" s="592">
        <v>65</v>
      </c>
      <c r="FN82" s="592">
        <f t="shared" si="98"/>
        <v>2019</v>
      </c>
      <c r="FO82" s="587">
        <v>62</v>
      </c>
      <c r="FP82" s="576">
        <f t="shared" si="20"/>
        <v>0</v>
      </c>
      <c r="FQ82" s="532">
        <f t="shared" si="21"/>
        <v>0.20678835869999998</v>
      </c>
      <c r="FR82" s="532">
        <f t="shared" si="22"/>
        <v>0</v>
      </c>
      <c r="FS82" s="532">
        <f t="shared" si="23"/>
        <v>0</v>
      </c>
      <c r="FT82" s="532">
        <f t="shared" si="24"/>
        <v>0</v>
      </c>
      <c r="FU82" s="533">
        <f t="shared" si="25"/>
        <v>0.15317656199999999</v>
      </c>
      <c r="FV82" s="545">
        <f t="shared" si="26"/>
        <v>0</v>
      </c>
      <c r="FW82" s="545">
        <f t="shared" si="27"/>
        <v>0.48250617029999998</v>
      </c>
      <c r="FX82" s="545">
        <f t="shared" si="28"/>
        <v>0</v>
      </c>
      <c r="FY82" s="545">
        <f t="shared" si="29"/>
        <v>0</v>
      </c>
      <c r="FZ82" s="545">
        <f t="shared" si="30"/>
        <v>0</v>
      </c>
      <c r="GA82" s="554">
        <f t="shared" si="31"/>
        <v>0.35741197799999996</v>
      </c>
      <c r="GB82" s="532">
        <f t="shared" si="32"/>
        <v>0</v>
      </c>
      <c r="GC82" s="532">
        <f t="shared" si="33"/>
        <v>0</v>
      </c>
      <c r="GD82" s="532">
        <f t="shared" si="34"/>
        <v>0</v>
      </c>
      <c r="GE82" s="532">
        <f t="shared" si="35"/>
        <v>4.948800539566732</v>
      </c>
      <c r="GF82" s="532">
        <f t="shared" si="36"/>
        <v>0</v>
      </c>
      <c r="GG82" s="533">
        <f t="shared" si="37"/>
        <v>0.25427716135458167</v>
      </c>
      <c r="GH82" s="545">
        <f t="shared" si="38"/>
        <v>0</v>
      </c>
      <c r="GI82" s="545">
        <f t="shared" si="39"/>
        <v>0</v>
      </c>
      <c r="GJ82" s="545">
        <f t="shared" si="40"/>
        <v>0</v>
      </c>
      <c r="GK82" s="545">
        <f t="shared" si="41"/>
        <v>11.547201258989041</v>
      </c>
      <c r="GL82" s="545">
        <f t="shared" si="42"/>
        <v>0</v>
      </c>
      <c r="GM82" s="545">
        <f t="shared" si="43"/>
        <v>0.59331337649402383</v>
      </c>
      <c r="GN82" s="545">
        <f t="shared" si="44"/>
        <v>0</v>
      </c>
      <c r="GO82" s="545">
        <f t="shared" si="45"/>
        <v>0</v>
      </c>
      <c r="GP82" s="545">
        <f t="shared" si="46"/>
        <v>0</v>
      </c>
      <c r="GQ82" s="545">
        <f t="shared" si="47"/>
        <v>0</v>
      </c>
      <c r="GR82" s="545">
        <f t="shared" si="48"/>
        <v>0</v>
      </c>
      <c r="GS82" s="554">
        <f t="shared" si="49"/>
        <v>0</v>
      </c>
      <c r="GT82" s="532">
        <f t="shared" si="50"/>
        <v>0</v>
      </c>
      <c r="GU82" s="532">
        <f t="shared" si="51"/>
        <v>6.0258998046885642E-2</v>
      </c>
      <c r="GV82" s="532">
        <f t="shared" si="52"/>
        <v>0</v>
      </c>
      <c r="GW82" s="532">
        <f t="shared" si="53"/>
        <v>3.7053976446215143E-4</v>
      </c>
      <c r="GX82" s="532">
        <f t="shared" si="54"/>
        <v>0</v>
      </c>
      <c r="GY82" s="533">
        <f t="shared" si="55"/>
        <v>5.4345832121115529E-3</v>
      </c>
      <c r="GZ82" s="545">
        <f t="shared" si="56"/>
        <v>0</v>
      </c>
      <c r="HA82" s="545">
        <f t="shared" si="57"/>
        <v>0.14060432877606652</v>
      </c>
      <c r="HB82" s="545">
        <f t="shared" si="58"/>
        <v>0</v>
      </c>
      <c r="HC82" s="545">
        <f t="shared" si="59"/>
        <v>8.6459278374501991E-4</v>
      </c>
      <c r="HD82" s="545">
        <f t="shared" si="60"/>
        <v>0</v>
      </c>
      <c r="HE82" s="558">
        <f t="shared" si="61"/>
        <v>1.2680694161593625E-2</v>
      </c>
      <c r="HF82" s="575">
        <f t="shared" si="62"/>
        <v>0</v>
      </c>
      <c r="HG82" s="575">
        <f t="shared" si="63"/>
        <v>1.1060862747120724E-4</v>
      </c>
      <c r="HH82" s="575">
        <f t="shared" si="64"/>
        <v>0</v>
      </c>
      <c r="HI82" s="575">
        <f t="shared" si="65"/>
        <v>0</v>
      </c>
      <c r="HJ82" s="575">
        <f t="shared" si="66"/>
        <v>0</v>
      </c>
      <c r="HK82" s="582">
        <f t="shared" si="67"/>
        <v>9.9547764724086532E-4</v>
      </c>
      <c r="HL82" s="575">
        <f t="shared" si="68"/>
        <v>0</v>
      </c>
      <c r="HM82" s="575">
        <f t="shared" si="69"/>
        <v>1.7369578208191558</v>
      </c>
      <c r="HN82" s="575">
        <f t="shared" si="70"/>
        <v>0</v>
      </c>
      <c r="HO82" s="575">
        <f t="shared" si="71"/>
        <v>0</v>
      </c>
      <c r="HP82" s="575">
        <f t="shared" si="72"/>
        <v>0</v>
      </c>
      <c r="HQ82" s="582">
        <f t="shared" si="73"/>
        <v>15.632620387372404</v>
      </c>
      <c r="HR82" s="575">
        <f t="shared" si="74"/>
        <v>0</v>
      </c>
      <c r="HS82" s="575">
        <f t="shared" si="75"/>
        <v>2.3303843840991902</v>
      </c>
      <c r="HT82" s="575">
        <f t="shared" si="76"/>
        <v>0</v>
      </c>
      <c r="HU82" s="575">
        <f t="shared" si="77"/>
        <v>0</v>
      </c>
      <c r="HV82" s="575">
        <f t="shared" si="78"/>
        <v>0</v>
      </c>
      <c r="HW82" s="579">
        <f t="shared" si="79"/>
        <v>20.973459456892716</v>
      </c>
      <c r="HX82" s="575">
        <f t="shared" si="80"/>
        <v>0</v>
      </c>
      <c r="HY82" s="575">
        <f t="shared" si="81"/>
        <v>3.2025339808148683</v>
      </c>
      <c r="HZ82" s="575">
        <f t="shared" si="82"/>
        <v>0</v>
      </c>
      <c r="IA82" s="575">
        <f t="shared" si="83"/>
        <v>1.9692763328223107E-2</v>
      </c>
      <c r="IB82" s="575">
        <f t="shared" si="84"/>
        <v>0</v>
      </c>
      <c r="IC82" s="575">
        <f t="shared" si="85"/>
        <v>0.28882719548060554</v>
      </c>
      <c r="ID82" s="575">
        <f t="shared" si="86"/>
        <v>0</v>
      </c>
      <c r="IE82" s="575">
        <f t="shared" si="87"/>
        <v>7.472579288568026</v>
      </c>
      <c r="IF82" s="575">
        <f t="shared" si="88"/>
        <v>0</v>
      </c>
      <c r="IG82" s="575">
        <f t="shared" si="89"/>
        <v>4.5949781099187244E-2</v>
      </c>
      <c r="IH82" s="575">
        <f t="shared" si="90"/>
        <v>0</v>
      </c>
      <c r="II82" s="575">
        <f t="shared" si="91"/>
        <v>0.67393012278807962</v>
      </c>
      <c r="IJ82" s="575">
        <f t="shared" si="92"/>
        <v>0</v>
      </c>
      <c r="IK82" s="575">
        <f t="shared" si="93"/>
        <v>0</v>
      </c>
      <c r="IL82" s="575">
        <f t="shared" si="94"/>
        <v>0</v>
      </c>
      <c r="IM82" s="575">
        <f t="shared" si="95"/>
        <v>0</v>
      </c>
      <c r="IN82" s="575">
        <f t="shared" si="96"/>
        <v>0</v>
      </c>
      <c r="IO82" s="575">
        <f t="shared" si="97"/>
        <v>0</v>
      </c>
    </row>
    <row r="83" spans="1:249" ht="18" x14ac:dyDescent="0.25">
      <c r="A83" s="12">
        <v>2020</v>
      </c>
      <c r="B83" s="564"/>
      <c r="C83" s="532">
        <f>'POSF Inventory'!AD75*$D$5*'POSF Zone Def'!$M72</f>
        <v>0</v>
      </c>
      <c r="D83" s="532">
        <f>'POSF Inventory'!AE75*$D$6*'POSF Zone Def'!$M72</f>
        <v>0</v>
      </c>
      <c r="E83" s="532">
        <f>'POSF Inventory'!AF75*$D$5*'POSF Zone Def'!$M72</f>
        <v>0</v>
      </c>
      <c r="F83" s="532">
        <f>'POSF Inventory'!AG75*$D$6*'POSF Zone Def'!$M72</f>
        <v>0</v>
      </c>
      <c r="G83" s="532">
        <f>'POSF Inventory'!AH75*$D$5*'POSF Zone Def'!$M72</f>
        <v>0</v>
      </c>
      <c r="H83" s="533">
        <f>'POSF Inventory'!AI75*$D$6*'POSF Zone Def'!$M72</f>
        <v>0</v>
      </c>
      <c r="I83" s="545">
        <f>'POSF Inventory'!AD75*$D$5*'POSF Zone Def'!$N72</f>
        <v>0</v>
      </c>
      <c r="J83" s="545">
        <f>'POSF Inventory'!AE75*$D$6*'POSF Zone Def'!$N72</f>
        <v>0</v>
      </c>
      <c r="K83" s="545">
        <f>'POSF Inventory'!AF75*$D$5*'POSF Zone Def'!$N72</f>
        <v>0</v>
      </c>
      <c r="L83" s="545">
        <f>'POSF Inventory'!AG75*$D$6*'POSF Zone Def'!$N72</f>
        <v>0</v>
      </c>
      <c r="M83" s="545">
        <f>'POSF Inventory'!AH75*$D$5*'POSF Zone Def'!$N72</f>
        <v>0</v>
      </c>
      <c r="N83" s="558">
        <f>'POSF Inventory'!AI75*$D$6*'POSF Zone Def'!$N72</f>
        <v>0</v>
      </c>
      <c r="O83" s="532">
        <f>'POSF Inventory'!AJ75*$D$5*'POSF Zone Def'!$AP72</f>
        <v>0</v>
      </c>
      <c r="P83" s="532">
        <f>'POSF Inventory'!AK75*$D$6*'POSF Zone Def'!$AP72</f>
        <v>0.17232363224999997</v>
      </c>
      <c r="Q83" s="532">
        <f>'POSF Inventory'!AL75*$D$5*'POSF Zone Def'!$AP72</f>
        <v>0</v>
      </c>
      <c r="R83" s="532">
        <f>'POSF Inventory'!AM75*$D$6*'POSF Zone Def'!$AP72</f>
        <v>0</v>
      </c>
      <c r="S83" s="532">
        <f>'POSF Inventory'!AN75*$D$5*'POSF Zone Def'!$AP72</f>
        <v>0</v>
      </c>
      <c r="T83" s="533">
        <f>'POSF Inventory'!AO75*$D$6*'POSF Zone Def'!$AP72</f>
        <v>0.12764713499999999</v>
      </c>
      <c r="U83" s="545">
        <f>'POSF Inventory'!AJ75*$D$5*'POSF Zone Def'!$AQ72</f>
        <v>0</v>
      </c>
      <c r="V83" s="545">
        <f>'POSF Inventory'!AK75*$D$6*'POSF Zone Def'!$AQ72</f>
        <v>0.40208847524999991</v>
      </c>
      <c r="W83" s="545">
        <f>'POSF Inventory'!AL75*$D$5*'POSF Zone Def'!$AQ72</f>
        <v>0</v>
      </c>
      <c r="X83" s="545">
        <f>'POSF Inventory'!AM75*$D$6*'POSF Zone Def'!$AQ72</f>
        <v>0</v>
      </c>
      <c r="Y83" s="545">
        <f>'POSF Inventory'!AN75*$D$5*'POSF Zone Def'!$AQ72</f>
        <v>0</v>
      </c>
      <c r="Z83" s="554">
        <f>'POSF Inventory'!AO75*$D$6*'POSF Zone Def'!$AQ72</f>
        <v>0.29784331499999994</v>
      </c>
      <c r="AA83" s="532">
        <f>'POSF Inventory'!AV75*'POSF Emiss by Zone'!$D$5*'POSF Zone Def'!$M72</f>
        <v>0</v>
      </c>
      <c r="AB83" s="532">
        <f>'POSF Inventory'!AW75*'POSF Emiss by Zone'!$D$6*'POSF Zone Def'!$M72</f>
        <v>0</v>
      </c>
      <c r="AC83" s="532">
        <f>'POSF Inventory'!AX75*'POSF Emiss by Zone'!$D$5*'POSF Zone Def'!$M72</f>
        <v>0</v>
      </c>
      <c r="AD83" s="532">
        <f>'POSF Inventory'!AY75*'POSF Emiss by Zone'!$D$6*'POSF Zone Def'!$M72</f>
        <v>0</v>
      </c>
      <c r="AE83" s="532">
        <f>'POSF Inventory'!AZ75*'POSF Emiss by Zone'!$D$5*'POSF Zone Def'!$M72</f>
        <v>0</v>
      </c>
      <c r="AF83" s="533">
        <f>'POSF Inventory'!BA75*'POSF Emiss by Zone'!$D$6*'POSF Zone Def'!$M72</f>
        <v>0</v>
      </c>
      <c r="AG83" s="545">
        <f>'POSF Inventory'!AV75*'POSF Emiss by Zone'!$D$5*'POSF Zone Def'!$N72</f>
        <v>0</v>
      </c>
      <c r="AH83" s="545">
        <f>'POSF Inventory'!AW75*'POSF Emiss by Zone'!$D$6*'POSF Zone Def'!$N72</f>
        <v>0</v>
      </c>
      <c r="AI83" s="545">
        <f>'POSF Inventory'!AX75*'POSF Emiss by Zone'!$D$5*'POSF Zone Def'!$N72</f>
        <v>0</v>
      </c>
      <c r="AJ83" s="545">
        <f>'POSF Inventory'!AY75*'POSF Emiss by Zone'!$D$6*'POSF Zone Def'!$N72</f>
        <v>0</v>
      </c>
      <c r="AK83" s="545">
        <f>'POSF Inventory'!AZ75*'POSF Emiss by Zone'!$D$5*'POSF Zone Def'!$N72</f>
        <v>0</v>
      </c>
      <c r="AL83" s="558">
        <f>'POSF Inventory'!BA75*'POSF Emiss by Zone'!$D$6*'POSF Zone Def'!$N72</f>
        <v>0</v>
      </c>
      <c r="AM83" s="532">
        <f>'POSF Inventory'!BB75*'POSF Emiss by Zone'!$D$5*'POSF Zone Def'!$AP72</f>
        <v>0</v>
      </c>
      <c r="AN83" s="532">
        <f>'POSF Inventory'!BC75*'POSF Emiss by Zone'!$D$6*'POSF Zone Def'!$AP72</f>
        <v>0</v>
      </c>
      <c r="AO83" s="532">
        <f>'POSF Inventory'!BD75*'POSF Emiss by Zone'!$D$5*'POSF Zone Def'!$AP72</f>
        <v>0</v>
      </c>
      <c r="AP83" s="532">
        <f>'POSF Inventory'!BE75*'POSF Emiss by Zone'!$D$6*'POSF Zone Def'!$AP72</f>
        <v>0.11488242149999998</v>
      </c>
      <c r="AQ83" s="532">
        <f>'POSF Inventory'!BF75*'POSF Emiss by Zone'!$D$5*'POSF Zone Def'!$AP72</f>
        <v>0</v>
      </c>
      <c r="AR83" s="533">
        <f>'POSF Inventory'!BG75*'POSF Emiss by Zone'!$D$6*'POSF Zone Def'!$AP72</f>
        <v>0.21274522499999998</v>
      </c>
      <c r="AS83" s="545">
        <f>'POSF Inventory'!BB75*'POSF Emiss by Zone'!$D$5*'POSF Zone Def'!$AQ72</f>
        <v>0</v>
      </c>
      <c r="AT83" s="545">
        <f>'POSF Inventory'!BC75*'POSF Emiss by Zone'!$D$6*'POSF Zone Def'!$AQ72</f>
        <v>0</v>
      </c>
      <c r="AU83" s="545">
        <f>'POSF Inventory'!BD75*'POSF Emiss by Zone'!$D$5*'POSF Zone Def'!$AQ72</f>
        <v>0</v>
      </c>
      <c r="AV83" s="545">
        <f>'POSF Inventory'!BE75*'POSF Emiss by Zone'!$D$6*'POSF Zone Def'!$AQ72</f>
        <v>0.26805898349999996</v>
      </c>
      <c r="AW83" s="545">
        <f>'POSF Inventory'!BF75*'POSF Emiss by Zone'!$D$5*'POSF Zone Def'!$AQ72</f>
        <v>0</v>
      </c>
      <c r="AX83" s="554">
        <f>'POSF Inventory'!BG75*'POSF Emiss by Zone'!$D$6*'POSF Zone Def'!$AQ72</f>
        <v>0.4964055249999999</v>
      </c>
      <c r="AY83" s="532">
        <f>'POSF Inventory'!EA75*'POSF Emiss by Zone'!$D$5*'POSF Zone Def'!$Y72</f>
        <v>0</v>
      </c>
      <c r="AZ83" s="532">
        <f>'POSF Inventory'!EB75*'POSF Emiss by Zone'!$D$6*'POSF Zone Def'!$Y72</f>
        <v>0</v>
      </c>
      <c r="BA83" s="532">
        <f>'POSF Inventory'!EC75*'POSF Emiss by Zone'!$D$5*'POSF Zone Def'!$Y72</f>
        <v>0</v>
      </c>
      <c r="BB83" s="532">
        <f>'POSF Inventory'!ED75*'POSF Emiss by Zone'!$D$6*'POSF Zone Def'!$Y72</f>
        <v>0</v>
      </c>
      <c r="BC83" s="532">
        <f>'POSF Inventory'!EE75*'POSF Emiss by Zone'!$D$5*'POSF Zone Def'!$Y72</f>
        <v>0</v>
      </c>
      <c r="BD83" s="533">
        <f>'POSF Inventory'!EF75*'POSF Emiss by Zone'!$D$6*'POSF Zone Def'!$Y72</f>
        <v>0</v>
      </c>
      <c r="BE83" s="545">
        <f>'POSF Inventory'!EA75*'POSF Emiss by Zone'!$D$5*'POSF Zone Def'!$Z72</f>
        <v>0</v>
      </c>
      <c r="BF83" s="545">
        <f>'POSF Inventory'!EB75*'POSF Emiss by Zone'!$D$6*'POSF Zone Def'!$Z72</f>
        <v>0</v>
      </c>
      <c r="BG83" s="545">
        <f>'POSF Inventory'!EC75*'POSF Emiss by Zone'!$D$5*'POSF Zone Def'!$Z72</f>
        <v>0</v>
      </c>
      <c r="BH83" s="545">
        <f>'POSF Inventory'!ED75*'POSF Emiss by Zone'!$D$6*'POSF Zone Def'!$Z72</f>
        <v>0</v>
      </c>
      <c r="BI83" s="545">
        <f>'POSF Inventory'!EE75*'POSF Emiss by Zone'!$D$5*'POSF Zone Def'!$Z72</f>
        <v>0</v>
      </c>
      <c r="BJ83" s="558">
        <f>'POSF Inventory'!EF75*'POSF Emiss by Zone'!$D$6*'POSF Zone Def'!$Z72</f>
        <v>0</v>
      </c>
      <c r="BK83" s="545">
        <f>'POSF Inventory'!$EA75*'POSF Emiss by Zone'!$D$5*'POSF Zone Def'!$AC72</f>
        <v>0</v>
      </c>
      <c r="BL83" s="545">
        <f>'POSF Inventory'!$EB75*'POSF Emiss by Zone'!$D$6*'POSF Zone Def'!$AC72</f>
        <v>0</v>
      </c>
      <c r="BM83" s="545">
        <f>'POSF Inventory'!$EC75*'POSF Emiss by Zone'!$D$5*'POSF Zone Def'!$AC72</f>
        <v>0</v>
      </c>
      <c r="BN83" s="545">
        <f>'POSF Inventory'!$ED75*'POSF Emiss by Zone'!$D$6*'POSF Zone Def'!$AC72</f>
        <v>0</v>
      </c>
      <c r="BO83" s="545">
        <f>'POSF Inventory'!$EE75*'POSF Emiss by Zone'!$D$5*'POSF Zone Def'!$AC72</f>
        <v>0</v>
      </c>
      <c r="BP83" s="558">
        <f>'POSF Inventory'!$EF75*'POSF Emiss by Zone'!$D$6*'POSF Zone Def'!$AC72</f>
        <v>0</v>
      </c>
      <c r="BQ83" s="532">
        <f>'POSF Inventory'!EG75*'POSF Emiss by Zone'!$D$5*'POSF Zone Def'!$BB72</f>
        <v>0</v>
      </c>
      <c r="BR83" s="532">
        <f>'POSF Inventory'!EH75*'POSF Emiss by Zone'!$D$6*'POSF Zone Def'!$BB72</f>
        <v>0</v>
      </c>
      <c r="BS83" s="532">
        <f>'POSF Inventory'!EI75*'POSF Emiss by Zone'!$D$5*'POSF Zone Def'!$BB72</f>
        <v>0</v>
      </c>
      <c r="BT83" s="532">
        <f>'POSF Inventory'!EJ75*'POSF Emiss by Zone'!$D$6*'POSF Zone Def'!$BB72</f>
        <v>3.6219184674749982</v>
      </c>
      <c r="BU83" s="532">
        <f>'POSF Inventory'!EK75*'POSF Emiss by Zone'!$D$5*'POSF Zone Def'!$BB72</f>
        <v>0</v>
      </c>
      <c r="BV83" s="533">
        <f>'POSF Inventory'!EL75*'POSF Emiss by Zone'!$D$6*'POSF Zone Def'!$BB72</f>
        <v>0</v>
      </c>
      <c r="BW83" s="545">
        <f>'POSF Inventory'!EG75*'POSF Emiss by Zone'!$D$5*'POSF Zone Def'!$BC72</f>
        <v>0</v>
      </c>
      <c r="BX83" s="545">
        <f>'POSF Inventory'!EH75*'POSF Emiss by Zone'!$D$6*'POSF Zone Def'!$BC72</f>
        <v>0</v>
      </c>
      <c r="BY83" s="545">
        <f>'POSF Inventory'!EI75*'POSF Emiss by Zone'!$D$5*'POSF Zone Def'!$BC72</f>
        <v>0</v>
      </c>
      <c r="BZ83" s="545">
        <f>'POSF Inventory'!EJ75*'POSF Emiss by Zone'!$D$6*'POSF Zone Def'!$BC72</f>
        <v>8.4511430907749965</v>
      </c>
      <c r="CA83" s="545">
        <f>'POSF Inventory'!EK75*'POSF Emiss by Zone'!$D$5*'POSF Zone Def'!$BC72</f>
        <v>0</v>
      </c>
      <c r="CB83" s="554">
        <f>'POSF Inventory'!EL75*'POSF Emiss by Zone'!$D$6*'POSF Zone Def'!$BC72</f>
        <v>0</v>
      </c>
      <c r="CC83" s="532">
        <f>'POSF Inventory'!GC75*'POSF Emiss by Zone'!$D$7*'POSF Zone Def'!$M72</f>
        <v>0</v>
      </c>
      <c r="CD83" s="532">
        <f>'POSF Inventory'!GD75*'POSF Emiss by Zone'!$D$9*'POSF Zone Def'!$M72</f>
        <v>0</v>
      </c>
      <c r="CE83" s="532">
        <f>'POSF Inventory'!GE75*'POSF Emiss by Zone'!$D$7*'POSF Zone Def'!$M72</f>
        <v>0</v>
      </c>
      <c r="CF83" s="532">
        <f>'POSF Inventory'!GF75*'POSF Emiss by Zone'!$D$9*'POSF Zone Def'!$M72</f>
        <v>0</v>
      </c>
      <c r="CG83" s="532">
        <f>'POSF Inventory'!GG75*'POSF Emiss by Zone'!$D$7*'POSF Zone Def'!$M72</f>
        <v>0</v>
      </c>
      <c r="CH83" s="533">
        <f>'POSF Inventory'!GH75*'POSF Emiss by Zone'!$D$9*'POSF Zone Def'!$M72</f>
        <v>0</v>
      </c>
      <c r="CI83" s="545">
        <f>'POSF Inventory'!GC75*'POSF Emiss by Zone'!$D$7*'POSF Zone Def'!$N72</f>
        <v>0</v>
      </c>
      <c r="CJ83" s="545">
        <f>'POSF Inventory'!GD75*'POSF Emiss by Zone'!$D$9*'POSF Zone Def'!$N72</f>
        <v>0</v>
      </c>
      <c r="CK83" s="545">
        <f>'POSF Inventory'!GE75*'POSF Emiss by Zone'!$D$7*'POSF Zone Def'!$N72</f>
        <v>0</v>
      </c>
      <c r="CL83" s="545">
        <f>'POSF Inventory'!GF75*'POSF Emiss by Zone'!$D$9*'POSF Zone Def'!$N72</f>
        <v>0</v>
      </c>
      <c r="CM83" s="545">
        <f>'POSF Inventory'!GG75*'POSF Emiss by Zone'!$D$7*'POSF Zone Def'!$N72</f>
        <v>0</v>
      </c>
      <c r="CN83" s="558">
        <f>'POSF Inventory'!GH75*'POSF Emiss by Zone'!$D$9*'POSF Zone Def'!$N72</f>
        <v>0</v>
      </c>
      <c r="CO83" s="532">
        <f>'POSF Inventory'!GI75*'POSF Emiss by Zone'!$D$7*'POSF Zone Def'!$AP72</f>
        <v>0</v>
      </c>
      <c r="CP83" s="532">
        <f>'POSF Inventory'!GJ75*'POSF Emiss by Zone'!$D$9*'POSF Zone Def'!$AP72</f>
        <v>9.9364830000000007E-4</v>
      </c>
      <c r="CQ83" s="532">
        <f>'POSF Inventory'!GK75*'POSF Emiss by Zone'!$D$7*'POSF Zone Def'!$AP72</f>
        <v>0</v>
      </c>
      <c r="CR83" s="532">
        <f>'POSF Inventory'!GL75*'POSF Emiss by Zone'!$D$9*'POSF Zone Def'!$AP72</f>
        <v>1.4904724499999999E-2</v>
      </c>
      <c r="CS83" s="532">
        <f>'POSF Inventory'!GM75*'POSF Emiss by Zone'!$D$7*'POSF Zone Def'!$AP72</f>
        <v>0</v>
      </c>
      <c r="CT83" s="533">
        <f>'POSF Inventory'!GN75*'POSF Emiss by Zone'!$D$9*'POSF Zone Def'!$AP72</f>
        <v>0.21860262600000002</v>
      </c>
      <c r="CU83" s="545">
        <f>'POSF Inventory'!GI75*'POSF Emiss by Zone'!$D$7*'POSF Zone Def'!$AQ72</f>
        <v>0</v>
      </c>
      <c r="CV83" s="545">
        <f>'POSF Inventory'!GJ75*'POSF Emiss by Zone'!$D$9*'POSF Zone Def'!$AQ72</f>
        <v>2.3185127000000002E-3</v>
      </c>
      <c r="CW83" s="545">
        <f>'POSF Inventory'!GK75*'POSF Emiss by Zone'!$D$7*'POSF Zone Def'!$AQ72</f>
        <v>0</v>
      </c>
      <c r="CX83" s="545">
        <f>'POSF Inventory'!GL75*'POSF Emiss by Zone'!$D$9*'POSF Zone Def'!$AQ72</f>
        <v>3.47776905E-2</v>
      </c>
      <c r="CY83" s="545">
        <f>'POSF Inventory'!GM75*'POSF Emiss by Zone'!$D$7*'POSF Zone Def'!$AQ72</f>
        <v>0</v>
      </c>
      <c r="CZ83" s="554">
        <f>'POSF Inventory'!GN75*'POSF Emiss by Zone'!$D$9*'POSF Zone Def'!$AQ72</f>
        <v>0.51007279400000005</v>
      </c>
      <c r="DA83" s="532">
        <f>SUM('POSF Inventory'!GQ75,'POSF Inventory'!GS75)*'POSF Emiss by Zone'!$D$7*'POSF Zone Def'!$Y72</f>
        <v>0</v>
      </c>
      <c r="DB83" s="532">
        <f>SUM('POSF Inventory'!GR75,'POSF Inventory'!GT75)*'POSF Emiss by Zone'!$D$9*'POSF Zone Def'!$Y72</f>
        <v>0</v>
      </c>
      <c r="DC83" s="532"/>
      <c r="DD83" s="532"/>
      <c r="DE83" s="532">
        <f>'POSF Inventory'!GU75*'POSF Emiss by Zone'!$D$7*'POSF Zone Def'!$Y72</f>
        <v>0</v>
      </c>
      <c r="DF83" s="533">
        <f>'POSF Inventory'!GV75*'POSF Emiss by Zone'!$D$9*'POSF Zone Def'!$Y72</f>
        <v>0</v>
      </c>
      <c r="DG83" s="545">
        <f>SUM('POSF Inventory'!GQ75,'POSF Inventory'!GS75)*'POSF Emiss by Zone'!$D$7*'POSF Zone Def'!$Z72</f>
        <v>0</v>
      </c>
      <c r="DH83" s="545">
        <f>SUM('POSF Inventory'!GR75,'POSF Inventory'!GT75)*'POSF Emiss by Zone'!$D$9*'POSF Zone Def'!$Z72</f>
        <v>0</v>
      </c>
      <c r="DI83" s="545"/>
      <c r="DJ83" s="545"/>
      <c r="DK83" s="545">
        <f>'POSF Inventory'!GU75*'POSF Emiss by Zone'!$D$7*'POSF Zone Def'!$Z72</f>
        <v>0</v>
      </c>
      <c r="DL83" s="558">
        <f>'POSF Inventory'!GV75*'POSF Emiss by Zone'!$D$9*'POSF Zone Def'!$Z72</f>
        <v>0</v>
      </c>
      <c r="DM83" s="545">
        <f>SUM('POSF Inventory'!$GQ75,'POSF Inventory'!$GS75)*'POSF Emiss by Zone'!$D$7*'POSF Zone Def'!$AC72</f>
        <v>0</v>
      </c>
      <c r="DN83" s="545">
        <f>SUM('POSF Inventory'!$GR75,'POSF Inventory'!$GT75)*'POSF Emiss by Zone'!$D$9*'POSF Zone Def'!$AC72</f>
        <v>0</v>
      </c>
      <c r="DO83" s="545"/>
      <c r="DP83" s="545"/>
      <c r="DQ83" s="545">
        <f>'POSF Inventory'!$GU75*'POSF Emiss by Zone'!$D$7*'POSF Zone Def'!$AC72</f>
        <v>0</v>
      </c>
      <c r="DR83" s="558">
        <f>'POSF Inventory'!$GV75*'POSF Emiss by Zone'!$D$9*'POSF Zone Def'!$AC72</f>
        <v>0</v>
      </c>
      <c r="DS83" s="532">
        <f>SUM('POSF Inventory'!GW75,'POSF Inventory'!GY75)*$D$7*'POSF Zone Def'!$BB72</f>
        <v>0</v>
      </c>
      <c r="DT83" s="532">
        <f>SUM('POSF Inventory'!GX75,'POSF Inventory'!GZ75)*$D$9*'POSF Zone Def'!$BB72</f>
        <v>2.0758676638743743</v>
      </c>
      <c r="DU83" s="532"/>
      <c r="DV83" s="532"/>
      <c r="DW83" s="532">
        <f>'POSF Inventory'!HA75*'POSF Emiss by Zone'!$D$7*'POSF Zone Def'!$BB72</f>
        <v>0</v>
      </c>
      <c r="DX83" s="533">
        <f>'POSF Inventory'!HB75*'POSF Emiss by Zone'!$D$9*'POSF Zone Def'!$BB72</f>
        <v>0</v>
      </c>
      <c r="DY83" s="545">
        <f>SUM('POSF Inventory'!GW75,'POSF Inventory'!GY75)*$D$7*'POSF Zone Def'!$BC72</f>
        <v>0</v>
      </c>
      <c r="DZ83" s="545">
        <f>SUM('POSF Inventory'!GX75,'POSF Inventory'!GZ75)*$D$9*'POSF Zone Def'!$BC72</f>
        <v>4.8436912157068726</v>
      </c>
      <c r="EA83" s="545"/>
      <c r="EB83" s="545"/>
      <c r="EC83" s="545">
        <f>'POSF Inventory'!HA75*'POSF Emiss by Zone'!$D$7*'POSF Zone Def'!$BC72</f>
        <v>0</v>
      </c>
      <c r="ED83" s="554">
        <f>'POSF Inventory'!HB75*'POSF Emiss by Zone'!$D$9*'POSF Zone Def'!$BC72</f>
        <v>0</v>
      </c>
      <c r="EE83" s="575">
        <f>'POSF Inventory'!$CF75*'POSF Emiss by Zone'!$D$7*'POSF Zone Def'!$CE72</f>
        <v>0</v>
      </c>
      <c r="EF83" s="575">
        <f>'POSF Inventory'!$CG75*'POSF Emiss by Zone'!$D$9*'POSF Zone Def'!$CE72</f>
        <v>0</v>
      </c>
      <c r="EG83" s="575">
        <f>'POSF Inventory'!$CH75*'POSF Emiss by Zone'!$D$7*'POSF Zone Def'!$CE72</f>
        <v>0</v>
      </c>
      <c r="EH83" s="575">
        <f>'POSF Inventory'!$CI75*'POSF Emiss by Zone'!$D$9*'POSF Zone Def'!$CE72</f>
        <v>0</v>
      </c>
      <c r="EI83" s="575">
        <f>'POSF Inventory'!$CJ75*'POSF Emiss by Zone'!$D$7*'POSF Zone Def'!$CE72</f>
        <v>0</v>
      </c>
      <c r="EJ83" s="582">
        <f>'POSF Inventory'!$CK75*'POSF Emiss by Zone'!$D$9*'POSF Zone Def'!$CE72</f>
        <v>0</v>
      </c>
      <c r="EK83" s="575">
        <f>'POSF Inventory'!$CF75*'POSF Emiss by Zone'!$D$7*'POSF Zone Def'!$CF72</f>
        <v>0</v>
      </c>
      <c r="EL83" s="575">
        <f>'POSF Inventory'!$CG75*'POSF Emiss by Zone'!$D$9*'POSF Zone Def'!$CF72</f>
        <v>0</v>
      </c>
      <c r="EM83" s="575">
        <f>'POSF Inventory'!$CH75*'POSF Emiss by Zone'!$D$7*'POSF Zone Def'!$CF72</f>
        <v>0</v>
      </c>
      <c r="EN83" s="575">
        <f>'POSF Inventory'!$CI75*'POSF Emiss by Zone'!$D$9*'POSF Zone Def'!$CF72</f>
        <v>0</v>
      </c>
      <c r="EO83" s="575">
        <f>'POSF Inventory'!$CJ75*'POSF Emiss by Zone'!$D$7*'POSF Zone Def'!$CF72</f>
        <v>0</v>
      </c>
      <c r="EP83" s="582">
        <f>'POSF Inventory'!$CK75*'POSF Emiss by Zone'!$D$9*'POSF Zone Def'!$CF72</f>
        <v>0</v>
      </c>
      <c r="EQ83" s="575">
        <f>'POSF Inventory'!$CF75*'POSF Emiss by Zone'!$D$7*'POSF Zone Def'!$CG72</f>
        <v>0</v>
      </c>
      <c r="ER83" s="575">
        <f>'POSF Inventory'!$CG75*'POSF Emiss by Zone'!$D$9*'POSF Zone Def'!$CG72</f>
        <v>1.0677986728951161E-4</v>
      </c>
      <c r="ES83" s="575">
        <f>'POSF Inventory'!$CH75*'POSF Emiss by Zone'!$D$7*'POSF Zone Def'!$CG72</f>
        <v>0</v>
      </c>
      <c r="ET83" s="575">
        <f>'POSF Inventory'!$CI75*'POSF Emiss by Zone'!$D$9*'POSF Zone Def'!$CG72</f>
        <v>0</v>
      </c>
      <c r="EU83" s="575">
        <f>'POSF Inventory'!$CJ75*'POSF Emiss by Zone'!$D$7*'POSF Zone Def'!$CG72</f>
        <v>0</v>
      </c>
      <c r="EV83" s="582">
        <f>'POSF Inventory'!$CK75*'POSF Emiss by Zone'!$D$9*'POSF Zone Def'!$CG72</f>
        <v>9.6101880560560458E-4</v>
      </c>
      <c r="EW83" s="575">
        <f>'POSF Inventory'!$CF75*'POSF Emiss by Zone'!$D$7*'POSF Zone Def'!$CH72</f>
        <v>0</v>
      </c>
      <c r="EX83" s="575">
        <f>'POSF Inventory'!$CG75*'POSF Emiss by Zone'!$D$9*'POSF Zone Def'!$CH72</f>
        <v>1.6768323577908004</v>
      </c>
      <c r="EY83" s="575">
        <f>'POSF Inventory'!$CH75*'POSF Emiss by Zone'!$D$7*'POSF Zone Def'!$CH72</f>
        <v>0</v>
      </c>
      <c r="EZ83" s="575">
        <f>'POSF Inventory'!$CI75*'POSF Emiss by Zone'!$D$9*'POSF Zone Def'!$CH72</f>
        <v>0</v>
      </c>
      <c r="FA83" s="575">
        <f>'POSF Inventory'!$CJ75*'POSF Emiss by Zone'!$D$7*'POSF Zone Def'!$CH72</f>
        <v>0</v>
      </c>
      <c r="FB83" s="582">
        <f>'POSF Inventory'!$CK75*'POSF Emiss by Zone'!$D$9*'POSF Zone Def'!$CH72</f>
        <v>15.091491220117206</v>
      </c>
      <c r="FC83" s="575">
        <f>'POSF Inventory'!$CF75*'POSF Emiss by Zone'!$D$7*'POSF Zone Def'!$CI72</f>
        <v>0</v>
      </c>
      <c r="FD83" s="575">
        <f>'POSF Inventory'!$CG75*'POSF Emiss by Zone'!$D$9*'POSF Zone Def'!$CI72</f>
        <v>2.2497172323419106</v>
      </c>
      <c r="FE83" s="575">
        <f>'POSF Inventory'!$CH75*'POSF Emiss by Zone'!$D$7*'POSF Zone Def'!$CI72</f>
        <v>0</v>
      </c>
      <c r="FF83" s="575">
        <f>'POSF Inventory'!$CI75*'POSF Emiss by Zone'!$D$9*'POSF Zone Def'!$CI72</f>
        <v>0</v>
      </c>
      <c r="FG83" s="575">
        <f>'POSF Inventory'!$CJ75*'POSF Emiss by Zone'!$D$7*'POSF Zone Def'!$CI72</f>
        <v>0</v>
      </c>
      <c r="FH83" s="579">
        <f>'POSF Inventory'!$CK75*'POSF Emiss by Zone'!$D$9*'POSF Zone Def'!$CI72</f>
        <v>20.2474550910772</v>
      </c>
      <c r="FI83" s="595"/>
      <c r="FJ83" s="595"/>
      <c r="FM83" s="592">
        <v>66</v>
      </c>
      <c r="FN83" s="592">
        <f t="shared" si="98"/>
        <v>2020</v>
      </c>
      <c r="FO83" s="587">
        <v>63</v>
      </c>
      <c r="FP83" s="576">
        <f t="shared" si="20"/>
        <v>0</v>
      </c>
      <c r="FQ83" s="532">
        <f t="shared" si="21"/>
        <v>0.17232363224999997</v>
      </c>
      <c r="FR83" s="532">
        <f t="shared" si="22"/>
        <v>0</v>
      </c>
      <c r="FS83" s="532">
        <f t="shared" si="23"/>
        <v>0</v>
      </c>
      <c r="FT83" s="532">
        <f t="shared" si="24"/>
        <v>0</v>
      </c>
      <c r="FU83" s="533">
        <f t="shared" si="25"/>
        <v>0.12764713499999999</v>
      </c>
      <c r="FV83" s="545">
        <f t="shared" si="26"/>
        <v>0</v>
      </c>
      <c r="FW83" s="545">
        <f t="shared" si="27"/>
        <v>0.40208847524999991</v>
      </c>
      <c r="FX83" s="545">
        <f t="shared" si="28"/>
        <v>0</v>
      </c>
      <c r="FY83" s="545">
        <f t="shared" si="29"/>
        <v>0</v>
      </c>
      <c r="FZ83" s="545">
        <f t="shared" si="30"/>
        <v>0</v>
      </c>
      <c r="GA83" s="554">
        <f t="shared" si="31"/>
        <v>0.29784331499999994</v>
      </c>
      <c r="GB83" s="532">
        <f t="shared" si="32"/>
        <v>0</v>
      </c>
      <c r="GC83" s="532">
        <f t="shared" si="33"/>
        <v>0</v>
      </c>
      <c r="GD83" s="532">
        <f t="shared" si="34"/>
        <v>0</v>
      </c>
      <c r="GE83" s="532">
        <f t="shared" si="35"/>
        <v>3.7219132360308746</v>
      </c>
      <c r="GF83" s="532">
        <f t="shared" si="36"/>
        <v>0</v>
      </c>
      <c r="GG83" s="533">
        <f t="shared" si="37"/>
        <v>0.21189763446215137</v>
      </c>
      <c r="GH83" s="545">
        <f t="shared" si="38"/>
        <v>0</v>
      </c>
      <c r="GI83" s="545">
        <f t="shared" si="39"/>
        <v>0</v>
      </c>
      <c r="GJ83" s="545">
        <f t="shared" si="40"/>
        <v>0</v>
      </c>
      <c r="GK83" s="545">
        <f t="shared" si="41"/>
        <v>8.6844642174053739</v>
      </c>
      <c r="GL83" s="545">
        <f t="shared" si="42"/>
        <v>0</v>
      </c>
      <c r="GM83" s="545">
        <f t="shared" si="43"/>
        <v>0.49442781374501982</v>
      </c>
      <c r="GN83" s="545">
        <f t="shared" si="44"/>
        <v>0</v>
      </c>
      <c r="GO83" s="545">
        <f t="shared" si="45"/>
        <v>0</v>
      </c>
      <c r="GP83" s="545">
        <f t="shared" si="46"/>
        <v>0</v>
      </c>
      <c r="GQ83" s="545">
        <f t="shared" si="47"/>
        <v>0</v>
      </c>
      <c r="GR83" s="545">
        <f t="shared" si="48"/>
        <v>0</v>
      </c>
      <c r="GS83" s="554">
        <f t="shared" si="49"/>
        <v>0</v>
      </c>
      <c r="GT83" s="532">
        <f t="shared" si="50"/>
        <v>0</v>
      </c>
      <c r="GU83" s="532">
        <f t="shared" si="51"/>
        <v>4.3026608857795801E-2</v>
      </c>
      <c r="GV83" s="532">
        <f t="shared" si="52"/>
        <v>0</v>
      </c>
      <c r="GW83" s="532">
        <f t="shared" si="53"/>
        <v>3.0878313705179279E-4</v>
      </c>
      <c r="GX83" s="532">
        <f t="shared" si="54"/>
        <v>0</v>
      </c>
      <c r="GY83" s="533">
        <f t="shared" si="55"/>
        <v>4.528819343426296E-3</v>
      </c>
      <c r="GZ83" s="545">
        <f t="shared" si="56"/>
        <v>0</v>
      </c>
      <c r="HA83" s="545">
        <f t="shared" si="57"/>
        <v>0.10039542066819018</v>
      </c>
      <c r="HB83" s="545">
        <f t="shared" si="58"/>
        <v>0</v>
      </c>
      <c r="HC83" s="545">
        <f t="shared" si="59"/>
        <v>7.2049398645418331E-4</v>
      </c>
      <c r="HD83" s="545">
        <f t="shared" si="60"/>
        <v>0</v>
      </c>
      <c r="HE83" s="558">
        <f t="shared" si="61"/>
        <v>1.0567245134661356E-2</v>
      </c>
      <c r="HF83" s="575">
        <f t="shared" si="62"/>
        <v>0</v>
      </c>
      <c r="HG83" s="575">
        <f t="shared" si="63"/>
        <v>1.1060862747120724E-4</v>
      </c>
      <c r="HH83" s="575">
        <f t="shared" si="64"/>
        <v>0</v>
      </c>
      <c r="HI83" s="575">
        <f t="shared" si="65"/>
        <v>0</v>
      </c>
      <c r="HJ83" s="575">
        <f t="shared" si="66"/>
        <v>0</v>
      </c>
      <c r="HK83" s="582">
        <f t="shared" si="67"/>
        <v>9.9547764724086532E-4</v>
      </c>
      <c r="HL83" s="575">
        <f t="shared" si="68"/>
        <v>0</v>
      </c>
      <c r="HM83" s="575">
        <f t="shared" si="69"/>
        <v>1.7369578208191558</v>
      </c>
      <c r="HN83" s="575">
        <f t="shared" si="70"/>
        <v>0</v>
      </c>
      <c r="HO83" s="575">
        <f t="shared" si="71"/>
        <v>0</v>
      </c>
      <c r="HP83" s="575">
        <f t="shared" si="72"/>
        <v>0</v>
      </c>
      <c r="HQ83" s="582">
        <f t="shared" si="73"/>
        <v>15.632620387372404</v>
      </c>
      <c r="HR83" s="575">
        <f t="shared" si="74"/>
        <v>0</v>
      </c>
      <c r="HS83" s="575">
        <f t="shared" si="75"/>
        <v>2.3303843840991902</v>
      </c>
      <c r="HT83" s="575">
        <f t="shared" si="76"/>
        <v>0</v>
      </c>
      <c r="HU83" s="575">
        <f t="shared" si="77"/>
        <v>0</v>
      </c>
      <c r="HV83" s="575">
        <f t="shared" si="78"/>
        <v>0</v>
      </c>
      <c r="HW83" s="579">
        <f t="shared" si="79"/>
        <v>20.973459456892716</v>
      </c>
      <c r="HX83" s="575">
        <f t="shared" si="80"/>
        <v>0</v>
      </c>
      <c r="HY83" s="575">
        <f t="shared" si="81"/>
        <v>2.2866987738347011</v>
      </c>
      <c r="HZ83" s="575">
        <f t="shared" si="82"/>
        <v>0</v>
      </c>
      <c r="IA83" s="575">
        <f t="shared" si="83"/>
        <v>1.6410636106852589E-2</v>
      </c>
      <c r="IB83" s="575">
        <f t="shared" si="84"/>
        <v>0</v>
      </c>
      <c r="IC83" s="575">
        <f t="shared" si="85"/>
        <v>0.24068932956717132</v>
      </c>
      <c r="ID83" s="575">
        <f t="shared" si="86"/>
        <v>0</v>
      </c>
      <c r="IE83" s="575">
        <f t="shared" si="87"/>
        <v>5.3356304722809691</v>
      </c>
      <c r="IF83" s="575">
        <f t="shared" si="88"/>
        <v>0</v>
      </c>
      <c r="IG83" s="575">
        <f t="shared" si="89"/>
        <v>3.8291484249322709E-2</v>
      </c>
      <c r="IH83" s="575">
        <f t="shared" si="90"/>
        <v>0</v>
      </c>
      <c r="II83" s="575">
        <f t="shared" si="91"/>
        <v>0.56160843565673313</v>
      </c>
      <c r="IJ83" s="575">
        <f t="shared" si="92"/>
        <v>0</v>
      </c>
      <c r="IK83" s="575">
        <f t="shared" si="93"/>
        <v>0</v>
      </c>
      <c r="IL83" s="575">
        <f t="shared" si="94"/>
        <v>0</v>
      </c>
      <c r="IM83" s="575">
        <f t="shared" si="95"/>
        <v>0</v>
      </c>
      <c r="IN83" s="575">
        <f t="shared" si="96"/>
        <v>0</v>
      </c>
      <c r="IO83" s="575">
        <f t="shared" si="97"/>
        <v>0</v>
      </c>
    </row>
    <row r="84" spans="1:249" ht="18" x14ac:dyDescent="0.25">
      <c r="A84" s="12">
        <v>2021</v>
      </c>
      <c r="B84" s="564"/>
      <c r="C84" s="532">
        <f>'POSF Inventory'!AD76*$D$5*'POSF Zone Def'!$M73</f>
        <v>0</v>
      </c>
      <c r="D84" s="532">
        <f>'POSF Inventory'!AE76*$D$6*'POSF Zone Def'!$M73</f>
        <v>0</v>
      </c>
      <c r="E84" s="532">
        <f>'POSF Inventory'!AF76*$D$5*'POSF Zone Def'!$M73</f>
        <v>0</v>
      </c>
      <c r="F84" s="532">
        <f>'POSF Inventory'!AG76*$D$6*'POSF Zone Def'!$M73</f>
        <v>0</v>
      </c>
      <c r="G84" s="532">
        <f>'POSF Inventory'!AH76*$D$5*'POSF Zone Def'!$M73</f>
        <v>0</v>
      </c>
      <c r="H84" s="533">
        <f>'POSF Inventory'!AI76*$D$6*'POSF Zone Def'!$M73</f>
        <v>0</v>
      </c>
      <c r="I84" s="545">
        <f>'POSF Inventory'!AD76*$D$5*'POSF Zone Def'!$N73</f>
        <v>0</v>
      </c>
      <c r="J84" s="545">
        <f>'POSF Inventory'!AE76*$D$6*'POSF Zone Def'!$N73</f>
        <v>0</v>
      </c>
      <c r="K84" s="545">
        <f>'POSF Inventory'!AF76*$D$5*'POSF Zone Def'!$N73</f>
        <v>0</v>
      </c>
      <c r="L84" s="545">
        <f>'POSF Inventory'!AG76*$D$6*'POSF Zone Def'!$N73</f>
        <v>0</v>
      </c>
      <c r="M84" s="545">
        <f>'POSF Inventory'!AH76*$D$5*'POSF Zone Def'!$N73</f>
        <v>0</v>
      </c>
      <c r="N84" s="558">
        <f>'POSF Inventory'!AI76*$D$6*'POSF Zone Def'!$N73</f>
        <v>0</v>
      </c>
      <c r="O84" s="532">
        <f>'POSF Inventory'!AJ76*$D$5*'POSF Zone Def'!$AP73</f>
        <v>0</v>
      </c>
      <c r="P84" s="532">
        <f>'POSF Inventory'!AK76*$D$6*'POSF Zone Def'!$AP73</f>
        <v>0.13785890579999999</v>
      </c>
      <c r="Q84" s="532">
        <f>'POSF Inventory'!AL76*$D$5*'POSF Zone Def'!$AP73</f>
        <v>0</v>
      </c>
      <c r="R84" s="532">
        <f>'POSF Inventory'!AM76*$D$6*'POSF Zone Def'!$AP73</f>
        <v>0</v>
      </c>
      <c r="S84" s="532">
        <f>'POSF Inventory'!AN76*$D$5*'POSF Zone Def'!$AP73</f>
        <v>0</v>
      </c>
      <c r="T84" s="533">
        <f>'POSF Inventory'!AO76*$D$6*'POSF Zone Def'!$AP73</f>
        <v>0.102117708</v>
      </c>
      <c r="U84" s="545">
        <f>'POSF Inventory'!AJ76*$D$5*'POSF Zone Def'!$AQ73</f>
        <v>0</v>
      </c>
      <c r="V84" s="545">
        <f>'POSF Inventory'!AK76*$D$6*'POSF Zone Def'!$AQ73</f>
        <v>0.32167078019999995</v>
      </c>
      <c r="W84" s="545">
        <f>'POSF Inventory'!AL76*$D$5*'POSF Zone Def'!$AQ73</f>
        <v>0</v>
      </c>
      <c r="X84" s="545">
        <f>'POSF Inventory'!AM76*$D$6*'POSF Zone Def'!$AQ73</f>
        <v>0</v>
      </c>
      <c r="Y84" s="545">
        <f>'POSF Inventory'!AN76*$D$5*'POSF Zone Def'!$AQ73</f>
        <v>0</v>
      </c>
      <c r="Z84" s="554">
        <f>'POSF Inventory'!AO76*$D$6*'POSF Zone Def'!$AQ73</f>
        <v>0.23827465199999998</v>
      </c>
      <c r="AA84" s="532">
        <f>'POSF Inventory'!AV76*'POSF Emiss by Zone'!$D$5*'POSF Zone Def'!$M73</f>
        <v>0</v>
      </c>
      <c r="AB84" s="532">
        <f>'POSF Inventory'!AW76*'POSF Emiss by Zone'!$D$6*'POSF Zone Def'!$M73</f>
        <v>0</v>
      </c>
      <c r="AC84" s="532">
        <f>'POSF Inventory'!AX76*'POSF Emiss by Zone'!$D$5*'POSF Zone Def'!$M73</f>
        <v>0</v>
      </c>
      <c r="AD84" s="532">
        <f>'POSF Inventory'!AY76*'POSF Emiss by Zone'!$D$6*'POSF Zone Def'!$M73</f>
        <v>0</v>
      </c>
      <c r="AE84" s="532">
        <f>'POSF Inventory'!AZ76*'POSF Emiss by Zone'!$D$5*'POSF Zone Def'!$M73</f>
        <v>0</v>
      </c>
      <c r="AF84" s="533">
        <f>'POSF Inventory'!BA76*'POSF Emiss by Zone'!$D$6*'POSF Zone Def'!$M73</f>
        <v>0</v>
      </c>
      <c r="AG84" s="545">
        <f>'POSF Inventory'!AV76*'POSF Emiss by Zone'!$D$5*'POSF Zone Def'!$N73</f>
        <v>0</v>
      </c>
      <c r="AH84" s="545">
        <f>'POSF Inventory'!AW76*'POSF Emiss by Zone'!$D$6*'POSF Zone Def'!$N73</f>
        <v>0</v>
      </c>
      <c r="AI84" s="545">
        <f>'POSF Inventory'!AX76*'POSF Emiss by Zone'!$D$5*'POSF Zone Def'!$N73</f>
        <v>0</v>
      </c>
      <c r="AJ84" s="545">
        <f>'POSF Inventory'!AY76*'POSF Emiss by Zone'!$D$6*'POSF Zone Def'!$N73</f>
        <v>0</v>
      </c>
      <c r="AK84" s="545">
        <f>'POSF Inventory'!AZ76*'POSF Emiss by Zone'!$D$5*'POSF Zone Def'!$N73</f>
        <v>0</v>
      </c>
      <c r="AL84" s="558">
        <f>'POSF Inventory'!BA76*'POSF Emiss by Zone'!$D$6*'POSF Zone Def'!$N73</f>
        <v>0</v>
      </c>
      <c r="AM84" s="532">
        <f>'POSF Inventory'!BB76*'POSF Emiss by Zone'!$D$5*'POSF Zone Def'!$AP73</f>
        <v>0</v>
      </c>
      <c r="AN84" s="532">
        <f>'POSF Inventory'!BC76*'POSF Emiss by Zone'!$D$6*'POSF Zone Def'!$AP73</f>
        <v>0</v>
      </c>
      <c r="AO84" s="532">
        <f>'POSF Inventory'!BD76*'POSF Emiss by Zone'!$D$5*'POSF Zone Def'!$AP73</f>
        <v>0</v>
      </c>
      <c r="AP84" s="532">
        <f>'POSF Inventory'!BE76*'POSF Emiss by Zone'!$D$6*'POSF Zone Def'!$AP73</f>
        <v>9.1905937199999996E-2</v>
      </c>
      <c r="AQ84" s="532">
        <f>'POSF Inventory'!BF76*'POSF Emiss by Zone'!$D$5*'POSF Zone Def'!$AP73</f>
        <v>0</v>
      </c>
      <c r="AR84" s="533">
        <f>'POSF Inventory'!BG76*'POSF Emiss by Zone'!$D$6*'POSF Zone Def'!$AP73</f>
        <v>0.17019618</v>
      </c>
      <c r="AS84" s="545">
        <f>'POSF Inventory'!BB76*'POSF Emiss by Zone'!$D$5*'POSF Zone Def'!$AQ73</f>
        <v>0</v>
      </c>
      <c r="AT84" s="545">
        <f>'POSF Inventory'!BC76*'POSF Emiss by Zone'!$D$6*'POSF Zone Def'!$AQ73</f>
        <v>0</v>
      </c>
      <c r="AU84" s="545">
        <f>'POSF Inventory'!BD76*'POSF Emiss by Zone'!$D$5*'POSF Zone Def'!$AQ73</f>
        <v>0</v>
      </c>
      <c r="AV84" s="545">
        <f>'POSF Inventory'!BE76*'POSF Emiss by Zone'!$D$6*'POSF Zone Def'!$AQ73</f>
        <v>0.21444718679999997</v>
      </c>
      <c r="AW84" s="545">
        <f>'POSF Inventory'!BF76*'POSF Emiss by Zone'!$D$5*'POSF Zone Def'!$AQ73</f>
        <v>0</v>
      </c>
      <c r="AX84" s="554">
        <f>'POSF Inventory'!BG76*'POSF Emiss by Zone'!$D$6*'POSF Zone Def'!$AQ73</f>
        <v>0.39712442000000003</v>
      </c>
      <c r="AY84" s="532">
        <f>'POSF Inventory'!EA76*'POSF Emiss by Zone'!$D$5*'POSF Zone Def'!$Y73</f>
        <v>0</v>
      </c>
      <c r="AZ84" s="532">
        <f>'POSF Inventory'!EB76*'POSF Emiss by Zone'!$D$6*'POSF Zone Def'!$Y73</f>
        <v>0</v>
      </c>
      <c r="BA84" s="532">
        <f>'POSF Inventory'!EC76*'POSF Emiss by Zone'!$D$5*'POSF Zone Def'!$Y73</f>
        <v>0</v>
      </c>
      <c r="BB84" s="532">
        <f>'POSF Inventory'!ED76*'POSF Emiss by Zone'!$D$6*'POSF Zone Def'!$Y73</f>
        <v>0</v>
      </c>
      <c r="BC84" s="532">
        <f>'POSF Inventory'!EE76*'POSF Emiss by Zone'!$D$5*'POSF Zone Def'!$Y73</f>
        <v>0</v>
      </c>
      <c r="BD84" s="533">
        <f>'POSF Inventory'!EF76*'POSF Emiss by Zone'!$D$6*'POSF Zone Def'!$Y73</f>
        <v>0</v>
      </c>
      <c r="BE84" s="545">
        <f>'POSF Inventory'!EA76*'POSF Emiss by Zone'!$D$5*'POSF Zone Def'!$Z73</f>
        <v>0</v>
      </c>
      <c r="BF84" s="545">
        <f>'POSF Inventory'!EB76*'POSF Emiss by Zone'!$D$6*'POSF Zone Def'!$Z73</f>
        <v>0</v>
      </c>
      <c r="BG84" s="545">
        <f>'POSF Inventory'!EC76*'POSF Emiss by Zone'!$D$5*'POSF Zone Def'!$Z73</f>
        <v>0</v>
      </c>
      <c r="BH84" s="545">
        <f>'POSF Inventory'!ED76*'POSF Emiss by Zone'!$D$6*'POSF Zone Def'!$Z73</f>
        <v>0</v>
      </c>
      <c r="BI84" s="545">
        <f>'POSF Inventory'!EE76*'POSF Emiss by Zone'!$D$5*'POSF Zone Def'!$Z73</f>
        <v>0</v>
      </c>
      <c r="BJ84" s="558">
        <f>'POSF Inventory'!EF76*'POSF Emiss by Zone'!$D$6*'POSF Zone Def'!$Z73</f>
        <v>0</v>
      </c>
      <c r="BK84" s="545">
        <f>'POSF Inventory'!$EA76*'POSF Emiss by Zone'!$D$5*'POSF Zone Def'!$AC73</f>
        <v>0</v>
      </c>
      <c r="BL84" s="545">
        <f>'POSF Inventory'!$EB76*'POSF Emiss by Zone'!$D$6*'POSF Zone Def'!$AC73</f>
        <v>0</v>
      </c>
      <c r="BM84" s="545">
        <f>'POSF Inventory'!$EC76*'POSF Emiss by Zone'!$D$5*'POSF Zone Def'!$AC73</f>
        <v>0</v>
      </c>
      <c r="BN84" s="545">
        <f>'POSF Inventory'!$ED76*'POSF Emiss by Zone'!$D$6*'POSF Zone Def'!$AC73</f>
        <v>0</v>
      </c>
      <c r="BO84" s="545">
        <f>'POSF Inventory'!$EE76*'POSF Emiss by Zone'!$D$5*'POSF Zone Def'!$AC73</f>
        <v>0</v>
      </c>
      <c r="BP84" s="558">
        <f>'POSF Inventory'!$EF76*'POSF Emiss by Zone'!$D$6*'POSF Zone Def'!$AC73</f>
        <v>0</v>
      </c>
      <c r="BQ84" s="532">
        <f>'POSF Inventory'!EG76*'POSF Emiss by Zone'!$D$5*'POSF Zone Def'!$BB73</f>
        <v>0</v>
      </c>
      <c r="BR84" s="532">
        <f>'POSF Inventory'!EH76*'POSF Emiss by Zone'!$D$6*'POSF Zone Def'!$BB73</f>
        <v>0</v>
      </c>
      <c r="BS84" s="532">
        <f>'POSF Inventory'!EI76*'POSF Emiss by Zone'!$D$5*'POSF Zone Def'!$BB73</f>
        <v>0</v>
      </c>
      <c r="BT84" s="532">
        <f>'POSF Inventory'!EJ76*'POSF Emiss by Zone'!$D$6*'POSF Zone Def'!$BB73</f>
        <v>2.4131000990249993</v>
      </c>
      <c r="BU84" s="532">
        <f>'POSF Inventory'!EK76*'POSF Emiss by Zone'!$D$5*'POSF Zone Def'!$BB73</f>
        <v>0</v>
      </c>
      <c r="BV84" s="533">
        <f>'POSF Inventory'!EL76*'POSF Emiss by Zone'!$D$6*'POSF Zone Def'!$BB73</f>
        <v>0</v>
      </c>
      <c r="BW84" s="545">
        <f>'POSF Inventory'!EG76*'POSF Emiss by Zone'!$D$5*'POSF Zone Def'!$BC73</f>
        <v>0</v>
      </c>
      <c r="BX84" s="545">
        <f>'POSF Inventory'!EH76*'POSF Emiss by Zone'!$D$6*'POSF Zone Def'!$BC73</f>
        <v>0</v>
      </c>
      <c r="BY84" s="545">
        <f>'POSF Inventory'!EI76*'POSF Emiss by Zone'!$D$5*'POSF Zone Def'!$BC73</f>
        <v>0</v>
      </c>
      <c r="BZ84" s="545">
        <f>'POSF Inventory'!EJ76*'POSF Emiss by Zone'!$D$6*'POSF Zone Def'!$BC73</f>
        <v>5.6305668977249983</v>
      </c>
      <c r="CA84" s="545">
        <f>'POSF Inventory'!EK76*'POSF Emiss by Zone'!$D$5*'POSF Zone Def'!$BC73</f>
        <v>0</v>
      </c>
      <c r="CB84" s="554">
        <f>'POSF Inventory'!EL76*'POSF Emiss by Zone'!$D$6*'POSF Zone Def'!$BC73</f>
        <v>0</v>
      </c>
      <c r="CC84" s="532">
        <f>'POSF Inventory'!GC76*'POSF Emiss by Zone'!$D$7*'POSF Zone Def'!$M73</f>
        <v>0</v>
      </c>
      <c r="CD84" s="532">
        <f>'POSF Inventory'!GD76*'POSF Emiss by Zone'!$D$9*'POSF Zone Def'!$M73</f>
        <v>0</v>
      </c>
      <c r="CE84" s="532">
        <f>'POSF Inventory'!GE76*'POSF Emiss by Zone'!$D$7*'POSF Zone Def'!$M73</f>
        <v>0</v>
      </c>
      <c r="CF84" s="532">
        <f>'POSF Inventory'!GF76*'POSF Emiss by Zone'!$D$9*'POSF Zone Def'!$M73</f>
        <v>0</v>
      </c>
      <c r="CG84" s="532">
        <f>'POSF Inventory'!GG76*'POSF Emiss by Zone'!$D$7*'POSF Zone Def'!$M73</f>
        <v>0</v>
      </c>
      <c r="CH84" s="533">
        <f>'POSF Inventory'!GH76*'POSF Emiss by Zone'!$D$9*'POSF Zone Def'!$M73</f>
        <v>0</v>
      </c>
      <c r="CI84" s="545">
        <f>'POSF Inventory'!GC76*'POSF Emiss by Zone'!$D$7*'POSF Zone Def'!$N73</f>
        <v>0</v>
      </c>
      <c r="CJ84" s="545">
        <f>'POSF Inventory'!GD76*'POSF Emiss by Zone'!$D$9*'POSF Zone Def'!$N73</f>
        <v>0</v>
      </c>
      <c r="CK84" s="545">
        <f>'POSF Inventory'!GE76*'POSF Emiss by Zone'!$D$7*'POSF Zone Def'!$N73</f>
        <v>0</v>
      </c>
      <c r="CL84" s="545">
        <f>'POSF Inventory'!GF76*'POSF Emiss by Zone'!$D$9*'POSF Zone Def'!$N73</f>
        <v>0</v>
      </c>
      <c r="CM84" s="545">
        <f>'POSF Inventory'!GG76*'POSF Emiss by Zone'!$D$7*'POSF Zone Def'!$N73</f>
        <v>0</v>
      </c>
      <c r="CN84" s="558">
        <f>'POSF Inventory'!GH76*'POSF Emiss by Zone'!$D$9*'POSF Zone Def'!$N73</f>
        <v>0</v>
      </c>
      <c r="CO84" s="532">
        <f>'POSF Inventory'!GI76*'POSF Emiss by Zone'!$D$7*'POSF Zone Def'!$AP73</f>
        <v>0</v>
      </c>
      <c r="CP84" s="532">
        <f>'POSF Inventory'!GJ76*'POSF Emiss by Zone'!$D$9*'POSF Zone Def'!$AP73</f>
        <v>7.9491864000000019E-4</v>
      </c>
      <c r="CQ84" s="532">
        <f>'POSF Inventory'!GK76*'POSF Emiss by Zone'!$D$7*'POSF Zone Def'!$AP73</f>
        <v>0</v>
      </c>
      <c r="CR84" s="532">
        <f>'POSF Inventory'!GL76*'POSF Emiss by Zone'!$D$9*'POSF Zone Def'!$AP73</f>
        <v>1.1923779600000002E-2</v>
      </c>
      <c r="CS84" s="532">
        <f>'POSF Inventory'!GM76*'POSF Emiss by Zone'!$D$7*'POSF Zone Def'!$AP73</f>
        <v>0</v>
      </c>
      <c r="CT84" s="533">
        <f>'POSF Inventory'!GN76*'POSF Emiss by Zone'!$D$9*'POSF Zone Def'!$AP73</f>
        <v>0.17488210080000005</v>
      </c>
      <c r="CU84" s="545">
        <f>'POSF Inventory'!GI76*'POSF Emiss by Zone'!$D$7*'POSF Zone Def'!$AQ73</f>
        <v>0</v>
      </c>
      <c r="CV84" s="545">
        <f>'POSF Inventory'!GJ76*'POSF Emiss by Zone'!$D$9*'POSF Zone Def'!$AQ73</f>
        <v>1.8548101600000004E-3</v>
      </c>
      <c r="CW84" s="545">
        <f>'POSF Inventory'!GK76*'POSF Emiss by Zone'!$D$7*'POSF Zone Def'!$AQ73</f>
        <v>0</v>
      </c>
      <c r="CX84" s="545">
        <f>'POSF Inventory'!GL76*'POSF Emiss by Zone'!$D$9*'POSF Zone Def'!$AQ73</f>
        <v>2.7822152400000001E-2</v>
      </c>
      <c r="CY84" s="545">
        <f>'POSF Inventory'!GM76*'POSF Emiss by Zone'!$D$7*'POSF Zone Def'!$AQ73</f>
        <v>0</v>
      </c>
      <c r="CZ84" s="554">
        <f>'POSF Inventory'!GN76*'POSF Emiss by Zone'!$D$9*'POSF Zone Def'!$AQ73</f>
        <v>0.40805823520000012</v>
      </c>
      <c r="DA84" s="532">
        <f>SUM('POSF Inventory'!GQ76,'POSF Inventory'!GS76)*'POSF Emiss by Zone'!$D$7*'POSF Zone Def'!$Y73</f>
        <v>0</v>
      </c>
      <c r="DB84" s="532">
        <f>SUM('POSF Inventory'!GR76,'POSF Inventory'!GT76)*'POSF Emiss by Zone'!$D$9*'POSF Zone Def'!$Y73</f>
        <v>0</v>
      </c>
      <c r="DC84" s="532"/>
      <c r="DD84" s="532"/>
      <c r="DE84" s="532">
        <f>'POSF Inventory'!GU76*'POSF Emiss by Zone'!$D$7*'POSF Zone Def'!$Y73</f>
        <v>0</v>
      </c>
      <c r="DF84" s="533">
        <f>'POSF Inventory'!GV76*'POSF Emiss by Zone'!$D$9*'POSF Zone Def'!$Y73</f>
        <v>0</v>
      </c>
      <c r="DG84" s="545">
        <f>SUM('POSF Inventory'!GQ76,'POSF Inventory'!GS76)*'POSF Emiss by Zone'!$D$7*'POSF Zone Def'!$Z73</f>
        <v>0</v>
      </c>
      <c r="DH84" s="545">
        <f>SUM('POSF Inventory'!GR76,'POSF Inventory'!GT76)*'POSF Emiss by Zone'!$D$9*'POSF Zone Def'!$Z73</f>
        <v>0</v>
      </c>
      <c r="DI84" s="545"/>
      <c r="DJ84" s="545"/>
      <c r="DK84" s="545">
        <f>'POSF Inventory'!GU76*'POSF Emiss by Zone'!$D$7*'POSF Zone Def'!$Z73</f>
        <v>0</v>
      </c>
      <c r="DL84" s="558">
        <f>'POSF Inventory'!GV76*'POSF Emiss by Zone'!$D$9*'POSF Zone Def'!$Z73</f>
        <v>0</v>
      </c>
      <c r="DM84" s="545">
        <f>SUM('POSF Inventory'!$GQ76,'POSF Inventory'!$GS76)*'POSF Emiss by Zone'!$D$7*'POSF Zone Def'!$AC73</f>
        <v>0</v>
      </c>
      <c r="DN84" s="545">
        <f>SUM('POSF Inventory'!$GR76,'POSF Inventory'!$GT76)*'POSF Emiss by Zone'!$D$9*'POSF Zone Def'!$AC73</f>
        <v>0</v>
      </c>
      <c r="DO84" s="545"/>
      <c r="DP84" s="545"/>
      <c r="DQ84" s="545">
        <f>'POSF Inventory'!$GU76*'POSF Emiss by Zone'!$D$7*'POSF Zone Def'!$AC73</f>
        <v>0</v>
      </c>
      <c r="DR84" s="558">
        <f>'POSF Inventory'!$GV76*'POSF Emiss by Zone'!$D$9*'POSF Zone Def'!$AC73</f>
        <v>0</v>
      </c>
      <c r="DS84" s="532">
        <f>SUM('POSF Inventory'!GW76,'POSF Inventory'!GY76)*$D$7*'POSF Zone Def'!$BB73</f>
        <v>0</v>
      </c>
      <c r="DT84" s="532">
        <f>SUM('POSF Inventory'!GX76,'POSF Inventory'!GZ76)*$D$9*'POSF Zone Def'!$BB73</f>
        <v>1.2442722230609999</v>
      </c>
      <c r="DU84" s="532"/>
      <c r="DV84" s="532"/>
      <c r="DW84" s="532">
        <f>'POSF Inventory'!HA76*'POSF Emiss by Zone'!$D$7*'POSF Zone Def'!$BB73</f>
        <v>0</v>
      </c>
      <c r="DX84" s="533">
        <f>'POSF Inventory'!HB76*'POSF Emiss by Zone'!$D$9*'POSF Zone Def'!$BB73</f>
        <v>0</v>
      </c>
      <c r="DY84" s="545">
        <f>SUM('POSF Inventory'!GW76,'POSF Inventory'!GY76)*$D$7*'POSF Zone Def'!$BC73</f>
        <v>0</v>
      </c>
      <c r="DZ84" s="545">
        <f>SUM('POSF Inventory'!GX76,'POSF Inventory'!GZ76)*$D$9*'POSF Zone Def'!$BC73</f>
        <v>2.9033018538089999</v>
      </c>
      <c r="EA84" s="545"/>
      <c r="EB84" s="545"/>
      <c r="EC84" s="545">
        <f>'POSF Inventory'!HA76*'POSF Emiss by Zone'!$D$7*'POSF Zone Def'!$BC73</f>
        <v>0</v>
      </c>
      <c r="ED84" s="554">
        <f>'POSF Inventory'!HB76*'POSF Emiss by Zone'!$D$9*'POSF Zone Def'!$BC73</f>
        <v>0</v>
      </c>
      <c r="EE84" s="575">
        <f>'POSF Inventory'!$CF76*'POSF Emiss by Zone'!$D$7*'POSF Zone Def'!$CE73</f>
        <v>0</v>
      </c>
      <c r="EF84" s="575">
        <f>'POSF Inventory'!$CG76*'POSF Emiss by Zone'!$D$9*'POSF Zone Def'!$CE73</f>
        <v>0</v>
      </c>
      <c r="EG84" s="575">
        <f>'POSF Inventory'!$CH76*'POSF Emiss by Zone'!$D$7*'POSF Zone Def'!$CE73</f>
        <v>0</v>
      </c>
      <c r="EH84" s="575">
        <f>'POSF Inventory'!$CI76*'POSF Emiss by Zone'!$D$9*'POSF Zone Def'!$CE73</f>
        <v>0</v>
      </c>
      <c r="EI84" s="575">
        <f>'POSF Inventory'!$CJ76*'POSF Emiss by Zone'!$D$7*'POSF Zone Def'!$CE73</f>
        <v>0</v>
      </c>
      <c r="EJ84" s="582">
        <f>'POSF Inventory'!$CK76*'POSF Emiss by Zone'!$D$9*'POSF Zone Def'!$CE73</f>
        <v>0</v>
      </c>
      <c r="EK84" s="575">
        <f>'POSF Inventory'!$CF76*'POSF Emiss by Zone'!$D$7*'POSF Zone Def'!$CF73</f>
        <v>0</v>
      </c>
      <c r="EL84" s="575">
        <f>'POSF Inventory'!$CG76*'POSF Emiss by Zone'!$D$9*'POSF Zone Def'!$CF73</f>
        <v>0</v>
      </c>
      <c r="EM84" s="575">
        <f>'POSF Inventory'!$CH76*'POSF Emiss by Zone'!$D$7*'POSF Zone Def'!$CF73</f>
        <v>0</v>
      </c>
      <c r="EN84" s="575">
        <f>'POSF Inventory'!$CI76*'POSF Emiss by Zone'!$D$9*'POSF Zone Def'!$CF73</f>
        <v>0</v>
      </c>
      <c r="EO84" s="575">
        <f>'POSF Inventory'!$CJ76*'POSF Emiss by Zone'!$D$7*'POSF Zone Def'!$CF73</f>
        <v>0</v>
      </c>
      <c r="EP84" s="582">
        <f>'POSF Inventory'!$CK76*'POSF Emiss by Zone'!$D$9*'POSF Zone Def'!$CF73</f>
        <v>0</v>
      </c>
      <c r="EQ84" s="575">
        <f>'POSF Inventory'!$CF76*'POSF Emiss by Zone'!$D$7*'POSF Zone Def'!$CG73</f>
        <v>0</v>
      </c>
      <c r="ER84" s="575">
        <f>'POSF Inventory'!$CG76*'POSF Emiss by Zone'!$D$9*'POSF Zone Def'!$CG73</f>
        <v>1.0677986728951161E-4</v>
      </c>
      <c r="ES84" s="575">
        <f>'POSF Inventory'!$CH76*'POSF Emiss by Zone'!$D$7*'POSF Zone Def'!$CG73</f>
        <v>0</v>
      </c>
      <c r="ET84" s="575">
        <f>'POSF Inventory'!$CI76*'POSF Emiss by Zone'!$D$9*'POSF Zone Def'!$CG73</f>
        <v>0</v>
      </c>
      <c r="EU84" s="575">
        <f>'POSF Inventory'!$CJ76*'POSF Emiss by Zone'!$D$7*'POSF Zone Def'!$CG73</f>
        <v>0</v>
      </c>
      <c r="EV84" s="582">
        <f>'POSF Inventory'!$CK76*'POSF Emiss by Zone'!$D$9*'POSF Zone Def'!$CG73</f>
        <v>9.6101880560560458E-4</v>
      </c>
      <c r="EW84" s="575">
        <f>'POSF Inventory'!$CF76*'POSF Emiss by Zone'!$D$7*'POSF Zone Def'!$CH73</f>
        <v>0</v>
      </c>
      <c r="EX84" s="575">
        <f>'POSF Inventory'!$CG76*'POSF Emiss by Zone'!$D$9*'POSF Zone Def'!$CH73</f>
        <v>1.6768323577908004</v>
      </c>
      <c r="EY84" s="575">
        <f>'POSF Inventory'!$CH76*'POSF Emiss by Zone'!$D$7*'POSF Zone Def'!$CH73</f>
        <v>0</v>
      </c>
      <c r="EZ84" s="575">
        <f>'POSF Inventory'!$CI76*'POSF Emiss by Zone'!$D$9*'POSF Zone Def'!$CH73</f>
        <v>0</v>
      </c>
      <c r="FA84" s="575">
        <f>'POSF Inventory'!$CJ76*'POSF Emiss by Zone'!$D$7*'POSF Zone Def'!$CH73</f>
        <v>0</v>
      </c>
      <c r="FB84" s="582">
        <f>'POSF Inventory'!$CK76*'POSF Emiss by Zone'!$D$9*'POSF Zone Def'!$CH73</f>
        <v>15.091491220117206</v>
      </c>
      <c r="FC84" s="575">
        <f>'POSF Inventory'!$CF76*'POSF Emiss by Zone'!$D$7*'POSF Zone Def'!$CI73</f>
        <v>0</v>
      </c>
      <c r="FD84" s="575">
        <f>'POSF Inventory'!$CG76*'POSF Emiss by Zone'!$D$9*'POSF Zone Def'!$CI73</f>
        <v>2.2497172323419106</v>
      </c>
      <c r="FE84" s="575">
        <f>'POSF Inventory'!$CH76*'POSF Emiss by Zone'!$D$7*'POSF Zone Def'!$CI73</f>
        <v>0</v>
      </c>
      <c r="FF84" s="575">
        <f>'POSF Inventory'!$CI76*'POSF Emiss by Zone'!$D$9*'POSF Zone Def'!$CI73</f>
        <v>0</v>
      </c>
      <c r="FG84" s="575">
        <f>'POSF Inventory'!$CJ76*'POSF Emiss by Zone'!$D$7*'POSF Zone Def'!$CI73</f>
        <v>0</v>
      </c>
      <c r="FH84" s="579">
        <f>'POSF Inventory'!$CK76*'POSF Emiss by Zone'!$D$9*'POSF Zone Def'!$CI73</f>
        <v>20.2474550910772</v>
      </c>
      <c r="FI84" s="595"/>
      <c r="FJ84" s="595"/>
      <c r="FM84" s="592">
        <v>67</v>
      </c>
      <c r="FN84" s="592">
        <f t="shared" si="98"/>
        <v>2021</v>
      </c>
      <c r="FO84" s="587">
        <v>64</v>
      </c>
      <c r="FP84" s="576">
        <f t="shared" si="20"/>
        <v>0</v>
      </c>
      <c r="FQ84" s="532">
        <f t="shared" si="21"/>
        <v>0.13785890579999999</v>
      </c>
      <c r="FR84" s="532">
        <f t="shared" si="22"/>
        <v>0</v>
      </c>
      <c r="FS84" s="532">
        <f t="shared" si="23"/>
        <v>0</v>
      </c>
      <c r="FT84" s="532">
        <f t="shared" si="24"/>
        <v>0</v>
      </c>
      <c r="FU84" s="533">
        <f t="shared" si="25"/>
        <v>0.102117708</v>
      </c>
      <c r="FV84" s="545">
        <f t="shared" si="26"/>
        <v>0</v>
      </c>
      <c r="FW84" s="545">
        <f t="shared" si="27"/>
        <v>0.32167078019999995</v>
      </c>
      <c r="FX84" s="545">
        <f t="shared" si="28"/>
        <v>0</v>
      </c>
      <c r="FY84" s="545">
        <f t="shared" si="29"/>
        <v>0</v>
      </c>
      <c r="FZ84" s="545">
        <f t="shared" si="30"/>
        <v>0</v>
      </c>
      <c r="GA84" s="554">
        <f t="shared" si="31"/>
        <v>0.23827465199999998</v>
      </c>
      <c r="GB84" s="532">
        <f t="shared" si="32"/>
        <v>0</v>
      </c>
      <c r="GC84" s="532">
        <f t="shared" si="33"/>
        <v>0</v>
      </c>
      <c r="GD84" s="532">
        <f t="shared" si="34"/>
        <v>0</v>
      </c>
      <c r="GE84" s="532">
        <f t="shared" si="35"/>
        <v>2.495025932495019</v>
      </c>
      <c r="GF84" s="532">
        <f t="shared" si="36"/>
        <v>0</v>
      </c>
      <c r="GG84" s="533">
        <f t="shared" si="37"/>
        <v>0.1695181075697211</v>
      </c>
      <c r="GH84" s="545">
        <f t="shared" si="38"/>
        <v>0</v>
      </c>
      <c r="GI84" s="545">
        <f t="shared" si="39"/>
        <v>0</v>
      </c>
      <c r="GJ84" s="545">
        <f t="shared" si="40"/>
        <v>0</v>
      </c>
      <c r="GK84" s="545">
        <f t="shared" si="41"/>
        <v>5.821727175821712</v>
      </c>
      <c r="GL84" s="545">
        <f t="shared" si="42"/>
        <v>0</v>
      </c>
      <c r="GM84" s="545">
        <f t="shared" si="43"/>
        <v>0.39554225099601598</v>
      </c>
      <c r="GN84" s="545">
        <f t="shared" si="44"/>
        <v>0</v>
      </c>
      <c r="GO84" s="545">
        <f t="shared" si="45"/>
        <v>0</v>
      </c>
      <c r="GP84" s="545">
        <f t="shared" si="46"/>
        <v>0</v>
      </c>
      <c r="GQ84" s="545">
        <f t="shared" si="47"/>
        <v>0</v>
      </c>
      <c r="GR84" s="545">
        <f t="shared" si="48"/>
        <v>0</v>
      </c>
      <c r="GS84" s="554">
        <f t="shared" si="49"/>
        <v>0</v>
      </c>
      <c r="GT84" s="532">
        <f t="shared" si="50"/>
        <v>0</v>
      </c>
      <c r="GU84" s="532">
        <f t="shared" si="51"/>
        <v>2.5794219668705973E-2</v>
      </c>
      <c r="GV84" s="532">
        <f t="shared" si="52"/>
        <v>0</v>
      </c>
      <c r="GW84" s="532">
        <f t="shared" si="53"/>
        <v>2.4702650964143427E-4</v>
      </c>
      <c r="GX84" s="532">
        <f t="shared" si="54"/>
        <v>0</v>
      </c>
      <c r="GY84" s="533">
        <f t="shared" si="55"/>
        <v>3.6230554747410369E-3</v>
      </c>
      <c r="GZ84" s="545">
        <f t="shared" si="56"/>
        <v>0</v>
      </c>
      <c r="HA84" s="545">
        <f t="shared" si="57"/>
        <v>6.0186512560313939E-2</v>
      </c>
      <c r="HB84" s="545">
        <f t="shared" si="58"/>
        <v>0</v>
      </c>
      <c r="HC84" s="545">
        <f t="shared" si="59"/>
        <v>5.7639518916334661E-4</v>
      </c>
      <c r="HD84" s="545">
        <f t="shared" si="60"/>
        <v>0</v>
      </c>
      <c r="HE84" s="558">
        <f t="shared" si="61"/>
        <v>8.4537961077290856E-3</v>
      </c>
      <c r="HF84" s="575">
        <f t="shared" si="62"/>
        <v>0</v>
      </c>
      <c r="HG84" s="575">
        <f t="shared" si="63"/>
        <v>1.1060862747120724E-4</v>
      </c>
      <c r="HH84" s="575">
        <f t="shared" si="64"/>
        <v>0</v>
      </c>
      <c r="HI84" s="575">
        <f t="shared" si="65"/>
        <v>0</v>
      </c>
      <c r="HJ84" s="575">
        <f t="shared" si="66"/>
        <v>0</v>
      </c>
      <c r="HK84" s="582">
        <f t="shared" si="67"/>
        <v>9.9547764724086532E-4</v>
      </c>
      <c r="HL84" s="575">
        <f t="shared" si="68"/>
        <v>0</v>
      </c>
      <c r="HM84" s="575">
        <f t="shared" si="69"/>
        <v>1.7369578208191558</v>
      </c>
      <c r="HN84" s="575">
        <f t="shared" si="70"/>
        <v>0</v>
      </c>
      <c r="HO84" s="575">
        <f t="shared" si="71"/>
        <v>0</v>
      </c>
      <c r="HP84" s="575">
        <f t="shared" si="72"/>
        <v>0</v>
      </c>
      <c r="HQ84" s="582">
        <f t="shared" si="73"/>
        <v>15.632620387372404</v>
      </c>
      <c r="HR84" s="575">
        <f t="shared" si="74"/>
        <v>0</v>
      </c>
      <c r="HS84" s="575">
        <f t="shared" si="75"/>
        <v>2.3303843840991902</v>
      </c>
      <c r="HT84" s="575">
        <f t="shared" si="76"/>
        <v>0</v>
      </c>
      <c r="HU84" s="575">
        <f t="shared" si="77"/>
        <v>0</v>
      </c>
      <c r="HV84" s="575">
        <f t="shared" si="78"/>
        <v>0</v>
      </c>
      <c r="HW84" s="579">
        <f t="shared" si="79"/>
        <v>20.973459456892716</v>
      </c>
      <c r="HX84" s="575">
        <f t="shared" si="80"/>
        <v>0</v>
      </c>
      <c r="HY84" s="575">
        <f t="shared" si="81"/>
        <v>1.370863566854535</v>
      </c>
      <c r="HZ84" s="575">
        <f t="shared" si="82"/>
        <v>0</v>
      </c>
      <c r="IA84" s="575">
        <f t="shared" si="83"/>
        <v>1.3128508885482074E-2</v>
      </c>
      <c r="IB84" s="575">
        <f t="shared" si="84"/>
        <v>0</v>
      </c>
      <c r="IC84" s="575">
        <f t="shared" si="85"/>
        <v>0.1925514636537371</v>
      </c>
      <c r="ID84" s="575">
        <f t="shared" si="86"/>
        <v>0</v>
      </c>
      <c r="IE84" s="575">
        <f t="shared" si="87"/>
        <v>3.1986816559939149</v>
      </c>
      <c r="IF84" s="575">
        <f t="shared" si="88"/>
        <v>0</v>
      </c>
      <c r="IG84" s="575">
        <f t="shared" si="89"/>
        <v>3.0633187399458167E-2</v>
      </c>
      <c r="IH84" s="575">
        <f t="shared" si="90"/>
        <v>0</v>
      </c>
      <c r="II84" s="575">
        <f t="shared" si="91"/>
        <v>0.44928674852538653</v>
      </c>
      <c r="IJ84" s="575">
        <f t="shared" si="92"/>
        <v>0</v>
      </c>
      <c r="IK84" s="575">
        <f t="shared" si="93"/>
        <v>0</v>
      </c>
      <c r="IL84" s="575">
        <f t="shared" si="94"/>
        <v>0</v>
      </c>
      <c r="IM84" s="575">
        <f t="shared" si="95"/>
        <v>0</v>
      </c>
      <c r="IN84" s="575">
        <f t="shared" si="96"/>
        <v>0</v>
      </c>
      <c r="IO84" s="575">
        <f t="shared" si="97"/>
        <v>0</v>
      </c>
    </row>
    <row r="85" spans="1:249" ht="18" x14ac:dyDescent="0.25">
      <c r="A85" s="12">
        <v>2022</v>
      </c>
      <c r="B85" s="564"/>
      <c r="C85" s="532">
        <f>'POSF Inventory'!AD77*$D$5*'POSF Zone Def'!$M74</f>
        <v>0</v>
      </c>
      <c r="D85" s="532">
        <f>'POSF Inventory'!AE77*$D$6*'POSF Zone Def'!$M74</f>
        <v>0</v>
      </c>
      <c r="E85" s="532">
        <f>'POSF Inventory'!AF77*$D$5*'POSF Zone Def'!$M74</f>
        <v>0</v>
      </c>
      <c r="F85" s="532">
        <f>'POSF Inventory'!AG77*$D$6*'POSF Zone Def'!$M74</f>
        <v>0</v>
      </c>
      <c r="G85" s="532">
        <f>'POSF Inventory'!AH77*$D$5*'POSF Zone Def'!$M74</f>
        <v>0</v>
      </c>
      <c r="H85" s="533">
        <f>'POSF Inventory'!AI77*$D$6*'POSF Zone Def'!$M74</f>
        <v>0</v>
      </c>
      <c r="I85" s="545">
        <f>'POSF Inventory'!AD77*$D$5*'POSF Zone Def'!$N74</f>
        <v>0</v>
      </c>
      <c r="J85" s="545">
        <f>'POSF Inventory'!AE77*$D$6*'POSF Zone Def'!$N74</f>
        <v>0</v>
      </c>
      <c r="K85" s="545">
        <f>'POSF Inventory'!AF77*$D$5*'POSF Zone Def'!$N74</f>
        <v>0</v>
      </c>
      <c r="L85" s="545">
        <f>'POSF Inventory'!AG77*$D$6*'POSF Zone Def'!$N74</f>
        <v>0</v>
      </c>
      <c r="M85" s="545">
        <f>'POSF Inventory'!AH77*$D$5*'POSF Zone Def'!$N74</f>
        <v>0</v>
      </c>
      <c r="N85" s="558">
        <f>'POSF Inventory'!AI77*$D$6*'POSF Zone Def'!$N74</f>
        <v>0</v>
      </c>
      <c r="O85" s="532">
        <f>'POSF Inventory'!AJ77*$D$5*'POSF Zone Def'!$AP74</f>
        <v>0</v>
      </c>
      <c r="P85" s="532">
        <f>'POSF Inventory'!AK77*$D$6*'POSF Zone Def'!$AP74</f>
        <v>0.10339417934999999</v>
      </c>
      <c r="Q85" s="532">
        <f>'POSF Inventory'!AL77*$D$5*'POSF Zone Def'!$AP74</f>
        <v>0</v>
      </c>
      <c r="R85" s="532">
        <f>'POSF Inventory'!AM77*$D$6*'POSF Zone Def'!$AP74</f>
        <v>0</v>
      </c>
      <c r="S85" s="532">
        <f>'POSF Inventory'!AN77*$D$5*'POSF Zone Def'!$AP74</f>
        <v>0</v>
      </c>
      <c r="T85" s="533">
        <f>'POSF Inventory'!AO77*$D$6*'POSF Zone Def'!$AP74</f>
        <v>7.6588280999999994E-2</v>
      </c>
      <c r="U85" s="545">
        <f>'POSF Inventory'!AJ77*$D$5*'POSF Zone Def'!$AQ74</f>
        <v>0</v>
      </c>
      <c r="V85" s="545">
        <f>'POSF Inventory'!AK77*$D$6*'POSF Zone Def'!$AQ74</f>
        <v>0.24125308514999999</v>
      </c>
      <c r="W85" s="545">
        <f>'POSF Inventory'!AL77*$D$5*'POSF Zone Def'!$AQ74</f>
        <v>0</v>
      </c>
      <c r="X85" s="545">
        <f>'POSF Inventory'!AM77*$D$6*'POSF Zone Def'!$AQ74</f>
        <v>0</v>
      </c>
      <c r="Y85" s="545">
        <f>'POSF Inventory'!AN77*$D$5*'POSF Zone Def'!$AQ74</f>
        <v>0</v>
      </c>
      <c r="Z85" s="554">
        <f>'POSF Inventory'!AO77*$D$6*'POSF Zone Def'!$AQ74</f>
        <v>0.17870598899999998</v>
      </c>
      <c r="AA85" s="532">
        <f>'POSF Inventory'!AV77*'POSF Emiss by Zone'!$D$5*'POSF Zone Def'!$M74</f>
        <v>0</v>
      </c>
      <c r="AB85" s="532">
        <f>'POSF Inventory'!AW77*'POSF Emiss by Zone'!$D$6*'POSF Zone Def'!$M74</f>
        <v>0</v>
      </c>
      <c r="AC85" s="532">
        <f>'POSF Inventory'!AX77*'POSF Emiss by Zone'!$D$5*'POSF Zone Def'!$M74</f>
        <v>0</v>
      </c>
      <c r="AD85" s="532">
        <f>'POSF Inventory'!AY77*'POSF Emiss by Zone'!$D$6*'POSF Zone Def'!$M74</f>
        <v>0</v>
      </c>
      <c r="AE85" s="532">
        <f>'POSF Inventory'!AZ77*'POSF Emiss by Zone'!$D$5*'POSF Zone Def'!$M74</f>
        <v>0</v>
      </c>
      <c r="AF85" s="533">
        <f>'POSF Inventory'!BA77*'POSF Emiss by Zone'!$D$6*'POSF Zone Def'!$M74</f>
        <v>0</v>
      </c>
      <c r="AG85" s="545">
        <f>'POSF Inventory'!AV77*'POSF Emiss by Zone'!$D$5*'POSF Zone Def'!$N74</f>
        <v>0</v>
      </c>
      <c r="AH85" s="545">
        <f>'POSF Inventory'!AW77*'POSF Emiss by Zone'!$D$6*'POSF Zone Def'!$N74</f>
        <v>0</v>
      </c>
      <c r="AI85" s="545">
        <f>'POSF Inventory'!AX77*'POSF Emiss by Zone'!$D$5*'POSF Zone Def'!$N74</f>
        <v>0</v>
      </c>
      <c r="AJ85" s="545">
        <f>'POSF Inventory'!AY77*'POSF Emiss by Zone'!$D$6*'POSF Zone Def'!$N74</f>
        <v>0</v>
      </c>
      <c r="AK85" s="545">
        <f>'POSF Inventory'!AZ77*'POSF Emiss by Zone'!$D$5*'POSF Zone Def'!$N74</f>
        <v>0</v>
      </c>
      <c r="AL85" s="558">
        <f>'POSF Inventory'!BA77*'POSF Emiss by Zone'!$D$6*'POSF Zone Def'!$N74</f>
        <v>0</v>
      </c>
      <c r="AM85" s="532">
        <f>'POSF Inventory'!BB77*'POSF Emiss by Zone'!$D$5*'POSF Zone Def'!$AP74</f>
        <v>0</v>
      </c>
      <c r="AN85" s="532">
        <f>'POSF Inventory'!BC77*'POSF Emiss by Zone'!$D$6*'POSF Zone Def'!$AP74</f>
        <v>0</v>
      </c>
      <c r="AO85" s="532">
        <f>'POSF Inventory'!BD77*'POSF Emiss by Zone'!$D$5*'POSF Zone Def'!$AP74</f>
        <v>0</v>
      </c>
      <c r="AP85" s="532">
        <f>'POSF Inventory'!BE77*'POSF Emiss by Zone'!$D$6*'POSF Zone Def'!$AP74</f>
        <v>6.8929452900000007E-2</v>
      </c>
      <c r="AQ85" s="532">
        <f>'POSF Inventory'!BF77*'POSF Emiss by Zone'!$D$5*'POSF Zone Def'!$AP74</f>
        <v>0</v>
      </c>
      <c r="AR85" s="533">
        <f>'POSF Inventory'!BG77*'POSF Emiss by Zone'!$D$6*'POSF Zone Def'!$AP74</f>
        <v>0.12764713499999999</v>
      </c>
      <c r="AS85" s="545">
        <f>'POSF Inventory'!BB77*'POSF Emiss by Zone'!$D$5*'POSF Zone Def'!$AQ74</f>
        <v>0</v>
      </c>
      <c r="AT85" s="545">
        <f>'POSF Inventory'!BC77*'POSF Emiss by Zone'!$D$6*'POSF Zone Def'!$AQ74</f>
        <v>0</v>
      </c>
      <c r="AU85" s="545">
        <f>'POSF Inventory'!BD77*'POSF Emiss by Zone'!$D$5*'POSF Zone Def'!$AQ74</f>
        <v>0</v>
      </c>
      <c r="AV85" s="545">
        <f>'POSF Inventory'!BE77*'POSF Emiss by Zone'!$D$6*'POSF Zone Def'!$AQ74</f>
        <v>0.1608353901</v>
      </c>
      <c r="AW85" s="545">
        <f>'POSF Inventory'!BF77*'POSF Emiss by Zone'!$D$5*'POSF Zone Def'!$AQ74</f>
        <v>0</v>
      </c>
      <c r="AX85" s="554">
        <f>'POSF Inventory'!BG77*'POSF Emiss by Zone'!$D$6*'POSF Zone Def'!$AQ74</f>
        <v>0.29784331499999994</v>
      </c>
      <c r="AY85" s="532">
        <f>'POSF Inventory'!EA77*'POSF Emiss by Zone'!$D$5*'POSF Zone Def'!$Y74</f>
        <v>0</v>
      </c>
      <c r="AZ85" s="532">
        <f>'POSF Inventory'!EB77*'POSF Emiss by Zone'!$D$6*'POSF Zone Def'!$Y74</f>
        <v>0</v>
      </c>
      <c r="BA85" s="532">
        <f>'POSF Inventory'!EC77*'POSF Emiss by Zone'!$D$5*'POSF Zone Def'!$Y74</f>
        <v>0</v>
      </c>
      <c r="BB85" s="532">
        <f>'POSF Inventory'!ED77*'POSF Emiss by Zone'!$D$6*'POSF Zone Def'!$Y74</f>
        <v>0</v>
      </c>
      <c r="BC85" s="532">
        <f>'POSF Inventory'!EE77*'POSF Emiss by Zone'!$D$5*'POSF Zone Def'!$Y74</f>
        <v>0</v>
      </c>
      <c r="BD85" s="533">
        <f>'POSF Inventory'!EF77*'POSF Emiss by Zone'!$D$6*'POSF Zone Def'!$Y74</f>
        <v>0</v>
      </c>
      <c r="BE85" s="545">
        <f>'POSF Inventory'!EA77*'POSF Emiss by Zone'!$D$5*'POSF Zone Def'!$Z74</f>
        <v>0</v>
      </c>
      <c r="BF85" s="545">
        <f>'POSF Inventory'!EB77*'POSF Emiss by Zone'!$D$6*'POSF Zone Def'!$Z74</f>
        <v>0</v>
      </c>
      <c r="BG85" s="545">
        <f>'POSF Inventory'!EC77*'POSF Emiss by Zone'!$D$5*'POSF Zone Def'!$Z74</f>
        <v>0</v>
      </c>
      <c r="BH85" s="545">
        <f>'POSF Inventory'!ED77*'POSF Emiss by Zone'!$D$6*'POSF Zone Def'!$Z74</f>
        <v>0</v>
      </c>
      <c r="BI85" s="545">
        <f>'POSF Inventory'!EE77*'POSF Emiss by Zone'!$D$5*'POSF Zone Def'!$Z74</f>
        <v>0</v>
      </c>
      <c r="BJ85" s="558">
        <f>'POSF Inventory'!EF77*'POSF Emiss by Zone'!$D$6*'POSF Zone Def'!$Z74</f>
        <v>0</v>
      </c>
      <c r="BK85" s="545">
        <f>'POSF Inventory'!$EA77*'POSF Emiss by Zone'!$D$5*'POSF Zone Def'!$AC74</f>
        <v>0</v>
      </c>
      <c r="BL85" s="545">
        <f>'POSF Inventory'!$EB77*'POSF Emiss by Zone'!$D$6*'POSF Zone Def'!$AC74</f>
        <v>0</v>
      </c>
      <c r="BM85" s="545">
        <f>'POSF Inventory'!$EC77*'POSF Emiss by Zone'!$D$5*'POSF Zone Def'!$AC74</f>
        <v>0</v>
      </c>
      <c r="BN85" s="545">
        <f>'POSF Inventory'!$ED77*'POSF Emiss by Zone'!$D$6*'POSF Zone Def'!$AC74</f>
        <v>0</v>
      </c>
      <c r="BO85" s="545">
        <f>'POSF Inventory'!$EE77*'POSF Emiss by Zone'!$D$5*'POSF Zone Def'!$AC74</f>
        <v>0</v>
      </c>
      <c r="BP85" s="558">
        <f>'POSF Inventory'!$EF77*'POSF Emiss by Zone'!$D$6*'POSF Zone Def'!$AC74</f>
        <v>0</v>
      </c>
      <c r="BQ85" s="532">
        <f>'POSF Inventory'!EG77*'POSF Emiss by Zone'!$D$5*'POSF Zone Def'!$BB74</f>
        <v>0</v>
      </c>
      <c r="BR85" s="532">
        <f>'POSF Inventory'!EH77*'POSF Emiss by Zone'!$D$6*'POSF Zone Def'!$BB74</f>
        <v>0</v>
      </c>
      <c r="BS85" s="532">
        <f>'POSF Inventory'!EI77*'POSF Emiss by Zone'!$D$5*'POSF Zone Def'!$BB74</f>
        <v>0</v>
      </c>
      <c r="BT85" s="532">
        <f>'POSF Inventory'!EJ77*'POSF Emiss by Zone'!$D$6*'POSF Zone Def'!$BB74</f>
        <v>1.2042817305749995</v>
      </c>
      <c r="BU85" s="532">
        <f>'POSF Inventory'!EK77*'POSF Emiss by Zone'!$D$5*'POSF Zone Def'!$BB74</f>
        <v>0</v>
      </c>
      <c r="BV85" s="533">
        <f>'POSF Inventory'!EL77*'POSF Emiss by Zone'!$D$6*'POSF Zone Def'!$BB74</f>
        <v>0</v>
      </c>
      <c r="BW85" s="545">
        <f>'POSF Inventory'!EG77*'POSF Emiss by Zone'!$D$5*'POSF Zone Def'!$BC74</f>
        <v>0</v>
      </c>
      <c r="BX85" s="545">
        <f>'POSF Inventory'!EH77*'POSF Emiss by Zone'!$D$6*'POSF Zone Def'!$BC74</f>
        <v>0</v>
      </c>
      <c r="BY85" s="545">
        <f>'POSF Inventory'!EI77*'POSF Emiss by Zone'!$D$5*'POSF Zone Def'!$BC74</f>
        <v>0</v>
      </c>
      <c r="BZ85" s="545">
        <f>'POSF Inventory'!EJ77*'POSF Emiss by Zone'!$D$6*'POSF Zone Def'!$BC74</f>
        <v>2.8099907046749988</v>
      </c>
      <c r="CA85" s="545">
        <f>'POSF Inventory'!EK77*'POSF Emiss by Zone'!$D$5*'POSF Zone Def'!$BC74</f>
        <v>0</v>
      </c>
      <c r="CB85" s="554">
        <f>'POSF Inventory'!EL77*'POSF Emiss by Zone'!$D$6*'POSF Zone Def'!$BC74</f>
        <v>0</v>
      </c>
      <c r="CC85" s="532">
        <f>'POSF Inventory'!GC77*'POSF Emiss by Zone'!$D$7*'POSF Zone Def'!$M74</f>
        <v>0</v>
      </c>
      <c r="CD85" s="532">
        <f>'POSF Inventory'!GD77*'POSF Emiss by Zone'!$D$9*'POSF Zone Def'!$M74</f>
        <v>0</v>
      </c>
      <c r="CE85" s="532">
        <f>'POSF Inventory'!GE77*'POSF Emiss by Zone'!$D$7*'POSF Zone Def'!$M74</f>
        <v>0</v>
      </c>
      <c r="CF85" s="532">
        <f>'POSF Inventory'!GF77*'POSF Emiss by Zone'!$D$9*'POSF Zone Def'!$M74</f>
        <v>0</v>
      </c>
      <c r="CG85" s="532">
        <f>'POSF Inventory'!GG77*'POSF Emiss by Zone'!$D$7*'POSF Zone Def'!$M74</f>
        <v>0</v>
      </c>
      <c r="CH85" s="533">
        <f>'POSF Inventory'!GH77*'POSF Emiss by Zone'!$D$9*'POSF Zone Def'!$M74</f>
        <v>0</v>
      </c>
      <c r="CI85" s="545">
        <f>'POSF Inventory'!GC77*'POSF Emiss by Zone'!$D$7*'POSF Zone Def'!$N74</f>
        <v>0</v>
      </c>
      <c r="CJ85" s="545">
        <f>'POSF Inventory'!GD77*'POSF Emiss by Zone'!$D$9*'POSF Zone Def'!$N74</f>
        <v>0</v>
      </c>
      <c r="CK85" s="545">
        <f>'POSF Inventory'!GE77*'POSF Emiss by Zone'!$D$7*'POSF Zone Def'!$N74</f>
        <v>0</v>
      </c>
      <c r="CL85" s="545">
        <f>'POSF Inventory'!GF77*'POSF Emiss by Zone'!$D$9*'POSF Zone Def'!$N74</f>
        <v>0</v>
      </c>
      <c r="CM85" s="545">
        <f>'POSF Inventory'!GG77*'POSF Emiss by Zone'!$D$7*'POSF Zone Def'!$N74</f>
        <v>0</v>
      </c>
      <c r="CN85" s="558">
        <f>'POSF Inventory'!GH77*'POSF Emiss by Zone'!$D$9*'POSF Zone Def'!$N74</f>
        <v>0</v>
      </c>
      <c r="CO85" s="532">
        <f>'POSF Inventory'!GI77*'POSF Emiss by Zone'!$D$7*'POSF Zone Def'!$AP74</f>
        <v>0</v>
      </c>
      <c r="CP85" s="532">
        <f>'POSF Inventory'!GJ77*'POSF Emiss by Zone'!$D$9*'POSF Zone Def'!$AP74</f>
        <v>5.961889800000002E-4</v>
      </c>
      <c r="CQ85" s="532">
        <f>'POSF Inventory'!GK77*'POSF Emiss by Zone'!$D$7*'POSF Zone Def'!$AP74</f>
        <v>0</v>
      </c>
      <c r="CR85" s="532">
        <f>'POSF Inventory'!GL77*'POSF Emiss by Zone'!$D$9*'POSF Zone Def'!$AP74</f>
        <v>8.9428347000000009E-3</v>
      </c>
      <c r="CS85" s="532">
        <f>'POSF Inventory'!GM77*'POSF Emiss by Zone'!$D$7*'POSF Zone Def'!$AP74</f>
        <v>0</v>
      </c>
      <c r="CT85" s="533">
        <f>'POSF Inventory'!GN77*'POSF Emiss by Zone'!$D$9*'POSF Zone Def'!$AP74</f>
        <v>0.1311615756</v>
      </c>
      <c r="CU85" s="545">
        <f>'POSF Inventory'!GI77*'POSF Emiss by Zone'!$D$7*'POSF Zone Def'!$AQ74</f>
        <v>0</v>
      </c>
      <c r="CV85" s="545">
        <f>'POSF Inventory'!GJ77*'POSF Emiss by Zone'!$D$9*'POSF Zone Def'!$AQ74</f>
        <v>1.3911076200000003E-3</v>
      </c>
      <c r="CW85" s="545">
        <f>'POSF Inventory'!GK77*'POSF Emiss by Zone'!$D$7*'POSF Zone Def'!$AQ74</f>
        <v>0</v>
      </c>
      <c r="CX85" s="545">
        <f>'POSF Inventory'!GL77*'POSF Emiss by Zone'!$D$9*'POSF Zone Def'!$AQ74</f>
        <v>2.0866614299999999E-2</v>
      </c>
      <c r="CY85" s="545">
        <f>'POSF Inventory'!GM77*'POSF Emiss by Zone'!$D$7*'POSF Zone Def'!$AQ74</f>
        <v>0</v>
      </c>
      <c r="CZ85" s="554">
        <f>'POSF Inventory'!GN77*'POSF Emiss by Zone'!$D$9*'POSF Zone Def'!$AQ74</f>
        <v>0.30604367640000002</v>
      </c>
      <c r="DA85" s="532">
        <f>SUM('POSF Inventory'!GQ77,'POSF Inventory'!GS77)*'POSF Emiss by Zone'!$D$7*'POSF Zone Def'!$Y74</f>
        <v>0</v>
      </c>
      <c r="DB85" s="532">
        <f>SUM('POSF Inventory'!GR77,'POSF Inventory'!GT77)*'POSF Emiss by Zone'!$D$9*'POSF Zone Def'!$Y74</f>
        <v>0</v>
      </c>
      <c r="DC85" s="532"/>
      <c r="DD85" s="532"/>
      <c r="DE85" s="532">
        <f>'POSF Inventory'!GU77*'POSF Emiss by Zone'!$D$7*'POSF Zone Def'!$Y74</f>
        <v>0</v>
      </c>
      <c r="DF85" s="533">
        <f>'POSF Inventory'!GV77*'POSF Emiss by Zone'!$D$9*'POSF Zone Def'!$Y74</f>
        <v>0</v>
      </c>
      <c r="DG85" s="545">
        <f>SUM('POSF Inventory'!GQ77,'POSF Inventory'!GS77)*'POSF Emiss by Zone'!$D$7*'POSF Zone Def'!$Z74</f>
        <v>0</v>
      </c>
      <c r="DH85" s="545">
        <f>SUM('POSF Inventory'!GR77,'POSF Inventory'!GT77)*'POSF Emiss by Zone'!$D$9*'POSF Zone Def'!$Z74</f>
        <v>0</v>
      </c>
      <c r="DI85" s="545"/>
      <c r="DJ85" s="545"/>
      <c r="DK85" s="545">
        <f>'POSF Inventory'!GU77*'POSF Emiss by Zone'!$D$7*'POSF Zone Def'!$Z74</f>
        <v>0</v>
      </c>
      <c r="DL85" s="558">
        <f>'POSF Inventory'!GV77*'POSF Emiss by Zone'!$D$9*'POSF Zone Def'!$Z74</f>
        <v>0</v>
      </c>
      <c r="DM85" s="545">
        <f>SUM('POSF Inventory'!$GQ77,'POSF Inventory'!$GS77)*'POSF Emiss by Zone'!$D$7*'POSF Zone Def'!$AC74</f>
        <v>0</v>
      </c>
      <c r="DN85" s="545">
        <f>SUM('POSF Inventory'!$GR77,'POSF Inventory'!$GT77)*'POSF Emiss by Zone'!$D$9*'POSF Zone Def'!$AC74</f>
        <v>0</v>
      </c>
      <c r="DO85" s="545"/>
      <c r="DP85" s="545"/>
      <c r="DQ85" s="545">
        <f>'POSF Inventory'!$GU77*'POSF Emiss by Zone'!$D$7*'POSF Zone Def'!$AC74</f>
        <v>0</v>
      </c>
      <c r="DR85" s="558">
        <f>'POSF Inventory'!$GV77*'POSF Emiss by Zone'!$D$9*'POSF Zone Def'!$AC74</f>
        <v>0</v>
      </c>
      <c r="DS85" s="532">
        <f>SUM('POSF Inventory'!GW77,'POSF Inventory'!GY77)*$D$7*'POSF Zone Def'!$BB74</f>
        <v>0</v>
      </c>
      <c r="DT85" s="532">
        <f>SUM('POSF Inventory'!GX77,'POSF Inventory'!GZ77)*$D$9*'POSF Zone Def'!$BB74</f>
        <v>0.41267678224762455</v>
      </c>
      <c r="DU85" s="532"/>
      <c r="DV85" s="532"/>
      <c r="DW85" s="532">
        <f>'POSF Inventory'!HA77*'POSF Emiss by Zone'!$D$7*'POSF Zone Def'!$BB74</f>
        <v>0</v>
      </c>
      <c r="DX85" s="533">
        <f>'POSF Inventory'!HB77*'POSF Emiss by Zone'!$D$9*'POSF Zone Def'!$BB74</f>
        <v>0</v>
      </c>
      <c r="DY85" s="545">
        <f>SUM('POSF Inventory'!GW77,'POSF Inventory'!GY77)*$D$7*'POSF Zone Def'!$BC74</f>
        <v>0</v>
      </c>
      <c r="DZ85" s="545">
        <f>SUM('POSF Inventory'!GX77,'POSF Inventory'!GZ77)*$D$9*'POSF Zone Def'!$BC74</f>
        <v>0.96291249191112394</v>
      </c>
      <c r="EA85" s="545"/>
      <c r="EB85" s="545"/>
      <c r="EC85" s="545">
        <f>'POSF Inventory'!HA77*'POSF Emiss by Zone'!$D$7*'POSF Zone Def'!$BC74</f>
        <v>0</v>
      </c>
      <c r="ED85" s="554">
        <f>'POSF Inventory'!HB77*'POSF Emiss by Zone'!$D$9*'POSF Zone Def'!$BC74</f>
        <v>0</v>
      </c>
      <c r="EE85" s="575">
        <f>'POSF Inventory'!$CF77*'POSF Emiss by Zone'!$D$7*'POSF Zone Def'!$CE74</f>
        <v>0</v>
      </c>
      <c r="EF85" s="575">
        <f>'POSF Inventory'!$CG77*'POSF Emiss by Zone'!$D$9*'POSF Zone Def'!$CE74</f>
        <v>0</v>
      </c>
      <c r="EG85" s="575">
        <f>'POSF Inventory'!$CH77*'POSF Emiss by Zone'!$D$7*'POSF Zone Def'!$CE74</f>
        <v>0</v>
      </c>
      <c r="EH85" s="575">
        <f>'POSF Inventory'!$CI77*'POSF Emiss by Zone'!$D$9*'POSF Zone Def'!$CE74</f>
        <v>0</v>
      </c>
      <c r="EI85" s="575">
        <f>'POSF Inventory'!$CJ77*'POSF Emiss by Zone'!$D$7*'POSF Zone Def'!$CE74</f>
        <v>0</v>
      </c>
      <c r="EJ85" s="582">
        <f>'POSF Inventory'!$CK77*'POSF Emiss by Zone'!$D$9*'POSF Zone Def'!$CE74</f>
        <v>0</v>
      </c>
      <c r="EK85" s="575">
        <f>'POSF Inventory'!$CF77*'POSF Emiss by Zone'!$D$7*'POSF Zone Def'!$CF74</f>
        <v>0</v>
      </c>
      <c r="EL85" s="575">
        <f>'POSF Inventory'!$CG77*'POSF Emiss by Zone'!$D$9*'POSF Zone Def'!$CF74</f>
        <v>0</v>
      </c>
      <c r="EM85" s="575">
        <f>'POSF Inventory'!$CH77*'POSF Emiss by Zone'!$D$7*'POSF Zone Def'!$CF74</f>
        <v>0</v>
      </c>
      <c r="EN85" s="575">
        <f>'POSF Inventory'!$CI77*'POSF Emiss by Zone'!$D$9*'POSF Zone Def'!$CF74</f>
        <v>0</v>
      </c>
      <c r="EO85" s="575">
        <f>'POSF Inventory'!$CJ77*'POSF Emiss by Zone'!$D$7*'POSF Zone Def'!$CF74</f>
        <v>0</v>
      </c>
      <c r="EP85" s="582">
        <f>'POSF Inventory'!$CK77*'POSF Emiss by Zone'!$D$9*'POSF Zone Def'!$CF74</f>
        <v>0</v>
      </c>
      <c r="EQ85" s="575">
        <f>'POSF Inventory'!$CF77*'POSF Emiss by Zone'!$D$7*'POSF Zone Def'!$CG74</f>
        <v>0</v>
      </c>
      <c r="ER85" s="575">
        <f>'POSF Inventory'!$CG77*'POSF Emiss by Zone'!$D$9*'POSF Zone Def'!$CG74</f>
        <v>1.0677986728951161E-4</v>
      </c>
      <c r="ES85" s="575">
        <f>'POSF Inventory'!$CH77*'POSF Emiss by Zone'!$D$7*'POSF Zone Def'!$CG74</f>
        <v>0</v>
      </c>
      <c r="ET85" s="575">
        <f>'POSF Inventory'!$CI77*'POSF Emiss by Zone'!$D$9*'POSF Zone Def'!$CG74</f>
        <v>0</v>
      </c>
      <c r="EU85" s="575">
        <f>'POSF Inventory'!$CJ77*'POSF Emiss by Zone'!$D$7*'POSF Zone Def'!$CG74</f>
        <v>0</v>
      </c>
      <c r="EV85" s="582">
        <f>'POSF Inventory'!$CK77*'POSF Emiss by Zone'!$D$9*'POSF Zone Def'!$CG74</f>
        <v>9.6101880560560458E-4</v>
      </c>
      <c r="EW85" s="575">
        <f>'POSF Inventory'!$CF77*'POSF Emiss by Zone'!$D$7*'POSF Zone Def'!$CH74</f>
        <v>0</v>
      </c>
      <c r="EX85" s="575">
        <f>'POSF Inventory'!$CG77*'POSF Emiss by Zone'!$D$9*'POSF Zone Def'!$CH74</f>
        <v>1.6768323577908004</v>
      </c>
      <c r="EY85" s="575">
        <f>'POSF Inventory'!$CH77*'POSF Emiss by Zone'!$D$7*'POSF Zone Def'!$CH74</f>
        <v>0</v>
      </c>
      <c r="EZ85" s="575">
        <f>'POSF Inventory'!$CI77*'POSF Emiss by Zone'!$D$9*'POSF Zone Def'!$CH74</f>
        <v>0</v>
      </c>
      <c r="FA85" s="575">
        <f>'POSF Inventory'!$CJ77*'POSF Emiss by Zone'!$D$7*'POSF Zone Def'!$CH74</f>
        <v>0</v>
      </c>
      <c r="FB85" s="582">
        <f>'POSF Inventory'!$CK77*'POSF Emiss by Zone'!$D$9*'POSF Zone Def'!$CH74</f>
        <v>15.091491220117206</v>
      </c>
      <c r="FC85" s="575">
        <f>'POSF Inventory'!$CF77*'POSF Emiss by Zone'!$D$7*'POSF Zone Def'!$CI74</f>
        <v>0</v>
      </c>
      <c r="FD85" s="575">
        <f>'POSF Inventory'!$CG77*'POSF Emiss by Zone'!$D$9*'POSF Zone Def'!$CI74</f>
        <v>2.2497172323419106</v>
      </c>
      <c r="FE85" s="575">
        <f>'POSF Inventory'!$CH77*'POSF Emiss by Zone'!$D$7*'POSF Zone Def'!$CI74</f>
        <v>0</v>
      </c>
      <c r="FF85" s="575">
        <f>'POSF Inventory'!$CI77*'POSF Emiss by Zone'!$D$9*'POSF Zone Def'!$CI74</f>
        <v>0</v>
      </c>
      <c r="FG85" s="575">
        <f>'POSF Inventory'!$CJ77*'POSF Emiss by Zone'!$D$7*'POSF Zone Def'!$CI74</f>
        <v>0</v>
      </c>
      <c r="FH85" s="579">
        <f>'POSF Inventory'!$CK77*'POSF Emiss by Zone'!$D$9*'POSF Zone Def'!$CI74</f>
        <v>20.2474550910772</v>
      </c>
      <c r="FI85" s="595"/>
      <c r="FJ85" s="595"/>
      <c r="FM85" s="592">
        <v>68</v>
      </c>
      <c r="FN85" s="592">
        <f t="shared" ref="FN85:FN93" si="99">A85</f>
        <v>2022</v>
      </c>
      <c r="FO85" s="587">
        <v>65</v>
      </c>
      <c r="FP85" s="576">
        <f t="shared" si="20"/>
        <v>0</v>
      </c>
      <c r="FQ85" s="532">
        <f t="shared" si="21"/>
        <v>0.10339417934999999</v>
      </c>
      <c r="FR85" s="532">
        <f t="shared" si="22"/>
        <v>0</v>
      </c>
      <c r="FS85" s="532">
        <f t="shared" si="23"/>
        <v>0</v>
      </c>
      <c r="FT85" s="532">
        <f t="shared" si="24"/>
        <v>0</v>
      </c>
      <c r="FU85" s="533">
        <f t="shared" si="25"/>
        <v>7.6588280999999994E-2</v>
      </c>
      <c r="FV85" s="545">
        <f t="shared" si="26"/>
        <v>0</v>
      </c>
      <c r="FW85" s="545">
        <f t="shared" si="27"/>
        <v>0.24125308514999999</v>
      </c>
      <c r="FX85" s="545">
        <f t="shared" si="28"/>
        <v>0</v>
      </c>
      <c r="FY85" s="545">
        <f t="shared" si="29"/>
        <v>0</v>
      </c>
      <c r="FZ85" s="545">
        <f t="shared" si="30"/>
        <v>0</v>
      </c>
      <c r="GA85" s="554">
        <f t="shared" si="31"/>
        <v>0.17870598899999998</v>
      </c>
      <c r="GB85" s="532">
        <f t="shared" si="32"/>
        <v>0</v>
      </c>
      <c r="GC85" s="532">
        <f t="shared" si="33"/>
        <v>0</v>
      </c>
      <c r="GD85" s="532">
        <f t="shared" si="34"/>
        <v>0</v>
      </c>
      <c r="GE85" s="532">
        <f t="shared" si="35"/>
        <v>1.268138628959163</v>
      </c>
      <c r="GF85" s="532">
        <f t="shared" si="36"/>
        <v>0</v>
      </c>
      <c r="GG85" s="533">
        <f t="shared" si="37"/>
        <v>0.12713858067729084</v>
      </c>
      <c r="GH85" s="545">
        <f t="shared" si="38"/>
        <v>0</v>
      </c>
      <c r="GI85" s="545">
        <f t="shared" si="39"/>
        <v>0</v>
      </c>
      <c r="GJ85" s="545">
        <f t="shared" si="40"/>
        <v>0</v>
      </c>
      <c r="GK85" s="545">
        <f t="shared" si="41"/>
        <v>2.9589901342380465</v>
      </c>
      <c r="GL85" s="545">
        <f t="shared" si="42"/>
        <v>0</v>
      </c>
      <c r="GM85" s="545">
        <f t="shared" si="43"/>
        <v>0.29665668824701191</v>
      </c>
      <c r="GN85" s="545">
        <f t="shared" si="44"/>
        <v>0</v>
      </c>
      <c r="GO85" s="545">
        <f t="shared" si="45"/>
        <v>0</v>
      </c>
      <c r="GP85" s="545">
        <f t="shared" si="46"/>
        <v>0</v>
      </c>
      <c r="GQ85" s="545">
        <f t="shared" si="47"/>
        <v>0</v>
      </c>
      <c r="GR85" s="545">
        <f t="shared" si="48"/>
        <v>0</v>
      </c>
      <c r="GS85" s="554">
        <f t="shared" si="49"/>
        <v>0</v>
      </c>
      <c r="GT85" s="532">
        <f t="shared" si="50"/>
        <v>0</v>
      </c>
      <c r="GU85" s="532">
        <f t="shared" si="51"/>
        <v>8.5618304796161258E-3</v>
      </c>
      <c r="GV85" s="532">
        <f t="shared" si="52"/>
        <v>0</v>
      </c>
      <c r="GW85" s="532">
        <f t="shared" si="53"/>
        <v>1.8526988223107571E-4</v>
      </c>
      <c r="GX85" s="532">
        <f t="shared" si="54"/>
        <v>0</v>
      </c>
      <c r="GY85" s="533">
        <f t="shared" si="55"/>
        <v>2.7172916060557765E-3</v>
      </c>
      <c r="GZ85" s="545">
        <f t="shared" si="56"/>
        <v>0</v>
      </c>
      <c r="HA85" s="545">
        <f t="shared" si="57"/>
        <v>1.9977604452437625E-2</v>
      </c>
      <c r="HB85" s="545">
        <f t="shared" si="58"/>
        <v>0</v>
      </c>
      <c r="HC85" s="545">
        <f t="shared" si="59"/>
        <v>4.3229639187250996E-4</v>
      </c>
      <c r="HD85" s="545">
        <f t="shared" si="60"/>
        <v>0</v>
      </c>
      <c r="HE85" s="558">
        <f t="shared" si="61"/>
        <v>6.3403470807968125E-3</v>
      </c>
      <c r="HF85" s="575">
        <f t="shared" si="62"/>
        <v>0</v>
      </c>
      <c r="HG85" s="575">
        <f t="shared" si="63"/>
        <v>1.1060862747120724E-4</v>
      </c>
      <c r="HH85" s="575">
        <f t="shared" si="64"/>
        <v>0</v>
      </c>
      <c r="HI85" s="575">
        <f t="shared" si="65"/>
        <v>0</v>
      </c>
      <c r="HJ85" s="575">
        <f t="shared" si="66"/>
        <v>0</v>
      </c>
      <c r="HK85" s="582">
        <f t="shared" si="67"/>
        <v>9.9547764724086532E-4</v>
      </c>
      <c r="HL85" s="575">
        <f t="shared" si="68"/>
        <v>0</v>
      </c>
      <c r="HM85" s="575">
        <f t="shared" si="69"/>
        <v>1.7369578208191558</v>
      </c>
      <c r="HN85" s="575">
        <f t="shared" si="70"/>
        <v>0</v>
      </c>
      <c r="HO85" s="575">
        <f t="shared" si="71"/>
        <v>0</v>
      </c>
      <c r="HP85" s="575">
        <f t="shared" si="72"/>
        <v>0</v>
      </c>
      <c r="HQ85" s="582">
        <f t="shared" si="73"/>
        <v>15.632620387372404</v>
      </c>
      <c r="HR85" s="575">
        <f t="shared" si="74"/>
        <v>0</v>
      </c>
      <c r="HS85" s="575">
        <f t="shared" si="75"/>
        <v>2.3303843840991902</v>
      </c>
      <c r="HT85" s="575">
        <f t="shared" si="76"/>
        <v>0</v>
      </c>
      <c r="HU85" s="575">
        <f t="shared" si="77"/>
        <v>0</v>
      </c>
      <c r="HV85" s="575">
        <f t="shared" si="78"/>
        <v>0</v>
      </c>
      <c r="HW85" s="579">
        <f t="shared" si="79"/>
        <v>20.973459456892716</v>
      </c>
      <c r="HX85" s="575">
        <f t="shared" si="80"/>
        <v>0</v>
      </c>
      <c r="HY85" s="575">
        <f t="shared" si="81"/>
        <v>0.45502835987436774</v>
      </c>
      <c r="HZ85" s="575">
        <f t="shared" si="82"/>
        <v>0</v>
      </c>
      <c r="IA85" s="575">
        <f t="shared" si="83"/>
        <v>9.8463816641115535E-3</v>
      </c>
      <c r="IB85" s="575">
        <f t="shared" si="84"/>
        <v>0</v>
      </c>
      <c r="IC85" s="575">
        <f t="shared" si="85"/>
        <v>0.14441359774030277</v>
      </c>
      <c r="ID85" s="575">
        <f t="shared" si="86"/>
        <v>0</v>
      </c>
      <c r="IE85" s="575">
        <f t="shared" si="87"/>
        <v>1.0617328397068582</v>
      </c>
      <c r="IF85" s="575">
        <f t="shared" si="88"/>
        <v>0</v>
      </c>
      <c r="IG85" s="575">
        <f t="shared" si="89"/>
        <v>2.2974890549593622E-2</v>
      </c>
      <c r="IH85" s="575">
        <f t="shared" si="90"/>
        <v>0</v>
      </c>
      <c r="II85" s="575">
        <f t="shared" si="91"/>
        <v>0.33696506139403981</v>
      </c>
      <c r="IJ85" s="575">
        <f t="shared" si="92"/>
        <v>0</v>
      </c>
      <c r="IK85" s="575">
        <f t="shared" si="93"/>
        <v>0</v>
      </c>
      <c r="IL85" s="575">
        <f t="shared" si="94"/>
        <v>0</v>
      </c>
      <c r="IM85" s="575">
        <f t="shared" si="95"/>
        <v>0</v>
      </c>
      <c r="IN85" s="575">
        <f t="shared" si="96"/>
        <v>0</v>
      </c>
      <c r="IO85" s="575">
        <f t="shared" si="97"/>
        <v>0</v>
      </c>
    </row>
    <row r="86" spans="1:249" ht="18" x14ac:dyDescent="0.25">
      <c r="A86" s="12">
        <v>2023</v>
      </c>
      <c r="B86" s="564"/>
      <c r="C86" s="532">
        <f>'POSF Inventory'!AD78*$D$5*'POSF Zone Def'!$M75</f>
        <v>0</v>
      </c>
      <c r="D86" s="532">
        <f>'POSF Inventory'!AE78*$D$6*'POSF Zone Def'!$M75</f>
        <v>0</v>
      </c>
      <c r="E86" s="532">
        <f>'POSF Inventory'!AF78*$D$5*'POSF Zone Def'!$M75</f>
        <v>0</v>
      </c>
      <c r="F86" s="532">
        <f>'POSF Inventory'!AG78*$D$6*'POSF Zone Def'!$M75</f>
        <v>0</v>
      </c>
      <c r="G86" s="532">
        <f>'POSF Inventory'!AH78*$D$5*'POSF Zone Def'!$M75</f>
        <v>0</v>
      </c>
      <c r="H86" s="533">
        <f>'POSF Inventory'!AI78*$D$6*'POSF Zone Def'!$M75</f>
        <v>0</v>
      </c>
      <c r="I86" s="545">
        <f>'POSF Inventory'!AD78*$D$5*'POSF Zone Def'!$N75</f>
        <v>0</v>
      </c>
      <c r="J86" s="545">
        <f>'POSF Inventory'!AE78*$D$6*'POSF Zone Def'!$N75</f>
        <v>0</v>
      </c>
      <c r="K86" s="545">
        <f>'POSF Inventory'!AF78*$D$5*'POSF Zone Def'!$N75</f>
        <v>0</v>
      </c>
      <c r="L86" s="545">
        <f>'POSF Inventory'!AG78*$D$6*'POSF Zone Def'!$N75</f>
        <v>0</v>
      </c>
      <c r="M86" s="545">
        <f>'POSF Inventory'!AH78*$D$5*'POSF Zone Def'!$N75</f>
        <v>0</v>
      </c>
      <c r="N86" s="558">
        <f>'POSF Inventory'!AI78*$D$6*'POSF Zone Def'!$N75</f>
        <v>0</v>
      </c>
      <c r="O86" s="532">
        <f>'POSF Inventory'!AJ78*$D$5*'POSF Zone Def'!$AP75</f>
        <v>0</v>
      </c>
      <c r="P86" s="532">
        <f>'POSF Inventory'!AK78*$D$6*'POSF Zone Def'!$AP75</f>
        <v>6.8929452899999993E-2</v>
      </c>
      <c r="Q86" s="532">
        <f>'POSF Inventory'!AL78*$D$5*'POSF Zone Def'!$AP75</f>
        <v>0</v>
      </c>
      <c r="R86" s="532">
        <f>'POSF Inventory'!AM78*$D$6*'POSF Zone Def'!$AP75</f>
        <v>0</v>
      </c>
      <c r="S86" s="532">
        <f>'POSF Inventory'!AN78*$D$5*'POSF Zone Def'!$AP75</f>
        <v>0</v>
      </c>
      <c r="T86" s="533">
        <f>'POSF Inventory'!AO78*$D$6*'POSF Zone Def'!$AP75</f>
        <v>5.1058854000000001E-2</v>
      </c>
      <c r="U86" s="545">
        <f>'POSF Inventory'!AJ78*$D$5*'POSF Zone Def'!$AQ75</f>
        <v>0</v>
      </c>
      <c r="V86" s="545">
        <f>'POSF Inventory'!AK78*$D$6*'POSF Zone Def'!$AQ75</f>
        <v>0.16083539009999998</v>
      </c>
      <c r="W86" s="545">
        <f>'POSF Inventory'!AL78*$D$5*'POSF Zone Def'!$AQ75</f>
        <v>0</v>
      </c>
      <c r="X86" s="545">
        <f>'POSF Inventory'!AM78*$D$6*'POSF Zone Def'!$AQ75</f>
        <v>0</v>
      </c>
      <c r="Y86" s="545">
        <f>'POSF Inventory'!AN78*$D$5*'POSF Zone Def'!$AQ75</f>
        <v>0</v>
      </c>
      <c r="Z86" s="554">
        <f>'POSF Inventory'!AO78*$D$6*'POSF Zone Def'!$AQ75</f>
        <v>0.11913732599999999</v>
      </c>
      <c r="AA86" s="532">
        <f>'POSF Inventory'!AV78*'POSF Emiss by Zone'!$D$5*'POSF Zone Def'!$M75</f>
        <v>0</v>
      </c>
      <c r="AB86" s="532">
        <f>'POSF Inventory'!AW78*'POSF Emiss by Zone'!$D$6*'POSF Zone Def'!$M75</f>
        <v>0</v>
      </c>
      <c r="AC86" s="532">
        <f>'POSF Inventory'!AX78*'POSF Emiss by Zone'!$D$5*'POSF Zone Def'!$M75</f>
        <v>0</v>
      </c>
      <c r="AD86" s="532">
        <f>'POSF Inventory'!AY78*'POSF Emiss by Zone'!$D$6*'POSF Zone Def'!$M75</f>
        <v>0</v>
      </c>
      <c r="AE86" s="532">
        <f>'POSF Inventory'!AZ78*'POSF Emiss by Zone'!$D$5*'POSF Zone Def'!$M75</f>
        <v>0</v>
      </c>
      <c r="AF86" s="533">
        <f>'POSF Inventory'!BA78*'POSF Emiss by Zone'!$D$6*'POSF Zone Def'!$M75</f>
        <v>0</v>
      </c>
      <c r="AG86" s="545">
        <f>'POSF Inventory'!AV78*'POSF Emiss by Zone'!$D$5*'POSF Zone Def'!$N75</f>
        <v>0</v>
      </c>
      <c r="AH86" s="545">
        <f>'POSF Inventory'!AW78*'POSF Emiss by Zone'!$D$6*'POSF Zone Def'!$N75</f>
        <v>0</v>
      </c>
      <c r="AI86" s="545">
        <f>'POSF Inventory'!AX78*'POSF Emiss by Zone'!$D$5*'POSF Zone Def'!$N75</f>
        <v>0</v>
      </c>
      <c r="AJ86" s="545">
        <f>'POSF Inventory'!AY78*'POSF Emiss by Zone'!$D$6*'POSF Zone Def'!$N75</f>
        <v>0</v>
      </c>
      <c r="AK86" s="545">
        <f>'POSF Inventory'!AZ78*'POSF Emiss by Zone'!$D$5*'POSF Zone Def'!$N75</f>
        <v>0</v>
      </c>
      <c r="AL86" s="558">
        <f>'POSF Inventory'!BA78*'POSF Emiss by Zone'!$D$6*'POSF Zone Def'!$N75</f>
        <v>0</v>
      </c>
      <c r="AM86" s="532">
        <f>'POSF Inventory'!BB78*'POSF Emiss by Zone'!$D$5*'POSF Zone Def'!$AP75</f>
        <v>0</v>
      </c>
      <c r="AN86" s="532">
        <f>'POSF Inventory'!BC78*'POSF Emiss by Zone'!$D$6*'POSF Zone Def'!$AP75</f>
        <v>0</v>
      </c>
      <c r="AO86" s="532">
        <f>'POSF Inventory'!BD78*'POSF Emiss by Zone'!$D$5*'POSF Zone Def'!$AP75</f>
        <v>0</v>
      </c>
      <c r="AP86" s="532">
        <f>'POSF Inventory'!BE78*'POSF Emiss by Zone'!$D$6*'POSF Zone Def'!$AP75</f>
        <v>4.5952968599999998E-2</v>
      </c>
      <c r="AQ86" s="532">
        <f>'POSF Inventory'!BF78*'POSF Emiss by Zone'!$D$5*'POSF Zone Def'!$AP75</f>
        <v>0</v>
      </c>
      <c r="AR86" s="533">
        <f>'POSF Inventory'!BG78*'POSF Emiss by Zone'!$D$6*'POSF Zone Def'!$AP75</f>
        <v>8.5098090000000001E-2</v>
      </c>
      <c r="AS86" s="545">
        <f>'POSF Inventory'!BB78*'POSF Emiss by Zone'!$D$5*'POSF Zone Def'!$AQ75</f>
        <v>0</v>
      </c>
      <c r="AT86" s="545">
        <f>'POSF Inventory'!BC78*'POSF Emiss by Zone'!$D$6*'POSF Zone Def'!$AQ75</f>
        <v>0</v>
      </c>
      <c r="AU86" s="545">
        <f>'POSF Inventory'!BD78*'POSF Emiss by Zone'!$D$5*'POSF Zone Def'!$AQ75</f>
        <v>0</v>
      </c>
      <c r="AV86" s="545">
        <f>'POSF Inventory'!BE78*'POSF Emiss by Zone'!$D$6*'POSF Zone Def'!$AQ75</f>
        <v>0.10722359339999998</v>
      </c>
      <c r="AW86" s="545">
        <f>'POSF Inventory'!BF78*'POSF Emiss by Zone'!$D$5*'POSF Zone Def'!$AQ75</f>
        <v>0</v>
      </c>
      <c r="AX86" s="554">
        <f>'POSF Inventory'!BG78*'POSF Emiss by Zone'!$D$6*'POSF Zone Def'!$AQ75</f>
        <v>0.19856221000000002</v>
      </c>
      <c r="AY86" s="532">
        <f>'POSF Inventory'!EA78*'POSF Emiss by Zone'!$D$5*'POSF Zone Def'!$Y75</f>
        <v>0</v>
      </c>
      <c r="AZ86" s="532">
        <f>'POSF Inventory'!EB78*'POSF Emiss by Zone'!$D$6*'POSF Zone Def'!$Y75</f>
        <v>0</v>
      </c>
      <c r="BA86" s="532">
        <f>'POSF Inventory'!EC78*'POSF Emiss by Zone'!$D$5*'POSF Zone Def'!$Y75</f>
        <v>0</v>
      </c>
      <c r="BB86" s="532">
        <f>'POSF Inventory'!ED78*'POSF Emiss by Zone'!$D$6*'POSF Zone Def'!$Y75</f>
        <v>0</v>
      </c>
      <c r="BC86" s="532">
        <f>'POSF Inventory'!EE78*'POSF Emiss by Zone'!$D$5*'POSF Zone Def'!$Y75</f>
        <v>0</v>
      </c>
      <c r="BD86" s="533">
        <f>'POSF Inventory'!EF78*'POSF Emiss by Zone'!$D$6*'POSF Zone Def'!$Y75</f>
        <v>0</v>
      </c>
      <c r="BE86" s="545">
        <f>'POSF Inventory'!EA78*'POSF Emiss by Zone'!$D$5*'POSF Zone Def'!$Z75</f>
        <v>0</v>
      </c>
      <c r="BF86" s="545">
        <f>'POSF Inventory'!EB78*'POSF Emiss by Zone'!$D$6*'POSF Zone Def'!$Z75</f>
        <v>0</v>
      </c>
      <c r="BG86" s="545">
        <f>'POSF Inventory'!EC78*'POSF Emiss by Zone'!$D$5*'POSF Zone Def'!$Z75</f>
        <v>0</v>
      </c>
      <c r="BH86" s="545">
        <f>'POSF Inventory'!ED78*'POSF Emiss by Zone'!$D$6*'POSF Zone Def'!$Z75</f>
        <v>0</v>
      </c>
      <c r="BI86" s="545">
        <f>'POSF Inventory'!EE78*'POSF Emiss by Zone'!$D$5*'POSF Zone Def'!$Z75</f>
        <v>0</v>
      </c>
      <c r="BJ86" s="558">
        <f>'POSF Inventory'!EF78*'POSF Emiss by Zone'!$D$6*'POSF Zone Def'!$Z75</f>
        <v>0</v>
      </c>
      <c r="BK86" s="545">
        <f>'POSF Inventory'!$EA78*'POSF Emiss by Zone'!$D$5*'POSF Zone Def'!$AC75</f>
        <v>0</v>
      </c>
      <c r="BL86" s="545">
        <f>'POSF Inventory'!$EB78*'POSF Emiss by Zone'!$D$6*'POSF Zone Def'!$AC75</f>
        <v>0</v>
      </c>
      <c r="BM86" s="545">
        <f>'POSF Inventory'!$EC78*'POSF Emiss by Zone'!$D$5*'POSF Zone Def'!$AC75</f>
        <v>0</v>
      </c>
      <c r="BN86" s="545">
        <f>'POSF Inventory'!$ED78*'POSF Emiss by Zone'!$D$6*'POSF Zone Def'!$AC75</f>
        <v>0</v>
      </c>
      <c r="BO86" s="545">
        <f>'POSF Inventory'!$EE78*'POSF Emiss by Zone'!$D$5*'POSF Zone Def'!$AC75</f>
        <v>0</v>
      </c>
      <c r="BP86" s="558">
        <f>'POSF Inventory'!$EF78*'POSF Emiss by Zone'!$D$6*'POSF Zone Def'!$AC75</f>
        <v>0</v>
      </c>
      <c r="BQ86" s="532">
        <f>'POSF Inventory'!EG78*'POSF Emiss by Zone'!$D$5*'POSF Zone Def'!$BB75</f>
        <v>0</v>
      </c>
      <c r="BR86" s="532">
        <f>'POSF Inventory'!EH78*'POSF Emiss by Zone'!$D$6*'POSF Zone Def'!$BB75</f>
        <v>0</v>
      </c>
      <c r="BS86" s="532">
        <f>'POSF Inventory'!EI78*'POSF Emiss by Zone'!$D$5*'POSF Zone Def'!$BB75</f>
        <v>0</v>
      </c>
      <c r="BT86" s="532">
        <f>'POSF Inventory'!EJ78*'POSF Emiss by Zone'!$D$6*'POSF Zone Def'!$BB75</f>
        <v>0.29993627317499966</v>
      </c>
      <c r="BU86" s="532">
        <f>'POSF Inventory'!EK78*'POSF Emiss by Zone'!$D$5*'POSF Zone Def'!$BB75</f>
        <v>0</v>
      </c>
      <c r="BV86" s="533">
        <f>'POSF Inventory'!EL78*'POSF Emiss by Zone'!$D$6*'POSF Zone Def'!$BB75</f>
        <v>0</v>
      </c>
      <c r="BW86" s="545">
        <f>'POSF Inventory'!EG78*'POSF Emiss by Zone'!$D$5*'POSF Zone Def'!$BC75</f>
        <v>0</v>
      </c>
      <c r="BX86" s="545">
        <f>'POSF Inventory'!EH78*'POSF Emiss by Zone'!$D$6*'POSF Zone Def'!$BC75</f>
        <v>0</v>
      </c>
      <c r="BY86" s="545">
        <f>'POSF Inventory'!EI78*'POSF Emiss by Zone'!$D$5*'POSF Zone Def'!$BC75</f>
        <v>0</v>
      </c>
      <c r="BZ86" s="545">
        <f>'POSF Inventory'!EJ78*'POSF Emiss by Zone'!$D$6*'POSF Zone Def'!$BC75</f>
        <v>0.69985130407499918</v>
      </c>
      <c r="CA86" s="545">
        <f>'POSF Inventory'!EK78*'POSF Emiss by Zone'!$D$5*'POSF Zone Def'!$BC75</f>
        <v>0</v>
      </c>
      <c r="CB86" s="554">
        <f>'POSF Inventory'!EL78*'POSF Emiss by Zone'!$D$6*'POSF Zone Def'!$BC75</f>
        <v>0</v>
      </c>
      <c r="CC86" s="532">
        <f>'POSF Inventory'!GC78*'POSF Emiss by Zone'!$D$7*'POSF Zone Def'!$M75</f>
        <v>0</v>
      </c>
      <c r="CD86" s="532">
        <f>'POSF Inventory'!GD78*'POSF Emiss by Zone'!$D$9*'POSF Zone Def'!$M75</f>
        <v>0</v>
      </c>
      <c r="CE86" s="532">
        <f>'POSF Inventory'!GE78*'POSF Emiss by Zone'!$D$7*'POSF Zone Def'!$M75</f>
        <v>0</v>
      </c>
      <c r="CF86" s="532">
        <f>'POSF Inventory'!GF78*'POSF Emiss by Zone'!$D$9*'POSF Zone Def'!$M75</f>
        <v>0</v>
      </c>
      <c r="CG86" s="532">
        <f>'POSF Inventory'!GG78*'POSF Emiss by Zone'!$D$7*'POSF Zone Def'!$M75</f>
        <v>0</v>
      </c>
      <c r="CH86" s="533">
        <f>'POSF Inventory'!GH78*'POSF Emiss by Zone'!$D$9*'POSF Zone Def'!$M75</f>
        <v>0</v>
      </c>
      <c r="CI86" s="545">
        <f>'POSF Inventory'!GC78*'POSF Emiss by Zone'!$D$7*'POSF Zone Def'!$N75</f>
        <v>0</v>
      </c>
      <c r="CJ86" s="545">
        <f>'POSF Inventory'!GD78*'POSF Emiss by Zone'!$D$9*'POSF Zone Def'!$N75</f>
        <v>0</v>
      </c>
      <c r="CK86" s="545">
        <f>'POSF Inventory'!GE78*'POSF Emiss by Zone'!$D$7*'POSF Zone Def'!$N75</f>
        <v>0</v>
      </c>
      <c r="CL86" s="545">
        <f>'POSF Inventory'!GF78*'POSF Emiss by Zone'!$D$9*'POSF Zone Def'!$N75</f>
        <v>0</v>
      </c>
      <c r="CM86" s="545">
        <f>'POSF Inventory'!GG78*'POSF Emiss by Zone'!$D$7*'POSF Zone Def'!$N75</f>
        <v>0</v>
      </c>
      <c r="CN86" s="558">
        <f>'POSF Inventory'!GH78*'POSF Emiss by Zone'!$D$9*'POSF Zone Def'!$N75</f>
        <v>0</v>
      </c>
      <c r="CO86" s="532">
        <f>'POSF Inventory'!GI78*'POSF Emiss by Zone'!$D$7*'POSF Zone Def'!$AP75</f>
        <v>0</v>
      </c>
      <c r="CP86" s="532">
        <f>'POSF Inventory'!GJ78*'POSF Emiss by Zone'!$D$9*'POSF Zone Def'!$AP75</f>
        <v>3.9745932000000009E-4</v>
      </c>
      <c r="CQ86" s="532">
        <f>'POSF Inventory'!GK78*'POSF Emiss by Zone'!$D$7*'POSF Zone Def'!$AP75</f>
        <v>0</v>
      </c>
      <c r="CR86" s="532">
        <f>'POSF Inventory'!GL78*'POSF Emiss by Zone'!$D$9*'POSF Zone Def'!$AP75</f>
        <v>5.9618898000000009E-3</v>
      </c>
      <c r="CS86" s="532">
        <f>'POSF Inventory'!GM78*'POSF Emiss by Zone'!$D$7*'POSF Zone Def'!$AP75</f>
        <v>0</v>
      </c>
      <c r="CT86" s="533">
        <f>'POSF Inventory'!GN78*'POSF Emiss by Zone'!$D$9*'POSF Zone Def'!$AP75</f>
        <v>8.7441050400000025E-2</v>
      </c>
      <c r="CU86" s="545">
        <f>'POSF Inventory'!GI78*'POSF Emiss by Zone'!$D$7*'POSF Zone Def'!$AQ75</f>
        <v>0</v>
      </c>
      <c r="CV86" s="545">
        <f>'POSF Inventory'!GJ78*'POSF Emiss by Zone'!$D$9*'POSF Zone Def'!$AQ75</f>
        <v>9.2740508000000018E-4</v>
      </c>
      <c r="CW86" s="545">
        <f>'POSF Inventory'!GK78*'POSF Emiss by Zone'!$D$7*'POSF Zone Def'!$AQ75</f>
        <v>0</v>
      </c>
      <c r="CX86" s="545">
        <f>'POSF Inventory'!GL78*'POSF Emiss by Zone'!$D$9*'POSF Zone Def'!$AQ75</f>
        <v>1.3911076200000001E-2</v>
      </c>
      <c r="CY86" s="545">
        <f>'POSF Inventory'!GM78*'POSF Emiss by Zone'!$D$7*'POSF Zone Def'!$AQ75</f>
        <v>0</v>
      </c>
      <c r="CZ86" s="554">
        <f>'POSF Inventory'!GN78*'POSF Emiss by Zone'!$D$9*'POSF Zone Def'!$AQ75</f>
        <v>0.20402911760000006</v>
      </c>
      <c r="DA86" s="532">
        <f>SUM('POSF Inventory'!GQ78,'POSF Inventory'!GS78)*'POSF Emiss by Zone'!$D$7*'POSF Zone Def'!$Y75</f>
        <v>0</v>
      </c>
      <c r="DB86" s="532">
        <f>SUM('POSF Inventory'!GR78,'POSF Inventory'!GT78)*'POSF Emiss by Zone'!$D$9*'POSF Zone Def'!$Y75</f>
        <v>0</v>
      </c>
      <c r="DC86" s="532"/>
      <c r="DD86" s="532"/>
      <c r="DE86" s="532">
        <f>'POSF Inventory'!GU78*'POSF Emiss by Zone'!$D$7*'POSF Zone Def'!$Y75</f>
        <v>0</v>
      </c>
      <c r="DF86" s="533">
        <f>'POSF Inventory'!GV78*'POSF Emiss by Zone'!$D$9*'POSF Zone Def'!$Y75</f>
        <v>0</v>
      </c>
      <c r="DG86" s="545">
        <f>SUM('POSF Inventory'!GQ78,'POSF Inventory'!GS78)*'POSF Emiss by Zone'!$D$7*'POSF Zone Def'!$Z75</f>
        <v>0</v>
      </c>
      <c r="DH86" s="545">
        <f>SUM('POSF Inventory'!GR78,'POSF Inventory'!GT78)*'POSF Emiss by Zone'!$D$9*'POSF Zone Def'!$Z75</f>
        <v>0</v>
      </c>
      <c r="DI86" s="545"/>
      <c r="DJ86" s="545"/>
      <c r="DK86" s="545">
        <f>'POSF Inventory'!GU78*'POSF Emiss by Zone'!$D$7*'POSF Zone Def'!$Z75</f>
        <v>0</v>
      </c>
      <c r="DL86" s="558">
        <f>'POSF Inventory'!GV78*'POSF Emiss by Zone'!$D$9*'POSF Zone Def'!$Z75</f>
        <v>0</v>
      </c>
      <c r="DM86" s="545">
        <f>SUM('POSF Inventory'!$GQ78,'POSF Inventory'!$GS78)*'POSF Emiss by Zone'!$D$7*'POSF Zone Def'!$AC75</f>
        <v>0</v>
      </c>
      <c r="DN86" s="545">
        <f>SUM('POSF Inventory'!$GR78,'POSF Inventory'!$GT78)*'POSF Emiss by Zone'!$D$9*'POSF Zone Def'!$AC75</f>
        <v>0</v>
      </c>
      <c r="DO86" s="545"/>
      <c r="DP86" s="545"/>
      <c r="DQ86" s="545">
        <f>'POSF Inventory'!$GU78*'POSF Emiss by Zone'!$D$7*'POSF Zone Def'!$AC75</f>
        <v>0</v>
      </c>
      <c r="DR86" s="558">
        <f>'POSF Inventory'!$GV78*'POSF Emiss by Zone'!$D$9*'POSF Zone Def'!$AC75</f>
        <v>0</v>
      </c>
      <c r="DS86" s="532">
        <f>SUM('POSF Inventory'!GW78,'POSF Inventory'!GY78)*$D$7*'POSF Zone Def'!$BB75</f>
        <v>0</v>
      </c>
      <c r="DT86" s="532">
        <f>SUM('POSF Inventory'!GX78,'POSF Inventory'!GZ78)*$D$9*'POSF Zone Def'!$BB75</f>
        <v>0</v>
      </c>
      <c r="DU86" s="532"/>
      <c r="DV86" s="532"/>
      <c r="DW86" s="532">
        <f>'POSF Inventory'!HA78*'POSF Emiss by Zone'!$D$7*'POSF Zone Def'!$BB75</f>
        <v>0</v>
      </c>
      <c r="DX86" s="533">
        <f>'POSF Inventory'!HB78*'POSF Emiss by Zone'!$D$9*'POSF Zone Def'!$BB75</f>
        <v>0</v>
      </c>
      <c r="DY86" s="545">
        <f>SUM('POSF Inventory'!GW78,'POSF Inventory'!GY78)*$D$7*'POSF Zone Def'!$BC75</f>
        <v>0</v>
      </c>
      <c r="DZ86" s="545">
        <f>SUM('POSF Inventory'!GX78,'POSF Inventory'!GZ78)*$D$9*'POSF Zone Def'!$BC75</f>
        <v>0</v>
      </c>
      <c r="EA86" s="545"/>
      <c r="EB86" s="545"/>
      <c r="EC86" s="545">
        <f>'POSF Inventory'!HA78*'POSF Emiss by Zone'!$D$7*'POSF Zone Def'!$BC75</f>
        <v>0</v>
      </c>
      <c r="ED86" s="554">
        <f>'POSF Inventory'!HB78*'POSF Emiss by Zone'!$D$9*'POSF Zone Def'!$BC75</f>
        <v>0</v>
      </c>
      <c r="EE86" s="575">
        <f>'POSF Inventory'!$CF78*'POSF Emiss by Zone'!$D$7*'POSF Zone Def'!$CE75</f>
        <v>0</v>
      </c>
      <c r="EF86" s="575">
        <f>'POSF Inventory'!$CG78*'POSF Emiss by Zone'!$D$9*'POSF Zone Def'!$CE75</f>
        <v>0</v>
      </c>
      <c r="EG86" s="575">
        <f>'POSF Inventory'!$CH78*'POSF Emiss by Zone'!$D$7*'POSF Zone Def'!$CE75</f>
        <v>0</v>
      </c>
      <c r="EH86" s="575">
        <f>'POSF Inventory'!$CI78*'POSF Emiss by Zone'!$D$9*'POSF Zone Def'!$CE75</f>
        <v>0</v>
      </c>
      <c r="EI86" s="575">
        <f>'POSF Inventory'!$CJ78*'POSF Emiss by Zone'!$D$7*'POSF Zone Def'!$CE75</f>
        <v>0</v>
      </c>
      <c r="EJ86" s="582">
        <f>'POSF Inventory'!$CK78*'POSF Emiss by Zone'!$D$9*'POSF Zone Def'!$CE75</f>
        <v>0</v>
      </c>
      <c r="EK86" s="575">
        <f>'POSF Inventory'!$CF78*'POSF Emiss by Zone'!$D$7*'POSF Zone Def'!$CF75</f>
        <v>0</v>
      </c>
      <c r="EL86" s="575">
        <f>'POSF Inventory'!$CG78*'POSF Emiss by Zone'!$D$9*'POSF Zone Def'!$CF75</f>
        <v>0</v>
      </c>
      <c r="EM86" s="575">
        <f>'POSF Inventory'!$CH78*'POSF Emiss by Zone'!$D$7*'POSF Zone Def'!$CF75</f>
        <v>0</v>
      </c>
      <c r="EN86" s="575">
        <f>'POSF Inventory'!$CI78*'POSF Emiss by Zone'!$D$9*'POSF Zone Def'!$CF75</f>
        <v>0</v>
      </c>
      <c r="EO86" s="575">
        <f>'POSF Inventory'!$CJ78*'POSF Emiss by Zone'!$D$7*'POSF Zone Def'!$CF75</f>
        <v>0</v>
      </c>
      <c r="EP86" s="582">
        <f>'POSF Inventory'!$CK78*'POSF Emiss by Zone'!$D$9*'POSF Zone Def'!$CF75</f>
        <v>0</v>
      </c>
      <c r="EQ86" s="575">
        <f>'POSF Inventory'!$CF78*'POSF Emiss by Zone'!$D$7*'POSF Zone Def'!$CG75</f>
        <v>0</v>
      </c>
      <c r="ER86" s="575">
        <f>'POSF Inventory'!$CG78*'POSF Emiss by Zone'!$D$9*'POSF Zone Def'!$CG75</f>
        <v>1.0677986728951161E-4</v>
      </c>
      <c r="ES86" s="575">
        <f>'POSF Inventory'!$CH78*'POSF Emiss by Zone'!$D$7*'POSF Zone Def'!$CG75</f>
        <v>0</v>
      </c>
      <c r="ET86" s="575">
        <f>'POSF Inventory'!$CI78*'POSF Emiss by Zone'!$D$9*'POSF Zone Def'!$CG75</f>
        <v>0</v>
      </c>
      <c r="EU86" s="575">
        <f>'POSF Inventory'!$CJ78*'POSF Emiss by Zone'!$D$7*'POSF Zone Def'!$CG75</f>
        <v>0</v>
      </c>
      <c r="EV86" s="582">
        <f>'POSF Inventory'!$CK78*'POSF Emiss by Zone'!$D$9*'POSF Zone Def'!$CG75</f>
        <v>9.6101880560560458E-4</v>
      </c>
      <c r="EW86" s="575">
        <f>'POSF Inventory'!$CF78*'POSF Emiss by Zone'!$D$7*'POSF Zone Def'!$CH75</f>
        <v>0</v>
      </c>
      <c r="EX86" s="575">
        <f>'POSF Inventory'!$CG78*'POSF Emiss by Zone'!$D$9*'POSF Zone Def'!$CH75</f>
        <v>1.6768323577908004</v>
      </c>
      <c r="EY86" s="575">
        <f>'POSF Inventory'!$CH78*'POSF Emiss by Zone'!$D$7*'POSF Zone Def'!$CH75</f>
        <v>0</v>
      </c>
      <c r="EZ86" s="575">
        <f>'POSF Inventory'!$CI78*'POSF Emiss by Zone'!$D$9*'POSF Zone Def'!$CH75</f>
        <v>0</v>
      </c>
      <c r="FA86" s="575">
        <f>'POSF Inventory'!$CJ78*'POSF Emiss by Zone'!$D$7*'POSF Zone Def'!$CH75</f>
        <v>0</v>
      </c>
      <c r="FB86" s="582">
        <f>'POSF Inventory'!$CK78*'POSF Emiss by Zone'!$D$9*'POSF Zone Def'!$CH75</f>
        <v>15.091491220117206</v>
      </c>
      <c r="FC86" s="575">
        <f>'POSF Inventory'!$CF78*'POSF Emiss by Zone'!$D$7*'POSF Zone Def'!$CI75</f>
        <v>0</v>
      </c>
      <c r="FD86" s="575">
        <f>'POSF Inventory'!$CG78*'POSF Emiss by Zone'!$D$9*'POSF Zone Def'!$CI75</f>
        <v>2.2497172323419106</v>
      </c>
      <c r="FE86" s="575">
        <f>'POSF Inventory'!$CH78*'POSF Emiss by Zone'!$D$7*'POSF Zone Def'!$CI75</f>
        <v>0</v>
      </c>
      <c r="FF86" s="575">
        <f>'POSF Inventory'!$CI78*'POSF Emiss by Zone'!$D$9*'POSF Zone Def'!$CI75</f>
        <v>0</v>
      </c>
      <c r="FG86" s="575">
        <f>'POSF Inventory'!$CJ78*'POSF Emiss by Zone'!$D$7*'POSF Zone Def'!$CI75</f>
        <v>0</v>
      </c>
      <c r="FH86" s="579">
        <f>'POSF Inventory'!$CK78*'POSF Emiss by Zone'!$D$9*'POSF Zone Def'!$CI75</f>
        <v>20.2474550910772</v>
      </c>
      <c r="FI86" s="595"/>
      <c r="FJ86" s="595"/>
      <c r="FM86" s="592">
        <v>69</v>
      </c>
      <c r="FN86" s="592">
        <f t="shared" si="99"/>
        <v>2023</v>
      </c>
      <c r="FO86" s="587">
        <v>66</v>
      </c>
      <c r="FP86" s="576">
        <f t="shared" ref="FP86:FP93" si="100">SUM(C86,O86)</f>
        <v>0</v>
      </c>
      <c r="FQ86" s="532">
        <f t="shared" ref="FQ86:FQ93" si="101">SUM(D86,P86)</f>
        <v>6.8929452899999993E-2</v>
      </c>
      <c r="FR86" s="532">
        <f t="shared" ref="FR86:FR93" si="102">SUM(E86,Q86)</f>
        <v>0</v>
      </c>
      <c r="FS86" s="532">
        <f t="shared" ref="FS86:FS93" si="103">SUM(F86,R86)</f>
        <v>0</v>
      </c>
      <c r="FT86" s="532">
        <f t="shared" ref="FT86:FT93" si="104">SUM(G86,S86)</f>
        <v>0</v>
      </c>
      <c r="FU86" s="533">
        <f t="shared" ref="FU86:FU93" si="105">SUM(H86,T86)</f>
        <v>5.1058854000000001E-2</v>
      </c>
      <c r="FV86" s="545">
        <f t="shared" ref="FV86:FV93" si="106">SUM(I86,U86)</f>
        <v>0</v>
      </c>
      <c r="FW86" s="545">
        <f t="shared" ref="FW86:FW93" si="107">SUM(J86,V86)</f>
        <v>0.16083539009999998</v>
      </c>
      <c r="FX86" s="545">
        <f t="shared" ref="FX86:FX93" si="108">SUM(K86,W86)</f>
        <v>0</v>
      </c>
      <c r="FY86" s="545">
        <f t="shared" ref="FY86:FY93" si="109">SUM(L86,X86)</f>
        <v>0</v>
      </c>
      <c r="FZ86" s="545">
        <f t="shared" ref="FZ86:FZ93" si="110">SUM(M86,Y86)</f>
        <v>0</v>
      </c>
      <c r="GA86" s="554">
        <f t="shared" ref="GA86:GA93" si="111">SUM(N86,Z86)</f>
        <v>0.11913732599999999</v>
      </c>
      <c r="GB86" s="532">
        <f t="shared" ref="GB86:GB93" si="112">SUM(AA86,AM86,AY86,BQ86)*$FN$5</f>
        <v>0</v>
      </c>
      <c r="GC86" s="532">
        <f t="shared" ref="GC86:GC93" si="113">SUM(AB86,AN86,AZ86,BR86)*$FN$5</f>
        <v>0</v>
      </c>
      <c r="GD86" s="532">
        <f t="shared" ref="GD86:GD93" si="114">SUM(AC86,AO86,BA86,BS86)*$FN$5</f>
        <v>0</v>
      </c>
      <c r="GE86" s="532">
        <f t="shared" ref="GE86:GE93" si="115">SUM(AD86,AP86,BB86,BT86)*$FN$5</f>
        <v>0.3445111969870514</v>
      </c>
      <c r="GF86" s="532">
        <f t="shared" ref="GF86:GF93" si="116">SUM(AE86,AQ86,BC86,BU86)*$FN$5</f>
        <v>0</v>
      </c>
      <c r="GG86" s="533">
        <f t="shared" ref="GG86:GG93" si="117">SUM(AF86,AR86,BD86,BV86)*$FN$5</f>
        <v>8.4759053784860552E-2</v>
      </c>
      <c r="GH86" s="545">
        <f t="shared" ref="GH86:GH93" si="118">SUM(AG86,AS86,BE86,BW86)*$FN$5</f>
        <v>0</v>
      </c>
      <c r="GI86" s="545">
        <f t="shared" ref="GI86:GI93" si="119">SUM(AH86,AT86,BF86,BX86)*$FN$5</f>
        <v>0</v>
      </c>
      <c r="GJ86" s="545">
        <f t="shared" ref="GJ86:GJ93" si="120">SUM(AI86,AU86,BG86,BY86)*$FN$5</f>
        <v>0</v>
      </c>
      <c r="GK86" s="545">
        <f t="shared" ref="GK86:GK93" si="121">SUM(AJ86,AV86,BH86,BZ86)*$FN$5</f>
        <v>0.80385945963645333</v>
      </c>
      <c r="GL86" s="545">
        <f t="shared" ref="GL86:GL93" si="122">SUM(AK86,AW86,BI86,CA86)*$FN$5</f>
        <v>0</v>
      </c>
      <c r="GM86" s="545">
        <f t="shared" ref="GM86:GM93" si="123">SUM(AL86,AX86,BJ86,CB86)*$FN$5</f>
        <v>0.19777112549800799</v>
      </c>
      <c r="GN86" s="545">
        <f t="shared" ref="GN86:GN93" si="124">BK86*$FN$5</f>
        <v>0</v>
      </c>
      <c r="GO86" s="545">
        <f t="shared" ref="GO86:GO93" si="125">BL86*$FN$5</f>
        <v>0</v>
      </c>
      <c r="GP86" s="545">
        <f t="shared" ref="GP86:GP93" si="126">BM86*$FN$5</f>
        <v>0</v>
      </c>
      <c r="GQ86" s="545">
        <f t="shared" ref="GQ86:GQ93" si="127">BN86*$FN$5</f>
        <v>0</v>
      </c>
      <c r="GR86" s="545">
        <f t="shared" ref="GR86:GR93" si="128">BO86*$FN$5</f>
        <v>0</v>
      </c>
      <c r="GS86" s="554">
        <f t="shared" ref="GS86:GS93" si="129">BP86*$FN$5</f>
        <v>0</v>
      </c>
      <c r="GT86" s="532">
        <f t="shared" ref="GT86:GT93" si="130">((CC86*$FN$9)+(CO86*$FN$9)+(DA86*$FN$9)+(DS86*$FN$9)+EE86)*$FN$3</f>
        <v>0</v>
      </c>
      <c r="GU86" s="532">
        <f t="shared" ref="GU86:GU93" si="131">((CD86*$FN$9)+(CP86*$FN$9)+(DB86*$FN$9)+(DT86*$FN$9)+EF86)*$FN$3</f>
        <v>8.2342169880478109E-6</v>
      </c>
      <c r="GV86" s="532">
        <f t="shared" ref="GV86:GV93" si="132">((CE86*$FN$9)+(CQ86*$FN$9)+(DC86*$FN$9)+(DU86*$FN$9)+EG86)*$FN$3</f>
        <v>0</v>
      </c>
      <c r="GW86" s="532">
        <f t="shared" ref="GW86:GW93" si="133">((CF86*$FN$9)+(CR86*$FN$9)+(DD86*$FN$9)+(DV86*$FN$9)+EH86)*$FN$3</f>
        <v>1.2351325482071713E-4</v>
      </c>
      <c r="GX86" s="532">
        <f t="shared" ref="GX86:GX93" si="134">((CG86*$FN$9)+(CS86*$FN$9)+(DE86*$FN$9)+(DW86*$FN$9)+EI86)*$FN$3</f>
        <v>0</v>
      </c>
      <c r="GY86" s="533">
        <f t="shared" ref="GY86:GY93" si="135">((CH86*$FN$9)+(CT86*$FN$9)+(DF86*$FN$9)+(DX86*$FN$9)+EJ86)*$FN$3</f>
        <v>1.8115277373705184E-3</v>
      </c>
      <c r="GZ86" s="545">
        <f t="shared" ref="GZ86:GZ93" si="136">((CI86*$FN$9)+(CU86*$FN$9)+(DG86*$FN$9)+(DY86*$FN$9)+EK86)*$FN$3</f>
        <v>0</v>
      </c>
      <c r="HA86" s="545">
        <f t="shared" ref="HA86:HA93" si="137">((CJ86*$FN$9)+(CV86*$FN$9)+(DH86*$FN$9)+(DZ86*$FN$9)+EL86)*$FN$3</f>
        <v>1.9213172972111559E-5</v>
      </c>
      <c r="HB86" s="545">
        <f t="shared" ref="HB86:HB93" si="138">((CK86*$FN$9)+(CW86*$FN$9)+(DI86*$FN$9)+(EA86*$FN$9)+EM86)*$FN$3</f>
        <v>0</v>
      </c>
      <c r="HC86" s="545">
        <f t="shared" ref="HC86:HC93" si="139">((CL86*$FN$9)+(CX86*$FN$9)+(DJ86*$FN$9)+(EB86*$FN$9)+EN86)*$FN$3</f>
        <v>2.881975945816733E-4</v>
      </c>
      <c r="HD86" s="545">
        <f t="shared" ref="HD86:HD93" si="140">((CM86*$FN$9)+(CY86*$FN$9)+(DK86*$FN$9)+(EC86*$FN$9)+EO86)*$FN$3</f>
        <v>0</v>
      </c>
      <c r="HE86" s="558">
        <f t="shared" ref="HE86:HE93" si="141">((CN86*$FN$9)+(CZ86*$FN$9)+(DL86*$FN$9)+(ED86*$FN$9)+EP86)*$FN$3</f>
        <v>4.2268980538645428E-3</v>
      </c>
      <c r="HF86" s="575">
        <f t="shared" ref="HF86:HF93" si="142">EQ86*$FN$3</f>
        <v>0</v>
      </c>
      <c r="HG86" s="575">
        <f t="shared" ref="HG86:HG93" si="143">ER86*$FN$3</f>
        <v>1.1060862747120724E-4</v>
      </c>
      <c r="HH86" s="575">
        <f t="shared" ref="HH86:HH93" si="144">ES86*$FN$3</f>
        <v>0</v>
      </c>
      <c r="HI86" s="575">
        <f t="shared" ref="HI86:HI93" si="145">ET86*$FN$3</f>
        <v>0</v>
      </c>
      <c r="HJ86" s="575">
        <f t="shared" ref="HJ86:HJ93" si="146">EU86*$FN$3</f>
        <v>0</v>
      </c>
      <c r="HK86" s="582">
        <f t="shared" ref="HK86:HK93" si="147">EV86*$FN$3</f>
        <v>9.9547764724086532E-4</v>
      </c>
      <c r="HL86" s="575">
        <f t="shared" ref="HL86:HL93" si="148">EW86*$FN$3</f>
        <v>0</v>
      </c>
      <c r="HM86" s="575">
        <f t="shared" ref="HM86:HM93" si="149">EX86*$FN$3</f>
        <v>1.7369578208191558</v>
      </c>
      <c r="HN86" s="575">
        <f t="shared" ref="HN86:HN93" si="150">EY86*$FN$3</f>
        <v>0</v>
      </c>
      <c r="HO86" s="575">
        <f t="shared" ref="HO86:HO93" si="151">EZ86*$FN$3</f>
        <v>0</v>
      </c>
      <c r="HP86" s="575">
        <f t="shared" ref="HP86:HP93" si="152">FA86*$FN$3</f>
        <v>0</v>
      </c>
      <c r="HQ86" s="582">
        <f t="shared" ref="HQ86:HQ93" si="153">FB86*$FN$3</f>
        <v>15.632620387372404</v>
      </c>
      <c r="HR86" s="575">
        <f t="shared" ref="HR86:HR93" si="154">(FC86+DM86*$FN$9)*$FN$3</f>
        <v>0</v>
      </c>
      <c r="HS86" s="575">
        <f t="shared" ref="HS86:HS93" si="155">(FD86+DN86*$FN$9)*$FN$3</f>
        <v>2.3303843840991902</v>
      </c>
      <c r="HT86" s="575">
        <f t="shared" ref="HT86:HT93" si="156">(FE86+DO86*$FN$9)*$FN$3</f>
        <v>0</v>
      </c>
      <c r="HU86" s="575">
        <f t="shared" ref="HU86:HU93" si="157">(FF86+DP86*$FN$9)*$FN$3</f>
        <v>0</v>
      </c>
      <c r="HV86" s="575">
        <f t="shared" ref="HV86:HV93" si="158">(FG86+DQ86*$FN$9)*$FN$3</f>
        <v>0</v>
      </c>
      <c r="HW86" s="579">
        <f t="shared" ref="HW86:HW93" si="159">(FH86+DR86*$FN$9)*$FN$3</f>
        <v>20.973459456892716</v>
      </c>
      <c r="HX86" s="575">
        <f t="shared" ref="HX86:HX93" si="160">((CC86*$FN$10)+(CO86*$FN$10)+(DA86*$FN$10)+(DS86*$FN$10))*$FN$4</f>
        <v>0</v>
      </c>
      <c r="HY86" s="575">
        <f t="shared" ref="HY86:HY93" si="161">((CD86*$FN$10)+(CP86*$FN$10)+(DB86*$FN$10)+(DT86*$FN$10))*$FN$4</f>
        <v>4.3761696284940241E-4</v>
      </c>
      <c r="HZ86" s="575">
        <f t="shared" ref="HZ86:HZ93" si="162">((CE86*$FN$10)+(CQ86*$FN$10)+(DC86*$FN$10)+(DU86*$FN$10))*$FN$4</f>
        <v>0</v>
      </c>
      <c r="IA86" s="575">
        <f t="shared" ref="IA86:IA93" si="163">((CF86*$FN$10)+(CR86*$FN$10)+(DD86*$FN$10)+(DV86*$FN$10))*$FN$4</f>
        <v>6.5642544427410368E-3</v>
      </c>
      <c r="IB86" s="575">
        <f t="shared" ref="IB86:IB93" si="164">((CG86*$FN$10)+(CS86*$FN$10)+(DE86*$FN$10)+(DW86*$FN$10))*$FN$4</f>
        <v>0</v>
      </c>
      <c r="IC86" s="575">
        <f t="shared" ref="IC86:IC93" si="165">((CH86*$FN$10)+(CT86*$FN$10)+(DF86*$FN$10)+(DX86*$FN$10))*$FN$4</f>
        <v>9.6275731826868549E-2</v>
      </c>
      <c r="ID86" s="575">
        <f t="shared" ref="ID86:ID93" si="166">((CI86*$FN$10)+(CU86*$FN$10)+(DG86*$FN$10)+(DY86*$FN$10))*$FN$4</f>
        <v>0</v>
      </c>
      <c r="IE86" s="575">
        <f t="shared" ref="IE86:IE93" si="167">((CJ86*$FN$10)+(CV86*$FN$10)+(DH86*$FN$10)+(DZ86*$FN$10))*$FN$4</f>
        <v>1.0211062466486055E-3</v>
      </c>
      <c r="IF86" s="575">
        <f t="shared" ref="IF86:IF93" si="168">((CK86*$FN$10)+(CW86*$FN$10)+(DI86*$FN$10)+(EA86*$FN$10))*$FN$4</f>
        <v>0</v>
      </c>
      <c r="IG86" s="575">
        <f t="shared" ref="IG86:IG93" si="169">((CL86*$FN$10)+(CX86*$FN$10)+(DJ86*$FN$10)+(EB86*$FN$10))*$FN$4</f>
        <v>1.5316593699729084E-2</v>
      </c>
      <c r="IH86" s="575">
        <f t="shared" ref="IH86:IH93" si="170">((CM86*$FN$10)+(CY86*$FN$10)+(DK86*$FN$10)+(EC86*$FN$10))*$FN$4</f>
        <v>0</v>
      </c>
      <c r="II86" s="575">
        <f t="shared" ref="II86:II93" si="171">((CN86*$FN$10)+(CZ86*$FN$10)+(DL86*$FN$10)+(ED86*$FN$10))*$FN$4</f>
        <v>0.22464337426269326</v>
      </c>
      <c r="IJ86" s="575">
        <f t="shared" ref="IJ86:IJ93" si="172">DM86*$FN$10*$FN$4</f>
        <v>0</v>
      </c>
      <c r="IK86" s="575">
        <f t="shared" ref="IK86:IK93" si="173">DN86*$FN$10*$FN$4</f>
        <v>0</v>
      </c>
      <c r="IL86" s="575">
        <f t="shared" ref="IL86:IL93" si="174">DO86*$FN$10*$FN$4</f>
        <v>0</v>
      </c>
      <c r="IM86" s="575">
        <f t="shared" ref="IM86:IM93" si="175">DP86*$FN$10*$FN$4</f>
        <v>0</v>
      </c>
      <c r="IN86" s="575">
        <f t="shared" ref="IN86:IN93" si="176">DQ86*$FN$10*$FN$4</f>
        <v>0</v>
      </c>
      <c r="IO86" s="575">
        <f t="shared" ref="IO86:IO93" si="177">DR86*$FN$10*$FN$4</f>
        <v>0</v>
      </c>
    </row>
    <row r="87" spans="1:249" ht="18" x14ac:dyDescent="0.25">
      <c r="A87" s="12">
        <v>2024</v>
      </c>
      <c r="B87" s="564"/>
      <c r="C87" s="532">
        <f>'POSF Inventory'!AD79*$D$5*'POSF Zone Def'!$M76</f>
        <v>0</v>
      </c>
      <c r="D87" s="532">
        <f>'POSF Inventory'!AE79*$D$6*'POSF Zone Def'!$M76</f>
        <v>0</v>
      </c>
      <c r="E87" s="532">
        <f>'POSF Inventory'!AF79*$D$5*'POSF Zone Def'!$M76</f>
        <v>0</v>
      </c>
      <c r="F87" s="532">
        <f>'POSF Inventory'!AG79*$D$6*'POSF Zone Def'!$M76</f>
        <v>0</v>
      </c>
      <c r="G87" s="532">
        <f>'POSF Inventory'!AH79*$D$5*'POSF Zone Def'!$M76</f>
        <v>0</v>
      </c>
      <c r="H87" s="533">
        <f>'POSF Inventory'!AI79*$D$6*'POSF Zone Def'!$M76</f>
        <v>0</v>
      </c>
      <c r="I87" s="545">
        <f>'POSF Inventory'!AD79*$D$5*'POSF Zone Def'!$N76</f>
        <v>0</v>
      </c>
      <c r="J87" s="545">
        <f>'POSF Inventory'!AE79*$D$6*'POSF Zone Def'!$N76</f>
        <v>0</v>
      </c>
      <c r="K87" s="545">
        <f>'POSF Inventory'!AF79*$D$5*'POSF Zone Def'!$N76</f>
        <v>0</v>
      </c>
      <c r="L87" s="545">
        <f>'POSF Inventory'!AG79*$D$6*'POSF Zone Def'!$N76</f>
        <v>0</v>
      </c>
      <c r="M87" s="545">
        <f>'POSF Inventory'!AH79*$D$5*'POSF Zone Def'!$N76</f>
        <v>0</v>
      </c>
      <c r="N87" s="558">
        <f>'POSF Inventory'!AI79*$D$6*'POSF Zone Def'!$N76</f>
        <v>0</v>
      </c>
      <c r="O87" s="532">
        <f>'POSF Inventory'!AJ79*$D$5*'POSF Zone Def'!$AP76</f>
        <v>0</v>
      </c>
      <c r="P87" s="532">
        <f>'POSF Inventory'!AK79*$D$6*'POSF Zone Def'!$AP76</f>
        <v>3.4464726449999997E-2</v>
      </c>
      <c r="Q87" s="532">
        <f>'POSF Inventory'!AL79*$D$5*'POSF Zone Def'!$AP76</f>
        <v>0</v>
      </c>
      <c r="R87" s="532">
        <f>'POSF Inventory'!AM79*$D$6*'POSF Zone Def'!$AP76</f>
        <v>0</v>
      </c>
      <c r="S87" s="532">
        <f>'POSF Inventory'!AN79*$D$5*'POSF Zone Def'!$AP76</f>
        <v>0</v>
      </c>
      <c r="T87" s="533">
        <f>'POSF Inventory'!AO79*$D$6*'POSF Zone Def'!$AP76</f>
        <v>2.5529427E-2</v>
      </c>
      <c r="U87" s="545">
        <f>'POSF Inventory'!AJ79*$D$5*'POSF Zone Def'!$AQ76</f>
        <v>0</v>
      </c>
      <c r="V87" s="545">
        <f>'POSF Inventory'!AK79*$D$6*'POSF Zone Def'!$AQ76</f>
        <v>8.0417695049999988E-2</v>
      </c>
      <c r="W87" s="545">
        <f>'POSF Inventory'!AL79*$D$5*'POSF Zone Def'!$AQ76</f>
        <v>0</v>
      </c>
      <c r="X87" s="545">
        <f>'POSF Inventory'!AM79*$D$6*'POSF Zone Def'!$AQ76</f>
        <v>0</v>
      </c>
      <c r="Y87" s="545">
        <f>'POSF Inventory'!AN79*$D$5*'POSF Zone Def'!$AQ76</f>
        <v>0</v>
      </c>
      <c r="Z87" s="554">
        <f>'POSF Inventory'!AO79*$D$6*'POSF Zone Def'!$AQ76</f>
        <v>5.9568662999999994E-2</v>
      </c>
      <c r="AA87" s="532">
        <f>'POSF Inventory'!AV79*'POSF Emiss by Zone'!$D$5*'POSF Zone Def'!$M76</f>
        <v>0</v>
      </c>
      <c r="AB87" s="532">
        <f>'POSF Inventory'!AW79*'POSF Emiss by Zone'!$D$6*'POSF Zone Def'!$M76</f>
        <v>0</v>
      </c>
      <c r="AC87" s="532">
        <f>'POSF Inventory'!AX79*'POSF Emiss by Zone'!$D$5*'POSF Zone Def'!$M76</f>
        <v>0</v>
      </c>
      <c r="AD87" s="532">
        <f>'POSF Inventory'!AY79*'POSF Emiss by Zone'!$D$6*'POSF Zone Def'!$M76</f>
        <v>0</v>
      </c>
      <c r="AE87" s="532">
        <f>'POSF Inventory'!AZ79*'POSF Emiss by Zone'!$D$5*'POSF Zone Def'!$M76</f>
        <v>0</v>
      </c>
      <c r="AF87" s="533">
        <f>'POSF Inventory'!BA79*'POSF Emiss by Zone'!$D$6*'POSF Zone Def'!$M76</f>
        <v>0</v>
      </c>
      <c r="AG87" s="545">
        <f>'POSF Inventory'!AV79*'POSF Emiss by Zone'!$D$5*'POSF Zone Def'!$N76</f>
        <v>0</v>
      </c>
      <c r="AH87" s="545">
        <f>'POSF Inventory'!AW79*'POSF Emiss by Zone'!$D$6*'POSF Zone Def'!$N76</f>
        <v>0</v>
      </c>
      <c r="AI87" s="545">
        <f>'POSF Inventory'!AX79*'POSF Emiss by Zone'!$D$5*'POSF Zone Def'!$N76</f>
        <v>0</v>
      </c>
      <c r="AJ87" s="545">
        <f>'POSF Inventory'!AY79*'POSF Emiss by Zone'!$D$6*'POSF Zone Def'!$N76</f>
        <v>0</v>
      </c>
      <c r="AK87" s="545">
        <f>'POSF Inventory'!AZ79*'POSF Emiss by Zone'!$D$5*'POSF Zone Def'!$N76</f>
        <v>0</v>
      </c>
      <c r="AL87" s="558">
        <f>'POSF Inventory'!BA79*'POSF Emiss by Zone'!$D$6*'POSF Zone Def'!$N76</f>
        <v>0</v>
      </c>
      <c r="AM87" s="532">
        <f>'POSF Inventory'!BB79*'POSF Emiss by Zone'!$D$5*'POSF Zone Def'!$AP76</f>
        <v>0</v>
      </c>
      <c r="AN87" s="532">
        <f>'POSF Inventory'!BC79*'POSF Emiss by Zone'!$D$6*'POSF Zone Def'!$AP76</f>
        <v>0</v>
      </c>
      <c r="AO87" s="532">
        <f>'POSF Inventory'!BD79*'POSF Emiss by Zone'!$D$5*'POSF Zone Def'!$AP76</f>
        <v>0</v>
      </c>
      <c r="AP87" s="532">
        <f>'POSF Inventory'!BE79*'POSF Emiss by Zone'!$D$6*'POSF Zone Def'!$AP76</f>
        <v>2.2976484299999999E-2</v>
      </c>
      <c r="AQ87" s="532">
        <f>'POSF Inventory'!BF79*'POSF Emiss by Zone'!$D$5*'POSF Zone Def'!$AP76</f>
        <v>0</v>
      </c>
      <c r="AR87" s="533">
        <f>'POSF Inventory'!BG79*'POSF Emiss by Zone'!$D$6*'POSF Zone Def'!$AP76</f>
        <v>4.2549045000000001E-2</v>
      </c>
      <c r="AS87" s="545">
        <f>'POSF Inventory'!BB79*'POSF Emiss by Zone'!$D$5*'POSF Zone Def'!$AQ76</f>
        <v>0</v>
      </c>
      <c r="AT87" s="545">
        <f>'POSF Inventory'!BC79*'POSF Emiss by Zone'!$D$6*'POSF Zone Def'!$AQ76</f>
        <v>0</v>
      </c>
      <c r="AU87" s="545">
        <f>'POSF Inventory'!BD79*'POSF Emiss by Zone'!$D$5*'POSF Zone Def'!$AQ76</f>
        <v>0</v>
      </c>
      <c r="AV87" s="545">
        <f>'POSF Inventory'!BE79*'POSF Emiss by Zone'!$D$6*'POSF Zone Def'!$AQ76</f>
        <v>5.3611796699999992E-2</v>
      </c>
      <c r="AW87" s="545">
        <f>'POSF Inventory'!BF79*'POSF Emiss by Zone'!$D$5*'POSF Zone Def'!$AQ76</f>
        <v>0</v>
      </c>
      <c r="AX87" s="554">
        <f>'POSF Inventory'!BG79*'POSF Emiss by Zone'!$D$6*'POSF Zone Def'!$AQ76</f>
        <v>9.9281105000000008E-2</v>
      </c>
      <c r="AY87" s="532">
        <f>'POSF Inventory'!EA79*'POSF Emiss by Zone'!$D$5*'POSF Zone Def'!$Y76</f>
        <v>0</v>
      </c>
      <c r="AZ87" s="532">
        <f>'POSF Inventory'!EB79*'POSF Emiss by Zone'!$D$6*'POSF Zone Def'!$Y76</f>
        <v>0</v>
      </c>
      <c r="BA87" s="532">
        <f>'POSF Inventory'!EC79*'POSF Emiss by Zone'!$D$5*'POSF Zone Def'!$Y76</f>
        <v>0</v>
      </c>
      <c r="BB87" s="532">
        <f>'POSF Inventory'!ED79*'POSF Emiss by Zone'!$D$6*'POSF Zone Def'!$Y76</f>
        <v>0</v>
      </c>
      <c r="BC87" s="532">
        <f>'POSF Inventory'!EE79*'POSF Emiss by Zone'!$D$5*'POSF Zone Def'!$Y76</f>
        <v>0</v>
      </c>
      <c r="BD87" s="533">
        <f>'POSF Inventory'!EF79*'POSF Emiss by Zone'!$D$6*'POSF Zone Def'!$Y76</f>
        <v>0</v>
      </c>
      <c r="BE87" s="545">
        <f>'POSF Inventory'!EA79*'POSF Emiss by Zone'!$D$5*'POSF Zone Def'!$Z76</f>
        <v>0</v>
      </c>
      <c r="BF87" s="545">
        <f>'POSF Inventory'!EB79*'POSF Emiss by Zone'!$D$6*'POSF Zone Def'!$Z76</f>
        <v>0</v>
      </c>
      <c r="BG87" s="545">
        <f>'POSF Inventory'!EC79*'POSF Emiss by Zone'!$D$5*'POSF Zone Def'!$Z76</f>
        <v>0</v>
      </c>
      <c r="BH87" s="545">
        <f>'POSF Inventory'!ED79*'POSF Emiss by Zone'!$D$6*'POSF Zone Def'!$Z76</f>
        <v>0</v>
      </c>
      <c r="BI87" s="545">
        <f>'POSF Inventory'!EE79*'POSF Emiss by Zone'!$D$5*'POSF Zone Def'!$Z76</f>
        <v>0</v>
      </c>
      <c r="BJ87" s="558">
        <f>'POSF Inventory'!EF79*'POSF Emiss by Zone'!$D$6*'POSF Zone Def'!$Z76</f>
        <v>0</v>
      </c>
      <c r="BK87" s="545">
        <f>'POSF Inventory'!$EA79*'POSF Emiss by Zone'!$D$5*'POSF Zone Def'!$AC76</f>
        <v>0</v>
      </c>
      <c r="BL87" s="545">
        <f>'POSF Inventory'!$EB79*'POSF Emiss by Zone'!$D$6*'POSF Zone Def'!$AC76</f>
        <v>0</v>
      </c>
      <c r="BM87" s="545">
        <f>'POSF Inventory'!$EC79*'POSF Emiss by Zone'!$D$5*'POSF Zone Def'!$AC76</f>
        <v>0</v>
      </c>
      <c r="BN87" s="545">
        <f>'POSF Inventory'!$ED79*'POSF Emiss by Zone'!$D$6*'POSF Zone Def'!$AC76</f>
        <v>0</v>
      </c>
      <c r="BO87" s="545">
        <f>'POSF Inventory'!$EE79*'POSF Emiss by Zone'!$D$5*'POSF Zone Def'!$AC76</f>
        <v>0</v>
      </c>
      <c r="BP87" s="558">
        <f>'POSF Inventory'!$EF79*'POSF Emiss by Zone'!$D$6*'POSF Zone Def'!$AC76</f>
        <v>0</v>
      </c>
      <c r="BQ87" s="532">
        <f>'POSF Inventory'!EG79*'POSF Emiss by Zone'!$D$5*'POSF Zone Def'!$BB76</f>
        <v>0</v>
      </c>
      <c r="BR87" s="532">
        <f>'POSF Inventory'!EH79*'POSF Emiss by Zone'!$D$6*'POSF Zone Def'!$BB76</f>
        <v>0</v>
      </c>
      <c r="BS87" s="532">
        <f>'POSF Inventory'!EI79*'POSF Emiss by Zone'!$D$5*'POSF Zone Def'!$BB76</f>
        <v>0</v>
      </c>
      <c r="BT87" s="532">
        <f>'POSF Inventory'!EJ79*'POSF Emiss by Zone'!$D$6*'POSF Zone Def'!$BB76</f>
        <v>0</v>
      </c>
      <c r="BU87" s="532">
        <f>'POSF Inventory'!EK79*'POSF Emiss by Zone'!$D$5*'POSF Zone Def'!$BB76</f>
        <v>0</v>
      </c>
      <c r="BV87" s="533">
        <f>'POSF Inventory'!EL79*'POSF Emiss by Zone'!$D$6*'POSF Zone Def'!$BB76</f>
        <v>0</v>
      </c>
      <c r="BW87" s="545">
        <f>'POSF Inventory'!EG79*'POSF Emiss by Zone'!$D$5*'POSF Zone Def'!$BC76</f>
        <v>0</v>
      </c>
      <c r="BX87" s="545">
        <f>'POSF Inventory'!EH79*'POSF Emiss by Zone'!$D$6*'POSF Zone Def'!$BC76</f>
        <v>0</v>
      </c>
      <c r="BY87" s="545">
        <f>'POSF Inventory'!EI79*'POSF Emiss by Zone'!$D$5*'POSF Zone Def'!$BC76</f>
        <v>0</v>
      </c>
      <c r="BZ87" s="545">
        <f>'POSF Inventory'!EJ79*'POSF Emiss by Zone'!$D$6*'POSF Zone Def'!$BC76</f>
        <v>0</v>
      </c>
      <c r="CA87" s="545">
        <f>'POSF Inventory'!EK79*'POSF Emiss by Zone'!$D$5*'POSF Zone Def'!$BC76</f>
        <v>0</v>
      </c>
      <c r="CB87" s="554">
        <f>'POSF Inventory'!EL79*'POSF Emiss by Zone'!$D$6*'POSF Zone Def'!$BC76</f>
        <v>0</v>
      </c>
      <c r="CC87" s="532">
        <f>'POSF Inventory'!GC79*'POSF Emiss by Zone'!$D$7*'POSF Zone Def'!$M76</f>
        <v>0</v>
      </c>
      <c r="CD87" s="532">
        <f>'POSF Inventory'!GD79*'POSF Emiss by Zone'!$D$9*'POSF Zone Def'!$M76</f>
        <v>0</v>
      </c>
      <c r="CE87" s="532">
        <f>'POSF Inventory'!GE79*'POSF Emiss by Zone'!$D$7*'POSF Zone Def'!$M76</f>
        <v>0</v>
      </c>
      <c r="CF87" s="532">
        <f>'POSF Inventory'!GF79*'POSF Emiss by Zone'!$D$9*'POSF Zone Def'!$M76</f>
        <v>0</v>
      </c>
      <c r="CG87" s="532">
        <f>'POSF Inventory'!GG79*'POSF Emiss by Zone'!$D$7*'POSF Zone Def'!$M76</f>
        <v>0</v>
      </c>
      <c r="CH87" s="533">
        <f>'POSF Inventory'!GH79*'POSF Emiss by Zone'!$D$9*'POSF Zone Def'!$M76</f>
        <v>0</v>
      </c>
      <c r="CI87" s="545">
        <f>'POSF Inventory'!GC79*'POSF Emiss by Zone'!$D$7*'POSF Zone Def'!$N76</f>
        <v>0</v>
      </c>
      <c r="CJ87" s="545">
        <f>'POSF Inventory'!GD79*'POSF Emiss by Zone'!$D$9*'POSF Zone Def'!$N76</f>
        <v>0</v>
      </c>
      <c r="CK87" s="545">
        <f>'POSF Inventory'!GE79*'POSF Emiss by Zone'!$D$7*'POSF Zone Def'!$N76</f>
        <v>0</v>
      </c>
      <c r="CL87" s="545">
        <f>'POSF Inventory'!GF79*'POSF Emiss by Zone'!$D$9*'POSF Zone Def'!$N76</f>
        <v>0</v>
      </c>
      <c r="CM87" s="545">
        <f>'POSF Inventory'!GG79*'POSF Emiss by Zone'!$D$7*'POSF Zone Def'!$N76</f>
        <v>0</v>
      </c>
      <c r="CN87" s="558">
        <f>'POSF Inventory'!GH79*'POSF Emiss by Zone'!$D$9*'POSF Zone Def'!$N76</f>
        <v>0</v>
      </c>
      <c r="CO87" s="532">
        <f>'POSF Inventory'!GI79*'POSF Emiss by Zone'!$D$7*'POSF Zone Def'!$AP76</f>
        <v>0</v>
      </c>
      <c r="CP87" s="532">
        <f>'POSF Inventory'!GJ79*'POSF Emiss by Zone'!$D$9*'POSF Zone Def'!$AP76</f>
        <v>1.9872966000000005E-4</v>
      </c>
      <c r="CQ87" s="532">
        <f>'POSF Inventory'!GK79*'POSF Emiss by Zone'!$D$7*'POSF Zone Def'!$AP76</f>
        <v>0</v>
      </c>
      <c r="CR87" s="532">
        <f>'POSF Inventory'!GL79*'POSF Emiss by Zone'!$D$9*'POSF Zone Def'!$AP76</f>
        <v>2.9809449000000004E-3</v>
      </c>
      <c r="CS87" s="532">
        <f>'POSF Inventory'!GM79*'POSF Emiss by Zone'!$D$7*'POSF Zone Def'!$AP76</f>
        <v>0</v>
      </c>
      <c r="CT87" s="533">
        <f>'POSF Inventory'!GN79*'POSF Emiss by Zone'!$D$9*'POSF Zone Def'!$AP76</f>
        <v>4.3720525200000013E-2</v>
      </c>
      <c r="CU87" s="545">
        <f>'POSF Inventory'!GI79*'POSF Emiss by Zone'!$D$7*'POSF Zone Def'!$AQ76</f>
        <v>0</v>
      </c>
      <c r="CV87" s="545">
        <f>'POSF Inventory'!GJ79*'POSF Emiss by Zone'!$D$9*'POSF Zone Def'!$AQ76</f>
        <v>4.6370254000000009E-4</v>
      </c>
      <c r="CW87" s="545">
        <f>'POSF Inventory'!GK79*'POSF Emiss by Zone'!$D$7*'POSF Zone Def'!$AQ76</f>
        <v>0</v>
      </c>
      <c r="CX87" s="545">
        <f>'POSF Inventory'!GL79*'POSF Emiss by Zone'!$D$9*'POSF Zone Def'!$AQ76</f>
        <v>6.9555381000000003E-3</v>
      </c>
      <c r="CY87" s="545">
        <f>'POSF Inventory'!GM79*'POSF Emiss by Zone'!$D$7*'POSF Zone Def'!$AQ76</f>
        <v>0</v>
      </c>
      <c r="CZ87" s="554">
        <f>'POSF Inventory'!GN79*'POSF Emiss by Zone'!$D$9*'POSF Zone Def'!$AQ76</f>
        <v>0.10201455880000003</v>
      </c>
      <c r="DA87" s="532">
        <f>SUM('POSF Inventory'!GQ79,'POSF Inventory'!GS79)*'POSF Emiss by Zone'!$D$7*'POSF Zone Def'!$Y76</f>
        <v>0</v>
      </c>
      <c r="DB87" s="532">
        <f>SUM('POSF Inventory'!GR79,'POSF Inventory'!GT79)*'POSF Emiss by Zone'!$D$9*'POSF Zone Def'!$Y76</f>
        <v>0</v>
      </c>
      <c r="DC87" s="532"/>
      <c r="DD87" s="532"/>
      <c r="DE87" s="532">
        <f>'POSF Inventory'!GU79*'POSF Emiss by Zone'!$D$7*'POSF Zone Def'!$Y76</f>
        <v>0</v>
      </c>
      <c r="DF87" s="533">
        <f>'POSF Inventory'!GV79*'POSF Emiss by Zone'!$D$9*'POSF Zone Def'!$Y76</f>
        <v>0</v>
      </c>
      <c r="DG87" s="545">
        <f>SUM('POSF Inventory'!GQ79,'POSF Inventory'!GS79)*'POSF Emiss by Zone'!$D$7*'POSF Zone Def'!$Z76</f>
        <v>0</v>
      </c>
      <c r="DH87" s="545">
        <f>SUM('POSF Inventory'!GR79,'POSF Inventory'!GT79)*'POSF Emiss by Zone'!$D$9*'POSF Zone Def'!$Z76</f>
        <v>0</v>
      </c>
      <c r="DI87" s="545"/>
      <c r="DJ87" s="545"/>
      <c r="DK87" s="545">
        <f>'POSF Inventory'!GU79*'POSF Emiss by Zone'!$D$7*'POSF Zone Def'!$Z76</f>
        <v>0</v>
      </c>
      <c r="DL87" s="558">
        <f>'POSF Inventory'!GV79*'POSF Emiss by Zone'!$D$9*'POSF Zone Def'!$Z76</f>
        <v>0</v>
      </c>
      <c r="DM87" s="545">
        <f>SUM('POSF Inventory'!$GQ79,'POSF Inventory'!$GS79)*'POSF Emiss by Zone'!$D$7*'POSF Zone Def'!$AC76</f>
        <v>0</v>
      </c>
      <c r="DN87" s="545">
        <f>SUM('POSF Inventory'!$GR79,'POSF Inventory'!$GT79)*'POSF Emiss by Zone'!$D$9*'POSF Zone Def'!$AC76</f>
        <v>0</v>
      </c>
      <c r="DO87" s="545"/>
      <c r="DP87" s="545"/>
      <c r="DQ87" s="545">
        <f>'POSF Inventory'!$GU79*'POSF Emiss by Zone'!$D$7*'POSF Zone Def'!$AC76</f>
        <v>0</v>
      </c>
      <c r="DR87" s="558">
        <f>'POSF Inventory'!$GV79*'POSF Emiss by Zone'!$D$9*'POSF Zone Def'!$AC76</f>
        <v>0</v>
      </c>
      <c r="DS87" s="532">
        <f>SUM('POSF Inventory'!GW79,'POSF Inventory'!GY79)*$D$7*'POSF Zone Def'!$BB76</f>
        <v>0</v>
      </c>
      <c r="DT87" s="532">
        <f>SUM('POSF Inventory'!GX79,'POSF Inventory'!GZ79)*$D$9*'POSF Zone Def'!$BB76</f>
        <v>0</v>
      </c>
      <c r="DU87" s="532"/>
      <c r="DV87" s="532"/>
      <c r="DW87" s="532">
        <f>'POSF Inventory'!HA79*'POSF Emiss by Zone'!$D$7*'POSF Zone Def'!$BB76</f>
        <v>0</v>
      </c>
      <c r="DX87" s="533">
        <f>'POSF Inventory'!HB79*'POSF Emiss by Zone'!$D$9*'POSF Zone Def'!$BB76</f>
        <v>0</v>
      </c>
      <c r="DY87" s="545">
        <f>SUM('POSF Inventory'!GW79,'POSF Inventory'!GY79)*$D$7*'POSF Zone Def'!$BC76</f>
        <v>0</v>
      </c>
      <c r="DZ87" s="545">
        <f>SUM('POSF Inventory'!GX79,'POSF Inventory'!GZ79)*$D$9*'POSF Zone Def'!$BC76</f>
        <v>0</v>
      </c>
      <c r="EA87" s="545"/>
      <c r="EB87" s="545"/>
      <c r="EC87" s="545">
        <f>'POSF Inventory'!HA79*'POSF Emiss by Zone'!$D$7*'POSF Zone Def'!$BC76</f>
        <v>0</v>
      </c>
      <c r="ED87" s="554">
        <f>'POSF Inventory'!HB79*'POSF Emiss by Zone'!$D$9*'POSF Zone Def'!$BC76</f>
        <v>0</v>
      </c>
      <c r="EE87" s="575">
        <f>'POSF Inventory'!$CF79*'POSF Emiss by Zone'!$D$7*'POSF Zone Def'!$CE76</f>
        <v>0</v>
      </c>
      <c r="EF87" s="575">
        <f>'POSF Inventory'!$CG79*'POSF Emiss by Zone'!$D$9*'POSF Zone Def'!$CE76</f>
        <v>0</v>
      </c>
      <c r="EG87" s="575">
        <f>'POSF Inventory'!$CH79*'POSF Emiss by Zone'!$D$7*'POSF Zone Def'!$CE76</f>
        <v>0</v>
      </c>
      <c r="EH87" s="575">
        <f>'POSF Inventory'!$CI79*'POSF Emiss by Zone'!$D$9*'POSF Zone Def'!$CE76</f>
        <v>0</v>
      </c>
      <c r="EI87" s="575">
        <f>'POSF Inventory'!$CJ79*'POSF Emiss by Zone'!$D$7*'POSF Zone Def'!$CE76</f>
        <v>0</v>
      </c>
      <c r="EJ87" s="582">
        <f>'POSF Inventory'!$CK79*'POSF Emiss by Zone'!$D$9*'POSF Zone Def'!$CE76</f>
        <v>0</v>
      </c>
      <c r="EK87" s="575">
        <f>'POSF Inventory'!$CF79*'POSF Emiss by Zone'!$D$7*'POSF Zone Def'!$CF76</f>
        <v>0</v>
      </c>
      <c r="EL87" s="575">
        <f>'POSF Inventory'!$CG79*'POSF Emiss by Zone'!$D$9*'POSF Zone Def'!$CF76</f>
        <v>0</v>
      </c>
      <c r="EM87" s="575">
        <f>'POSF Inventory'!$CH79*'POSF Emiss by Zone'!$D$7*'POSF Zone Def'!$CF76</f>
        <v>0</v>
      </c>
      <c r="EN87" s="575">
        <f>'POSF Inventory'!$CI79*'POSF Emiss by Zone'!$D$9*'POSF Zone Def'!$CF76</f>
        <v>0</v>
      </c>
      <c r="EO87" s="575">
        <f>'POSF Inventory'!$CJ79*'POSF Emiss by Zone'!$D$7*'POSF Zone Def'!$CF76</f>
        <v>0</v>
      </c>
      <c r="EP87" s="582">
        <f>'POSF Inventory'!$CK79*'POSF Emiss by Zone'!$D$9*'POSF Zone Def'!$CF76</f>
        <v>0</v>
      </c>
      <c r="EQ87" s="575">
        <f>'POSF Inventory'!$CF79*'POSF Emiss by Zone'!$D$7*'POSF Zone Def'!$CG76</f>
        <v>0</v>
      </c>
      <c r="ER87" s="575">
        <f>'POSF Inventory'!$CG79*'POSF Emiss by Zone'!$D$9*'POSF Zone Def'!$CG76</f>
        <v>1.0677986728951161E-4</v>
      </c>
      <c r="ES87" s="575">
        <f>'POSF Inventory'!$CH79*'POSF Emiss by Zone'!$D$7*'POSF Zone Def'!$CG76</f>
        <v>0</v>
      </c>
      <c r="ET87" s="575">
        <f>'POSF Inventory'!$CI79*'POSF Emiss by Zone'!$D$9*'POSF Zone Def'!$CG76</f>
        <v>0</v>
      </c>
      <c r="EU87" s="575">
        <f>'POSF Inventory'!$CJ79*'POSF Emiss by Zone'!$D$7*'POSF Zone Def'!$CG76</f>
        <v>0</v>
      </c>
      <c r="EV87" s="582">
        <f>'POSF Inventory'!$CK79*'POSF Emiss by Zone'!$D$9*'POSF Zone Def'!$CG76</f>
        <v>9.6101880560560458E-4</v>
      </c>
      <c r="EW87" s="575">
        <f>'POSF Inventory'!$CF79*'POSF Emiss by Zone'!$D$7*'POSF Zone Def'!$CH76</f>
        <v>0</v>
      </c>
      <c r="EX87" s="575">
        <f>'POSF Inventory'!$CG79*'POSF Emiss by Zone'!$D$9*'POSF Zone Def'!$CH76</f>
        <v>1.6768323577908004</v>
      </c>
      <c r="EY87" s="575">
        <f>'POSF Inventory'!$CH79*'POSF Emiss by Zone'!$D$7*'POSF Zone Def'!$CH76</f>
        <v>0</v>
      </c>
      <c r="EZ87" s="575">
        <f>'POSF Inventory'!$CI79*'POSF Emiss by Zone'!$D$9*'POSF Zone Def'!$CH76</f>
        <v>0</v>
      </c>
      <c r="FA87" s="575">
        <f>'POSF Inventory'!$CJ79*'POSF Emiss by Zone'!$D$7*'POSF Zone Def'!$CH76</f>
        <v>0</v>
      </c>
      <c r="FB87" s="582">
        <f>'POSF Inventory'!$CK79*'POSF Emiss by Zone'!$D$9*'POSF Zone Def'!$CH76</f>
        <v>15.091491220117206</v>
      </c>
      <c r="FC87" s="575">
        <f>'POSF Inventory'!$CF79*'POSF Emiss by Zone'!$D$7*'POSF Zone Def'!$CI76</f>
        <v>0</v>
      </c>
      <c r="FD87" s="575">
        <f>'POSF Inventory'!$CG79*'POSF Emiss by Zone'!$D$9*'POSF Zone Def'!$CI76</f>
        <v>2.2497172323419106</v>
      </c>
      <c r="FE87" s="575">
        <f>'POSF Inventory'!$CH79*'POSF Emiss by Zone'!$D$7*'POSF Zone Def'!$CI76</f>
        <v>0</v>
      </c>
      <c r="FF87" s="575">
        <f>'POSF Inventory'!$CI79*'POSF Emiss by Zone'!$D$9*'POSF Zone Def'!$CI76</f>
        <v>0</v>
      </c>
      <c r="FG87" s="575">
        <f>'POSF Inventory'!$CJ79*'POSF Emiss by Zone'!$D$7*'POSF Zone Def'!$CI76</f>
        <v>0</v>
      </c>
      <c r="FH87" s="579">
        <f>'POSF Inventory'!$CK79*'POSF Emiss by Zone'!$D$9*'POSF Zone Def'!$CI76</f>
        <v>20.2474550910772</v>
      </c>
      <c r="FI87" s="595"/>
      <c r="FJ87" s="595"/>
      <c r="FM87" s="592">
        <v>70</v>
      </c>
      <c r="FN87" s="592">
        <f t="shared" si="99"/>
        <v>2024</v>
      </c>
      <c r="FO87" s="587">
        <v>67</v>
      </c>
      <c r="FP87" s="576">
        <f t="shared" si="100"/>
        <v>0</v>
      </c>
      <c r="FQ87" s="532">
        <f t="shared" si="101"/>
        <v>3.4464726449999997E-2</v>
      </c>
      <c r="FR87" s="532">
        <f t="shared" si="102"/>
        <v>0</v>
      </c>
      <c r="FS87" s="532">
        <f t="shared" si="103"/>
        <v>0</v>
      </c>
      <c r="FT87" s="532">
        <f t="shared" si="104"/>
        <v>0</v>
      </c>
      <c r="FU87" s="533">
        <f t="shared" si="105"/>
        <v>2.5529427E-2</v>
      </c>
      <c r="FV87" s="545">
        <f t="shared" si="106"/>
        <v>0</v>
      </c>
      <c r="FW87" s="545">
        <f t="shared" si="107"/>
        <v>8.0417695049999988E-2</v>
      </c>
      <c r="FX87" s="545">
        <f t="shared" si="108"/>
        <v>0</v>
      </c>
      <c r="FY87" s="545">
        <f t="shared" si="109"/>
        <v>0</v>
      </c>
      <c r="FZ87" s="545">
        <f t="shared" si="110"/>
        <v>0</v>
      </c>
      <c r="GA87" s="554">
        <f t="shared" si="111"/>
        <v>5.9568662999999994E-2</v>
      </c>
      <c r="GB87" s="532">
        <f t="shared" si="112"/>
        <v>0</v>
      </c>
      <c r="GC87" s="532">
        <f t="shared" si="113"/>
        <v>0</v>
      </c>
      <c r="GD87" s="532">
        <f t="shared" si="114"/>
        <v>0</v>
      </c>
      <c r="GE87" s="532">
        <f t="shared" si="115"/>
        <v>2.2884944521912351E-2</v>
      </c>
      <c r="GF87" s="532">
        <f t="shared" si="116"/>
        <v>0</v>
      </c>
      <c r="GG87" s="533">
        <f t="shared" si="117"/>
        <v>4.2379526892430276E-2</v>
      </c>
      <c r="GH87" s="545">
        <f t="shared" si="118"/>
        <v>0</v>
      </c>
      <c r="GI87" s="545">
        <f t="shared" si="119"/>
        <v>0</v>
      </c>
      <c r="GJ87" s="545">
        <f t="shared" si="120"/>
        <v>0</v>
      </c>
      <c r="GK87" s="545">
        <f t="shared" si="121"/>
        <v>5.3398203884462141E-2</v>
      </c>
      <c r="GL87" s="545">
        <f t="shared" si="122"/>
        <v>0</v>
      </c>
      <c r="GM87" s="545">
        <f t="shared" si="123"/>
        <v>9.8885562749003994E-2</v>
      </c>
      <c r="GN87" s="545">
        <f t="shared" si="124"/>
        <v>0</v>
      </c>
      <c r="GO87" s="545">
        <f t="shared" si="125"/>
        <v>0</v>
      </c>
      <c r="GP87" s="545">
        <f t="shared" si="126"/>
        <v>0</v>
      </c>
      <c r="GQ87" s="545">
        <f t="shared" si="127"/>
        <v>0</v>
      </c>
      <c r="GR87" s="545">
        <f t="shared" si="128"/>
        <v>0</v>
      </c>
      <c r="GS87" s="554">
        <f t="shared" si="129"/>
        <v>0</v>
      </c>
      <c r="GT87" s="532">
        <f t="shared" si="130"/>
        <v>0</v>
      </c>
      <c r="GU87" s="532">
        <f t="shared" si="131"/>
        <v>4.1171084940239054E-6</v>
      </c>
      <c r="GV87" s="532">
        <f t="shared" si="132"/>
        <v>0</v>
      </c>
      <c r="GW87" s="532">
        <f t="shared" si="133"/>
        <v>6.1756627410358567E-5</v>
      </c>
      <c r="GX87" s="532">
        <f t="shared" si="134"/>
        <v>0</v>
      </c>
      <c r="GY87" s="533">
        <f t="shared" si="135"/>
        <v>9.0576386868525922E-4</v>
      </c>
      <c r="GZ87" s="545">
        <f t="shared" si="136"/>
        <v>0</v>
      </c>
      <c r="HA87" s="545">
        <f t="shared" si="137"/>
        <v>9.6065864860557796E-6</v>
      </c>
      <c r="HB87" s="545">
        <f t="shared" si="138"/>
        <v>0</v>
      </c>
      <c r="HC87" s="545">
        <f t="shared" si="139"/>
        <v>1.4409879729083665E-4</v>
      </c>
      <c r="HD87" s="545">
        <f t="shared" si="140"/>
        <v>0</v>
      </c>
      <c r="HE87" s="558">
        <f t="shared" si="141"/>
        <v>2.1134490269322714E-3</v>
      </c>
      <c r="HF87" s="575">
        <f t="shared" si="142"/>
        <v>0</v>
      </c>
      <c r="HG87" s="575">
        <f t="shared" si="143"/>
        <v>1.1060862747120724E-4</v>
      </c>
      <c r="HH87" s="575">
        <f t="shared" si="144"/>
        <v>0</v>
      </c>
      <c r="HI87" s="575">
        <f t="shared" si="145"/>
        <v>0</v>
      </c>
      <c r="HJ87" s="575">
        <f t="shared" si="146"/>
        <v>0</v>
      </c>
      <c r="HK87" s="582">
        <f t="shared" si="147"/>
        <v>9.9547764724086532E-4</v>
      </c>
      <c r="HL87" s="575">
        <f t="shared" si="148"/>
        <v>0</v>
      </c>
      <c r="HM87" s="575">
        <f t="shared" si="149"/>
        <v>1.7369578208191558</v>
      </c>
      <c r="HN87" s="575">
        <f t="shared" si="150"/>
        <v>0</v>
      </c>
      <c r="HO87" s="575">
        <f t="shared" si="151"/>
        <v>0</v>
      </c>
      <c r="HP87" s="575">
        <f t="shared" si="152"/>
        <v>0</v>
      </c>
      <c r="HQ87" s="582">
        <f t="shared" si="153"/>
        <v>15.632620387372404</v>
      </c>
      <c r="HR87" s="575">
        <f t="shared" si="154"/>
        <v>0</v>
      </c>
      <c r="HS87" s="575">
        <f t="shared" si="155"/>
        <v>2.3303843840991902</v>
      </c>
      <c r="HT87" s="575">
        <f t="shared" si="156"/>
        <v>0</v>
      </c>
      <c r="HU87" s="575">
        <f t="shared" si="157"/>
        <v>0</v>
      </c>
      <c r="HV87" s="575">
        <f t="shared" si="158"/>
        <v>0</v>
      </c>
      <c r="HW87" s="579">
        <f t="shared" si="159"/>
        <v>20.973459456892716</v>
      </c>
      <c r="HX87" s="575">
        <f t="shared" si="160"/>
        <v>0</v>
      </c>
      <c r="HY87" s="575">
        <f t="shared" si="161"/>
        <v>2.1880848142470121E-4</v>
      </c>
      <c r="HZ87" s="575">
        <f t="shared" si="162"/>
        <v>0</v>
      </c>
      <c r="IA87" s="575">
        <f t="shared" si="163"/>
        <v>3.2821272213705184E-3</v>
      </c>
      <c r="IB87" s="575">
        <f t="shared" si="164"/>
        <v>0</v>
      </c>
      <c r="IC87" s="575">
        <f t="shared" si="165"/>
        <v>4.8137865913434275E-2</v>
      </c>
      <c r="ID87" s="575">
        <f t="shared" si="166"/>
        <v>0</v>
      </c>
      <c r="IE87" s="575">
        <f t="shared" si="167"/>
        <v>5.1055312332430277E-4</v>
      </c>
      <c r="IF87" s="575">
        <f t="shared" si="168"/>
        <v>0</v>
      </c>
      <c r="IG87" s="575">
        <f t="shared" si="169"/>
        <v>7.6582968498645418E-3</v>
      </c>
      <c r="IH87" s="575">
        <f t="shared" si="170"/>
        <v>0</v>
      </c>
      <c r="II87" s="575">
        <f t="shared" si="171"/>
        <v>0.11232168713134663</v>
      </c>
      <c r="IJ87" s="575">
        <f t="shared" si="172"/>
        <v>0</v>
      </c>
      <c r="IK87" s="575">
        <f t="shared" si="173"/>
        <v>0</v>
      </c>
      <c r="IL87" s="575">
        <f t="shared" si="174"/>
        <v>0</v>
      </c>
      <c r="IM87" s="575">
        <f t="shared" si="175"/>
        <v>0</v>
      </c>
      <c r="IN87" s="575">
        <f t="shared" si="176"/>
        <v>0</v>
      </c>
      <c r="IO87" s="575">
        <f t="shared" si="177"/>
        <v>0</v>
      </c>
    </row>
    <row r="88" spans="1:249" ht="18" x14ac:dyDescent="0.25">
      <c r="A88" s="12">
        <v>2025</v>
      </c>
      <c r="B88" s="564"/>
      <c r="C88" s="532">
        <f>'POSF Inventory'!AD80*$D$5*'POSF Zone Def'!$M77</f>
        <v>0</v>
      </c>
      <c r="D88" s="532">
        <f>'POSF Inventory'!AE80*$D$6*'POSF Zone Def'!$M77</f>
        <v>0</v>
      </c>
      <c r="E88" s="532">
        <f>'POSF Inventory'!AF80*$D$5*'POSF Zone Def'!$M77</f>
        <v>0</v>
      </c>
      <c r="F88" s="532">
        <f>'POSF Inventory'!AG80*$D$6*'POSF Zone Def'!$M77</f>
        <v>0</v>
      </c>
      <c r="G88" s="532">
        <f>'POSF Inventory'!AH80*$D$5*'POSF Zone Def'!$M77</f>
        <v>0</v>
      </c>
      <c r="H88" s="533">
        <f>'POSF Inventory'!AI80*$D$6*'POSF Zone Def'!$M77</f>
        <v>0</v>
      </c>
      <c r="I88" s="545">
        <f>'POSF Inventory'!AD80*$D$5*'POSF Zone Def'!$N77</f>
        <v>0</v>
      </c>
      <c r="J88" s="545">
        <f>'POSF Inventory'!AE80*$D$6*'POSF Zone Def'!$N77</f>
        <v>0</v>
      </c>
      <c r="K88" s="545">
        <f>'POSF Inventory'!AF80*$D$5*'POSF Zone Def'!$N77</f>
        <v>0</v>
      </c>
      <c r="L88" s="545">
        <f>'POSF Inventory'!AG80*$D$6*'POSF Zone Def'!$N77</f>
        <v>0</v>
      </c>
      <c r="M88" s="545">
        <f>'POSF Inventory'!AH80*$D$5*'POSF Zone Def'!$N77</f>
        <v>0</v>
      </c>
      <c r="N88" s="558">
        <f>'POSF Inventory'!AI80*$D$6*'POSF Zone Def'!$N77</f>
        <v>0</v>
      </c>
      <c r="O88" s="532">
        <f>'POSF Inventory'!AJ80*$D$5*'POSF Zone Def'!$AP77</f>
        <v>0</v>
      </c>
      <c r="P88" s="532">
        <f>'POSF Inventory'!AK80*$D$6*'POSF Zone Def'!$AP77</f>
        <v>0</v>
      </c>
      <c r="Q88" s="532">
        <f>'POSF Inventory'!AL80*$D$5*'POSF Zone Def'!$AP77</f>
        <v>0</v>
      </c>
      <c r="R88" s="532">
        <f>'POSF Inventory'!AM80*$D$6*'POSF Zone Def'!$AP77</f>
        <v>0</v>
      </c>
      <c r="S88" s="532">
        <f>'POSF Inventory'!AN80*$D$5*'POSF Zone Def'!$AP77</f>
        <v>0</v>
      </c>
      <c r="T88" s="533">
        <f>'POSF Inventory'!AO80*$D$6*'POSF Zone Def'!$AP77</f>
        <v>0</v>
      </c>
      <c r="U88" s="545">
        <f>'POSF Inventory'!AJ80*$D$5*'POSF Zone Def'!$AQ77</f>
        <v>0</v>
      </c>
      <c r="V88" s="545">
        <f>'POSF Inventory'!AK80*$D$6*'POSF Zone Def'!$AQ77</f>
        <v>0</v>
      </c>
      <c r="W88" s="545">
        <f>'POSF Inventory'!AL80*$D$5*'POSF Zone Def'!$AQ77</f>
        <v>0</v>
      </c>
      <c r="X88" s="545">
        <f>'POSF Inventory'!AM80*$D$6*'POSF Zone Def'!$AQ77</f>
        <v>0</v>
      </c>
      <c r="Y88" s="545">
        <f>'POSF Inventory'!AN80*$D$5*'POSF Zone Def'!$AQ77</f>
        <v>0</v>
      </c>
      <c r="Z88" s="554">
        <f>'POSF Inventory'!AO80*$D$6*'POSF Zone Def'!$AQ77</f>
        <v>0</v>
      </c>
      <c r="AA88" s="532">
        <f>'POSF Inventory'!AV80*'POSF Emiss by Zone'!$D$5*'POSF Zone Def'!$M77</f>
        <v>0</v>
      </c>
      <c r="AB88" s="532">
        <f>'POSF Inventory'!AW80*'POSF Emiss by Zone'!$D$6*'POSF Zone Def'!$M77</f>
        <v>0</v>
      </c>
      <c r="AC88" s="532">
        <f>'POSF Inventory'!AX80*'POSF Emiss by Zone'!$D$5*'POSF Zone Def'!$M77</f>
        <v>0</v>
      </c>
      <c r="AD88" s="532">
        <f>'POSF Inventory'!AY80*'POSF Emiss by Zone'!$D$6*'POSF Zone Def'!$M77</f>
        <v>0</v>
      </c>
      <c r="AE88" s="532">
        <f>'POSF Inventory'!AZ80*'POSF Emiss by Zone'!$D$5*'POSF Zone Def'!$M77</f>
        <v>0</v>
      </c>
      <c r="AF88" s="533">
        <f>'POSF Inventory'!BA80*'POSF Emiss by Zone'!$D$6*'POSF Zone Def'!$M77</f>
        <v>0</v>
      </c>
      <c r="AG88" s="545">
        <f>'POSF Inventory'!AV80*'POSF Emiss by Zone'!$D$5*'POSF Zone Def'!$N77</f>
        <v>0</v>
      </c>
      <c r="AH88" s="545">
        <f>'POSF Inventory'!AW80*'POSF Emiss by Zone'!$D$6*'POSF Zone Def'!$N77</f>
        <v>0</v>
      </c>
      <c r="AI88" s="545">
        <f>'POSF Inventory'!AX80*'POSF Emiss by Zone'!$D$5*'POSF Zone Def'!$N77</f>
        <v>0</v>
      </c>
      <c r="AJ88" s="545">
        <f>'POSF Inventory'!AY80*'POSF Emiss by Zone'!$D$6*'POSF Zone Def'!$N77</f>
        <v>0</v>
      </c>
      <c r="AK88" s="545">
        <f>'POSF Inventory'!AZ80*'POSF Emiss by Zone'!$D$5*'POSF Zone Def'!$N77</f>
        <v>0</v>
      </c>
      <c r="AL88" s="558">
        <f>'POSF Inventory'!BA80*'POSF Emiss by Zone'!$D$6*'POSF Zone Def'!$N77</f>
        <v>0</v>
      </c>
      <c r="AM88" s="532">
        <f>'POSF Inventory'!BB80*'POSF Emiss by Zone'!$D$5*'POSF Zone Def'!$AP77</f>
        <v>0</v>
      </c>
      <c r="AN88" s="532">
        <f>'POSF Inventory'!BC80*'POSF Emiss by Zone'!$D$6*'POSF Zone Def'!$AP77</f>
        <v>0</v>
      </c>
      <c r="AO88" s="532">
        <f>'POSF Inventory'!BD80*'POSF Emiss by Zone'!$D$5*'POSF Zone Def'!$AP77</f>
        <v>0</v>
      </c>
      <c r="AP88" s="532">
        <f>'POSF Inventory'!BE80*'POSF Emiss by Zone'!$D$6*'POSF Zone Def'!$AP77</f>
        <v>0</v>
      </c>
      <c r="AQ88" s="532">
        <f>'POSF Inventory'!BF80*'POSF Emiss by Zone'!$D$5*'POSF Zone Def'!$AP77</f>
        <v>0</v>
      </c>
      <c r="AR88" s="533">
        <f>'POSF Inventory'!BG80*'POSF Emiss by Zone'!$D$6*'POSF Zone Def'!$AP77</f>
        <v>0</v>
      </c>
      <c r="AS88" s="545">
        <f>'POSF Inventory'!BB80*'POSF Emiss by Zone'!$D$5*'POSF Zone Def'!$AQ77</f>
        <v>0</v>
      </c>
      <c r="AT88" s="545">
        <f>'POSF Inventory'!BC80*'POSF Emiss by Zone'!$D$6*'POSF Zone Def'!$AQ77</f>
        <v>0</v>
      </c>
      <c r="AU88" s="545">
        <f>'POSF Inventory'!BD80*'POSF Emiss by Zone'!$D$5*'POSF Zone Def'!$AQ77</f>
        <v>0</v>
      </c>
      <c r="AV88" s="545">
        <f>'POSF Inventory'!BE80*'POSF Emiss by Zone'!$D$6*'POSF Zone Def'!$AQ77</f>
        <v>0</v>
      </c>
      <c r="AW88" s="545">
        <f>'POSF Inventory'!BF80*'POSF Emiss by Zone'!$D$5*'POSF Zone Def'!$AQ77</f>
        <v>0</v>
      </c>
      <c r="AX88" s="554">
        <f>'POSF Inventory'!BG80*'POSF Emiss by Zone'!$D$6*'POSF Zone Def'!$AQ77</f>
        <v>0</v>
      </c>
      <c r="AY88" s="532">
        <f>'POSF Inventory'!EA80*'POSF Emiss by Zone'!$D$5*'POSF Zone Def'!$Y77</f>
        <v>0</v>
      </c>
      <c r="AZ88" s="532">
        <f>'POSF Inventory'!EB80*'POSF Emiss by Zone'!$D$6*'POSF Zone Def'!$Y77</f>
        <v>0</v>
      </c>
      <c r="BA88" s="532">
        <f>'POSF Inventory'!EC80*'POSF Emiss by Zone'!$D$5*'POSF Zone Def'!$Y77</f>
        <v>0</v>
      </c>
      <c r="BB88" s="532">
        <f>'POSF Inventory'!ED80*'POSF Emiss by Zone'!$D$6*'POSF Zone Def'!$Y77</f>
        <v>0</v>
      </c>
      <c r="BC88" s="532">
        <f>'POSF Inventory'!EE80*'POSF Emiss by Zone'!$D$5*'POSF Zone Def'!$Y77</f>
        <v>0</v>
      </c>
      <c r="BD88" s="533">
        <f>'POSF Inventory'!EF80*'POSF Emiss by Zone'!$D$6*'POSF Zone Def'!$Y77</f>
        <v>0</v>
      </c>
      <c r="BE88" s="545">
        <f>'POSF Inventory'!EA80*'POSF Emiss by Zone'!$D$5*'POSF Zone Def'!$Z77</f>
        <v>0</v>
      </c>
      <c r="BF88" s="545">
        <f>'POSF Inventory'!EB80*'POSF Emiss by Zone'!$D$6*'POSF Zone Def'!$Z77</f>
        <v>0</v>
      </c>
      <c r="BG88" s="545">
        <f>'POSF Inventory'!EC80*'POSF Emiss by Zone'!$D$5*'POSF Zone Def'!$Z77</f>
        <v>0</v>
      </c>
      <c r="BH88" s="545">
        <f>'POSF Inventory'!ED80*'POSF Emiss by Zone'!$D$6*'POSF Zone Def'!$Z77</f>
        <v>0</v>
      </c>
      <c r="BI88" s="545">
        <f>'POSF Inventory'!EE80*'POSF Emiss by Zone'!$D$5*'POSF Zone Def'!$Z77</f>
        <v>0</v>
      </c>
      <c r="BJ88" s="558">
        <f>'POSF Inventory'!EF80*'POSF Emiss by Zone'!$D$6*'POSF Zone Def'!$Z77</f>
        <v>0</v>
      </c>
      <c r="BK88" s="545">
        <f>'POSF Inventory'!$EA80*'POSF Emiss by Zone'!$D$5*'POSF Zone Def'!$AC77</f>
        <v>0</v>
      </c>
      <c r="BL88" s="545">
        <f>'POSF Inventory'!$EB80*'POSF Emiss by Zone'!$D$6*'POSF Zone Def'!$AC77</f>
        <v>0</v>
      </c>
      <c r="BM88" s="545">
        <f>'POSF Inventory'!$EC80*'POSF Emiss by Zone'!$D$5*'POSF Zone Def'!$AC77</f>
        <v>0</v>
      </c>
      <c r="BN88" s="545">
        <f>'POSF Inventory'!$ED80*'POSF Emiss by Zone'!$D$6*'POSF Zone Def'!$AC77</f>
        <v>0</v>
      </c>
      <c r="BO88" s="545">
        <f>'POSF Inventory'!$EE80*'POSF Emiss by Zone'!$D$5*'POSF Zone Def'!$AC77</f>
        <v>0</v>
      </c>
      <c r="BP88" s="558">
        <f>'POSF Inventory'!$EF80*'POSF Emiss by Zone'!$D$6*'POSF Zone Def'!$AC77</f>
        <v>0</v>
      </c>
      <c r="BQ88" s="532">
        <f>'POSF Inventory'!EG80*'POSF Emiss by Zone'!$D$5*'POSF Zone Def'!$BB77</f>
        <v>0</v>
      </c>
      <c r="BR88" s="532">
        <f>'POSF Inventory'!EH80*'POSF Emiss by Zone'!$D$6*'POSF Zone Def'!$BB77</f>
        <v>0</v>
      </c>
      <c r="BS88" s="532">
        <f>'POSF Inventory'!EI80*'POSF Emiss by Zone'!$D$5*'POSF Zone Def'!$BB77</f>
        <v>0</v>
      </c>
      <c r="BT88" s="532">
        <f>'POSF Inventory'!EJ80*'POSF Emiss by Zone'!$D$6*'POSF Zone Def'!$BB77</f>
        <v>0</v>
      </c>
      <c r="BU88" s="532">
        <f>'POSF Inventory'!EK80*'POSF Emiss by Zone'!$D$5*'POSF Zone Def'!$BB77</f>
        <v>0</v>
      </c>
      <c r="BV88" s="533">
        <f>'POSF Inventory'!EL80*'POSF Emiss by Zone'!$D$6*'POSF Zone Def'!$BB77</f>
        <v>0</v>
      </c>
      <c r="BW88" s="545">
        <f>'POSF Inventory'!EG80*'POSF Emiss by Zone'!$D$5*'POSF Zone Def'!$BC77</f>
        <v>0</v>
      </c>
      <c r="BX88" s="545">
        <f>'POSF Inventory'!EH80*'POSF Emiss by Zone'!$D$6*'POSF Zone Def'!$BC77</f>
        <v>0</v>
      </c>
      <c r="BY88" s="545">
        <f>'POSF Inventory'!EI80*'POSF Emiss by Zone'!$D$5*'POSF Zone Def'!$BC77</f>
        <v>0</v>
      </c>
      <c r="BZ88" s="545">
        <f>'POSF Inventory'!EJ80*'POSF Emiss by Zone'!$D$6*'POSF Zone Def'!$BC77</f>
        <v>0</v>
      </c>
      <c r="CA88" s="545">
        <f>'POSF Inventory'!EK80*'POSF Emiss by Zone'!$D$5*'POSF Zone Def'!$BC77</f>
        <v>0</v>
      </c>
      <c r="CB88" s="554">
        <f>'POSF Inventory'!EL80*'POSF Emiss by Zone'!$D$6*'POSF Zone Def'!$BC77</f>
        <v>0</v>
      </c>
      <c r="CC88" s="532">
        <f>'POSF Inventory'!GC80*'POSF Emiss by Zone'!$D$7*'POSF Zone Def'!$M77</f>
        <v>0</v>
      </c>
      <c r="CD88" s="532">
        <f>'POSF Inventory'!GD80*'POSF Emiss by Zone'!$D$9*'POSF Zone Def'!$M77</f>
        <v>0</v>
      </c>
      <c r="CE88" s="532">
        <f>'POSF Inventory'!GE80*'POSF Emiss by Zone'!$D$7*'POSF Zone Def'!$M77</f>
        <v>0</v>
      </c>
      <c r="CF88" s="532">
        <f>'POSF Inventory'!GF80*'POSF Emiss by Zone'!$D$9*'POSF Zone Def'!$M77</f>
        <v>0</v>
      </c>
      <c r="CG88" s="532">
        <f>'POSF Inventory'!GG80*'POSF Emiss by Zone'!$D$7*'POSF Zone Def'!$M77</f>
        <v>0</v>
      </c>
      <c r="CH88" s="533">
        <f>'POSF Inventory'!GH80*'POSF Emiss by Zone'!$D$9*'POSF Zone Def'!$M77</f>
        <v>0</v>
      </c>
      <c r="CI88" s="545">
        <f>'POSF Inventory'!GC80*'POSF Emiss by Zone'!$D$7*'POSF Zone Def'!$N77</f>
        <v>0</v>
      </c>
      <c r="CJ88" s="545">
        <f>'POSF Inventory'!GD80*'POSF Emiss by Zone'!$D$9*'POSF Zone Def'!$N77</f>
        <v>0</v>
      </c>
      <c r="CK88" s="545">
        <f>'POSF Inventory'!GE80*'POSF Emiss by Zone'!$D$7*'POSF Zone Def'!$N77</f>
        <v>0</v>
      </c>
      <c r="CL88" s="545">
        <f>'POSF Inventory'!GF80*'POSF Emiss by Zone'!$D$9*'POSF Zone Def'!$N77</f>
        <v>0</v>
      </c>
      <c r="CM88" s="545">
        <f>'POSF Inventory'!GG80*'POSF Emiss by Zone'!$D$7*'POSF Zone Def'!$N77</f>
        <v>0</v>
      </c>
      <c r="CN88" s="558">
        <f>'POSF Inventory'!GH80*'POSF Emiss by Zone'!$D$9*'POSF Zone Def'!$N77</f>
        <v>0</v>
      </c>
      <c r="CO88" s="532">
        <f>'POSF Inventory'!GI80*'POSF Emiss by Zone'!$D$7*'POSF Zone Def'!$AP77</f>
        <v>0</v>
      </c>
      <c r="CP88" s="532">
        <f>'POSF Inventory'!GJ80*'POSF Emiss by Zone'!$D$9*'POSF Zone Def'!$AP77</f>
        <v>0</v>
      </c>
      <c r="CQ88" s="532">
        <f>'POSF Inventory'!GK80*'POSF Emiss by Zone'!$D$7*'POSF Zone Def'!$AP77</f>
        <v>0</v>
      </c>
      <c r="CR88" s="532">
        <f>'POSF Inventory'!GL80*'POSF Emiss by Zone'!$D$9*'POSF Zone Def'!$AP77</f>
        <v>0</v>
      </c>
      <c r="CS88" s="532">
        <f>'POSF Inventory'!GM80*'POSF Emiss by Zone'!$D$7*'POSF Zone Def'!$AP77</f>
        <v>0</v>
      </c>
      <c r="CT88" s="533">
        <f>'POSF Inventory'!GN80*'POSF Emiss by Zone'!$D$9*'POSF Zone Def'!$AP77</f>
        <v>0</v>
      </c>
      <c r="CU88" s="545">
        <f>'POSF Inventory'!GI80*'POSF Emiss by Zone'!$D$7*'POSF Zone Def'!$AQ77</f>
        <v>0</v>
      </c>
      <c r="CV88" s="545">
        <f>'POSF Inventory'!GJ80*'POSF Emiss by Zone'!$D$9*'POSF Zone Def'!$AQ77</f>
        <v>0</v>
      </c>
      <c r="CW88" s="545">
        <f>'POSF Inventory'!GK80*'POSF Emiss by Zone'!$D$7*'POSF Zone Def'!$AQ77</f>
        <v>0</v>
      </c>
      <c r="CX88" s="545">
        <f>'POSF Inventory'!GL80*'POSF Emiss by Zone'!$D$9*'POSF Zone Def'!$AQ77</f>
        <v>0</v>
      </c>
      <c r="CY88" s="545">
        <f>'POSF Inventory'!GM80*'POSF Emiss by Zone'!$D$7*'POSF Zone Def'!$AQ77</f>
        <v>0</v>
      </c>
      <c r="CZ88" s="554">
        <f>'POSF Inventory'!GN80*'POSF Emiss by Zone'!$D$9*'POSF Zone Def'!$AQ77</f>
        <v>0</v>
      </c>
      <c r="DA88" s="532">
        <f>SUM('POSF Inventory'!GQ80,'POSF Inventory'!GS80)*'POSF Emiss by Zone'!$D$7*'POSF Zone Def'!$Y77</f>
        <v>0</v>
      </c>
      <c r="DB88" s="532">
        <f>SUM('POSF Inventory'!GR80,'POSF Inventory'!GT80)*'POSF Emiss by Zone'!$D$9*'POSF Zone Def'!$Y77</f>
        <v>0</v>
      </c>
      <c r="DC88" s="532"/>
      <c r="DD88" s="532"/>
      <c r="DE88" s="532">
        <f>'POSF Inventory'!GU80*'POSF Emiss by Zone'!$D$7*'POSF Zone Def'!$Y77</f>
        <v>0</v>
      </c>
      <c r="DF88" s="533">
        <f>'POSF Inventory'!GV80*'POSF Emiss by Zone'!$D$9*'POSF Zone Def'!$Y77</f>
        <v>0</v>
      </c>
      <c r="DG88" s="545">
        <f>SUM('POSF Inventory'!GQ80,'POSF Inventory'!GS80)*'POSF Emiss by Zone'!$D$7*'POSF Zone Def'!$Z77</f>
        <v>0</v>
      </c>
      <c r="DH88" s="545">
        <f>SUM('POSF Inventory'!GR80,'POSF Inventory'!GT80)*'POSF Emiss by Zone'!$D$9*'POSF Zone Def'!$Z77</f>
        <v>0</v>
      </c>
      <c r="DI88" s="545"/>
      <c r="DJ88" s="545"/>
      <c r="DK88" s="545">
        <f>'POSF Inventory'!GU80*'POSF Emiss by Zone'!$D$7*'POSF Zone Def'!$Z77</f>
        <v>0</v>
      </c>
      <c r="DL88" s="558">
        <f>'POSF Inventory'!GV80*'POSF Emiss by Zone'!$D$9*'POSF Zone Def'!$Z77</f>
        <v>0</v>
      </c>
      <c r="DM88" s="545">
        <f>SUM('POSF Inventory'!$GQ80,'POSF Inventory'!$GS80)*'POSF Emiss by Zone'!$D$7*'POSF Zone Def'!$AC77</f>
        <v>0</v>
      </c>
      <c r="DN88" s="545">
        <f>SUM('POSF Inventory'!$GR80,'POSF Inventory'!$GT80)*'POSF Emiss by Zone'!$D$9*'POSF Zone Def'!$AC77</f>
        <v>0</v>
      </c>
      <c r="DO88" s="545"/>
      <c r="DP88" s="545"/>
      <c r="DQ88" s="545">
        <f>'POSF Inventory'!$GU80*'POSF Emiss by Zone'!$D$7*'POSF Zone Def'!$AC77</f>
        <v>0</v>
      </c>
      <c r="DR88" s="558">
        <f>'POSF Inventory'!$GV80*'POSF Emiss by Zone'!$D$9*'POSF Zone Def'!$AC77</f>
        <v>0</v>
      </c>
      <c r="DS88" s="532">
        <f>SUM('POSF Inventory'!GW80,'POSF Inventory'!GY80)*$D$7*'POSF Zone Def'!$BB77</f>
        <v>0</v>
      </c>
      <c r="DT88" s="532">
        <f>SUM('POSF Inventory'!GX80,'POSF Inventory'!GZ80)*$D$9*'POSF Zone Def'!$BB77</f>
        <v>0</v>
      </c>
      <c r="DU88" s="532"/>
      <c r="DV88" s="532"/>
      <c r="DW88" s="532">
        <f>'POSF Inventory'!HA80*'POSF Emiss by Zone'!$D$7*'POSF Zone Def'!$BB77</f>
        <v>0</v>
      </c>
      <c r="DX88" s="533">
        <f>'POSF Inventory'!HB80*'POSF Emiss by Zone'!$D$9*'POSF Zone Def'!$BB77</f>
        <v>0</v>
      </c>
      <c r="DY88" s="545">
        <f>SUM('POSF Inventory'!GW80,'POSF Inventory'!GY80)*$D$7*'POSF Zone Def'!$BC77</f>
        <v>0</v>
      </c>
      <c r="DZ88" s="545">
        <f>SUM('POSF Inventory'!GX80,'POSF Inventory'!GZ80)*$D$9*'POSF Zone Def'!$BC77</f>
        <v>0</v>
      </c>
      <c r="EA88" s="545"/>
      <c r="EB88" s="545"/>
      <c r="EC88" s="545">
        <f>'POSF Inventory'!HA80*'POSF Emiss by Zone'!$D$7*'POSF Zone Def'!$BC77</f>
        <v>0</v>
      </c>
      <c r="ED88" s="554">
        <f>'POSF Inventory'!HB80*'POSF Emiss by Zone'!$D$9*'POSF Zone Def'!$BC77</f>
        <v>0</v>
      </c>
      <c r="EE88" s="575">
        <f>'POSF Inventory'!$CF80*'POSF Emiss by Zone'!$D$7*'POSF Zone Def'!$CE77</f>
        <v>0</v>
      </c>
      <c r="EF88" s="575">
        <f>'POSF Inventory'!$CG80*'POSF Emiss by Zone'!$D$9*'POSF Zone Def'!$CE77</f>
        <v>0</v>
      </c>
      <c r="EG88" s="575">
        <f>'POSF Inventory'!$CH80*'POSF Emiss by Zone'!$D$7*'POSF Zone Def'!$CE77</f>
        <v>0</v>
      </c>
      <c r="EH88" s="575">
        <f>'POSF Inventory'!$CI80*'POSF Emiss by Zone'!$D$9*'POSF Zone Def'!$CE77</f>
        <v>0</v>
      </c>
      <c r="EI88" s="575">
        <f>'POSF Inventory'!$CJ80*'POSF Emiss by Zone'!$D$7*'POSF Zone Def'!$CE77</f>
        <v>0</v>
      </c>
      <c r="EJ88" s="582">
        <f>'POSF Inventory'!$CK80*'POSF Emiss by Zone'!$D$9*'POSF Zone Def'!$CE77</f>
        <v>0</v>
      </c>
      <c r="EK88" s="575">
        <f>'POSF Inventory'!$CF80*'POSF Emiss by Zone'!$D$7*'POSF Zone Def'!$CF77</f>
        <v>0</v>
      </c>
      <c r="EL88" s="575">
        <f>'POSF Inventory'!$CG80*'POSF Emiss by Zone'!$D$9*'POSF Zone Def'!$CF77</f>
        <v>0</v>
      </c>
      <c r="EM88" s="575">
        <f>'POSF Inventory'!$CH80*'POSF Emiss by Zone'!$D$7*'POSF Zone Def'!$CF77</f>
        <v>0</v>
      </c>
      <c r="EN88" s="575">
        <f>'POSF Inventory'!$CI80*'POSF Emiss by Zone'!$D$9*'POSF Zone Def'!$CF77</f>
        <v>0</v>
      </c>
      <c r="EO88" s="575">
        <f>'POSF Inventory'!$CJ80*'POSF Emiss by Zone'!$D$7*'POSF Zone Def'!$CF77</f>
        <v>0</v>
      </c>
      <c r="EP88" s="582">
        <f>'POSF Inventory'!$CK80*'POSF Emiss by Zone'!$D$9*'POSF Zone Def'!$CF77</f>
        <v>0</v>
      </c>
      <c r="EQ88" s="575">
        <f>'POSF Inventory'!$CF80*'POSF Emiss by Zone'!$D$7*'POSF Zone Def'!$CG77</f>
        <v>0</v>
      </c>
      <c r="ER88" s="575">
        <f>'POSF Inventory'!$CG80*'POSF Emiss by Zone'!$D$9*'POSF Zone Def'!$CG77</f>
        <v>1.0677986728951161E-4</v>
      </c>
      <c r="ES88" s="575">
        <f>'POSF Inventory'!$CH80*'POSF Emiss by Zone'!$D$7*'POSF Zone Def'!$CG77</f>
        <v>0</v>
      </c>
      <c r="ET88" s="575">
        <f>'POSF Inventory'!$CI80*'POSF Emiss by Zone'!$D$9*'POSF Zone Def'!$CG77</f>
        <v>0</v>
      </c>
      <c r="EU88" s="575">
        <f>'POSF Inventory'!$CJ80*'POSF Emiss by Zone'!$D$7*'POSF Zone Def'!$CG77</f>
        <v>0</v>
      </c>
      <c r="EV88" s="582">
        <f>'POSF Inventory'!$CK80*'POSF Emiss by Zone'!$D$9*'POSF Zone Def'!$CG77</f>
        <v>9.6101880560560458E-4</v>
      </c>
      <c r="EW88" s="575">
        <f>'POSF Inventory'!$CF80*'POSF Emiss by Zone'!$D$7*'POSF Zone Def'!$CH77</f>
        <v>0</v>
      </c>
      <c r="EX88" s="575">
        <f>'POSF Inventory'!$CG80*'POSF Emiss by Zone'!$D$9*'POSF Zone Def'!$CH77</f>
        <v>1.6768323577908004</v>
      </c>
      <c r="EY88" s="575">
        <f>'POSF Inventory'!$CH80*'POSF Emiss by Zone'!$D$7*'POSF Zone Def'!$CH77</f>
        <v>0</v>
      </c>
      <c r="EZ88" s="575">
        <f>'POSF Inventory'!$CI80*'POSF Emiss by Zone'!$D$9*'POSF Zone Def'!$CH77</f>
        <v>0</v>
      </c>
      <c r="FA88" s="575">
        <f>'POSF Inventory'!$CJ80*'POSF Emiss by Zone'!$D$7*'POSF Zone Def'!$CH77</f>
        <v>0</v>
      </c>
      <c r="FB88" s="582">
        <f>'POSF Inventory'!$CK80*'POSF Emiss by Zone'!$D$9*'POSF Zone Def'!$CH77</f>
        <v>15.091491220117206</v>
      </c>
      <c r="FC88" s="575">
        <f>'POSF Inventory'!$CF80*'POSF Emiss by Zone'!$D$7*'POSF Zone Def'!$CI77</f>
        <v>0</v>
      </c>
      <c r="FD88" s="575">
        <f>'POSF Inventory'!$CG80*'POSF Emiss by Zone'!$D$9*'POSF Zone Def'!$CI77</f>
        <v>2.2497172323419106</v>
      </c>
      <c r="FE88" s="575">
        <f>'POSF Inventory'!$CH80*'POSF Emiss by Zone'!$D$7*'POSF Zone Def'!$CI77</f>
        <v>0</v>
      </c>
      <c r="FF88" s="575">
        <f>'POSF Inventory'!$CI80*'POSF Emiss by Zone'!$D$9*'POSF Zone Def'!$CI77</f>
        <v>0</v>
      </c>
      <c r="FG88" s="575">
        <f>'POSF Inventory'!$CJ80*'POSF Emiss by Zone'!$D$7*'POSF Zone Def'!$CI77</f>
        <v>0</v>
      </c>
      <c r="FH88" s="579">
        <f>'POSF Inventory'!$CK80*'POSF Emiss by Zone'!$D$9*'POSF Zone Def'!$CI77</f>
        <v>20.2474550910772</v>
      </c>
      <c r="FI88" s="595"/>
      <c r="FJ88" s="595"/>
      <c r="FM88" s="592">
        <v>71</v>
      </c>
      <c r="FN88" s="592">
        <f t="shared" si="99"/>
        <v>2025</v>
      </c>
      <c r="FO88" s="587">
        <v>68</v>
      </c>
      <c r="FP88" s="576">
        <f t="shared" si="100"/>
        <v>0</v>
      </c>
      <c r="FQ88" s="532">
        <f t="shared" si="101"/>
        <v>0</v>
      </c>
      <c r="FR88" s="532">
        <f t="shared" si="102"/>
        <v>0</v>
      </c>
      <c r="FS88" s="532">
        <f t="shared" si="103"/>
        <v>0</v>
      </c>
      <c r="FT88" s="532">
        <f t="shared" si="104"/>
        <v>0</v>
      </c>
      <c r="FU88" s="533">
        <f t="shared" si="105"/>
        <v>0</v>
      </c>
      <c r="FV88" s="545">
        <f t="shared" si="106"/>
        <v>0</v>
      </c>
      <c r="FW88" s="545">
        <f t="shared" si="107"/>
        <v>0</v>
      </c>
      <c r="FX88" s="545">
        <f t="shared" si="108"/>
        <v>0</v>
      </c>
      <c r="FY88" s="545">
        <f t="shared" si="109"/>
        <v>0</v>
      </c>
      <c r="FZ88" s="545">
        <f t="shared" si="110"/>
        <v>0</v>
      </c>
      <c r="GA88" s="554">
        <f t="shared" si="111"/>
        <v>0</v>
      </c>
      <c r="GB88" s="532">
        <f t="shared" si="112"/>
        <v>0</v>
      </c>
      <c r="GC88" s="532">
        <f t="shared" si="113"/>
        <v>0</v>
      </c>
      <c r="GD88" s="532">
        <f t="shared" si="114"/>
        <v>0</v>
      </c>
      <c r="GE88" s="532">
        <f t="shared" si="115"/>
        <v>0</v>
      </c>
      <c r="GF88" s="532">
        <f t="shared" si="116"/>
        <v>0</v>
      </c>
      <c r="GG88" s="533">
        <f t="shared" si="117"/>
        <v>0</v>
      </c>
      <c r="GH88" s="545">
        <f t="shared" si="118"/>
        <v>0</v>
      </c>
      <c r="GI88" s="545">
        <f t="shared" si="119"/>
        <v>0</v>
      </c>
      <c r="GJ88" s="545">
        <f t="shared" si="120"/>
        <v>0</v>
      </c>
      <c r="GK88" s="545">
        <f t="shared" si="121"/>
        <v>0</v>
      </c>
      <c r="GL88" s="545">
        <f t="shared" si="122"/>
        <v>0</v>
      </c>
      <c r="GM88" s="545">
        <f t="shared" si="123"/>
        <v>0</v>
      </c>
      <c r="GN88" s="545">
        <f t="shared" si="124"/>
        <v>0</v>
      </c>
      <c r="GO88" s="545">
        <f t="shared" si="125"/>
        <v>0</v>
      </c>
      <c r="GP88" s="545">
        <f t="shared" si="126"/>
        <v>0</v>
      </c>
      <c r="GQ88" s="545">
        <f t="shared" si="127"/>
        <v>0</v>
      </c>
      <c r="GR88" s="545">
        <f t="shared" si="128"/>
        <v>0</v>
      </c>
      <c r="GS88" s="554">
        <f t="shared" si="129"/>
        <v>0</v>
      </c>
      <c r="GT88" s="532">
        <f t="shared" si="130"/>
        <v>0</v>
      </c>
      <c r="GU88" s="532">
        <f t="shared" si="131"/>
        <v>0</v>
      </c>
      <c r="GV88" s="532">
        <f t="shared" si="132"/>
        <v>0</v>
      </c>
      <c r="GW88" s="532">
        <f t="shared" si="133"/>
        <v>0</v>
      </c>
      <c r="GX88" s="532">
        <f t="shared" si="134"/>
        <v>0</v>
      </c>
      <c r="GY88" s="533">
        <f t="shared" si="135"/>
        <v>0</v>
      </c>
      <c r="GZ88" s="545">
        <f t="shared" si="136"/>
        <v>0</v>
      </c>
      <c r="HA88" s="545">
        <f t="shared" si="137"/>
        <v>0</v>
      </c>
      <c r="HB88" s="545">
        <f t="shared" si="138"/>
        <v>0</v>
      </c>
      <c r="HC88" s="545">
        <f t="shared" si="139"/>
        <v>0</v>
      </c>
      <c r="HD88" s="545">
        <f t="shared" si="140"/>
        <v>0</v>
      </c>
      <c r="HE88" s="558">
        <f t="shared" si="141"/>
        <v>0</v>
      </c>
      <c r="HF88" s="575">
        <f t="shared" si="142"/>
        <v>0</v>
      </c>
      <c r="HG88" s="575">
        <f t="shared" si="143"/>
        <v>1.1060862747120724E-4</v>
      </c>
      <c r="HH88" s="575">
        <f t="shared" si="144"/>
        <v>0</v>
      </c>
      <c r="HI88" s="575">
        <f t="shared" si="145"/>
        <v>0</v>
      </c>
      <c r="HJ88" s="575">
        <f t="shared" si="146"/>
        <v>0</v>
      </c>
      <c r="HK88" s="582">
        <f t="shared" si="147"/>
        <v>9.9547764724086532E-4</v>
      </c>
      <c r="HL88" s="575">
        <f t="shared" si="148"/>
        <v>0</v>
      </c>
      <c r="HM88" s="575">
        <f t="shared" si="149"/>
        <v>1.7369578208191558</v>
      </c>
      <c r="HN88" s="575">
        <f t="shared" si="150"/>
        <v>0</v>
      </c>
      <c r="HO88" s="575">
        <f t="shared" si="151"/>
        <v>0</v>
      </c>
      <c r="HP88" s="575">
        <f t="shared" si="152"/>
        <v>0</v>
      </c>
      <c r="HQ88" s="582">
        <f t="shared" si="153"/>
        <v>15.632620387372404</v>
      </c>
      <c r="HR88" s="575">
        <f t="shared" si="154"/>
        <v>0</v>
      </c>
      <c r="HS88" s="575">
        <f t="shared" si="155"/>
        <v>2.3303843840991902</v>
      </c>
      <c r="HT88" s="575">
        <f t="shared" si="156"/>
        <v>0</v>
      </c>
      <c r="HU88" s="575">
        <f t="shared" si="157"/>
        <v>0</v>
      </c>
      <c r="HV88" s="575">
        <f t="shared" si="158"/>
        <v>0</v>
      </c>
      <c r="HW88" s="579">
        <f t="shared" si="159"/>
        <v>20.973459456892716</v>
      </c>
      <c r="HX88" s="575">
        <f t="shared" si="160"/>
        <v>0</v>
      </c>
      <c r="HY88" s="575">
        <f t="shared" si="161"/>
        <v>0</v>
      </c>
      <c r="HZ88" s="575">
        <f t="shared" si="162"/>
        <v>0</v>
      </c>
      <c r="IA88" s="575">
        <f t="shared" si="163"/>
        <v>0</v>
      </c>
      <c r="IB88" s="575">
        <f t="shared" si="164"/>
        <v>0</v>
      </c>
      <c r="IC88" s="575">
        <f t="shared" si="165"/>
        <v>0</v>
      </c>
      <c r="ID88" s="575">
        <f t="shared" si="166"/>
        <v>0</v>
      </c>
      <c r="IE88" s="575">
        <f t="shared" si="167"/>
        <v>0</v>
      </c>
      <c r="IF88" s="575">
        <f t="shared" si="168"/>
        <v>0</v>
      </c>
      <c r="IG88" s="575">
        <f t="shared" si="169"/>
        <v>0</v>
      </c>
      <c r="IH88" s="575">
        <f t="shared" si="170"/>
        <v>0</v>
      </c>
      <c r="II88" s="575">
        <f t="shared" si="171"/>
        <v>0</v>
      </c>
      <c r="IJ88" s="575">
        <f t="shared" si="172"/>
        <v>0</v>
      </c>
      <c r="IK88" s="575">
        <f t="shared" si="173"/>
        <v>0</v>
      </c>
      <c r="IL88" s="575">
        <f t="shared" si="174"/>
        <v>0</v>
      </c>
      <c r="IM88" s="575">
        <f t="shared" si="175"/>
        <v>0</v>
      </c>
      <c r="IN88" s="575">
        <f t="shared" si="176"/>
        <v>0</v>
      </c>
      <c r="IO88" s="575">
        <f t="shared" si="177"/>
        <v>0</v>
      </c>
    </row>
    <row r="89" spans="1:249" ht="18" x14ac:dyDescent="0.25">
      <c r="A89" s="12">
        <v>2026</v>
      </c>
      <c r="B89" s="564"/>
      <c r="C89" s="532">
        <f>'POSF Inventory'!AD81*$D$5*'POSF Zone Def'!$M78</f>
        <v>0</v>
      </c>
      <c r="D89" s="532">
        <f>'POSF Inventory'!AE81*$D$6*'POSF Zone Def'!$M78</f>
        <v>0</v>
      </c>
      <c r="E89" s="532">
        <f>'POSF Inventory'!AF81*$D$5*'POSF Zone Def'!$M78</f>
        <v>0</v>
      </c>
      <c r="F89" s="532">
        <f>'POSF Inventory'!AG81*$D$6*'POSF Zone Def'!$M78</f>
        <v>0</v>
      </c>
      <c r="G89" s="532">
        <f>'POSF Inventory'!AH81*$D$5*'POSF Zone Def'!$M78</f>
        <v>0</v>
      </c>
      <c r="H89" s="533">
        <f>'POSF Inventory'!AI81*$D$6*'POSF Zone Def'!$M78</f>
        <v>0</v>
      </c>
      <c r="I89" s="545">
        <f>'POSF Inventory'!AD81*$D$5*'POSF Zone Def'!$N78</f>
        <v>0</v>
      </c>
      <c r="J89" s="545">
        <f>'POSF Inventory'!AE81*$D$6*'POSF Zone Def'!$N78</f>
        <v>0</v>
      </c>
      <c r="K89" s="545">
        <f>'POSF Inventory'!AF81*$D$5*'POSF Zone Def'!$N78</f>
        <v>0</v>
      </c>
      <c r="L89" s="545">
        <f>'POSF Inventory'!AG81*$D$6*'POSF Zone Def'!$N78</f>
        <v>0</v>
      </c>
      <c r="M89" s="545">
        <f>'POSF Inventory'!AH81*$D$5*'POSF Zone Def'!$N78</f>
        <v>0</v>
      </c>
      <c r="N89" s="558">
        <f>'POSF Inventory'!AI81*$D$6*'POSF Zone Def'!$N78</f>
        <v>0</v>
      </c>
      <c r="O89" s="532">
        <f>'POSF Inventory'!AJ81*$D$5*'POSF Zone Def'!$AP78</f>
        <v>0</v>
      </c>
      <c r="P89" s="532">
        <f>'POSF Inventory'!AK81*$D$6*'POSF Zone Def'!$AP78</f>
        <v>0</v>
      </c>
      <c r="Q89" s="532">
        <f>'POSF Inventory'!AL81*$D$5*'POSF Zone Def'!$AP78</f>
        <v>0</v>
      </c>
      <c r="R89" s="532">
        <f>'POSF Inventory'!AM81*$D$6*'POSF Zone Def'!$AP78</f>
        <v>0</v>
      </c>
      <c r="S89" s="532">
        <f>'POSF Inventory'!AN81*$D$5*'POSF Zone Def'!$AP78</f>
        <v>0</v>
      </c>
      <c r="T89" s="533">
        <f>'POSF Inventory'!AO81*$D$6*'POSF Zone Def'!$AP78</f>
        <v>0</v>
      </c>
      <c r="U89" s="545">
        <f>'POSF Inventory'!AJ81*$D$5*'POSF Zone Def'!$AQ78</f>
        <v>0</v>
      </c>
      <c r="V89" s="545">
        <f>'POSF Inventory'!AK81*$D$6*'POSF Zone Def'!$AQ78</f>
        <v>0</v>
      </c>
      <c r="W89" s="545">
        <f>'POSF Inventory'!AL81*$D$5*'POSF Zone Def'!$AQ78</f>
        <v>0</v>
      </c>
      <c r="X89" s="545">
        <f>'POSF Inventory'!AM81*$D$6*'POSF Zone Def'!$AQ78</f>
        <v>0</v>
      </c>
      <c r="Y89" s="545">
        <f>'POSF Inventory'!AN81*$D$5*'POSF Zone Def'!$AQ78</f>
        <v>0</v>
      </c>
      <c r="Z89" s="554">
        <f>'POSF Inventory'!AO81*$D$6*'POSF Zone Def'!$AQ78</f>
        <v>0</v>
      </c>
      <c r="AA89" s="532">
        <f>'POSF Inventory'!AV81*'POSF Emiss by Zone'!$D$5*'POSF Zone Def'!$M78</f>
        <v>0</v>
      </c>
      <c r="AB89" s="532">
        <f>'POSF Inventory'!AW81*'POSF Emiss by Zone'!$D$6*'POSF Zone Def'!$M78</f>
        <v>0</v>
      </c>
      <c r="AC89" s="532">
        <f>'POSF Inventory'!AX81*'POSF Emiss by Zone'!$D$5*'POSF Zone Def'!$M78</f>
        <v>0</v>
      </c>
      <c r="AD89" s="532">
        <f>'POSF Inventory'!AY81*'POSF Emiss by Zone'!$D$6*'POSF Zone Def'!$M78</f>
        <v>0</v>
      </c>
      <c r="AE89" s="532">
        <f>'POSF Inventory'!AZ81*'POSF Emiss by Zone'!$D$5*'POSF Zone Def'!$M78</f>
        <v>0</v>
      </c>
      <c r="AF89" s="533">
        <f>'POSF Inventory'!BA81*'POSF Emiss by Zone'!$D$6*'POSF Zone Def'!$M78</f>
        <v>0</v>
      </c>
      <c r="AG89" s="545">
        <f>'POSF Inventory'!AV81*'POSF Emiss by Zone'!$D$5*'POSF Zone Def'!$N78</f>
        <v>0</v>
      </c>
      <c r="AH89" s="545">
        <f>'POSF Inventory'!AW81*'POSF Emiss by Zone'!$D$6*'POSF Zone Def'!$N78</f>
        <v>0</v>
      </c>
      <c r="AI89" s="545">
        <f>'POSF Inventory'!AX81*'POSF Emiss by Zone'!$D$5*'POSF Zone Def'!$N78</f>
        <v>0</v>
      </c>
      <c r="AJ89" s="545">
        <f>'POSF Inventory'!AY81*'POSF Emiss by Zone'!$D$6*'POSF Zone Def'!$N78</f>
        <v>0</v>
      </c>
      <c r="AK89" s="545">
        <f>'POSF Inventory'!AZ81*'POSF Emiss by Zone'!$D$5*'POSF Zone Def'!$N78</f>
        <v>0</v>
      </c>
      <c r="AL89" s="558">
        <f>'POSF Inventory'!BA81*'POSF Emiss by Zone'!$D$6*'POSF Zone Def'!$N78</f>
        <v>0</v>
      </c>
      <c r="AM89" s="532">
        <f>'POSF Inventory'!BB81*'POSF Emiss by Zone'!$D$5*'POSF Zone Def'!$AP78</f>
        <v>0</v>
      </c>
      <c r="AN89" s="532">
        <f>'POSF Inventory'!BC81*'POSF Emiss by Zone'!$D$6*'POSF Zone Def'!$AP78</f>
        <v>0</v>
      </c>
      <c r="AO89" s="532">
        <f>'POSF Inventory'!BD81*'POSF Emiss by Zone'!$D$5*'POSF Zone Def'!$AP78</f>
        <v>0</v>
      </c>
      <c r="AP89" s="532">
        <f>'POSF Inventory'!BE81*'POSF Emiss by Zone'!$D$6*'POSF Zone Def'!$AP78</f>
        <v>0</v>
      </c>
      <c r="AQ89" s="532">
        <f>'POSF Inventory'!BF81*'POSF Emiss by Zone'!$D$5*'POSF Zone Def'!$AP78</f>
        <v>0</v>
      </c>
      <c r="AR89" s="533">
        <f>'POSF Inventory'!BG81*'POSF Emiss by Zone'!$D$6*'POSF Zone Def'!$AP78</f>
        <v>0</v>
      </c>
      <c r="AS89" s="545">
        <f>'POSF Inventory'!BB81*'POSF Emiss by Zone'!$D$5*'POSF Zone Def'!$AQ78</f>
        <v>0</v>
      </c>
      <c r="AT89" s="545">
        <f>'POSF Inventory'!BC81*'POSF Emiss by Zone'!$D$6*'POSF Zone Def'!$AQ78</f>
        <v>0</v>
      </c>
      <c r="AU89" s="545">
        <f>'POSF Inventory'!BD81*'POSF Emiss by Zone'!$D$5*'POSF Zone Def'!$AQ78</f>
        <v>0</v>
      </c>
      <c r="AV89" s="545">
        <f>'POSF Inventory'!BE81*'POSF Emiss by Zone'!$D$6*'POSF Zone Def'!$AQ78</f>
        <v>0</v>
      </c>
      <c r="AW89" s="545">
        <f>'POSF Inventory'!BF81*'POSF Emiss by Zone'!$D$5*'POSF Zone Def'!$AQ78</f>
        <v>0</v>
      </c>
      <c r="AX89" s="554">
        <f>'POSF Inventory'!BG81*'POSF Emiss by Zone'!$D$6*'POSF Zone Def'!$AQ78</f>
        <v>0</v>
      </c>
      <c r="AY89" s="532">
        <f>'POSF Inventory'!EA81*'POSF Emiss by Zone'!$D$5*'POSF Zone Def'!$Y78</f>
        <v>0</v>
      </c>
      <c r="AZ89" s="532">
        <f>'POSF Inventory'!EB81*'POSF Emiss by Zone'!$D$6*'POSF Zone Def'!$Y78</f>
        <v>0</v>
      </c>
      <c r="BA89" s="532">
        <f>'POSF Inventory'!EC81*'POSF Emiss by Zone'!$D$5*'POSF Zone Def'!$Y78</f>
        <v>0</v>
      </c>
      <c r="BB89" s="532">
        <f>'POSF Inventory'!ED81*'POSF Emiss by Zone'!$D$6*'POSF Zone Def'!$Y78</f>
        <v>0</v>
      </c>
      <c r="BC89" s="532">
        <f>'POSF Inventory'!EE81*'POSF Emiss by Zone'!$D$5*'POSF Zone Def'!$Y78</f>
        <v>0</v>
      </c>
      <c r="BD89" s="533">
        <f>'POSF Inventory'!EF81*'POSF Emiss by Zone'!$D$6*'POSF Zone Def'!$Y78</f>
        <v>0</v>
      </c>
      <c r="BE89" s="545">
        <f>'POSF Inventory'!EA81*'POSF Emiss by Zone'!$D$5*'POSF Zone Def'!$Z78</f>
        <v>0</v>
      </c>
      <c r="BF89" s="545">
        <f>'POSF Inventory'!EB81*'POSF Emiss by Zone'!$D$6*'POSF Zone Def'!$Z78</f>
        <v>0</v>
      </c>
      <c r="BG89" s="545">
        <f>'POSF Inventory'!EC81*'POSF Emiss by Zone'!$D$5*'POSF Zone Def'!$Z78</f>
        <v>0</v>
      </c>
      <c r="BH89" s="545">
        <f>'POSF Inventory'!ED81*'POSF Emiss by Zone'!$D$6*'POSF Zone Def'!$Z78</f>
        <v>0</v>
      </c>
      <c r="BI89" s="545">
        <f>'POSF Inventory'!EE81*'POSF Emiss by Zone'!$D$5*'POSF Zone Def'!$Z78</f>
        <v>0</v>
      </c>
      <c r="BJ89" s="558">
        <f>'POSF Inventory'!EF81*'POSF Emiss by Zone'!$D$6*'POSF Zone Def'!$Z78</f>
        <v>0</v>
      </c>
      <c r="BK89" s="545">
        <f>'POSF Inventory'!$EA81*'POSF Emiss by Zone'!$D$5*'POSF Zone Def'!$AC78</f>
        <v>0</v>
      </c>
      <c r="BL89" s="545">
        <f>'POSF Inventory'!$EB81*'POSF Emiss by Zone'!$D$6*'POSF Zone Def'!$AC78</f>
        <v>0</v>
      </c>
      <c r="BM89" s="545">
        <f>'POSF Inventory'!$EC81*'POSF Emiss by Zone'!$D$5*'POSF Zone Def'!$AC78</f>
        <v>0</v>
      </c>
      <c r="BN89" s="545">
        <f>'POSF Inventory'!$ED81*'POSF Emiss by Zone'!$D$6*'POSF Zone Def'!$AC78</f>
        <v>0</v>
      </c>
      <c r="BO89" s="545">
        <f>'POSF Inventory'!$EE81*'POSF Emiss by Zone'!$D$5*'POSF Zone Def'!$AC78</f>
        <v>0</v>
      </c>
      <c r="BP89" s="558">
        <f>'POSF Inventory'!$EF81*'POSF Emiss by Zone'!$D$6*'POSF Zone Def'!$AC78</f>
        <v>0</v>
      </c>
      <c r="BQ89" s="532">
        <f>'POSF Inventory'!EG81*'POSF Emiss by Zone'!$D$5*'POSF Zone Def'!$BB78</f>
        <v>0</v>
      </c>
      <c r="BR89" s="532">
        <f>'POSF Inventory'!EH81*'POSF Emiss by Zone'!$D$6*'POSF Zone Def'!$BB78</f>
        <v>0</v>
      </c>
      <c r="BS89" s="532">
        <f>'POSF Inventory'!EI81*'POSF Emiss by Zone'!$D$5*'POSF Zone Def'!$BB78</f>
        <v>0</v>
      </c>
      <c r="BT89" s="532">
        <f>'POSF Inventory'!EJ81*'POSF Emiss by Zone'!$D$6*'POSF Zone Def'!$BB78</f>
        <v>0</v>
      </c>
      <c r="BU89" s="532">
        <f>'POSF Inventory'!EK81*'POSF Emiss by Zone'!$D$5*'POSF Zone Def'!$BB78</f>
        <v>0</v>
      </c>
      <c r="BV89" s="533">
        <f>'POSF Inventory'!EL81*'POSF Emiss by Zone'!$D$6*'POSF Zone Def'!$BB78</f>
        <v>0</v>
      </c>
      <c r="BW89" s="545">
        <f>'POSF Inventory'!EG81*'POSF Emiss by Zone'!$D$5*'POSF Zone Def'!$BC78</f>
        <v>0</v>
      </c>
      <c r="BX89" s="545">
        <f>'POSF Inventory'!EH81*'POSF Emiss by Zone'!$D$6*'POSF Zone Def'!$BC78</f>
        <v>0</v>
      </c>
      <c r="BY89" s="545">
        <f>'POSF Inventory'!EI81*'POSF Emiss by Zone'!$D$5*'POSF Zone Def'!$BC78</f>
        <v>0</v>
      </c>
      <c r="BZ89" s="545">
        <f>'POSF Inventory'!EJ81*'POSF Emiss by Zone'!$D$6*'POSF Zone Def'!$BC78</f>
        <v>0</v>
      </c>
      <c r="CA89" s="545">
        <f>'POSF Inventory'!EK81*'POSF Emiss by Zone'!$D$5*'POSF Zone Def'!$BC78</f>
        <v>0</v>
      </c>
      <c r="CB89" s="554">
        <f>'POSF Inventory'!EL81*'POSF Emiss by Zone'!$D$6*'POSF Zone Def'!$BC78</f>
        <v>0</v>
      </c>
      <c r="CC89" s="532">
        <f>'POSF Inventory'!GC81*'POSF Emiss by Zone'!$D$7*'POSF Zone Def'!$M78</f>
        <v>0</v>
      </c>
      <c r="CD89" s="532">
        <f>'POSF Inventory'!GD81*'POSF Emiss by Zone'!$D$9*'POSF Zone Def'!$M78</f>
        <v>0</v>
      </c>
      <c r="CE89" s="532">
        <f>'POSF Inventory'!GE81*'POSF Emiss by Zone'!$D$7*'POSF Zone Def'!$M78</f>
        <v>0</v>
      </c>
      <c r="CF89" s="532">
        <f>'POSF Inventory'!GF81*'POSF Emiss by Zone'!$D$9*'POSF Zone Def'!$M78</f>
        <v>0</v>
      </c>
      <c r="CG89" s="532">
        <f>'POSF Inventory'!GG81*'POSF Emiss by Zone'!$D$7*'POSF Zone Def'!$M78</f>
        <v>0</v>
      </c>
      <c r="CH89" s="533">
        <f>'POSF Inventory'!GH81*'POSF Emiss by Zone'!$D$9*'POSF Zone Def'!$M78</f>
        <v>0</v>
      </c>
      <c r="CI89" s="545">
        <f>'POSF Inventory'!GC81*'POSF Emiss by Zone'!$D$7*'POSF Zone Def'!$N78</f>
        <v>0</v>
      </c>
      <c r="CJ89" s="545">
        <f>'POSF Inventory'!GD81*'POSF Emiss by Zone'!$D$9*'POSF Zone Def'!$N78</f>
        <v>0</v>
      </c>
      <c r="CK89" s="545">
        <f>'POSF Inventory'!GE81*'POSF Emiss by Zone'!$D$7*'POSF Zone Def'!$N78</f>
        <v>0</v>
      </c>
      <c r="CL89" s="545">
        <f>'POSF Inventory'!GF81*'POSF Emiss by Zone'!$D$9*'POSF Zone Def'!$N78</f>
        <v>0</v>
      </c>
      <c r="CM89" s="545">
        <f>'POSF Inventory'!GG81*'POSF Emiss by Zone'!$D$7*'POSF Zone Def'!$N78</f>
        <v>0</v>
      </c>
      <c r="CN89" s="558">
        <f>'POSF Inventory'!GH81*'POSF Emiss by Zone'!$D$9*'POSF Zone Def'!$N78</f>
        <v>0</v>
      </c>
      <c r="CO89" s="532">
        <f>'POSF Inventory'!GI81*'POSF Emiss by Zone'!$D$7*'POSF Zone Def'!$AP78</f>
        <v>0</v>
      </c>
      <c r="CP89" s="532">
        <f>'POSF Inventory'!GJ81*'POSF Emiss by Zone'!$D$9*'POSF Zone Def'!$AP78</f>
        <v>0</v>
      </c>
      <c r="CQ89" s="532">
        <f>'POSF Inventory'!GK81*'POSF Emiss by Zone'!$D$7*'POSF Zone Def'!$AP78</f>
        <v>0</v>
      </c>
      <c r="CR89" s="532">
        <f>'POSF Inventory'!GL81*'POSF Emiss by Zone'!$D$9*'POSF Zone Def'!$AP78</f>
        <v>0</v>
      </c>
      <c r="CS89" s="532">
        <f>'POSF Inventory'!GM81*'POSF Emiss by Zone'!$D$7*'POSF Zone Def'!$AP78</f>
        <v>0</v>
      </c>
      <c r="CT89" s="533">
        <f>'POSF Inventory'!GN81*'POSF Emiss by Zone'!$D$9*'POSF Zone Def'!$AP78</f>
        <v>0</v>
      </c>
      <c r="CU89" s="545">
        <f>'POSF Inventory'!GI81*'POSF Emiss by Zone'!$D$7*'POSF Zone Def'!$AQ78</f>
        <v>0</v>
      </c>
      <c r="CV89" s="545">
        <f>'POSF Inventory'!GJ81*'POSF Emiss by Zone'!$D$9*'POSF Zone Def'!$AQ78</f>
        <v>0</v>
      </c>
      <c r="CW89" s="545">
        <f>'POSF Inventory'!GK81*'POSF Emiss by Zone'!$D$7*'POSF Zone Def'!$AQ78</f>
        <v>0</v>
      </c>
      <c r="CX89" s="545">
        <f>'POSF Inventory'!GL81*'POSF Emiss by Zone'!$D$9*'POSF Zone Def'!$AQ78</f>
        <v>0</v>
      </c>
      <c r="CY89" s="545">
        <f>'POSF Inventory'!GM81*'POSF Emiss by Zone'!$D$7*'POSF Zone Def'!$AQ78</f>
        <v>0</v>
      </c>
      <c r="CZ89" s="554">
        <f>'POSF Inventory'!GN81*'POSF Emiss by Zone'!$D$9*'POSF Zone Def'!$AQ78</f>
        <v>0</v>
      </c>
      <c r="DA89" s="532">
        <f>SUM('POSF Inventory'!GQ81,'POSF Inventory'!GS81)*'POSF Emiss by Zone'!$D$7*'POSF Zone Def'!$Y78</f>
        <v>0</v>
      </c>
      <c r="DB89" s="532">
        <f>SUM('POSF Inventory'!GR81,'POSF Inventory'!GT81)*'POSF Emiss by Zone'!$D$9*'POSF Zone Def'!$Y78</f>
        <v>0</v>
      </c>
      <c r="DC89" s="532"/>
      <c r="DD89" s="532"/>
      <c r="DE89" s="532">
        <f>'POSF Inventory'!GU81*'POSF Emiss by Zone'!$D$7*'POSF Zone Def'!$Y78</f>
        <v>0</v>
      </c>
      <c r="DF89" s="533">
        <f>'POSF Inventory'!GV81*'POSF Emiss by Zone'!$D$9*'POSF Zone Def'!$Y78</f>
        <v>0</v>
      </c>
      <c r="DG89" s="545">
        <f>SUM('POSF Inventory'!GQ81,'POSF Inventory'!GS81)*'POSF Emiss by Zone'!$D$7*'POSF Zone Def'!$Z78</f>
        <v>0</v>
      </c>
      <c r="DH89" s="545">
        <f>SUM('POSF Inventory'!GR81,'POSF Inventory'!GT81)*'POSF Emiss by Zone'!$D$9*'POSF Zone Def'!$Z78</f>
        <v>0</v>
      </c>
      <c r="DI89" s="545"/>
      <c r="DJ89" s="545"/>
      <c r="DK89" s="545">
        <f>'POSF Inventory'!GU81*'POSF Emiss by Zone'!$D$7*'POSF Zone Def'!$Z78</f>
        <v>0</v>
      </c>
      <c r="DL89" s="558">
        <f>'POSF Inventory'!GV81*'POSF Emiss by Zone'!$D$9*'POSF Zone Def'!$Z78</f>
        <v>0</v>
      </c>
      <c r="DM89" s="545">
        <f>SUM('POSF Inventory'!$GQ81,'POSF Inventory'!$GS81)*'POSF Emiss by Zone'!$D$7*'POSF Zone Def'!$AC78</f>
        <v>0</v>
      </c>
      <c r="DN89" s="545">
        <f>SUM('POSF Inventory'!$GR81,'POSF Inventory'!$GT81)*'POSF Emiss by Zone'!$D$9*'POSF Zone Def'!$AC78</f>
        <v>0</v>
      </c>
      <c r="DO89" s="545"/>
      <c r="DP89" s="545"/>
      <c r="DQ89" s="545">
        <f>'POSF Inventory'!$GU81*'POSF Emiss by Zone'!$D$7*'POSF Zone Def'!$AC78</f>
        <v>0</v>
      </c>
      <c r="DR89" s="558">
        <f>'POSF Inventory'!$GV81*'POSF Emiss by Zone'!$D$9*'POSF Zone Def'!$AC78</f>
        <v>0</v>
      </c>
      <c r="DS89" s="532">
        <f>SUM('POSF Inventory'!GW81,'POSF Inventory'!GY81)*$D$7*'POSF Zone Def'!$BB78</f>
        <v>0</v>
      </c>
      <c r="DT89" s="532">
        <f>SUM('POSF Inventory'!GX81,'POSF Inventory'!GZ81)*$D$9*'POSF Zone Def'!$BB78</f>
        <v>0</v>
      </c>
      <c r="DU89" s="532"/>
      <c r="DV89" s="532"/>
      <c r="DW89" s="532">
        <f>'POSF Inventory'!HA81*'POSF Emiss by Zone'!$D$7*'POSF Zone Def'!$BB78</f>
        <v>0</v>
      </c>
      <c r="DX89" s="533">
        <f>'POSF Inventory'!HB81*'POSF Emiss by Zone'!$D$9*'POSF Zone Def'!$BB78</f>
        <v>0</v>
      </c>
      <c r="DY89" s="545">
        <f>SUM('POSF Inventory'!GW81,'POSF Inventory'!GY81)*$D$7*'POSF Zone Def'!$BC78</f>
        <v>0</v>
      </c>
      <c r="DZ89" s="545">
        <f>SUM('POSF Inventory'!GX81,'POSF Inventory'!GZ81)*$D$9*'POSF Zone Def'!$BC78</f>
        <v>0</v>
      </c>
      <c r="EA89" s="545"/>
      <c r="EB89" s="545"/>
      <c r="EC89" s="545">
        <f>'POSF Inventory'!HA81*'POSF Emiss by Zone'!$D$7*'POSF Zone Def'!$BC78</f>
        <v>0</v>
      </c>
      <c r="ED89" s="554">
        <f>'POSF Inventory'!HB81*'POSF Emiss by Zone'!$D$9*'POSF Zone Def'!$BC78</f>
        <v>0</v>
      </c>
      <c r="EE89" s="575">
        <f>'POSF Inventory'!$CF81*'POSF Emiss by Zone'!$D$7*'POSF Zone Def'!$CE78</f>
        <v>0</v>
      </c>
      <c r="EF89" s="575">
        <f>'POSF Inventory'!$CG81*'POSF Emiss by Zone'!$D$9*'POSF Zone Def'!$CE78</f>
        <v>0</v>
      </c>
      <c r="EG89" s="575">
        <f>'POSF Inventory'!$CH81*'POSF Emiss by Zone'!$D$7*'POSF Zone Def'!$CE78</f>
        <v>0</v>
      </c>
      <c r="EH89" s="575">
        <f>'POSF Inventory'!$CI81*'POSF Emiss by Zone'!$D$9*'POSF Zone Def'!$CE78</f>
        <v>0</v>
      </c>
      <c r="EI89" s="575">
        <f>'POSF Inventory'!$CJ81*'POSF Emiss by Zone'!$D$7*'POSF Zone Def'!$CE78</f>
        <v>0</v>
      </c>
      <c r="EJ89" s="582">
        <f>'POSF Inventory'!$CK81*'POSF Emiss by Zone'!$D$9*'POSF Zone Def'!$CE78</f>
        <v>0</v>
      </c>
      <c r="EK89" s="575">
        <f>'POSF Inventory'!$CF81*'POSF Emiss by Zone'!$D$7*'POSF Zone Def'!$CF78</f>
        <v>0</v>
      </c>
      <c r="EL89" s="575">
        <f>'POSF Inventory'!$CG81*'POSF Emiss by Zone'!$D$9*'POSF Zone Def'!$CF78</f>
        <v>0</v>
      </c>
      <c r="EM89" s="575">
        <f>'POSF Inventory'!$CH81*'POSF Emiss by Zone'!$D$7*'POSF Zone Def'!$CF78</f>
        <v>0</v>
      </c>
      <c r="EN89" s="575">
        <f>'POSF Inventory'!$CI81*'POSF Emiss by Zone'!$D$9*'POSF Zone Def'!$CF78</f>
        <v>0</v>
      </c>
      <c r="EO89" s="575">
        <f>'POSF Inventory'!$CJ81*'POSF Emiss by Zone'!$D$7*'POSF Zone Def'!$CF78</f>
        <v>0</v>
      </c>
      <c r="EP89" s="582">
        <f>'POSF Inventory'!$CK81*'POSF Emiss by Zone'!$D$9*'POSF Zone Def'!$CF78</f>
        <v>0</v>
      </c>
      <c r="EQ89" s="575">
        <f>'POSF Inventory'!$CF81*'POSF Emiss by Zone'!$D$7*'POSF Zone Def'!$CG78</f>
        <v>0</v>
      </c>
      <c r="ER89" s="575">
        <f>'POSF Inventory'!$CG81*'POSF Emiss by Zone'!$D$9*'POSF Zone Def'!$CG78</f>
        <v>1.0677986728951161E-4</v>
      </c>
      <c r="ES89" s="575">
        <f>'POSF Inventory'!$CH81*'POSF Emiss by Zone'!$D$7*'POSF Zone Def'!$CG78</f>
        <v>0</v>
      </c>
      <c r="ET89" s="575">
        <f>'POSF Inventory'!$CI81*'POSF Emiss by Zone'!$D$9*'POSF Zone Def'!$CG78</f>
        <v>0</v>
      </c>
      <c r="EU89" s="575">
        <f>'POSF Inventory'!$CJ81*'POSF Emiss by Zone'!$D$7*'POSF Zone Def'!$CG78</f>
        <v>0</v>
      </c>
      <c r="EV89" s="582">
        <f>'POSF Inventory'!$CK81*'POSF Emiss by Zone'!$D$9*'POSF Zone Def'!$CG78</f>
        <v>9.6101880560560458E-4</v>
      </c>
      <c r="EW89" s="575">
        <f>'POSF Inventory'!$CF81*'POSF Emiss by Zone'!$D$7*'POSF Zone Def'!$CH78</f>
        <v>0</v>
      </c>
      <c r="EX89" s="575">
        <f>'POSF Inventory'!$CG81*'POSF Emiss by Zone'!$D$9*'POSF Zone Def'!$CH78</f>
        <v>1.6768323577908004</v>
      </c>
      <c r="EY89" s="575">
        <f>'POSF Inventory'!$CH81*'POSF Emiss by Zone'!$D$7*'POSF Zone Def'!$CH78</f>
        <v>0</v>
      </c>
      <c r="EZ89" s="575">
        <f>'POSF Inventory'!$CI81*'POSF Emiss by Zone'!$D$9*'POSF Zone Def'!$CH78</f>
        <v>0</v>
      </c>
      <c r="FA89" s="575">
        <f>'POSF Inventory'!$CJ81*'POSF Emiss by Zone'!$D$7*'POSF Zone Def'!$CH78</f>
        <v>0</v>
      </c>
      <c r="FB89" s="582">
        <f>'POSF Inventory'!$CK81*'POSF Emiss by Zone'!$D$9*'POSF Zone Def'!$CH78</f>
        <v>15.091491220117206</v>
      </c>
      <c r="FC89" s="575">
        <f>'POSF Inventory'!$CF81*'POSF Emiss by Zone'!$D$7*'POSF Zone Def'!$CI78</f>
        <v>0</v>
      </c>
      <c r="FD89" s="575">
        <f>'POSF Inventory'!$CG81*'POSF Emiss by Zone'!$D$9*'POSF Zone Def'!$CI78</f>
        <v>2.2497172323419106</v>
      </c>
      <c r="FE89" s="575">
        <f>'POSF Inventory'!$CH81*'POSF Emiss by Zone'!$D$7*'POSF Zone Def'!$CI78</f>
        <v>0</v>
      </c>
      <c r="FF89" s="575">
        <f>'POSF Inventory'!$CI81*'POSF Emiss by Zone'!$D$9*'POSF Zone Def'!$CI78</f>
        <v>0</v>
      </c>
      <c r="FG89" s="575">
        <f>'POSF Inventory'!$CJ81*'POSF Emiss by Zone'!$D$7*'POSF Zone Def'!$CI78</f>
        <v>0</v>
      </c>
      <c r="FH89" s="579">
        <f>'POSF Inventory'!$CK81*'POSF Emiss by Zone'!$D$9*'POSF Zone Def'!$CI78</f>
        <v>20.2474550910772</v>
      </c>
      <c r="FI89" s="595"/>
      <c r="FJ89" s="595"/>
      <c r="FM89" s="592">
        <v>72</v>
      </c>
      <c r="FN89" s="592">
        <f t="shared" si="99"/>
        <v>2026</v>
      </c>
      <c r="FO89" s="587">
        <v>69</v>
      </c>
      <c r="FP89" s="576">
        <f t="shared" si="100"/>
        <v>0</v>
      </c>
      <c r="FQ89" s="532">
        <f t="shared" si="101"/>
        <v>0</v>
      </c>
      <c r="FR89" s="532">
        <f t="shared" si="102"/>
        <v>0</v>
      </c>
      <c r="FS89" s="532">
        <f t="shared" si="103"/>
        <v>0</v>
      </c>
      <c r="FT89" s="532">
        <f t="shared" si="104"/>
        <v>0</v>
      </c>
      <c r="FU89" s="533">
        <f t="shared" si="105"/>
        <v>0</v>
      </c>
      <c r="FV89" s="545">
        <f t="shared" si="106"/>
        <v>0</v>
      </c>
      <c r="FW89" s="545">
        <f t="shared" si="107"/>
        <v>0</v>
      </c>
      <c r="FX89" s="545">
        <f t="shared" si="108"/>
        <v>0</v>
      </c>
      <c r="FY89" s="545">
        <f t="shared" si="109"/>
        <v>0</v>
      </c>
      <c r="FZ89" s="545">
        <f t="shared" si="110"/>
        <v>0</v>
      </c>
      <c r="GA89" s="554">
        <f t="shared" si="111"/>
        <v>0</v>
      </c>
      <c r="GB89" s="532">
        <f t="shared" si="112"/>
        <v>0</v>
      </c>
      <c r="GC89" s="532">
        <f t="shared" si="113"/>
        <v>0</v>
      </c>
      <c r="GD89" s="532">
        <f t="shared" si="114"/>
        <v>0</v>
      </c>
      <c r="GE89" s="532">
        <f t="shared" si="115"/>
        <v>0</v>
      </c>
      <c r="GF89" s="532">
        <f t="shared" si="116"/>
        <v>0</v>
      </c>
      <c r="GG89" s="533">
        <f t="shared" si="117"/>
        <v>0</v>
      </c>
      <c r="GH89" s="545">
        <f t="shared" si="118"/>
        <v>0</v>
      </c>
      <c r="GI89" s="545">
        <f t="shared" si="119"/>
        <v>0</v>
      </c>
      <c r="GJ89" s="545">
        <f t="shared" si="120"/>
        <v>0</v>
      </c>
      <c r="GK89" s="545">
        <f t="shared" si="121"/>
        <v>0</v>
      </c>
      <c r="GL89" s="545">
        <f t="shared" si="122"/>
        <v>0</v>
      </c>
      <c r="GM89" s="545">
        <f t="shared" si="123"/>
        <v>0</v>
      </c>
      <c r="GN89" s="545">
        <f t="shared" si="124"/>
        <v>0</v>
      </c>
      <c r="GO89" s="545">
        <f t="shared" si="125"/>
        <v>0</v>
      </c>
      <c r="GP89" s="545">
        <f t="shared" si="126"/>
        <v>0</v>
      </c>
      <c r="GQ89" s="545">
        <f t="shared" si="127"/>
        <v>0</v>
      </c>
      <c r="GR89" s="545">
        <f t="shared" si="128"/>
        <v>0</v>
      </c>
      <c r="GS89" s="554">
        <f t="shared" si="129"/>
        <v>0</v>
      </c>
      <c r="GT89" s="532">
        <f t="shared" si="130"/>
        <v>0</v>
      </c>
      <c r="GU89" s="532">
        <f t="shared" si="131"/>
        <v>0</v>
      </c>
      <c r="GV89" s="532">
        <f t="shared" si="132"/>
        <v>0</v>
      </c>
      <c r="GW89" s="532">
        <f t="shared" si="133"/>
        <v>0</v>
      </c>
      <c r="GX89" s="532">
        <f t="shared" si="134"/>
        <v>0</v>
      </c>
      <c r="GY89" s="533">
        <f t="shared" si="135"/>
        <v>0</v>
      </c>
      <c r="GZ89" s="545">
        <f t="shared" si="136"/>
        <v>0</v>
      </c>
      <c r="HA89" s="545">
        <f t="shared" si="137"/>
        <v>0</v>
      </c>
      <c r="HB89" s="545">
        <f t="shared" si="138"/>
        <v>0</v>
      </c>
      <c r="HC89" s="545">
        <f t="shared" si="139"/>
        <v>0</v>
      </c>
      <c r="HD89" s="545">
        <f t="shared" si="140"/>
        <v>0</v>
      </c>
      <c r="HE89" s="558">
        <f t="shared" si="141"/>
        <v>0</v>
      </c>
      <c r="HF89" s="575">
        <f t="shared" si="142"/>
        <v>0</v>
      </c>
      <c r="HG89" s="575">
        <f t="shared" si="143"/>
        <v>1.1060862747120724E-4</v>
      </c>
      <c r="HH89" s="575">
        <f t="shared" si="144"/>
        <v>0</v>
      </c>
      <c r="HI89" s="575">
        <f t="shared" si="145"/>
        <v>0</v>
      </c>
      <c r="HJ89" s="575">
        <f t="shared" si="146"/>
        <v>0</v>
      </c>
      <c r="HK89" s="582">
        <f t="shared" si="147"/>
        <v>9.9547764724086532E-4</v>
      </c>
      <c r="HL89" s="575">
        <f t="shared" si="148"/>
        <v>0</v>
      </c>
      <c r="HM89" s="575">
        <f t="shared" si="149"/>
        <v>1.7369578208191558</v>
      </c>
      <c r="HN89" s="575">
        <f t="shared" si="150"/>
        <v>0</v>
      </c>
      <c r="HO89" s="575">
        <f t="shared" si="151"/>
        <v>0</v>
      </c>
      <c r="HP89" s="575">
        <f t="shared" si="152"/>
        <v>0</v>
      </c>
      <c r="HQ89" s="582">
        <f t="shared" si="153"/>
        <v>15.632620387372404</v>
      </c>
      <c r="HR89" s="575">
        <f t="shared" si="154"/>
        <v>0</v>
      </c>
      <c r="HS89" s="575">
        <f t="shared" si="155"/>
        <v>2.3303843840991902</v>
      </c>
      <c r="HT89" s="575">
        <f t="shared" si="156"/>
        <v>0</v>
      </c>
      <c r="HU89" s="575">
        <f t="shared" si="157"/>
        <v>0</v>
      </c>
      <c r="HV89" s="575">
        <f t="shared" si="158"/>
        <v>0</v>
      </c>
      <c r="HW89" s="579">
        <f t="shared" si="159"/>
        <v>20.973459456892716</v>
      </c>
      <c r="HX89" s="575">
        <f t="shared" si="160"/>
        <v>0</v>
      </c>
      <c r="HY89" s="575">
        <f t="shared" si="161"/>
        <v>0</v>
      </c>
      <c r="HZ89" s="575">
        <f t="shared" si="162"/>
        <v>0</v>
      </c>
      <c r="IA89" s="575">
        <f t="shared" si="163"/>
        <v>0</v>
      </c>
      <c r="IB89" s="575">
        <f t="shared" si="164"/>
        <v>0</v>
      </c>
      <c r="IC89" s="575">
        <f t="shared" si="165"/>
        <v>0</v>
      </c>
      <c r="ID89" s="575">
        <f t="shared" si="166"/>
        <v>0</v>
      </c>
      <c r="IE89" s="575">
        <f t="shared" si="167"/>
        <v>0</v>
      </c>
      <c r="IF89" s="575">
        <f t="shared" si="168"/>
        <v>0</v>
      </c>
      <c r="IG89" s="575">
        <f t="shared" si="169"/>
        <v>0</v>
      </c>
      <c r="IH89" s="575">
        <f t="shared" si="170"/>
        <v>0</v>
      </c>
      <c r="II89" s="575">
        <f t="shared" si="171"/>
        <v>0</v>
      </c>
      <c r="IJ89" s="575">
        <f t="shared" si="172"/>
        <v>0</v>
      </c>
      <c r="IK89" s="575">
        <f t="shared" si="173"/>
        <v>0</v>
      </c>
      <c r="IL89" s="575">
        <f t="shared" si="174"/>
        <v>0</v>
      </c>
      <c r="IM89" s="575">
        <f t="shared" si="175"/>
        <v>0</v>
      </c>
      <c r="IN89" s="575">
        <f t="shared" si="176"/>
        <v>0</v>
      </c>
      <c r="IO89" s="575">
        <f t="shared" si="177"/>
        <v>0</v>
      </c>
    </row>
    <row r="90" spans="1:249" ht="18" x14ac:dyDescent="0.25">
      <c r="A90" s="12">
        <v>2027</v>
      </c>
      <c r="B90" s="564"/>
      <c r="C90" s="532">
        <f>'POSF Inventory'!AD82*$D$5*'POSF Zone Def'!$M79</f>
        <v>0</v>
      </c>
      <c r="D90" s="532">
        <f>'POSF Inventory'!AE82*$D$6*'POSF Zone Def'!$M79</f>
        <v>0</v>
      </c>
      <c r="E90" s="532">
        <f>'POSF Inventory'!AF82*$D$5*'POSF Zone Def'!$M79</f>
        <v>0</v>
      </c>
      <c r="F90" s="532">
        <f>'POSF Inventory'!AG82*$D$6*'POSF Zone Def'!$M79</f>
        <v>0</v>
      </c>
      <c r="G90" s="532">
        <f>'POSF Inventory'!AH82*$D$5*'POSF Zone Def'!$M79</f>
        <v>0</v>
      </c>
      <c r="H90" s="533">
        <f>'POSF Inventory'!AI82*$D$6*'POSF Zone Def'!$M79</f>
        <v>0</v>
      </c>
      <c r="I90" s="545">
        <f>'POSF Inventory'!AD82*$D$5*'POSF Zone Def'!$N79</f>
        <v>0</v>
      </c>
      <c r="J90" s="545">
        <f>'POSF Inventory'!AE82*$D$6*'POSF Zone Def'!$N79</f>
        <v>0</v>
      </c>
      <c r="K90" s="545">
        <f>'POSF Inventory'!AF82*$D$5*'POSF Zone Def'!$N79</f>
        <v>0</v>
      </c>
      <c r="L90" s="545">
        <f>'POSF Inventory'!AG82*$D$6*'POSF Zone Def'!$N79</f>
        <v>0</v>
      </c>
      <c r="M90" s="545">
        <f>'POSF Inventory'!AH82*$D$5*'POSF Zone Def'!$N79</f>
        <v>0</v>
      </c>
      <c r="N90" s="558">
        <f>'POSF Inventory'!AI82*$D$6*'POSF Zone Def'!$N79</f>
        <v>0</v>
      </c>
      <c r="O90" s="532">
        <f>'POSF Inventory'!AJ82*$D$5*'POSF Zone Def'!$AP79</f>
        <v>0</v>
      </c>
      <c r="P90" s="532">
        <f>'POSF Inventory'!AK82*$D$6*'POSF Zone Def'!$AP79</f>
        <v>0</v>
      </c>
      <c r="Q90" s="532">
        <f>'POSF Inventory'!AL82*$D$5*'POSF Zone Def'!$AP79</f>
        <v>0</v>
      </c>
      <c r="R90" s="532">
        <f>'POSF Inventory'!AM82*$D$6*'POSF Zone Def'!$AP79</f>
        <v>0</v>
      </c>
      <c r="S90" s="532">
        <f>'POSF Inventory'!AN82*$D$5*'POSF Zone Def'!$AP79</f>
        <v>0</v>
      </c>
      <c r="T90" s="533">
        <f>'POSF Inventory'!AO82*$D$6*'POSF Zone Def'!$AP79</f>
        <v>0</v>
      </c>
      <c r="U90" s="545">
        <f>'POSF Inventory'!AJ82*$D$5*'POSF Zone Def'!$AQ79</f>
        <v>0</v>
      </c>
      <c r="V90" s="545">
        <f>'POSF Inventory'!AK82*$D$6*'POSF Zone Def'!$AQ79</f>
        <v>0</v>
      </c>
      <c r="W90" s="545">
        <f>'POSF Inventory'!AL82*$D$5*'POSF Zone Def'!$AQ79</f>
        <v>0</v>
      </c>
      <c r="X90" s="545">
        <f>'POSF Inventory'!AM82*$D$6*'POSF Zone Def'!$AQ79</f>
        <v>0</v>
      </c>
      <c r="Y90" s="545">
        <f>'POSF Inventory'!AN82*$D$5*'POSF Zone Def'!$AQ79</f>
        <v>0</v>
      </c>
      <c r="Z90" s="554">
        <f>'POSF Inventory'!AO82*$D$6*'POSF Zone Def'!$AQ79</f>
        <v>0</v>
      </c>
      <c r="AA90" s="532">
        <f>'POSF Inventory'!AV82*'POSF Emiss by Zone'!$D$5*'POSF Zone Def'!$M79</f>
        <v>0</v>
      </c>
      <c r="AB90" s="532">
        <f>'POSF Inventory'!AW82*'POSF Emiss by Zone'!$D$6*'POSF Zone Def'!$M79</f>
        <v>0</v>
      </c>
      <c r="AC90" s="532">
        <f>'POSF Inventory'!AX82*'POSF Emiss by Zone'!$D$5*'POSF Zone Def'!$M79</f>
        <v>0</v>
      </c>
      <c r="AD90" s="532">
        <f>'POSF Inventory'!AY82*'POSF Emiss by Zone'!$D$6*'POSF Zone Def'!$M79</f>
        <v>0</v>
      </c>
      <c r="AE90" s="532">
        <f>'POSF Inventory'!AZ82*'POSF Emiss by Zone'!$D$5*'POSF Zone Def'!$M79</f>
        <v>0</v>
      </c>
      <c r="AF90" s="533">
        <f>'POSF Inventory'!BA82*'POSF Emiss by Zone'!$D$6*'POSF Zone Def'!$M79</f>
        <v>0</v>
      </c>
      <c r="AG90" s="545">
        <f>'POSF Inventory'!AV82*'POSF Emiss by Zone'!$D$5*'POSF Zone Def'!$N79</f>
        <v>0</v>
      </c>
      <c r="AH90" s="545">
        <f>'POSF Inventory'!AW82*'POSF Emiss by Zone'!$D$6*'POSF Zone Def'!$N79</f>
        <v>0</v>
      </c>
      <c r="AI90" s="545">
        <f>'POSF Inventory'!AX82*'POSF Emiss by Zone'!$D$5*'POSF Zone Def'!$N79</f>
        <v>0</v>
      </c>
      <c r="AJ90" s="545">
        <f>'POSF Inventory'!AY82*'POSF Emiss by Zone'!$D$6*'POSF Zone Def'!$N79</f>
        <v>0</v>
      </c>
      <c r="AK90" s="545">
        <f>'POSF Inventory'!AZ82*'POSF Emiss by Zone'!$D$5*'POSF Zone Def'!$N79</f>
        <v>0</v>
      </c>
      <c r="AL90" s="558">
        <f>'POSF Inventory'!BA82*'POSF Emiss by Zone'!$D$6*'POSF Zone Def'!$N79</f>
        <v>0</v>
      </c>
      <c r="AM90" s="532">
        <f>'POSF Inventory'!BB82*'POSF Emiss by Zone'!$D$5*'POSF Zone Def'!$AP79</f>
        <v>0</v>
      </c>
      <c r="AN90" s="532">
        <f>'POSF Inventory'!BC82*'POSF Emiss by Zone'!$D$6*'POSF Zone Def'!$AP79</f>
        <v>0</v>
      </c>
      <c r="AO90" s="532">
        <f>'POSF Inventory'!BD82*'POSF Emiss by Zone'!$D$5*'POSF Zone Def'!$AP79</f>
        <v>0</v>
      </c>
      <c r="AP90" s="532">
        <f>'POSF Inventory'!BE82*'POSF Emiss by Zone'!$D$6*'POSF Zone Def'!$AP79</f>
        <v>0</v>
      </c>
      <c r="AQ90" s="532">
        <f>'POSF Inventory'!BF82*'POSF Emiss by Zone'!$D$5*'POSF Zone Def'!$AP79</f>
        <v>0</v>
      </c>
      <c r="AR90" s="533">
        <f>'POSF Inventory'!BG82*'POSF Emiss by Zone'!$D$6*'POSF Zone Def'!$AP79</f>
        <v>0</v>
      </c>
      <c r="AS90" s="545">
        <f>'POSF Inventory'!BB82*'POSF Emiss by Zone'!$D$5*'POSF Zone Def'!$AQ79</f>
        <v>0</v>
      </c>
      <c r="AT90" s="545">
        <f>'POSF Inventory'!BC82*'POSF Emiss by Zone'!$D$6*'POSF Zone Def'!$AQ79</f>
        <v>0</v>
      </c>
      <c r="AU90" s="545">
        <f>'POSF Inventory'!BD82*'POSF Emiss by Zone'!$D$5*'POSF Zone Def'!$AQ79</f>
        <v>0</v>
      </c>
      <c r="AV90" s="545">
        <f>'POSF Inventory'!BE82*'POSF Emiss by Zone'!$D$6*'POSF Zone Def'!$AQ79</f>
        <v>0</v>
      </c>
      <c r="AW90" s="545">
        <f>'POSF Inventory'!BF82*'POSF Emiss by Zone'!$D$5*'POSF Zone Def'!$AQ79</f>
        <v>0</v>
      </c>
      <c r="AX90" s="554">
        <f>'POSF Inventory'!BG82*'POSF Emiss by Zone'!$D$6*'POSF Zone Def'!$AQ79</f>
        <v>0</v>
      </c>
      <c r="AY90" s="532">
        <f>'POSF Inventory'!EA82*'POSF Emiss by Zone'!$D$5*'POSF Zone Def'!$Y79</f>
        <v>0</v>
      </c>
      <c r="AZ90" s="532">
        <f>'POSF Inventory'!EB82*'POSF Emiss by Zone'!$D$6*'POSF Zone Def'!$Y79</f>
        <v>0</v>
      </c>
      <c r="BA90" s="532">
        <f>'POSF Inventory'!EC82*'POSF Emiss by Zone'!$D$5*'POSF Zone Def'!$Y79</f>
        <v>0</v>
      </c>
      <c r="BB90" s="532">
        <f>'POSF Inventory'!ED82*'POSF Emiss by Zone'!$D$6*'POSF Zone Def'!$Y79</f>
        <v>0</v>
      </c>
      <c r="BC90" s="532">
        <f>'POSF Inventory'!EE82*'POSF Emiss by Zone'!$D$5*'POSF Zone Def'!$Y79</f>
        <v>0</v>
      </c>
      <c r="BD90" s="533">
        <f>'POSF Inventory'!EF82*'POSF Emiss by Zone'!$D$6*'POSF Zone Def'!$Y79</f>
        <v>0</v>
      </c>
      <c r="BE90" s="545">
        <f>'POSF Inventory'!EA82*'POSF Emiss by Zone'!$D$5*'POSF Zone Def'!$Z79</f>
        <v>0</v>
      </c>
      <c r="BF90" s="545">
        <f>'POSF Inventory'!EB82*'POSF Emiss by Zone'!$D$6*'POSF Zone Def'!$Z79</f>
        <v>0</v>
      </c>
      <c r="BG90" s="545">
        <f>'POSF Inventory'!EC82*'POSF Emiss by Zone'!$D$5*'POSF Zone Def'!$Z79</f>
        <v>0</v>
      </c>
      <c r="BH90" s="545">
        <f>'POSF Inventory'!ED82*'POSF Emiss by Zone'!$D$6*'POSF Zone Def'!$Z79</f>
        <v>0</v>
      </c>
      <c r="BI90" s="545">
        <f>'POSF Inventory'!EE82*'POSF Emiss by Zone'!$D$5*'POSF Zone Def'!$Z79</f>
        <v>0</v>
      </c>
      <c r="BJ90" s="558">
        <f>'POSF Inventory'!EF82*'POSF Emiss by Zone'!$D$6*'POSF Zone Def'!$Z79</f>
        <v>0</v>
      </c>
      <c r="BK90" s="545">
        <f>'POSF Inventory'!$EA82*'POSF Emiss by Zone'!$D$5*'POSF Zone Def'!$AC79</f>
        <v>0</v>
      </c>
      <c r="BL90" s="545">
        <f>'POSF Inventory'!$EB82*'POSF Emiss by Zone'!$D$6*'POSF Zone Def'!$AC79</f>
        <v>0</v>
      </c>
      <c r="BM90" s="545">
        <f>'POSF Inventory'!$EC82*'POSF Emiss by Zone'!$D$5*'POSF Zone Def'!$AC79</f>
        <v>0</v>
      </c>
      <c r="BN90" s="545">
        <f>'POSF Inventory'!$ED82*'POSF Emiss by Zone'!$D$6*'POSF Zone Def'!$AC79</f>
        <v>0</v>
      </c>
      <c r="BO90" s="545">
        <f>'POSF Inventory'!$EE82*'POSF Emiss by Zone'!$D$5*'POSF Zone Def'!$AC79</f>
        <v>0</v>
      </c>
      <c r="BP90" s="558">
        <f>'POSF Inventory'!$EF82*'POSF Emiss by Zone'!$D$6*'POSF Zone Def'!$AC79</f>
        <v>0</v>
      </c>
      <c r="BQ90" s="532">
        <f>'POSF Inventory'!EG82*'POSF Emiss by Zone'!$D$5*'POSF Zone Def'!$BB79</f>
        <v>0</v>
      </c>
      <c r="BR90" s="532">
        <f>'POSF Inventory'!EH82*'POSF Emiss by Zone'!$D$6*'POSF Zone Def'!$BB79</f>
        <v>0</v>
      </c>
      <c r="BS90" s="532">
        <f>'POSF Inventory'!EI82*'POSF Emiss by Zone'!$D$5*'POSF Zone Def'!$BB79</f>
        <v>0</v>
      </c>
      <c r="BT90" s="532">
        <f>'POSF Inventory'!EJ82*'POSF Emiss by Zone'!$D$6*'POSF Zone Def'!$BB79</f>
        <v>0</v>
      </c>
      <c r="BU90" s="532">
        <f>'POSF Inventory'!EK82*'POSF Emiss by Zone'!$D$5*'POSF Zone Def'!$BB79</f>
        <v>0</v>
      </c>
      <c r="BV90" s="533">
        <f>'POSF Inventory'!EL82*'POSF Emiss by Zone'!$D$6*'POSF Zone Def'!$BB79</f>
        <v>0</v>
      </c>
      <c r="BW90" s="545">
        <f>'POSF Inventory'!EG82*'POSF Emiss by Zone'!$D$5*'POSF Zone Def'!$BC79</f>
        <v>0</v>
      </c>
      <c r="BX90" s="545">
        <f>'POSF Inventory'!EH82*'POSF Emiss by Zone'!$D$6*'POSF Zone Def'!$BC79</f>
        <v>0</v>
      </c>
      <c r="BY90" s="545">
        <f>'POSF Inventory'!EI82*'POSF Emiss by Zone'!$D$5*'POSF Zone Def'!$BC79</f>
        <v>0</v>
      </c>
      <c r="BZ90" s="545">
        <f>'POSF Inventory'!EJ82*'POSF Emiss by Zone'!$D$6*'POSF Zone Def'!$BC79</f>
        <v>0</v>
      </c>
      <c r="CA90" s="545">
        <f>'POSF Inventory'!EK82*'POSF Emiss by Zone'!$D$5*'POSF Zone Def'!$BC79</f>
        <v>0</v>
      </c>
      <c r="CB90" s="554">
        <f>'POSF Inventory'!EL82*'POSF Emiss by Zone'!$D$6*'POSF Zone Def'!$BC79</f>
        <v>0</v>
      </c>
      <c r="CC90" s="532">
        <f>'POSF Inventory'!GC82*'POSF Emiss by Zone'!$D$7*'POSF Zone Def'!$M79</f>
        <v>0</v>
      </c>
      <c r="CD90" s="532">
        <f>'POSF Inventory'!GD82*'POSF Emiss by Zone'!$D$9*'POSF Zone Def'!$M79</f>
        <v>0</v>
      </c>
      <c r="CE90" s="532">
        <f>'POSF Inventory'!GE82*'POSF Emiss by Zone'!$D$7*'POSF Zone Def'!$M79</f>
        <v>0</v>
      </c>
      <c r="CF90" s="532">
        <f>'POSF Inventory'!GF82*'POSF Emiss by Zone'!$D$9*'POSF Zone Def'!$M79</f>
        <v>0</v>
      </c>
      <c r="CG90" s="532">
        <f>'POSF Inventory'!GG82*'POSF Emiss by Zone'!$D$7*'POSF Zone Def'!$M79</f>
        <v>0</v>
      </c>
      <c r="CH90" s="533">
        <f>'POSF Inventory'!GH82*'POSF Emiss by Zone'!$D$9*'POSF Zone Def'!$M79</f>
        <v>0</v>
      </c>
      <c r="CI90" s="545">
        <f>'POSF Inventory'!GC82*'POSF Emiss by Zone'!$D$7*'POSF Zone Def'!$N79</f>
        <v>0</v>
      </c>
      <c r="CJ90" s="545">
        <f>'POSF Inventory'!GD82*'POSF Emiss by Zone'!$D$9*'POSF Zone Def'!$N79</f>
        <v>0</v>
      </c>
      <c r="CK90" s="545">
        <f>'POSF Inventory'!GE82*'POSF Emiss by Zone'!$D$7*'POSF Zone Def'!$N79</f>
        <v>0</v>
      </c>
      <c r="CL90" s="545">
        <f>'POSF Inventory'!GF82*'POSF Emiss by Zone'!$D$9*'POSF Zone Def'!$N79</f>
        <v>0</v>
      </c>
      <c r="CM90" s="545">
        <f>'POSF Inventory'!GG82*'POSF Emiss by Zone'!$D$7*'POSF Zone Def'!$N79</f>
        <v>0</v>
      </c>
      <c r="CN90" s="558">
        <f>'POSF Inventory'!GH82*'POSF Emiss by Zone'!$D$9*'POSF Zone Def'!$N79</f>
        <v>0</v>
      </c>
      <c r="CO90" s="532">
        <f>'POSF Inventory'!GI82*'POSF Emiss by Zone'!$D$7*'POSF Zone Def'!$AP79</f>
        <v>0</v>
      </c>
      <c r="CP90" s="532">
        <f>'POSF Inventory'!GJ82*'POSF Emiss by Zone'!$D$9*'POSF Zone Def'!$AP79</f>
        <v>0</v>
      </c>
      <c r="CQ90" s="532">
        <f>'POSF Inventory'!GK82*'POSF Emiss by Zone'!$D$7*'POSF Zone Def'!$AP79</f>
        <v>0</v>
      </c>
      <c r="CR90" s="532">
        <f>'POSF Inventory'!GL82*'POSF Emiss by Zone'!$D$9*'POSF Zone Def'!$AP79</f>
        <v>0</v>
      </c>
      <c r="CS90" s="532">
        <f>'POSF Inventory'!GM82*'POSF Emiss by Zone'!$D$7*'POSF Zone Def'!$AP79</f>
        <v>0</v>
      </c>
      <c r="CT90" s="533">
        <f>'POSF Inventory'!GN82*'POSF Emiss by Zone'!$D$9*'POSF Zone Def'!$AP79</f>
        <v>0</v>
      </c>
      <c r="CU90" s="545">
        <f>'POSF Inventory'!GI82*'POSF Emiss by Zone'!$D$7*'POSF Zone Def'!$AQ79</f>
        <v>0</v>
      </c>
      <c r="CV90" s="545">
        <f>'POSF Inventory'!GJ82*'POSF Emiss by Zone'!$D$9*'POSF Zone Def'!$AQ79</f>
        <v>0</v>
      </c>
      <c r="CW90" s="545">
        <f>'POSF Inventory'!GK82*'POSF Emiss by Zone'!$D$7*'POSF Zone Def'!$AQ79</f>
        <v>0</v>
      </c>
      <c r="CX90" s="545">
        <f>'POSF Inventory'!GL82*'POSF Emiss by Zone'!$D$9*'POSF Zone Def'!$AQ79</f>
        <v>0</v>
      </c>
      <c r="CY90" s="545">
        <f>'POSF Inventory'!GM82*'POSF Emiss by Zone'!$D$7*'POSF Zone Def'!$AQ79</f>
        <v>0</v>
      </c>
      <c r="CZ90" s="554">
        <f>'POSF Inventory'!GN82*'POSF Emiss by Zone'!$D$9*'POSF Zone Def'!$AQ79</f>
        <v>0</v>
      </c>
      <c r="DA90" s="532">
        <f>SUM('POSF Inventory'!GQ82,'POSF Inventory'!GS82)*'POSF Emiss by Zone'!$D$7*'POSF Zone Def'!$Y79</f>
        <v>0</v>
      </c>
      <c r="DB90" s="532">
        <f>SUM('POSF Inventory'!GR82,'POSF Inventory'!GT82)*'POSF Emiss by Zone'!$D$9*'POSF Zone Def'!$Y79</f>
        <v>0</v>
      </c>
      <c r="DC90" s="532"/>
      <c r="DD90" s="532"/>
      <c r="DE90" s="532">
        <f>'POSF Inventory'!GU82*'POSF Emiss by Zone'!$D$7*'POSF Zone Def'!$Y79</f>
        <v>0</v>
      </c>
      <c r="DF90" s="533">
        <f>'POSF Inventory'!GV82*'POSF Emiss by Zone'!$D$9*'POSF Zone Def'!$Y79</f>
        <v>0</v>
      </c>
      <c r="DG90" s="545">
        <f>SUM('POSF Inventory'!GQ82,'POSF Inventory'!GS82)*'POSF Emiss by Zone'!$D$7*'POSF Zone Def'!$Z79</f>
        <v>0</v>
      </c>
      <c r="DH90" s="545">
        <f>SUM('POSF Inventory'!GR82,'POSF Inventory'!GT82)*'POSF Emiss by Zone'!$D$9*'POSF Zone Def'!$Z79</f>
        <v>0</v>
      </c>
      <c r="DI90" s="545"/>
      <c r="DJ90" s="545"/>
      <c r="DK90" s="545">
        <f>'POSF Inventory'!GU82*'POSF Emiss by Zone'!$D$7*'POSF Zone Def'!$Z79</f>
        <v>0</v>
      </c>
      <c r="DL90" s="558">
        <f>'POSF Inventory'!GV82*'POSF Emiss by Zone'!$D$9*'POSF Zone Def'!$Z79</f>
        <v>0</v>
      </c>
      <c r="DM90" s="545">
        <f>SUM('POSF Inventory'!$GQ82,'POSF Inventory'!$GS82)*'POSF Emiss by Zone'!$D$7*'POSF Zone Def'!$AC79</f>
        <v>0</v>
      </c>
      <c r="DN90" s="545">
        <f>SUM('POSF Inventory'!$GR82,'POSF Inventory'!$GT82)*'POSF Emiss by Zone'!$D$9*'POSF Zone Def'!$AC79</f>
        <v>0</v>
      </c>
      <c r="DO90" s="545"/>
      <c r="DP90" s="545"/>
      <c r="DQ90" s="545">
        <f>'POSF Inventory'!$GU82*'POSF Emiss by Zone'!$D$7*'POSF Zone Def'!$AC79</f>
        <v>0</v>
      </c>
      <c r="DR90" s="558">
        <f>'POSF Inventory'!$GV82*'POSF Emiss by Zone'!$D$9*'POSF Zone Def'!$AC79</f>
        <v>0</v>
      </c>
      <c r="DS90" s="532">
        <f>SUM('POSF Inventory'!GW82,'POSF Inventory'!GY82)*$D$7*'POSF Zone Def'!$BB79</f>
        <v>0</v>
      </c>
      <c r="DT90" s="532">
        <f>SUM('POSF Inventory'!GX82,'POSF Inventory'!GZ82)*$D$9*'POSF Zone Def'!$BB79</f>
        <v>0</v>
      </c>
      <c r="DU90" s="532"/>
      <c r="DV90" s="532"/>
      <c r="DW90" s="532">
        <f>'POSF Inventory'!HA82*'POSF Emiss by Zone'!$D$7*'POSF Zone Def'!$BB79</f>
        <v>0</v>
      </c>
      <c r="DX90" s="533">
        <f>'POSF Inventory'!HB82*'POSF Emiss by Zone'!$D$9*'POSF Zone Def'!$BB79</f>
        <v>0</v>
      </c>
      <c r="DY90" s="545">
        <f>SUM('POSF Inventory'!GW82,'POSF Inventory'!GY82)*$D$7*'POSF Zone Def'!$BC79</f>
        <v>0</v>
      </c>
      <c r="DZ90" s="545">
        <f>SUM('POSF Inventory'!GX82,'POSF Inventory'!GZ82)*$D$9*'POSF Zone Def'!$BC79</f>
        <v>0</v>
      </c>
      <c r="EA90" s="545"/>
      <c r="EB90" s="545"/>
      <c r="EC90" s="545">
        <f>'POSF Inventory'!HA82*'POSF Emiss by Zone'!$D$7*'POSF Zone Def'!$BC79</f>
        <v>0</v>
      </c>
      <c r="ED90" s="554">
        <f>'POSF Inventory'!HB82*'POSF Emiss by Zone'!$D$9*'POSF Zone Def'!$BC79</f>
        <v>0</v>
      </c>
      <c r="EE90" s="575">
        <f>'POSF Inventory'!$CF82*'POSF Emiss by Zone'!$D$7*'POSF Zone Def'!$CE79</f>
        <v>0</v>
      </c>
      <c r="EF90" s="575">
        <f>'POSF Inventory'!$CG82*'POSF Emiss by Zone'!$D$9*'POSF Zone Def'!$CE79</f>
        <v>0</v>
      </c>
      <c r="EG90" s="575">
        <f>'POSF Inventory'!$CH82*'POSF Emiss by Zone'!$D$7*'POSF Zone Def'!$CE79</f>
        <v>0</v>
      </c>
      <c r="EH90" s="575">
        <f>'POSF Inventory'!$CI82*'POSF Emiss by Zone'!$D$9*'POSF Zone Def'!$CE79</f>
        <v>0</v>
      </c>
      <c r="EI90" s="575">
        <f>'POSF Inventory'!$CJ82*'POSF Emiss by Zone'!$D$7*'POSF Zone Def'!$CE79</f>
        <v>0</v>
      </c>
      <c r="EJ90" s="582">
        <f>'POSF Inventory'!$CK82*'POSF Emiss by Zone'!$D$9*'POSF Zone Def'!$CE79</f>
        <v>0</v>
      </c>
      <c r="EK90" s="575">
        <f>'POSF Inventory'!$CF82*'POSF Emiss by Zone'!$D$7*'POSF Zone Def'!$CF79</f>
        <v>0</v>
      </c>
      <c r="EL90" s="575">
        <f>'POSF Inventory'!$CG82*'POSF Emiss by Zone'!$D$9*'POSF Zone Def'!$CF79</f>
        <v>0</v>
      </c>
      <c r="EM90" s="575">
        <f>'POSF Inventory'!$CH82*'POSF Emiss by Zone'!$D$7*'POSF Zone Def'!$CF79</f>
        <v>0</v>
      </c>
      <c r="EN90" s="575">
        <f>'POSF Inventory'!$CI82*'POSF Emiss by Zone'!$D$9*'POSF Zone Def'!$CF79</f>
        <v>0</v>
      </c>
      <c r="EO90" s="575">
        <f>'POSF Inventory'!$CJ82*'POSF Emiss by Zone'!$D$7*'POSF Zone Def'!$CF79</f>
        <v>0</v>
      </c>
      <c r="EP90" s="582">
        <f>'POSF Inventory'!$CK82*'POSF Emiss by Zone'!$D$9*'POSF Zone Def'!$CF79</f>
        <v>0</v>
      </c>
      <c r="EQ90" s="575">
        <f>'POSF Inventory'!$CF82*'POSF Emiss by Zone'!$D$7*'POSF Zone Def'!$CG79</f>
        <v>0</v>
      </c>
      <c r="ER90" s="575">
        <f>'POSF Inventory'!$CG82*'POSF Emiss by Zone'!$D$9*'POSF Zone Def'!$CG79</f>
        <v>1.0677986728951161E-4</v>
      </c>
      <c r="ES90" s="575">
        <f>'POSF Inventory'!$CH82*'POSF Emiss by Zone'!$D$7*'POSF Zone Def'!$CG79</f>
        <v>0</v>
      </c>
      <c r="ET90" s="575">
        <f>'POSF Inventory'!$CI82*'POSF Emiss by Zone'!$D$9*'POSF Zone Def'!$CG79</f>
        <v>0</v>
      </c>
      <c r="EU90" s="575">
        <f>'POSF Inventory'!$CJ82*'POSF Emiss by Zone'!$D$7*'POSF Zone Def'!$CG79</f>
        <v>0</v>
      </c>
      <c r="EV90" s="582">
        <f>'POSF Inventory'!$CK82*'POSF Emiss by Zone'!$D$9*'POSF Zone Def'!$CG79</f>
        <v>9.6101880560560458E-4</v>
      </c>
      <c r="EW90" s="575">
        <f>'POSF Inventory'!$CF82*'POSF Emiss by Zone'!$D$7*'POSF Zone Def'!$CH79</f>
        <v>0</v>
      </c>
      <c r="EX90" s="575">
        <f>'POSF Inventory'!$CG82*'POSF Emiss by Zone'!$D$9*'POSF Zone Def'!$CH79</f>
        <v>1.6768323577908004</v>
      </c>
      <c r="EY90" s="575">
        <f>'POSF Inventory'!$CH82*'POSF Emiss by Zone'!$D$7*'POSF Zone Def'!$CH79</f>
        <v>0</v>
      </c>
      <c r="EZ90" s="575">
        <f>'POSF Inventory'!$CI82*'POSF Emiss by Zone'!$D$9*'POSF Zone Def'!$CH79</f>
        <v>0</v>
      </c>
      <c r="FA90" s="575">
        <f>'POSF Inventory'!$CJ82*'POSF Emiss by Zone'!$D$7*'POSF Zone Def'!$CH79</f>
        <v>0</v>
      </c>
      <c r="FB90" s="582">
        <f>'POSF Inventory'!$CK82*'POSF Emiss by Zone'!$D$9*'POSF Zone Def'!$CH79</f>
        <v>15.091491220117206</v>
      </c>
      <c r="FC90" s="575">
        <f>'POSF Inventory'!$CF82*'POSF Emiss by Zone'!$D$7*'POSF Zone Def'!$CI79</f>
        <v>0</v>
      </c>
      <c r="FD90" s="575">
        <f>'POSF Inventory'!$CG82*'POSF Emiss by Zone'!$D$9*'POSF Zone Def'!$CI79</f>
        <v>2.2497172323419106</v>
      </c>
      <c r="FE90" s="575">
        <f>'POSF Inventory'!$CH82*'POSF Emiss by Zone'!$D$7*'POSF Zone Def'!$CI79</f>
        <v>0</v>
      </c>
      <c r="FF90" s="575">
        <f>'POSF Inventory'!$CI82*'POSF Emiss by Zone'!$D$9*'POSF Zone Def'!$CI79</f>
        <v>0</v>
      </c>
      <c r="FG90" s="575">
        <f>'POSF Inventory'!$CJ82*'POSF Emiss by Zone'!$D$7*'POSF Zone Def'!$CI79</f>
        <v>0</v>
      </c>
      <c r="FH90" s="579">
        <f>'POSF Inventory'!$CK82*'POSF Emiss by Zone'!$D$9*'POSF Zone Def'!$CI79</f>
        <v>20.2474550910772</v>
      </c>
      <c r="FI90" s="595"/>
      <c r="FJ90" s="595"/>
      <c r="FM90" s="592">
        <v>73</v>
      </c>
      <c r="FN90" s="592">
        <f t="shared" si="99"/>
        <v>2027</v>
      </c>
      <c r="FO90" s="587">
        <v>70</v>
      </c>
      <c r="FP90" s="576">
        <f t="shared" si="100"/>
        <v>0</v>
      </c>
      <c r="FQ90" s="532">
        <f t="shared" si="101"/>
        <v>0</v>
      </c>
      <c r="FR90" s="532">
        <f t="shared" si="102"/>
        <v>0</v>
      </c>
      <c r="FS90" s="532">
        <f t="shared" si="103"/>
        <v>0</v>
      </c>
      <c r="FT90" s="532">
        <f t="shared" si="104"/>
        <v>0</v>
      </c>
      <c r="FU90" s="533">
        <f t="shared" si="105"/>
        <v>0</v>
      </c>
      <c r="FV90" s="545">
        <f t="shared" si="106"/>
        <v>0</v>
      </c>
      <c r="FW90" s="545">
        <f t="shared" si="107"/>
        <v>0</v>
      </c>
      <c r="FX90" s="545">
        <f t="shared" si="108"/>
        <v>0</v>
      </c>
      <c r="FY90" s="545">
        <f t="shared" si="109"/>
        <v>0</v>
      </c>
      <c r="FZ90" s="545">
        <f t="shared" si="110"/>
        <v>0</v>
      </c>
      <c r="GA90" s="554">
        <f t="shared" si="111"/>
        <v>0</v>
      </c>
      <c r="GB90" s="532">
        <f t="shared" si="112"/>
        <v>0</v>
      </c>
      <c r="GC90" s="532">
        <f t="shared" si="113"/>
        <v>0</v>
      </c>
      <c r="GD90" s="532">
        <f t="shared" si="114"/>
        <v>0</v>
      </c>
      <c r="GE90" s="532">
        <f t="shared" si="115"/>
        <v>0</v>
      </c>
      <c r="GF90" s="532">
        <f t="shared" si="116"/>
        <v>0</v>
      </c>
      <c r="GG90" s="533">
        <f t="shared" si="117"/>
        <v>0</v>
      </c>
      <c r="GH90" s="545">
        <f t="shared" si="118"/>
        <v>0</v>
      </c>
      <c r="GI90" s="545">
        <f t="shared" si="119"/>
        <v>0</v>
      </c>
      <c r="GJ90" s="545">
        <f t="shared" si="120"/>
        <v>0</v>
      </c>
      <c r="GK90" s="545">
        <f t="shared" si="121"/>
        <v>0</v>
      </c>
      <c r="GL90" s="545">
        <f t="shared" si="122"/>
        <v>0</v>
      </c>
      <c r="GM90" s="545">
        <f t="shared" si="123"/>
        <v>0</v>
      </c>
      <c r="GN90" s="545">
        <f t="shared" si="124"/>
        <v>0</v>
      </c>
      <c r="GO90" s="545">
        <f t="shared" si="125"/>
        <v>0</v>
      </c>
      <c r="GP90" s="545">
        <f t="shared" si="126"/>
        <v>0</v>
      </c>
      <c r="GQ90" s="545">
        <f t="shared" si="127"/>
        <v>0</v>
      </c>
      <c r="GR90" s="545">
        <f t="shared" si="128"/>
        <v>0</v>
      </c>
      <c r="GS90" s="554">
        <f t="shared" si="129"/>
        <v>0</v>
      </c>
      <c r="GT90" s="532">
        <f t="shared" si="130"/>
        <v>0</v>
      </c>
      <c r="GU90" s="532">
        <f t="shared" si="131"/>
        <v>0</v>
      </c>
      <c r="GV90" s="532">
        <f t="shared" si="132"/>
        <v>0</v>
      </c>
      <c r="GW90" s="532">
        <f t="shared" si="133"/>
        <v>0</v>
      </c>
      <c r="GX90" s="532">
        <f t="shared" si="134"/>
        <v>0</v>
      </c>
      <c r="GY90" s="533">
        <f t="shared" si="135"/>
        <v>0</v>
      </c>
      <c r="GZ90" s="545">
        <f t="shared" si="136"/>
        <v>0</v>
      </c>
      <c r="HA90" s="545">
        <f t="shared" si="137"/>
        <v>0</v>
      </c>
      <c r="HB90" s="545">
        <f t="shared" si="138"/>
        <v>0</v>
      </c>
      <c r="HC90" s="545">
        <f t="shared" si="139"/>
        <v>0</v>
      </c>
      <c r="HD90" s="545">
        <f t="shared" si="140"/>
        <v>0</v>
      </c>
      <c r="HE90" s="558">
        <f t="shared" si="141"/>
        <v>0</v>
      </c>
      <c r="HF90" s="575">
        <f t="shared" si="142"/>
        <v>0</v>
      </c>
      <c r="HG90" s="575">
        <f t="shared" si="143"/>
        <v>1.1060862747120724E-4</v>
      </c>
      <c r="HH90" s="575">
        <f t="shared" si="144"/>
        <v>0</v>
      </c>
      <c r="HI90" s="575">
        <f t="shared" si="145"/>
        <v>0</v>
      </c>
      <c r="HJ90" s="575">
        <f t="shared" si="146"/>
        <v>0</v>
      </c>
      <c r="HK90" s="582">
        <f t="shared" si="147"/>
        <v>9.9547764724086532E-4</v>
      </c>
      <c r="HL90" s="575">
        <f t="shared" si="148"/>
        <v>0</v>
      </c>
      <c r="HM90" s="575">
        <f t="shared" si="149"/>
        <v>1.7369578208191558</v>
      </c>
      <c r="HN90" s="575">
        <f t="shared" si="150"/>
        <v>0</v>
      </c>
      <c r="HO90" s="575">
        <f t="shared" si="151"/>
        <v>0</v>
      </c>
      <c r="HP90" s="575">
        <f t="shared" si="152"/>
        <v>0</v>
      </c>
      <c r="HQ90" s="582">
        <f t="shared" si="153"/>
        <v>15.632620387372404</v>
      </c>
      <c r="HR90" s="575">
        <f t="shared" si="154"/>
        <v>0</v>
      </c>
      <c r="HS90" s="575">
        <f t="shared" si="155"/>
        <v>2.3303843840991902</v>
      </c>
      <c r="HT90" s="575">
        <f t="shared" si="156"/>
        <v>0</v>
      </c>
      <c r="HU90" s="575">
        <f t="shared" si="157"/>
        <v>0</v>
      </c>
      <c r="HV90" s="575">
        <f t="shared" si="158"/>
        <v>0</v>
      </c>
      <c r="HW90" s="579">
        <f t="shared" si="159"/>
        <v>20.973459456892716</v>
      </c>
      <c r="HX90" s="575">
        <f t="shared" si="160"/>
        <v>0</v>
      </c>
      <c r="HY90" s="575">
        <f t="shared" si="161"/>
        <v>0</v>
      </c>
      <c r="HZ90" s="575">
        <f t="shared" si="162"/>
        <v>0</v>
      </c>
      <c r="IA90" s="575">
        <f t="shared" si="163"/>
        <v>0</v>
      </c>
      <c r="IB90" s="575">
        <f t="shared" si="164"/>
        <v>0</v>
      </c>
      <c r="IC90" s="575">
        <f t="shared" si="165"/>
        <v>0</v>
      </c>
      <c r="ID90" s="575">
        <f t="shared" si="166"/>
        <v>0</v>
      </c>
      <c r="IE90" s="575">
        <f t="shared" si="167"/>
        <v>0</v>
      </c>
      <c r="IF90" s="575">
        <f t="shared" si="168"/>
        <v>0</v>
      </c>
      <c r="IG90" s="575">
        <f t="shared" si="169"/>
        <v>0</v>
      </c>
      <c r="IH90" s="575">
        <f t="shared" si="170"/>
        <v>0</v>
      </c>
      <c r="II90" s="575">
        <f t="shared" si="171"/>
        <v>0</v>
      </c>
      <c r="IJ90" s="575">
        <f t="shared" si="172"/>
        <v>0</v>
      </c>
      <c r="IK90" s="575">
        <f t="shared" si="173"/>
        <v>0</v>
      </c>
      <c r="IL90" s="575">
        <f t="shared" si="174"/>
        <v>0</v>
      </c>
      <c r="IM90" s="575">
        <f t="shared" si="175"/>
        <v>0</v>
      </c>
      <c r="IN90" s="575">
        <f t="shared" si="176"/>
        <v>0</v>
      </c>
      <c r="IO90" s="575">
        <f t="shared" si="177"/>
        <v>0</v>
      </c>
    </row>
    <row r="91" spans="1:249" ht="18" x14ac:dyDescent="0.25">
      <c r="A91" s="12">
        <v>2028</v>
      </c>
      <c r="B91" s="564"/>
      <c r="C91" s="532">
        <f>'POSF Inventory'!AD83*$D$5*'POSF Zone Def'!$M80</f>
        <v>0</v>
      </c>
      <c r="D91" s="532">
        <f>'POSF Inventory'!AE83*$D$6*'POSF Zone Def'!$M80</f>
        <v>0</v>
      </c>
      <c r="E91" s="532">
        <f>'POSF Inventory'!AF83*$D$5*'POSF Zone Def'!$M80</f>
        <v>0</v>
      </c>
      <c r="F91" s="532">
        <f>'POSF Inventory'!AG83*$D$6*'POSF Zone Def'!$M80</f>
        <v>0</v>
      </c>
      <c r="G91" s="532">
        <f>'POSF Inventory'!AH83*$D$5*'POSF Zone Def'!$M80</f>
        <v>0</v>
      </c>
      <c r="H91" s="533">
        <f>'POSF Inventory'!AI83*$D$6*'POSF Zone Def'!$M80</f>
        <v>0</v>
      </c>
      <c r="I91" s="545">
        <f>'POSF Inventory'!AD83*$D$5*'POSF Zone Def'!$N80</f>
        <v>0</v>
      </c>
      <c r="J91" s="545">
        <f>'POSF Inventory'!AE83*$D$6*'POSF Zone Def'!$N80</f>
        <v>0</v>
      </c>
      <c r="K91" s="545">
        <f>'POSF Inventory'!AF83*$D$5*'POSF Zone Def'!$N80</f>
        <v>0</v>
      </c>
      <c r="L91" s="545">
        <f>'POSF Inventory'!AG83*$D$6*'POSF Zone Def'!$N80</f>
        <v>0</v>
      </c>
      <c r="M91" s="545">
        <f>'POSF Inventory'!AH83*$D$5*'POSF Zone Def'!$N80</f>
        <v>0</v>
      </c>
      <c r="N91" s="558">
        <f>'POSF Inventory'!AI83*$D$6*'POSF Zone Def'!$N80</f>
        <v>0</v>
      </c>
      <c r="O91" s="532">
        <f>'POSF Inventory'!AJ83*$D$5*'POSF Zone Def'!$AP80</f>
        <v>0</v>
      </c>
      <c r="P91" s="532">
        <f>'POSF Inventory'!AK83*$D$6*'POSF Zone Def'!$AP80</f>
        <v>0</v>
      </c>
      <c r="Q91" s="532">
        <f>'POSF Inventory'!AL83*$D$5*'POSF Zone Def'!$AP80</f>
        <v>0</v>
      </c>
      <c r="R91" s="532">
        <f>'POSF Inventory'!AM83*$D$6*'POSF Zone Def'!$AP80</f>
        <v>0</v>
      </c>
      <c r="S91" s="532">
        <f>'POSF Inventory'!AN83*$D$5*'POSF Zone Def'!$AP80</f>
        <v>0</v>
      </c>
      <c r="T91" s="533">
        <f>'POSF Inventory'!AO83*$D$6*'POSF Zone Def'!$AP80</f>
        <v>0</v>
      </c>
      <c r="U91" s="545">
        <f>'POSF Inventory'!AJ83*$D$5*'POSF Zone Def'!$AQ80</f>
        <v>0</v>
      </c>
      <c r="V91" s="545">
        <f>'POSF Inventory'!AK83*$D$6*'POSF Zone Def'!$AQ80</f>
        <v>0</v>
      </c>
      <c r="W91" s="545">
        <f>'POSF Inventory'!AL83*$D$5*'POSF Zone Def'!$AQ80</f>
        <v>0</v>
      </c>
      <c r="X91" s="545">
        <f>'POSF Inventory'!AM83*$D$6*'POSF Zone Def'!$AQ80</f>
        <v>0</v>
      </c>
      <c r="Y91" s="545">
        <f>'POSF Inventory'!AN83*$D$5*'POSF Zone Def'!$AQ80</f>
        <v>0</v>
      </c>
      <c r="Z91" s="554">
        <f>'POSF Inventory'!AO83*$D$6*'POSF Zone Def'!$AQ80</f>
        <v>0</v>
      </c>
      <c r="AA91" s="532">
        <f>'POSF Inventory'!AV83*'POSF Emiss by Zone'!$D$5*'POSF Zone Def'!$M80</f>
        <v>0</v>
      </c>
      <c r="AB91" s="532">
        <f>'POSF Inventory'!AW83*'POSF Emiss by Zone'!$D$6*'POSF Zone Def'!$M80</f>
        <v>0</v>
      </c>
      <c r="AC91" s="532">
        <f>'POSF Inventory'!AX83*'POSF Emiss by Zone'!$D$5*'POSF Zone Def'!$M80</f>
        <v>0</v>
      </c>
      <c r="AD91" s="532">
        <f>'POSF Inventory'!AY83*'POSF Emiss by Zone'!$D$6*'POSF Zone Def'!$M80</f>
        <v>0</v>
      </c>
      <c r="AE91" s="532">
        <f>'POSF Inventory'!AZ83*'POSF Emiss by Zone'!$D$5*'POSF Zone Def'!$M80</f>
        <v>0</v>
      </c>
      <c r="AF91" s="533">
        <f>'POSF Inventory'!BA83*'POSF Emiss by Zone'!$D$6*'POSF Zone Def'!$M80</f>
        <v>0</v>
      </c>
      <c r="AG91" s="545">
        <f>'POSF Inventory'!AV83*'POSF Emiss by Zone'!$D$5*'POSF Zone Def'!$N80</f>
        <v>0</v>
      </c>
      <c r="AH91" s="545">
        <f>'POSF Inventory'!AW83*'POSF Emiss by Zone'!$D$6*'POSF Zone Def'!$N80</f>
        <v>0</v>
      </c>
      <c r="AI91" s="545">
        <f>'POSF Inventory'!AX83*'POSF Emiss by Zone'!$D$5*'POSF Zone Def'!$N80</f>
        <v>0</v>
      </c>
      <c r="AJ91" s="545">
        <f>'POSF Inventory'!AY83*'POSF Emiss by Zone'!$D$6*'POSF Zone Def'!$N80</f>
        <v>0</v>
      </c>
      <c r="AK91" s="545">
        <f>'POSF Inventory'!AZ83*'POSF Emiss by Zone'!$D$5*'POSF Zone Def'!$N80</f>
        <v>0</v>
      </c>
      <c r="AL91" s="558">
        <f>'POSF Inventory'!BA83*'POSF Emiss by Zone'!$D$6*'POSF Zone Def'!$N80</f>
        <v>0</v>
      </c>
      <c r="AM91" s="532">
        <f>'POSF Inventory'!BB83*'POSF Emiss by Zone'!$D$5*'POSF Zone Def'!$AP80</f>
        <v>0</v>
      </c>
      <c r="AN91" s="532">
        <f>'POSF Inventory'!BC83*'POSF Emiss by Zone'!$D$6*'POSF Zone Def'!$AP80</f>
        <v>0</v>
      </c>
      <c r="AO91" s="532">
        <f>'POSF Inventory'!BD83*'POSF Emiss by Zone'!$D$5*'POSF Zone Def'!$AP80</f>
        <v>0</v>
      </c>
      <c r="AP91" s="532">
        <f>'POSF Inventory'!BE83*'POSF Emiss by Zone'!$D$6*'POSF Zone Def'!$AP80</f>
        <v>0</v>
      </c>
      <c r="AQ91" s="532">
        <f>'POSF Inventory'!BF83*'POSF Emiss by Zone'!$D$5*'POSF Zone Def'!$AP80</f>
        <v>0</v>
      </c>
      <c r="AR91" s="533">
        <f>'POSF Inventory'!BG83*'POSF Emiss by Zone'!$D$6*'POSF Zone Def'!$AP80</f>
        <v>0</v>
      </c>
      <c r="AS91" s="545">
        <f>'POSF Inventory'!BB83*'POSF Emiss by Zone'!$D$5*'POSF Zone Def'!$AQ80</f>
        <v>0</v>
      </c>
      <c r="AT91" s="545">
        <f>'POSF Inventory'!BC83*'POSF Emiss by Zone'!$D$6*'POSF Zone Def'!$AQ80</f>
        <v>0</v>
      </c>
      <c r="AU91" s="545">
        <f>'POSF Inventory'!BD83*'POSF Emiss by Zone'!$D$5*'POSF Zone Def'!$AQ80</f>
        <v>0</v>
      </c>
      <c r="AV91" s="545">
        <f>'POSF Inventory'!BE83*'POSF Emiss by Zone'!$D$6*'POSF Zone Def'!$AQ80</f>
        <v>0</v>
      </c>
      <c r="AW91" s="545">
        <f>'POSF Inventory'!BF83*'POSF Emiss by Zone'!$D$5*'POSF Zone Def'!$AQ80</f>
        <v>0</v>
      </c>
      <c r="AX91" s="554">
        <f>'POSF Inventory'!BG83*'POSF Emiss by Zone'!$D$6*'POSF Zone Def'!$AQ80</f>
        <v>0</v>
      </c>
      <c r="AY91" s="532">
        <f>'POSF Inventory'!EA83*'POSF Emiss by Zone'!$D$5*'POSF Zone Def'!$Y80</f>
        <v>0</v>
      </c>
      <c r="AZ91" s="532">
        <f>'POSF Inventory'!EB83*'POSF Emiss by Zone'!$D$6*'POSF Zone Def'!$Y80</f>
        <v>0</v>
      </c>
      <c r="BA91" s="532">
        <f>'POSF Inventory'!EC83*'POSF Emiss by Zone'!$D$5*'POSF Zone Def'!$Y80</f>
        <v>0</v>
      </c>
      <c r="BB91" s="532">
        <f>'POSF Inventory'!ED83*'POSF Emiss by Zone'!$D$6*'POSF Zone Def'!$Y80</f>
        <v>0</v>
      </c>
      <c r="BC91" s="532">
        <f>'POSF Inventory'!EE83*'POSF Emiss by Zone'!$D$5*'POSF Zone Def'!$Y80</f>
        <v>0</v>
      </c>
      <c r="BD91" s="533">
        <f>'POSF Inventory'!EF83*'POSF Emiss by Zone'!$D$6*'POSF Zone Def'!$Y80</f>
        <v>0</v>
      </c>
      <c r="BE91" s="545">
        <f>'POSF Inventory'!EA83*'POSF Emiss by Zone'!$D$5*'POSF Zone Def'!$Z80</f>
        <v>0</v>
      </c>
      <c r="BF91" s="545">
        <f>'POSF Inventory'!EB83*'POSF Emiss by Zone'!$D$6*'POSF Zone Def'!$Z80</f>
        <v>0</v>
      </c>
      <c r="BG91" s="545">
        <f>'POSF Inventory'!EC83*'POSF Emiss by Zone'!$D$5*'POSF Zone Def'!$Z80</f>
        <v>0</v>
      </c>
      <c r="BH91" s="545">
        <f>'POSF Inventory'!ED83*'POSF Emiss by Zone'!$D$6*'POSF Zone Def'!$Z80</f>
        <v>0</v>
      </c>
      <c r="BI91" s="545">
        <f>'POSF Inventory'!EE83*'POSF Emiss by Zone'!$D$5*'POSF Zone Def'!$Z80</f>
        <v>0</v>
      </c>
      <c r="BJ91" s="558">
        <f>'POSF Inventory'!EF83*'POSF Emiss by Zone'!$D$6*'POSF Zone Def'!$Z80</f>
        <v>0</v>
      </c>
      <c r="BK91" s="545">
        <f>'POSF Inventory'!$EA83*'POSF Emiss by Zone'!$D$5*'POSF Zone Def'!$AC80</f>
        <v>0</v>
      </c>
      <c r="BL91" s="545">
        <f>'POSF Inventory'!$EB83*'POSF Emiss by Zone'!$D$6*'POSF Zone Def'!$AC80</f>
        <v>0</v>
      </c>
      <c r="BM91" s="545">
        <f>'POSF Inventory'!$EC83*'POSF Emiss by Zone'!$D$5*'POSF Zone Def'!$AC80</f>
        <v>0</v>
      </c>
      <c r="BN91" s="545">
        <f>'POSF Inventory'!$ED83*'POSF Emiss by Zone'!$D$6*'POSF Zone Def'!$AC80</f>
        <v>0</v>
      </c>
      <c r="BO91" s="545">
        <f>'POSF Inventory'!$EE83*'POSF Emiss by Zone'!$D$5*'POSF Zone Def'!$AC80</f>
        <v>0</v>
      </c>
      <c r="BP91" s="558">
        <f>'POSF Inventory'!$EF83*'POSF Emiss by Zone'!$D$6*'POSF Zone Def'!$AC80</f>
        <v>0</v>
      </c>
      <c r="BQ91" s="532">
        <f>'POSF Inventory'!EG83*'POSF Emiss by Zone'!$D$5*'POSF Zone Def'!$BB80</f>
        <v>0</v>
      </c>
      <c r="BR91" s="532">
        <f>'POSF Inventory'!EH83*'POSF Emiss by Zone'!$D$6*'POSF Zone Def'!$BB80</f>
        <v>0</v>
      </c>
      <c r="BS91" s="532">
        <f>'POSF Inventory'!EI83*'POSF Emiss by Zone'!$D$5*'POSF Zone Def'!$BB80</f>
        <v>0</v>
      </c>
      <c r="BT91" s="532">
        <f>'POSF Inventory'!EJ83*'POSF Emiss by Zone'!$D$6*'POSF Zone Def'!$BB80</f>
        <v>0</v>
      </c>
      <c r="BU91" s="532">
        <f>'POSF Inventory'!EK83*'POSF Emiss by Zone'!$D$5*'POSF Zone Def'!$BB80</f>
        <v>0</v>
      </c>
      <c r="BV91" s="533">
        <f>'POSF Inventory'!EL83*'POSF Emiss by Zone'!$D$6*'POSF Zone Def'!$BB80</f>
        <v>0</v>
      </c>
      <c r="BW91" s="545">
        <f>'POSF Inventory'!EG83*'POSF Emiss by Zone'!$D$5*'POSF Zone Def'!$BC80</f>
        <v>0</v>
      </c>
      <c r="BX91" s="545">
        <f>'POSF Inventory'!EH83*'POSF Emiss by Zone'!$D$6*'POSF Zone Def'!$BC80</f>
        <v>0</v>
      </c>
      <c r="BY91" s="545">
        <f>'POSF Inventory'!EI83*'POSF Emiss by Zone'!$D$5*'POSF Zone Def'!$BC80</f>
        <v>0</v>
      </c>
      <c r="BZ91" s="545">
        <f>'POSF Inventory'!EJ83*'POSF Emiss by Zone'!$D$6*'POSF Zone Def'!$BC80</f>
        <v>0</v>
      </c>
      <c r="CA91" s="545">
        <f>'POSF Inventory'!EK83*'POSF Emiss by Zone'!$D$5*'POSF Zone Def'!$BC80</f>
        <v>0</v>
      </c>
      <c r="CB91" s="554">
        <f>'POSF Inventory'!EL83*'POSF Emiss by Zone'!$D$6*'POSF Zone Def'!$BC80</f>
        <v>0</v>
      </c>
      <c r="CC91" s="532">
        <f>'POSF Inventory'!GC83*'POSF Emiss by Zone'!$D$7*'POSF Zone Def'!$M80</f>
        <v>0</v>
      </c>
      <c r="CD91" s="532">
        <f>'POSF Inventory'!GD83*'POSF Emiss by Zone'!$D$9*'POSF Zone Def'!$M80</f>
        <v>0</v>
      </c>
      <c r="CE91" s="532">
        <f>'POSF Inventory'!GE83*'POSF Emiss by Zone'!$D$7*'POSF Zone Def'!$M80</f>
        <v>0</v>
      </c>
      <c r="CF91" s="532">
        <f>'POSF Inventory'!GF83*'POSF Emiss by Zone'!$D$9*'POSF Zone Def'!$M80</f>
        <v>0</v>
      </c>
      <c r="CG91" s="532">
        <f>'POSF Inventory'!GG83*'POSF Emiss by Zone'!$D$7*'POSF Zone Def'!$M80</f>
        <v>0</v>
      </c>
      <c r="CH91" s="533">
        <f>'POSF Inventory'!GH83*'POSF Emiss by Zone'!$D$9*'POSF Zone Def'!$M80</f>
        <v>0</v>
      </c>
      <c r="CI91" s="545">
        <f>'POSF Inventory'!GC83*'POSF Emiss by Zone'!$D$7*'POSF Zone Def'!$N80</f>
        <v>0</v>
      </c>
      <c r="CJ91" s="545">
        <f>'POSF Inventory'!GD83*'POSF Emiss by Zone'!$D$9*'POSF Zone Def'!$N80</f>
        <v>0</v>
      </c>
      <c r="CK91" s="545">
        <f>'POSF Inventory'!GE83*'POSF Emiss by Zone'!$D$7*'POSF Zone Def'!$N80</f>
        <v>0</v>
      </c>
      <c r="CL91" s="545">
        <f>'POSF Inventory'!GF83*'POSF Emiss by Zone'!$D$9*'POSF Zone Def'!$N80</f>
        <v>0</v>
      </c>
      <c r="CM91" s="545">
        <f>'POSF Inventory'!GG83*'POSF Emiss by Zone'!$D$7*'POSF Zone Def'!$N80</f>
        <v>0</v>
      </c>
      <c r="CN91" s="558">
        <f>'POSF Inventory'!GH83*'POSF Emiss by Zone'!$D$9*'POSF Zone Def'!$N80</f>
        <v>0</v>
      </c>
      <c r="CO91" s="532">
        <f>'POSF Inventory'!GI83*'POSF Emiss by Zone'!$D$7*'POSF Zone Def'!$AP80</f>
        <v>0</v>
      </c>
      <c r="CP91" s="532">
        <f>'POSF Inventory'!GJ83*'POSF Emiss by Zone'!$D$9*'POSF Zone Def'!$AP80</f>
        <v>0</v>
      </c>
      <c r="CQ91" s="532">
        <f>'POSF Inventory'!GK83*'POSF Emiss by Zone'!$D$7*'POSF Zone Def'!$AP80</f>
        <v>0</v>
      </c>
      <c r="CR91" s="532">
        <f>'POSF Inventory'!GL83*'POSF Emiss by Zone'!$D$9*'POSF Zone Def'!$AP80</f>
        <v>0</v>
      </c>
      <c r="CS91" s="532">
        <f>'POSF Inventory'!GM83*'POSF Emiss by Zone'!$D$7*'POSF Zone Def'!$AP80</f>
        <v>0</v>
      </c>
      <c r="CT91" s="533">
        <f>'POSF Inventory'!GN83*'POSF Emiss by Zone'!$D$9*'POSF Zone Def'!$AP80</f>
        <v>0</v>
      </c>
      <c r="CU91" s="545">
        <f>'POSF Inventory'!GI83*'POSF Emiss by Zone'!$D$7*'POSF Zone Def'!$AQ80</f>
        <v>0</v>
      </c>
      <c r="CV91" s="545">
        <f>'POSF Inventory'!GJ83*'POSF Emiss by Zone'!$D$9*'POSF Zone Def'!$AQ80</f>
        <v>0</v>
      </c>
      <c r="CW91" s="545">
        <f>'POSF Inventory'!GK83*'POSF Emiss by Zone'!$D$7*'POSF Zone Def'!$AQ80</f>
        <v>0</v>
      </c>
      <c r="CX91" s="545">
        <f>'POSF Inventory'!GL83*'POSF Emiss by Zone'!$D$9*'POSF Zone Def'!$AQ80</f>
        <v>0</v>
      </c>
      <c r="CY91" s="545">
        <f>'POSF Inventory'!GM83*'POSF Emiss by Zone'!$D$7*'POSF Zone Def'!$AQ80</f>
        <v>0</v>
      </c>
      <c r="CZ91" s="554">
        <f>'POSF Inventory'!GN83*'POSF Emiss by Zone'!$D$9*'POSF Zone Def'!$AQ80</f>
        <v>0</v>
      </c>
      <c r="DA91" s="532">
        <f>SUM('POSF Inventory'!GQ83,'POSF Inventory'!GS83)*'POSF Emiss by Zone'!$D$7*'POSF Zone Def'!$Y80</f>
        <v>0</v>
      </c>
      <c r="DB91" s="532">
        <f>SUM('POSF Inventory'!GR83,'POSF Inventory'!GT83)*'POSF Emiss by Zone'!$D$9*'POSF Zone Def'!$Y80</f>
        <v>0</v>
      </c>
      <c r="DC91" s="532"/>
      <c r="DD91" s="532"/>
      <c r="DE91" s="532">
        <f>'POSF Inventory'!GU83*'POSF Emiss by Zone'!$D$7*'POSF Zone Def'!$Y80</f>
        <v>0</v>
      </c>
      <c r="DF91" s="533">
        <f>'POSF Inventory'!GV83*'POSF Emiss by Zone'!$D$9*'POSF Zone Def'!$Y80</f>
        <v>0</v>
      </c>
      <c r="DG91" s="545">
        <f>SUM('POSF Inventory'!GQ83,'POSF Inventory'!GS83)*'POSF Emiss by Zone'!$D$7*'POSF Zone Def'!$Z80</f>
        <v>0</v>
      </c>
      <c r="DH91" s="545">
        <f>SUM('POSF Inventory'!GR83,'POSF Inventory'!GT83)*'POSF Emiss by Zone'!$D$9*'POSF Zone Def'!$Z80</f>
        <v>0</v>
      </c>
      <c r="DI91" s="545"/>
      <c r="DJ91" s="545"/>
      <c r="DK91" s="545">
        <f>'POSF Inventory'!GU83*'POSF Emiss by Zone'!$D$7*'POSF Zone Def'!$Z80</f>
        <v>0</v>
      </c>
      <c r="DL91" s="558">
        <f>'POSF Inventory'!GV83*'POSF Emiss by Zone'!$D$9*'POSF Zone Def'!$Z80</f>
        <v>0</v>
      </c>
      <c r="DM91" s="545">
        <f>SUM('POSF Inventory'!$GQ83,'POSF Inventory'!$GS83)*'POSF Emiss by Zone'!$D$7*'POSF Zone Def'!$AC80</f>
        <v>0</v>
      </c>
      <c r="DN91" s="545">
        <f>SUM('POSF Inventory'!$GR83,'POSF Inventory'!$GT83)*'POSF Emiss by Zone'!$D$9*'POSF Zone Def'!$AC80</f>
        <v>0</v>
      </c>
      <c r="DO91" s="545"/>
      <c r="DP91" s="545"/>
      <c r="DQ91" s="545">
        <f>'POSF Inventory'!$GU83*'POSF Emiss by Zone'!$D$7*'POSF Zone Def'!$AC80</f>
        <v>0</v>
      </c>
      <c r="DR91" s="558">
        <f>'POSF Inventory'!$GV83*'POSF Emiss by Zone'!$D$9*'POSF Zone Def'!$AC80</f>
        <v>0</v>
      </c>
      <c r="DS91" s="532">
        <f>SUM('POSF Inventory'!GW83,'POSF Inventory'!GY83)*$D$7*'POSF Zone Def'!$BB80</f>
        <v>0</v>
      </c>
      <c r="DT91" s="532">
        <f>SUM('POSF Inventory'!GX83,'POSF Inventory'!GZ83)*$D$9*'POSF Zone Def'!$BB80</f>
        <v>0</v>
      </c>
      <c r="DU91" s="532"/>
      <c r="DV91" s="532"/>
      <c r="DW91" s="532">
        <f>'POSF Inventory'!HA83*'POSF Emiss by Zone'!$D$7*'POSF Zone Def'!$BB80</f>
        <v>0</v>
      </c>
      <c r="DX91" s="533">
        <f>'POSF Inventory'!HB83*'POSF Emiss by Zone'!$D$9*'POSF Zone Def'!$BB80</f>
        <v>0</v>
      </c>
      <c r="DY91" s="545">
        <f>SUM('POSF Inventory'!GW83,'POSF Inventory'!GY83)*$D$7*'POSF Zone Def'!$BC80</f>
        <v>0</v>
      </c>
      <c r="DZ91" s="545">
        <f>SUM('POSF Inventory'!GX83,'POSF Inventory'!GZ83)*$D$9*'POSF Zone Def'!$BC80</f>
        <v>0</v>
      </c>
      <c r="EA91" s="545"/>
      <c r="EB91" s="545"/>
      <c r="EC91" s="545">
        <f>'POSF Inventory'!HA83*'POSF Emiss by Zone'!$D$7*'POSF Zone Def'!$BC80</f>
        <v>0</v>
      </c>
      <c r="ED91" s="554">
        <f>'POSF Inventory'!HB83*'POSF Emiss by Zone'!$D$9*'POSF Zone Def'!$BC80</f>
        <v>0</v>
      </c>
      <c r="EE91" s="575">
        <f>'POSF Inventory'!$CF83*'POSF Emiss by Zone'!$D$7*'POSF Zone Def'!$CE80</f>
        <v>0</v>
      </c>
      <c r="EF91" s="575">
        <f>'POSF Inventory'!$CG83*'POSF Emiss by Zone'!$D$9*'POSF Zone Def'!$CE80</f>
        <v>0</v>
      </c>
      <c r="EG91" s="575">
        <f>'POSF Inventory'!$CH83*'POSF Emiss by Zone'!$D$7*'POSF Zone Def'!$CE80</f>
        <v>0</v>
      </c>
      <c r="EH91" s="575">
        <f>'POSF Inventory'!$CI83*'POSF Emiss by Zone'!$D$9*'POSF Zone Def'!$CE80</f>
        <v>0</v>
      </c>
      <c r="EI91" s="575">
        <f>'POSF Inventory'!$CJ83*'POSF Emiss by Zone'!$D$7*'POSF Zone Def'!$CE80</f>
        <v>0</v>
      </c>
      <c r="EJ91" s="582">
        <f>'POSF Inventory'!$CK83*'POSF Emiss by Zone'!$D$9*'POSF Zone Def'!$CE80</f>
        <v>0</v>
      </c>
      <c r="EK91" s="575">
        <f>'POSF Inventory'!$CF83*'POSF Emiss by Zone'!$D$7*'POSF Zone Def'!$CF80</f>
        <v>0</v>
      </c>
      <c r="EL91" s="575">
        <f>'POSF Inventory'!$CG83*'POSF Emiss by Zone'!$D$9*'POSF Zone Def'!$CF80</f>
        <v>0</v>
      </c>
      <c r="EM91" s="575">
        <f>'POSF Inventory'!$CH83*'POSF Emiss by Zone'!$D$7*'POSF Zone Def'!$CF80</f>
        <v>0</v>
      </c>
      <c r="EN91" s="575">
        <f>'POSF Inventory'!$CI83*'POSF Emiss by Zone'!$D$9*'POSF Zone Def'!$CF80</f>
        <v>0</v>
      </c>
      <c r="EO91" s="575">
        <f>'POSF Inventory'!$CJ83*'POSF Emiss by Zone'!$D$7*'POSF Zone Def'!$CF80</f>
        <v>0</v>
      </c>
      <c r="EP91" s="582">
        <f>'POSF Inventory'!$CK83*'POSF Emiss by Zone'!$D$9*'POSF Zone Def'!$CF80</f>
        <v>0</v>
      </c>
      <c r="EQ91" s="575">
        <f>'POSF Inventory'!$CF83*'POSF Emiss by Zone'!$D$7*'POSF Zone Def'!$CG80</f>
        <v>0</v>
      </c>
      <c r="ER91" s="575">
        <f>'POSF Inventory'!$CG83*'POSF Emiss by Zone'!$D$9*'POSF Zone Def'!$CG80</f>
        <v>1.0677986728951161E-4</v>
      </c>
      <c r="ES91" s="575">
        <f>'POSF Inventory'!$CH83*'POSF Emiss by Zone'!$D$7*'POSF Zone Def'!$CG80</f>
        <v>0</v>
      </c>
      <c r="ET91" s="575">
        <f>'POSF Inventory'!$CI83*'POSF Emiss by Zone'!$D$9*'POSF Zone Def'!$CG80</f>
        <v>0</v>
      </c>
      <c r="EU91" s="575">
        <f>'POSF Inventory'!$CJ83*'POSF Emiss by Zone'!$D$7*'POSF Zone Def'!$CG80</f>
        <v>0</v>
      </c>
      <c r="EV91" s="582">
        <f>'POSF Inventory'!$CK83*'POSF Emiss by Zone'!$D$9*'POSF Zone Def'!$CG80</f>
        <v>9.6101880560560458E-4</v>
      </c>
      <c r="EW91" s="575">
        <f>'POSF Inventory'!$CF83*'POSF Emiss by Zone'!$D$7*'POSF Zone Def'!$CH80</f>
        <v>0</v>
      </c>
      <c r="EX91" s="575">
        <f>'POSF Inventory'!$CG83*'POSF Emiss by Zone'!$D$9*'POSF Zone Def'!$CH80</f>
        <v>1.6768323577908004</v>
      </c>
      <c r="EY91" s="575">
        <f>'POSF Inventory'!$CH83*'POSF Emiss by Zone'!$D$7*'POSF Zone Def'!$CH80</f>
        <v>0</v>
      </c>
      <c r="EZ91" s="575">
        <f>'POSF Inventory'!$CI83*'POSF Emiss by Zone'!$D$9*'POSF Zone Def'!$CH80</f>
        <v>0</v>
      </c>
      <c r="FA91" s="575">
        <f>'POSF Inventory'!$CJ83*'POSF Emiss by Zone'!$D$7*'POSF Zone Def'!$CH80</f>
        <v>0</v>
      </c>
      <c r="FB91" s="582">
        <f>'POSF Inventory'!$CK83*'POSF Emiss by Zone'!$D$9*'POSF Zone Def'!$CH80</f>
        <v>15.091491220117206</v>
      </c>
      <c r="FC91" s="575">
        <f>'POSF Inventory'!$CF83*'POSF Emiss by Zone'!$D$7*'POSF Zone Def'!$CI80</f>
        <v>0</v>
      </c>
      <c r="FD91" s="575">
        <f>'POSF Inventory'!$CG83*'POSF Emiss by Zone'!$D$9*'POSF Zone Def'!$CI80</f>
        <v>2.2497172323419106</v>
      </c>
      <c r="FE91" s="575">
        <f>'POSF Inventory'!$CH83*'POSF Emiss by Zone'!$D$7*'POSF Zone Def'!$CI80</f>
        <v>0</v>
      </c>
      <c r="FF91" s="575">
        <f>'POSF Inventory'!$CI83*'POSF Emiss by Zone'!$D$9*'POSF Zone Def'!$CI80</f>
        <v>0</v>
      </c>
      <c r="FG91" s="575">
        <f>'POSF Inventory'!$CJ83*'POSF Emiss by Zone'!$D$7*'POSF Zone Def'!$CI80</f>
        <v>0</v>
      </c>
      <c r="FH91" s="579">
        <f>'POSF Inventory'!$CK83*'POSF Emiss by Zone'!$D$9*'POSF Zone Def'!$CI80</f>
        <v>20.2474550910772</v>
      </c>
      <c r="FI91" s="595"/>
      <c r="FJ91" s="595"/>
      <c r="FM91" s="592">
        <v>74</v>
      </c>
      <c r="FN91" s="592">
        <f t="shared" si="99"/>
        <v>2028</v>
      </c>
      <c r="FO91" s="587">
        <v>71</v>
      </c>
      <c r="FP91" s="576">
        <f t="shared" si="100"/>
        <v>0</v>
      </c>
      <c r="FQ91" s="532">
        <f t="shared" si="101"/>
        <v>0</v>
      </c>
      <c r="FR91" s="532">
        <f t="shared" si="102"/>
        <v>0</v>
      </c>
      <c r="FS91" s="532">
        <f t="shared" si="103"/>
        <v>0</v>
      </c>
      <c r="FT91" s="532">
        <f t="shared" si="104"/>
        <v>0</v>
      </c>
      <c r="FU91" s="533">
        <f t="shared" si="105"/>
        <v>0</v>
      </c>
      <c r="FV91" s="545">
        <f t="shared" si="106"/>
        <v>0</v>
      </c>
      <c r="FW91" s="545">
        <f t="shared" si="107"/>
        <v>0</v>
      </c>
      <c r="FX91" s="545">
        <f t="shared" si="108"/>
        <v>0</v>
      </c>
      <c r="FY91" s="545">
        <f t="shared" si="109"/>
        <v>0</v>
      </c>
      <c r="FZ91" s="545">
        <f t="shared" si="110"/>
        <v>0</v>
      </c>
      <c r="GA91" s="554">
        <f t="shared" si="111"/>
        <v>0</v>
      </c>
      <c r="GB91" s="532">
        <f t="shared" si="112"/>
        <v>0</v>
      </c>
      <c r="GC91" s="532">
        <f t="shared" si="113"/>
        <v>0</v>
      </c>
      <c r="GD91" s="532">
        <f t="shared" si="114"/>
        <v>0</v>
      </c>
      <c r="GE91" s="532">
        <f t="shared" si="115"/>
        <v>0</v>
      </c>
      <c r="GF91" s="532">
        <f t="shared" si="116"/>
        <v>0</v>
      </c>
      <c r="GG91" s="533">
        <f t="shared" si="117"/>
        <v>0</v>
      </c>
      <c r="GH91" s="545">
        <f t="shared" si="118"/>
        <v>0</v>
      </c>
      <c r="GI91" s="545">
        <f t="shared" si="119"/>
        <v>0</v>
      </c>
      <c r="GJ91" s="545">
        <f t="shared" si="120"/>
        <v>0</v>
      </c>
      <c r="GK91" s="545">
        <f t="shared" si="121"/>
        <v>0</v>
      </c>
      <c r="GL91" s="545">
        <f t="shared" si="122"/>
        <v>0</v>
      </c>
      <c r="GM91" s="545">
        <f t="shared" si="123"/>
        <v>0</v>
      </c>
      <c r="GN91" s="545">
        <f t="shared" si="124"/>
        <v>0</v>
      </c>
      <c r="GO91" s="545">
        <f t="shared" si="125"/>
        <v>0</v>
      </c>
      <c r="GP91" s="545">
        <f t="shared" si="126"/>
        <v>0</v>
      </c>
      <c r="GQ91" s="545">
        <f t="shared" si="127"/>
        <v>0</v>
      </c>
      <c r="GR91" s="545">
        <f t="shared" si="128"/>
        <v>0</v>
      </c>
      <c r="GS91" s="554">
        <f t="shared" si="129"/>
        <v>0</v>
      </c>
      <c r="GT91" s="532">
        <f t="shared" si="130"/>
        <v>0</v>
      </c>
      <c r="GU91" s="532">
        <f t="shared" si="131"/>
        <v>0</v>
      </c>
      <c r="GV91" s="532">
        <f t="shared" si="132"/>
        <v>0</v>
      </c>
      <c r="GW91" s="532">
        <f t="shared" si="133"/>
        <v>0</v>
      </c>
      <c r="GX91" s="532">
        <f t="shared" si="134"/>
        <v>0</v>
      </c>
      <c r="GY91" s="533">
        <f t="shared" si="135"/>
        <v>0</v>
      </c>
      <c r="GZ91" s="545">
        <f t="shared" si="136"/>
        <v>0</v>
      </c>
      <c r="HA91" s="545">
        <f t="shared" si="137"/>
        <v>0</v>
      </c>
      <c r="HB91" s="545">
        <f t="shared" si="138"/>
        <v>0</v>
      </c>
      <c r="HC91" s="545">
        <f t="shared" si="139"/>
        <v>0</v>
      </c>
      <c r="HD91" s="545">
        <f t="shared" si="140"/>
        <v>0</v>
      </c>
      <c r="HE91" s="558">
        <f t="shared" si="141"/>
        <v>0</v>
      </c>
      <c r="HF91" s="575">
        <f t="shared" si="142"/>
        <v>0</v>
      </c>
      <c r="HG91" s="575">
        <f t="shared" si="143"/>
        <v>1.1060862747120724E-4</v>
      </c>
      <c r="HH91" s="575">
        <f t="shared" si="144"/>
        <v>0</v>
      </c>
      <c r="HI91" s="575">
        <f t="shared" si="145"/>
        <v>0</v>
      </c>
      <c r="HJ91" s="575">
        <f t="shared" si="146"/>
        <v>0</v>
      </c>
      <c r="HK91" s="582">
        <f t="shared" si="147"/>
        <v>9.9547764724086532E-4</v>
      </c>
      <c r="HL91" s="575">
        <f t="shared" si="148"/>
        <v>0</v>
      </c>
      <c r="HM91" s="575">
        <f t="shared" si="149"/>
        <v>1.7369578208191558</v>
      </c>
      <c r="HN91" s="575">
        <f t="shared" si="150"/>
        <v>0</v>
      </c>
      <c r="HO91" s="575">
        <f t="shared" si="151"/>
        <v>0</v>
      </c>
      <c r="HP91" s="575">
        <f t="shared" si="152"/>
        <v>0</v>
      </c>
      <c r="HQ91" s="582">
        <f t="shared" si="153"/>
        <v>15.632620387372404</v>
      </c>
      <c r="HR91" s="575">
        <f t="shared" si="154"/>
        <v>0</v>
      </c>
      <c r="HS91" s="575">
        <f t="shared" si="155"/>
        <v>2.3303843840991902</v>
      </c>
      <c r="HT91" s="575">
        <f t="shared" si="156"/>
        <v>0</v>
      </c>
      <c r="HU91" s="575">
        <f t="shared" si="157"/>
        <v>0</v>
      </c>
      <c r="HV91" s="575">
        <f t="shared" si="158"/>
        <v>0</v>
      </c>
      <c r="HW91" s="579">
        <f t="shared" si="159"/>
        <v>20.973459456892716</v>
      </c>
      <c r="HX91" s="575">
        <f t="shared" si="160"/>
        <v>0</v>
      </c>
      <c r="HY91" s="575">
        <f t="shared" si="161"/>
        <v>0</v>
      </c>
      <c r="HZ91" s="575">
        <f t="shared" si="162"/>
        <v>0</v>
      </c>
      <c r="IA91" s="575">
        <f t="shared" si="163"/>
        <v>0</v>
      </c>
      <c r="IB91" s="575">
        <f t="shared" si="164"/>
        <v>0</v>
      </c>
      <c r="IC91" s="575">
        <f t="shared" si="165"/>
        <v>0</v>
      </c>
      <c r="ID91" s="575">
        <f t="shared" si="166"/>
        <v>0</v>
      </c>
      <c r="IE91" s="575">
        <f t="shared" si="167"/>
        <v>0</v>
      </c>
      <c r="IF91" s="575">
        <f t="shared" si="168"/>
        <v>0</v>
      </c>
      <c r="IG91" s="575">
        <f t="shared" si="169"/>
        <v>0</v>
      </c>
      <c r="IH91" s="575">
        <f t="shared" si="170"/>
        <v>0</v>
      </c>
      <c r="II91" s="575">
        <f t="shared" si="171"/>
        <v>0</v>
      </c>
      <c r="IJ91" s="575">
        <f t="shared" si="172"/>
        <v>0</v>
      </c>
      <c r="IK91" s="575">
        <f t="shared" si="173"/>
        <v>0</v>
      </c>
      <c r="IL91" s="575">
        <f t="shared" si="174"/>
        <v>0</v>
      </c>
      <c r="IM91" s="575">
        <f t="shared" si="175"/>
        <v>0</v>
      </c>
      <c r="IN91" s="575">
        <f t="shared" si="176"/>
        <v>0</v>
      </c>
      <c r="IO91" s="575">
        <f t="shared" si="177"/>
        <v>0</v>
      </c>
    </row>
    <row r="92" spans="1:249" ht="18" x14ac:dyDescent="0.25">
      <c r="A92" s="12">
        <v>2029</v>
      </c>
      <c r="B92" s="564"/>
      <c r="C92" s="532">
        <f>'POSF Inventory'!AD84*$D$5*'POSF Zone Def'!$M81</f>
        <v>0</v>
      </c>
      <c r="D92" s="532">
        <f>'POSF Inventory'!AE84*$D$6*'POSF Zone Def'!$M81</f>
        <v>0</v>
      </c>
      <c r="E92" s="532">
        <f>'POSF Inventory'!AF84*$D$5*'POSF Zone Def'!$M81</f>
        <v>0</v>
      </c>
      <c r="F92" s="532">
        <f>'POSF Inventory'!AG84*$D$6*'POSF Zone Def'!$M81</f>
        <v>0</v>
      </c>
      <c r="G92" s="532">
        <f>'POSF Inventory'!AH84*$D$5*'POSF Zone Def'!$M81</f>
        <v>0</v>
      </c>
      <c r="H92" s="533">
        <f>'POSF Inventory'!AI84*$D$6*'POSF Zone Def'!$M81</f>
        <v>0</v>
      </c>
      <c r="I92" s="545">
        <f>'POSF Inventory'!AD84*$D$5*'POSF Zone Def'!$N81</f>
        <v>0</v>
      </c>
      <c r="J92" s="545">
        <f>'POSF Inventory'!AE84*$D$6*'POSF Zone Def'!$N81</f>
        <v>0</v>
      </c>
      <c r="K92" s="545">
        <f>'POSF Inventory'!AF84*$D$5*'POSF Zone Def'!$N81</f>
        <v>0</v>
      </c>
      <c r="L92" s="545">
        <f>'POSF Inventory'!AG84*$D$6*'POSF Zone Def'!$N81</f>
        <v>0</v>
      </c>
      <c r="M92" s="545">
        <f>'POSF Inventory'!AH84*$D$5*'POSF Zone Def'!$N81</f>
        <v>0</v>
      </c>
      <c r="N92" s="558">
        <f>'POSF Inventory'!AI84*$D$6*'POSF Zone Def'!$N81</f>
        <v>0</v>
      </c>
      <c r="O92" s="532">
        <f>'POSF Inventory'!AJ84*$D$5*'POSF Zone Def'!$AP81</f>
        <v>0</v>
      </c>
      <c r="P92" s="532">
        <f>'POSF Inventory'!AK84*$D$6*'POSF Zone Def'!$AP81</f>
        <v>0</v>
      </c>
      <c r="Q92" s="532">
        <f>'POSF Inventory'!AL84*$D$5*'POSF Zone Def'!$AP81</f>
        <v>0</v>
      </c>
      <c r="R92" s="532">
        <f>'POSF Inventory'!AM84*$D$6*'POSF Zone Def'!$AP81</f>
        <v>0</v>
      </c>
      <c r="S92" s="532">
        <f>'POSF Inventory'!AN84*$D$5*'POSF Zone Def'!$AP81</f>
        <v>0</v>
      </c>
      <c r="T92" s="533">
        <f>'POSF Inventory'!AO84*$D$6*'POSF Zone Def'!$AP81</f>
        <v>0</v>
      </c>
      <c r="U92" s="545">
        <f>'POSF Inventory'!AJ84*$D$5*'POSF Zone Def'!$AQ81</f>
        <v>0</v>
      </c>
      <c r="V92" s="545">
        <f>'POSF Inventory'!AK84*$D$6*'POSF Zone Def'!$AQ81</f>
        <v>0</v>
      </c>
      <c r="W92" s="545">
        <f>'POSF Inventory'!AL84*$D$5*'POSF Zone Def'!$AQ81</f>
        <v>0</v>
      </c>
      <c r="X92" s="545">
        <f>'POSF Inventory'!AM84*$D$6*'POSF Zone Def'!$AQ81</f>
        <v>0</v>
      </c>
      <c r="Y92" s="545">
        <f>'POSF Inventory'!AN84*$D$5*'POSF Zone Def'!$AQ81</f>
        <v>0</v>
      </c>
      <c r="Z92" s="554">
        <f>'POSF Inventory'!AO84*$D$6*'POSF Zone Def'!$AQ81</f>
        <v>0</v>
      </c>
      <c r="AA92" s="532">
        <f>'POSF Inventory'!AV84*'POSF Emiss by Zone'!$D$5*'POSF Zone Def'!$M81</f>
        <v>0</v>
      </c>
      <c r="AB92" s="532">
        <f>'POSF Inventory'!AW84*'POSF Emiss by Zone'!$D$6*'POSF Zone Def'!$M81</f>
        <v>0</v>
      </c>
      <c r="AC92" s="532">
        <f>'POSF Inventory'!AX84*'POSF Emiss by Zone'!$D$5*'POSF Zone Def'!$M81</f>
        <v>0</v>
      </c>
      <c r="AD92" s="532">
        <f>'POSF Inventory'!AY84*'POSF Emiss by Zone'!$D$6*'POSF Zone Def'!$M81</f>
        <v>0</v>
      </c>
      <c r="AE92" s="532">
        <f>'POSF Inventory'!AZ84*'POSF Emiss by Zone'!$D$5*'POSF Zone Def'!$M81</f>
        <v>0</v>
      </c>
      <c r="AF92" s="533">
        <f>'POSF Inventory'!BA84*'POSF Emiss by Zone'!$D$6*'POSF Zone Def'!$M81</f>
        <v>0</v>
      </c>
      <c r="AG92" s="545">
        <f>'POSF Inventory'!AV84*'POSF Emiss by Zone'!$D$5*'POSF Zone Def'!$N81</f>
        <v>0</v>
      </c>
      <c r="AH92" s="545">
        <f>'POSF Inventory'!AW84*'POSF Emiss by Zone'!$D$6*'POSF Zone Def'!$N81</f>
        <v>0</v>
      </c>
      <c r="AI92" s="545">
        <f>'POSF Inventory'!AX84*'POSF Emiss by Zone'!$D$5*'POSF Zone Def'!$N81</f>
        <v>0</v>
      </c>
      <c r="AJ92" s="545">
        <f>'POSF Inventory'!AY84*'POSF Emiss by Zone'!$D$6*'POSF Zone Def'!$N81</f>
        <v>0</v>
      </c>
      <c r="AK92" s="545">
        <f>'POSF Inventory'!AZ84*'POSF Emiss by Zone'!$D$5*'POSF Zone Def'!$N81</f>
        <v>0</v>
      </c>
      <c r="AL92" s="558">
        <f>'POSF Inventory'!BA84*'POSF Emiss by Zone'!$D$6*'POSF Zone Def'!$N81</f>
        <v>0</v>
      </c>
      <c r="AM92" s="532">
        <f>'POSF Inventory'!BB84*'POSF Emiss by Zone'!$D$5*'POSF Zone Def'!$AP81</f>
        <v>0</v>
      </c>
      <c r="AN92" s="532">
        <f>'POSF Inventory'!BC84*'POSF Emiss by Zone'!$D$6*'POSF Zone Def'!$AP81</f>
        <v>0</v>
      </c>
      <c r="AO92" s="532">
        <f>'POSF Inventory'!BD84*'POSF Emiss by Zone'!$D$5*'POSF Zone Def'!$AP81</f>
        <v>0</v>
      </c>
      <c r="AP92" s="532">
        <f>'POSF Inventory'!BE84*'POSF Emiss by Zone'!$D$6*'POSF Zone Def'!$AP81</f>
        <v>0</v>
      </c>
      <c r="AQ92" s="532">
        <f>'POSF Inventory'!BF84*'POSF Emiss by Zone'!$D$5*'POSF Zone Def'!$AP81</f>
        <v>0</v>
      </c>
      <c r="AR92" s="533">
        <f>'POSF Inventory'!BG84*'POSF Emiss by Zone'!$D$6*'POSF Zone Def'!$AP81</f>
        <v>0</v>
      </c>
      <c r="AS92" s="545">
        <f>'POSF Inventory'!BB84*'POSF Emiss by Zone'!$D$5*'POSF Zone Def'!$AQ81</f>
        <v>0</v>
      </c>
      <c r="AT92" s="545">
        <f>'POSF Inventory'!BC84*'POSF Emiss by Zone'!$D$6*'POSF Zone Def'!$AQ81</f>
        <v>0</v>
      </c>
      <c r="AU92" s="545">
        <f>'POSF Inventory'!BD84*'POSF Emiss by Zone'!$D$5*'POSF Zone Def'!$AQ81</f>
        <v>0</v>
      </c>
      <c r="AV92" s="545">
        <f>'POSF Inventory'!BE84*'POSF Emiss by Zone'!$D$6*'POSF Zone Def'!$AQ81</f>
        <v>0</v>
      </c>
      <c r="AW92" s="545">
        <f>'POSF Inventory'!BF84*'POSF Emiss by Zone'!$D$5*'POSF Zone Def'!$AQ81</f>
        <v>0</v>
      </c>
      <c r="AX92" s="554">
        <f>'POSF Inventory'!BG84*'POSF Emiss by Zone'!$D$6*'POSF Zone Def'!$AQ81</f>
        <v>0</v>
      </c>
      <c r="AY92" s="532">
        <f>'POSF Inventory'!EA84*'POSF Emiss by Zone'!$D$5*'POSF Zone Def'!$Y81</f>
        <v>0</v>
      </c>
      <c r="AZ92" s="532">
        <f>'POSF Inventory'!EB84*'POSF Emiss by Zone'!$D$6*'POSF Zone Def'!$Y81</f>
        <v>0</v>
      </c>
      <c r="BA92" s="532">
        <f>'POSF Inventory'!EC84*'POSF Emiss by Zone'!$D$5*'POSF Zone Def'!$Y81</f>
        <v>0</v>
      </c>
      <c r="BB92" s="532">
        <f>'POSF Inventory'!ED84*'POSF Emiss by Zone'!$D$6*'POSF Zone Def'!$Y81</f>
        <v>0</v>
      </c>
      <c r="BC92" s="532">
        <f>'POSF Inventory'!EE84*'POSF Emiss by Zone'!$D$5*'POSF Zone Def'!$Y81</f>
        <v>0</v>
      </c>
      <c r="BD92" s="533">
        <f>'POSF Inventory'!EF84*'POSF Emiss by Zone'!$D$6*'POSF Zone Def'!$Y81</f>
        <v>0</v>
      </c>
      <c r="BE92" s="545">
        <f>'POSF Inventory'!EA84*'POSF Emiss by Zone'!$D$5*'POSF Zone Def'!$Z81</f>
        <v>0</v>
      </c>
      <c r="BF92" s="545">
        <f>'POSF Inventory'!EB84*'POSF Emiss by Zone'!$D$6*'POSF Zone Def'!$Z81</f>
        <v>0</v>
      </c>
      <c r="BG92" s="545">
        <f>'POSF Inventory'!EC84*'POSF Emiss by Zone'!$D$5*'POSF Zone Def'!$Z81</f>
        <v>0</v>
      </c>
      <c r="BH92" s="545">
        <f>'POSF Inventory'!ED84*'POSF Emiss by Zone'!$D$6*'POSF Zone Def'!$Z81</f>
        <v>0</v>
      </c>
      <c r="BI92" s="545">
        <f>'POSF Inventory'!EE84*'POSF Emiss by Zone'!$D$5*'POSF Zone Def'!$Z81</f>
        <v>0</v>
      </c>
      <c r="BJ92" s="558">
        <f>'POSF Inventory'!EF84*'POSF Emiss by Zone'!$D$6*'POSF Zone Def'!$Z81</f>
        <v>0</v>
      </c>
      <c r="BK92" s="545">
        <f>'POSF Inventory'!$EA84*'POSF Emiss by Zone'!$D$5*'POSF Zone Def'!$AC81</f>
        <v>0</v>
      </c>
      <c r="BL92" s="545">
        <f>'POSF Inventory'!$EB84*'POSF Emiss by Zone'!$D$6*'POSF Zone Def'!$AC81</f>
        <v>0</v>
      </c>
      <c r="BM92" s="545">
        <f>'POSF Inventory'!$EC84*'POSF Emiss by Zone'!$D$5*'POSF Zone Def'!$AC81</f>
        <v>0</v>
      </c>
      <c r="BN92" s="545">
        <f>'POSF Inventory'!$ED84*'POSF Emiss by Zone'!$D$6*'POSF Zone Def'!$AC81</f>
        <v>0</v>
      </c>
      <c r="BO92" s="545">
        <f>'POSF Inventory'!$EE84*'POSF Emiss by Zone'!$D$5*'POSF Zone Def'!$AC81</f>
        <v>0</v>
      </c>
      <c r="BP92" s="558">
        <f>'POSF Inventory'!$EF84*'POSF Emiss by Zone'!$D$6*'POSF Zone Def'!$AC81</f>
        <v>0</v>
      </c>
      <c r="BQ92" s="532">
        <f>'POSF Inventory'!EG84*'POSF Emiss by Zone'!$D$5*'POSF Zone Def'!$BB81</f>
        <v>0</v>
      </c>
      <c r="BR92" s="532">
        <f>'POSF Inventory'!EH84*'POSF Emiss by Zone'!$D$6*'POSF Zone Def'!$BB81</f>
        <v>0</v>
      </c>
      <c r="BS92" s="532">
        <f>'POSF Inventory'!EI84*'POSF Emiss by Zone'!$D$5*'POSF Zone Def'!$BB81</f>
        <v>0</v>
      </c>
      <c r="BT92" s="532">
        <f>'POSF Inventory'!EJ84*'POSF Emiss by Zone'!$D$6*'POSF Zone Def'!$BB81</f>
        <v>0</v>
      </c>
      <c r="BU92" s="532">
        <f>'POSF Inventory'!EK84*'POSF Emiss by Zone'!$D$5*'POSF Zone Def'!$BB81</f>
        <v>0</v>
      </c>
      <c r="BV92" s="533">
        <f>'POSF Inventory'!EL84*'POSF Emiss by Zone'!$D$6*'POSF Zone Def'!$BB81</f>
        <v>0</v>
      </c>
      <c r="BW92" s="545">
        <f>'POSF Inventory'!EG84*'POSF Emiss by Zone'!$D$5*'POSF Zone Def'!$BC81</f>
        <v>0</v>
      </c>
      <c r="BX92" s="545">
        <f>'POSF Inventory'!EH84*'POSF Emiss by Zone'!$D$6*'POSF Zone Def'!$BC81</f>
        <v>0</v>
      </c>
      <c r="BY92" s="545">
        <f>'POSF Inventory'!EI84*'POSF Emiss by Zone'!$D$5*'POSF Zone Def'!$BC81</f>
        <v>0</v>
      </c>
      <c r="BZ92" s="545">
        <f>'POSF Inventory'!EJ84*'POSF Emiss by Zone'!$D$6*'POSF Zone Def'!$BC81</f>
        <v>0</v>
      </c>
      <c r="CA92" s="545">
        <f>'POSF Inventory'!EK84*'POSF Emiss by Zone'!$D$5*'POSF Zone Def'!$BC81</f>
        <v>0</v>
      </c>
      <c r="CB92" s="554">
        <f>'POSF Inventory'!EL84*'POSF Emiss by Zone'!$D$6*'POSF Zone Def'!$BC81</f>
        <v>0</v>
      </c>
      <c r="CC92" s="532">
        <f>'POSF Inventory'!GC84*'POSF Emiss by Zone'!$D$7*'POSF Zone Def'!$M81</f>
        <v>0</v>
      </c>
      <c r="CD92" s="532">
        <f>'POSF Inventory'!GD84*'POSF Emiss by Zone'!$D$9*'POSF Zone Def'!$M81</f>
        <v>0</v>
      </c>
      <c r="CE92" s="532">
        <f>'POSF Inventory'!GE84*'POSF Emiss by Zone'!$D$7*'POSF Zone Def'!$M81</f>
        <v>0</v>
      </c>
      <c r="CF92" s="532">
        <f>'POSF Inventory'!GF84*'POSF Emiss by Zone'!$D$9*'POSF Zone Def'!$M81</f>
        <v>0</v>
      </c>
      <c r="CG92" s="532">
        <f>'POSF Inventory'!GG84*'POSF Emiss by Zone'!$D$7*'POSF Zone Def'!$M81</f>
        <v>0</v>
      </c>
      <c r="CH92" s="533">
        <f>'POSF Inventory'!GH84*'POSF Emiss by Zone'!$D$9*'POSF Zone Def'!$M81</f>
        <v>0</v>
      </c>
      <c r="CI92" s="545">
        <f>'POSF Inventory'!GC84*'POSF Emiss by Zone'!$D$7*'POSF Zone Def'!$N81</f>
        <v>0</v>
      </c>
      <c r="CJ92" s="545">
        <f>'POSF Inventory'!GD84*'POSF Emiss by Zone'!$D$9*'POSF Zone Def'!$N81</f>
        <v>0</v>
      </c>
      <c r="CK92" s="545">
        <f>'POSF Inventory'!GE84*'POSF Emiss by Zone'!$D$7*'POSF Zone Def'!$N81</f>
        <v>0</v>
      </c>
      <c r="CL92" s="545">
        <f>'POSF Inventory'!GF84*'POSF Emiss by Zone'!$D$9*'POSF Zone Def'!$N81</f>
        <v>0</v>
      </c>
      <c r="CM92" s="545">
        <f>'POSF Inventory'!GG84*'POSF Emiss by Zone'!$D$7*'POSF Zone Def'!$N81</f>
        <v>0</v>
      </c>
      <c r="CN92" s="558">
        <f>'POSF Inventory'!GH84*'POSF Emiss by Zone'!$D$9*'POSF Zone Def'!$N81</f>
        <v>0</v>
      </c>
      <c r="CO92" s="532">
        <f>'POSF Inventory'!GI84*'POSF Emiss by Zone'!$D$7*'POSF Zone Def'!$AP81</f>
        <v>0</v>
      </c>
      <c r="CP92" s="532">
        <f>'POSF Inventory'!GJ84*'POSF Emiss by Zone'!$D$9*'POSF Zone Def'!$AP81</f>
        <v>0</v>
      </c>
      <c r="CQ92" s="532">
        <f>'POSF Inventory'!GK84*'POSF Emiss by Zone'!$D$7*'POSF Zone Def'!$AP81</f>
        <v>0</v>
      </c>
      <c r="CR92" s="532">
        <f>'POSF Inventory'!GL84*'POSF Emiss by Zone'!$D$9*'POSF Zone Def'!$AP81</f>
        <v>0</v>
      </c>
      <c r="CS92" s="532">
        <f>'POSF Inventory'!GM84*'POSF Emiss by Zone'!$D$7*'POSF Zone Def'!$AP81</f>
        <v>0</v>
      </c>
      <c r="CT92" s="533">
        <f>'POSF Inventory'!GN84*'POSF Emiss by Zone'!$D$9*'POSF Zone Def'!$AP81</f>
        <v>0</v>
      </c>
      <c r="CU92" s="545">
        <f>'POSF Inventory'!GI84*'POSF Emiss by Zone'!$D$7*'POSF Zone Def'!$AQ81</f>
        <v>0</v>
      </c>
      <c r="CV92" s="545">
        <f>'POSF Inventory'!GJ84*'POSF Emiss by Zone'!$D$9*'POSF Zone Def'!$AQ81</f>
        <v>0</v>
      </c>
      <c r="CW92" s="545">
        <f>'POSF Inventory'!GK84*'POSF Emiss by Zone'!$D$7*'POSF Zone Def'!$AQ81</f>
        <v>0</v>
      </c>
      <c r="CX92" s="545">
        <f>'POSF Inventory'!GL84*'POSF Emiss by Zone'!$D$9*'POSF Zone Def'!$AQ81</f>
        <v>0</v>
      </c>
      <c r="CY92" s="545">
        <f>'POSF Inventory'!GM84*'POSF Emiss by Zone'!$D$7*'POSF Zone Def'!$AQ81</f>
        <v>0</v>
      </c>
      <c r="CZ92" s="554">
        <f>'POSF Inventory'!GN84*'POSF Emiss by Zone'!$D$9*'POSF Zone Def'!$AQ81</f>
        <v>0</v>
      </c>
      <c r="DA92" s="532">
        <f>SUM('POSF Inventory'!GQ84,'POSF Inventory'!GS84)*'POSF Emiss by Zone'!$D$7*'POSF Zone Def'!$Y81</f>
        <v>0</v>
      </c>
      <c r="DB92" s="532">
        <f>SUM('POSF Inventory'!GR84,'POSF Inventory'!GT84)*'POSF Emiss by Zone'!$D$9*'POSF Zone Def'!$Y81</f>
        <v>0</v>
      </c>
      <c r="DC92" s="532"/>
      <c r="DD92" s="532"/>
      <c r="DE92" s="532">
        <f>'POSF Inventory'!GU84*'POSF Emiss by Zone'!$D$7*'POSF Zone Def'!$Y81</f>
        <v>0</v>
      </c>
      <c r="DF92" s="533">
        <f>'POSF Inventory'!GV84*'POSF Emiss by Zone'!$D$9*'POSF Zone Def'!$Y81</f>
        <v>0</v>
      </c>
      <c r="DG92" s="545">
        <f>SUM('POSF Inventory'!GQ84,'POSF Inventory'!GS84)*'POSF Emiss by Zone'!$D$7*'POSF Zone Def'!$Z81</f>
        <v>0</v>
      </c>
      <c r="DH92" s="545">
        <f>SUM('POSF Inventory'!GR84,'POSF Inventory'!GT84)*'POSF Emiss by Zone'!$D$9*'POSF Zone Def'!$Z81</f>
        <v>0</v>
      </c>
      <c r="DI92" s="545"/>
      <c r="DJ92" s="545"/>
      <c r="DK92" s="545">
        <f>'POSF Inventory'!GU84*'POSF Emiss by Zone'!$D$7*'POSF Zone Def'!$Z81</f>
        <v>0</v>
      </c>
      <c r="DL92" s="558">
        <f>'POSF Inventory'!GV84*'POSF Emiss by Zone'!$D$9*'POSF Zone Def'!$Z81</f>
        <v>0</v>
      </c>
      <c r="DM92" s="545">
        <f>SUM('POSF Inventory'!$GQ84,'POSF Inventory'!$GS84)*'POSF Emiss by Zone'!$D$7*'POSF Zone Def'!$AC81</f>
        <v>0</v>
      </c>
      <c r="DN92" s="545">
        <f>SUM('POSF Inventory'!$GR84,'POSF Inventory'!$GT84)*'POSF Emiss by Zone'!$D$9*'POSF Zone Def'!$AC81</f>
        <v>0</v>
      </c>
      <c r="DO92" s="545"/>
      <c r="DP92" s="545"/>
      <c r="DQ92" s="545">
        <f>'POSF Inventory'!$GU84*'POSF Emiss by Zone'!$D$7*'POSF Zone Def'!$AC81</f>
        <v>0</v>
      </c>
      <c r="DR92" s="558">
        <f>'POSF Inventory'!$GV84*'POSF Emiss by Zone'!$D$9*'POSF Zone Def'!$AC81</f>
        <v>0</v>
      </c>
      <c r="DS92" s="532">
        <f>SUM('POSF Inventory'!GW84,'POSF Inventory'!GY84)*$D$7*'POSF Zone Def'!$BB81</f>
        <v>0</v>
      </c>
      <c r="DT92" s="532">
        <f>SUM('POSF Inventory'!GX84,'POSF Inventory'!GZ84)*$D$9*'POSF Zone Def'!$BB81</f>
        <v>0</v>
      </c>
      <c r="DU92" s="532"/>
      <c r="DV92" s="532"/>
      <c r="DW92" s="532">
        <f>'POSF Inventory'!HA84*'POSF Emiss by Zone'!$D$7*'POSF Zone Def'!$BB81</f>
        <v>0</v>
      </c>
      <c r="DX92" s="533">
        <f>'POSF Inventory'!HB84*'POSF Emiss by Zone'!$D$9*'POSF Zone Def'!$BB81</f>
        <v>0</v>
      </c>
      <c r="DY92" s="545">
        <f>SUM('POSF Inventory'!GW84,'POSF Inventory'!GY84)*$D$7*'POSF Zone Def'!$BC81</f>
        <v>0</v>
      </c>
      <c r="DZ92" s="545">
        <f>SUM('POSF Inventory'!GX84,'POSF Inventory'!GZ84)*$D$9*'POSF Zone Def'!$BC81</f>
        <v>0</v>
      </c>
      <c r="EA92" s="545"/>
      <c r="EB92" s="545"/>
      <c r="EC92" s="545">
        <f>'POSF Inventory'!HA84*'POSF Emiss by Zone'!$D$7*'POSF Zone Def'!$BC81</f>
        <v>0</v>
      </c>
      <c r="ED92" s="554">
        <f>'POSF Inventory'!HB84*'POSF Emiss by Zone'!$D$9*'POSF Zone Def'!$BC81</f>
        <v>0</v>
      </c>
      <c r="EE92" s="575">
        <f>'POSF Inventory'!$CF84*'POSF Emiss by Zone'!$D$7*'POSF Zone Def'!$CE81</f>
        <v>0</v>
      </c>
      <c r="EF92" s="575">
        <f>'POSF Inventory'!$CG84*'POSF Emiss by Zone'!$D$9*'POSF Zone Def'!$CE81</f>
        <v>0</v>
      </c>
      <c r="EG92" s="575">
        <f>'POSF Inventory'!$CH84*'POSF Emiss by Zone'!$D$7*'POSF Zone Def'!$CE81</f>
        <v>0</v>
      </c>
      <c r="EH92" s="575">
        <f>'POSF Inventory'!$CI84*'POSF Emiss by Zone'!$D$9*'POSF Zone Def'!$CE81</f>
        <v>0</v>
      </c>
      <c r="EI92" s="575">
        <f>'POSF Inventory'!$CJ84*'POSF Emiss by Zone'!$D$7*'POSF Zone Def'!$CE81</f>
        <v>0</v>
      </c>
      <c r="EJ92" s="582">
        <f>'POSF Inventory'!$CK84*'POSF Emiss by Zone'!$D$9*'POSF Zone Def'!$CE81</f>
        <v>0</v>
      </c>
      <c r="EK92" s="575">
        <f>'POSF Inventory'!$CF84*'POSF Emiss by Zone'!$D$7*'POSF Zone Def'!$CF81</f>
        <v>0</v>
      </c>
      <c r="EL92" s="575">
        <f>'POSF Inventory'!$CG84*'POSF Emiss by Zone'!$D$9*'POSF Zone Def'!$CF81</f>
        <v>0</v>
      </c>
      <c r="EM92" s="575">
        <f>'POSF Inventory'!$CH84*'POSF Emiss by Zone'!$D$7*'POSF Zone Def'!$CF81</f>
        <v>0</v>
      </c>
      <c r="EN92" s="575">
        <f>'POSF Inventory'!$CI84*'POSF Emiss by Zone'!$D$9*'POSF Zone Def'!$CF81</f>
        <v>0</v>
      </c>
      <c r="EO92" s="575">
        <f>'POSF Inventory'!$CJ84*'POSF Emiss by Zone'!$D$7*'POSF Zone Def'!$CF81</f>
        <v>0</v>
      </c>
      <c r="EP92" s="582">
        <f>'POSF Inventory'!$CK84*'POSF Emiss by Zone'!$D$9*'POSF Zone Def'!$CF81</f>
        <v>0</v>
      </c>
      <c r="EQ92" s="575">
        <f>'POSF Inventory'!$CF84*'POSF Emiss by Zone'!$D$7*'POSF Zone Def'!$CG81</f>
        <v>0</v>
      </c>
      <c r="ER92" s="575">
        <f>'POSF Inventory'!$CG84*'POSF Emiss by Zone'!$D$9*'POSF Zone Def'!$CG81</f>
        <v>1.0677986728951161E-4</v>
      </c>
      <c r="ES92" s="575">
        <f>'POSF Inventory'!$CH84*'POSF Emiss by Zone'!$D$7*'POSF Zone Def'!$CG81</f>
        <v>0</v>
      </c>
      <c r="ET92" s="575">
        <f>'POSF Inventory'!$CI84*'POSF Emiss by Zone'!$D$9*'POSF Zone Def'!$CG81</f>
        <v>0</v>
      </c>
      <c r="EU92" s="575">
        <f>'POSF Inventory'!$CJ84*'POSF Emiss by Zone'!$D$7*'POSF Zone Def'!$CG81</f>
        <v>0</v>
      </c>
      <c r="EV92" s="582">
        <f>'POSF Inventory'!$CK84*'POSF Emiss by Zone'!$D$9*'POSF Zone Def'!$CG81</f>
        <v>9.6101880560560458E-4</v>
      </c>
      <c r="EW92" s="575">
        <f>'POSF Inventory'!$CF84*'POSF Emiss by Zone'!$D$7*'POSF Zone Def'!$CH81</f>
        <v>0</v>
      </c>
      <c r="EX92" s="575">
        <f>'POSF Inventory'!$CG84*'POSF Emiss by Zone'!$D$9*'POSF Zone Def'!$CH81</f>
        <v>1.6768323577908004</v>
      </c>
      <c r="EY92" s="575">
        <f>'POSF Inventory'!$CH84*'POSF Emiss by Zone'!$D$7*'POSF Zone Def'!$CH81</f>
        <v>0</v>
      </c>
      <c r="EZ92" s="575">
        <f>'POSF Inventory'!$CI84*'POSF Emiss by Zone'!$D$9*'POSF Zone Def'!$CH81</f>
        <v>0</v>
      </c>
      <c r="FA92" s="575">
        <f>'POSF Inventory'!$CJ84*'POSF Emiss by Zone'!$D$7*'POSF Zone Def'!$CH81</f>
        <v>0</v>
      </c>
      <c r="FB92" s="582">
        <f>'POSF Inventory'!$CK84*'POSF Emiss by Zone'!$D$9*'POSF Zone Def'!$CH81</f>
        <v>15.091491220117206</v>
      </c>
      <c r="FC92" s="575">
        <f>'POSF Inventory'!$CF84*'POSF Emiss by Zone'!$D$7*'POSF Zone Def'!$CI81</f>
        <v>0</v>
      </c>
      <c r="FD92" s="575">
        <f>'POSF Inventory'!$CG84*'POSF Emiss by Zone'!$D$9*'POSF Zone Def'!$CI81</f>
        <v>2.2497172323419106</v>
      </c>
      <c r="FE92" s="575">
        <f>'POSF Inventory'!$CH84*'POSF Emiss by Zone'!$D$7*'POSF Zone Def'!$CI81</f>
        <v>0</v>
      </c>
      <c r="FF92" s="575">
        <f>'POSF Inventory'!$CI84*'POSF Emiss by Zone'!$D$9*'POSF Zone Def'!$CI81</f>
        <v>0</v>
      </c>
      <c r="FG92" s="575">
        <f>'POSF Inventory'!$CJ84*'POSF Emiss by Zone'!$D$7*'POSF Zone Def'!$CI81</f>
        <v>0</v>
      </c>
      <c r="FH92" s="579">
        <f>'POSF Inventory'!$CK84*'POSF Emiss by Zone'!$D$9*'POSF Zone Def'!$CI81</f>
        <v>20.2474550910772</v>
      </c>
      <c r="FI92" s="595"/>
      <c r="FJ92" s="595"/>
      <c r="FM92" s="592">
        <v>75</v>
      </c>
      <c r="FN92" s="592">
        <f t="shared" si="99"/>
        <v>2029</v>
      </c>
      <c r="FO92" s="587">
        <v>72</v>
      </c>
      <c r="FP92" s="576">
        <f t="shared" si="100"/>
        <v>0</v>
      </c>
      <c r="FQ92" s="532">
        <f t="shared" si="101"/>
        <v>0</v>
      </c>
      <c r="FR92" s="532">
        <f t="shared" si="102"/>
        <v>0</v>
      </c>
      <c r="FS92" s="532">
        <f t="shared" si="103"/>
        <v>0</v>
      </c>
      <c r="FT92" s="532">
        <f t="shared" si="104"/>
        <v>0</v>
      </c>
      <c r="FU92" s="533">
        <f t="shared" si="105"/>
        <v>0</v>
      </c>
      <c r="FV92" s="545">
        <f t="shared" si="106"/>
        <v>0</v>
      </c>
      <c r="FW92" s="545">
        <f t="shared" si="107"/>
        <v>0</v>
      </c>
      <c r="FX92" s="545">
        <f t="shared" si="108"/>
        <v>0</v>
      </c>
      <c r="FY92" s="545">
        <f t="shared" si="109"/>
        <v>0</v>
      </c>
      <c r="FZ92" s="545">
        <f t="shared" si="110"/>
        <v>0</v>
      </c>
      <c r="GA92" s="554">
        <f t="shared" si="111"/>
        <v>0</v>
      </c>
      <c r="GB92" s="532">
        <f t="shared" si="112"/>
        <v>0</v>
      </c>
      <c r="GC92" s="532">
        <f t="shared" si="113"/>
        <v>0</v>
      </c>
      <c r="GD92" s="532">
        <f t="shared" si="114"/>
        <v>0</v>
      </c>
      <c r="GE92" s="532">
        <f t="shared" si="115"/>
        <v>0</v>
      </c>
      <c r="GF92" s="532">
        <f t="shared" si="116"/>
        <v>0</v>
      </c>
      <c r="GG92" s="533">
        <f t="shared" si="117"/>
        <v>0</v>
      </c>
      <c r="GH92" s="545">
        <f t="shared" si="118"/>
        <v>0</v>
      </c>
      <c r="GI92" s="545">
        <f t="shared" si="119"/>
        <v>0</v>
      </c>
      <c r="GJ92" s="545">
        <f t="shared" si="120"/>
        <v>0</v>
      </c>
      <c r="GK92" s="545">
        <f t="shared" si="121"/>
        <v>0</v>
      </c>
      <c r="GL92" s="545">
        <f t="shared" si="122"/>
        <v>0</v>
      </c>
      <c r="GM92" s="545">
        <f t="shared" si="123"/>
        <v>0</v>
      </c>
      <c r="GN92" s="545">
        <f t="shared" si="124"/>
        <v>0</v>
      </c>
      <c r="GO92" s="545">
        <f t="shared" si="125"/>
        <v>0</v>
      </c>
      <c r="GP92" s="545">
        <f t="shared" si="126"/>
        <v>0</v>
      </c>
      <c r="GQ92" s="545">
        <f t="shared" si="127"/>
        <v>0</v>
      </c>
      <c r="GR92" s="545">
        <f t="shared" si="128"/>
        <v>0</v>
      </c>
      <c r="GS92" s="554">
        <f t="shared" si="129"/>
        <v>0</v>
      </c>
      <c r="GT92" s="532">
        <f t="shared" si="130"/>
        <v>0</v>
      </c>
      <c r="GU92" s="532">
        <f t="shared" si="131"/>
        <v>0</v>
      </c>
      <c r="GV92" s="532">
        <f t="shared" si="132"/>
        <v>0</v>
      </c>
      <c r="GW92" s="532">
        <f t="shared" si="133"/>
        <v>0</v>
      </c>
      <c r="GX92" s="532">
        <f t="shared" si="134"/>
        <v>0</v>
      </c>
      <c r="GY92" s="533">
        <f t="shared" si="135"/>
        <v>0</v>
      </c>
      <c r="GZ92" s="545">
        <f t="shared" si="136"/>
        <v>0</v>
      </c>
      <c r="HA92" s="545">
        <f t="shared" si="137"/>
        <v>0</v>
      </c>
      <c r="HB92" s="545">
        <f t="shared" si="138"/>
        <v>0</v>
      </c>
      <c r="HC92" s="545">
        <f t="shared" si="139"/>
        <v>0</v>
      </c>
      <c r="HD92" s="545">
        <f t="shared" si="140"/>
        <v>0</v>
      </c>
      <c r="HE92" s="558">
        <f t="shared" si="141"/>
        <v>0</v>
      </c>
      <c r="HF92" s="575">
        <f t="shared" si="142"/>
        <v>0</v>
      </c>
      <c r="HG92" s="575">
        <f t="shared" si="143"/>
        <v>1.1060862747120724E-4</v>
      </c>
      <c r="HH92" s="575">
        <f t="shared" si="144"/>
        <v>0</v>
      </c>
      <c r="HI92" s="575">
        <f t="shared" si="145"/>
        <v>0</v>
      </c>
      <c r="HJ92" s="575">
        <f t="shared" si="146"/>
        <v>0</v>
      </c>
      <c r="HK92" s="582">
        <f t="shared" si="147"/>
        <v>9.9547764724086532E-4</v>
      </c>
      <c r="HL92" s="575">
        <f t="shared" si="148"/>
        <v>0</v>
      </c>
      <c r="HM92" s="575">
        <f t="shared" si="149"/>
        <v>1.7369578208191558</v>
      </c>
      <c r="HN92" s="575">
        <f t="shared" si="150"/>
        <v>0</v>
      </c>
      <c r="HO92" s="575">
        <f t="shared" si="151"/>
        <v>0</v>
      </c>
      <c r="HP92" s="575">
        <f t="shared" si="152"/>
        <v>0</v>
      </c>
      <c r="HQ92" s="582">
        <f t="shared" si="153"/>
        <v>15.632620387372404</v>
      </c>
      <c r="HR92" s="575">
        <f t="shared" si="154"/>
        <v>0</v>
      </c>
      <c r="HS92" s="575">
        <f t="shared" si="155"/>
        <v>2.3303843840991902</v>
      </c>
      <c r="HT92" s="575">
        <f t="shared" si="156"/>
        <v>0</v>
      </c>
      <c r="HU92" s="575">
        <f t="shared" si="157"/>
        <v>0</v>
      </c>
      <c r="HV92" s="575">
        <f t="shared" si="158"/>
        <v>0</v>
      </c>
      <c r="HW92" s="579">
        <f t="shared" si="159"/>
        <v>20.973459456892716</v>
      </c>
      <c r="HX92" s="575">
        <f t="shared" si="160"/>
        <v>0</v>
      </c>
      <c r="HY92" s="575">
        <f t="shared" si="161"/>
        <v>0</v>
      </c>
      <c r="HZ92" s="575">
        <f t="shared" si="162"/>
        <v>0</v>
      </c>
      <c r="IA92" s="575">
        <f t="shared" si="163"/>
        <v>0</v>
      </c>
      <c r="IB92" s="575">
        <f t="shared" si="164"/>
        <v>0</v>
      </c>
      <c r="IC92" s="575">
        <f t="shared" si="165"/>
        <v>0</v>
      </c>
      <c r="ID92" s="575">
        <f t="shared" si="166"/>
        <v>0</v>
      </c>
      <c r="IE92" s="575">
        <f t="shared" si="167"/>
        <v>0</v>
      </c>
      <c r="IF92" s="575">
        <f t="shared" si="168"/>
        <v>0</v>
      </c>
      <c r="IG92" s="575">
        <f t="shared" si="169"/>
        <v>0</v>
      </c>
      <c r="IH92" s="575">
        <f t="shared" si="170"/>
        <v>0</v>
      </c>
      <c r="II92" s="575">
        <f t="shared" si="171"/>
        <v>0</v>
      </c>
      <c r="IJ92" s="575">
        <f t="shared" si="172"/>
        <v>0</v>
      </c>
      <c r="IK92" s="575">
        <f t="shared" si="173"/>
        <v>0</v>
      </c>
      <c r="IL92" s="575">
        <f t="shared" si="174"/>
        <v>0</v>
      </c>
      <c r="IM92" s="575">
        <f t="shared" si="175"/>
        <v>0</v>
      </c>
      <c r="IN92" s="575">
        <f t="shared" si="176"/>
        <v>0</v>
      </c>
      <c r="IO92" s="575">
        <f t="shared" si="177"/>
        <v>0</v>
      </c>
    </row>
    <row r="93" spans="1:249" ht="18" x14ac:dyDescent="0.25">
      <c r="A93" s="12">
        <v>2030</v>
      </c>
      <c r="B93" s="564"/>
      <c r="C93" s="532">
        <f>'POSF Inventory'!AD85*$D$5*'POSF Zone Def'!$M82</f>
        <v>0</v>
      </c>
      <c r="D93" s="532">
        <f>'POSF Inventory'!AE85*$D$6*'POSF Zone Def'!$M82</f>
        <v>0</v>
      </c>
      <c r="E93" s="532">
        <f>'POSF Inventory'!AF85*$D$5*'POSF Zone Def'!$M82</f>
        <v>0</v>
      </c>
      <c r="F93" s="532">
        <f>'POSF Inventory'!AG85*$D$6*'POSF Zone Def'!$M82</f>
        <v>0</v>
      </c>
      <c r="G93" s="532">
        <f>'POSF Inventory'!AH85*$D$5*'POSF Zone Def'!$M82</f>
        <v>0</v>
      </c>
      <c r="H93" s="533">
        <f>'POSF Inventory'!AI85*$D$6*'POSF Zone Def'!$M82</f>
        <v>0</v>
      </c>
      <c r="I93" s="545">
        <f>'POSF Inventory'!AD85*$D$5*'POSF Zone Def'!$N82</f>
        <v>0</v>
      </c>
      <c r="J93" s="545">
        <f>'POSF Inventory'!AE85*$D$6*'POSF Zone Def'!$N82</f>
        <v>0</v>
      </c>
      <c r="K93" s="545">
        <f>'POSF Inventory'!AF85*$D$5*'POSF Zone Def'!$N82</f>
        <v>0</v>
      </c>
      <c r="L93" s="545">
        <f>'POSF Inventory'!AG85*$D$6*'POSF Zone Def'!$N82</f>
        <v>0</v>
      </c>
      <c r="M93" s="545">
        <f>'POSF Inventory'!AH85*$D$5*'POSF Zone Def'!$N82</f>
        <v>0</v>
      </c>
      <c r="N93" s="558">
        <f>'POSF Inventory'!AI85*$D$6*'POSF Zone Def'!$N82</f>
        <v>0</v>
      </c>
      <c r="O93" s="532">
        <f>'POSF Inventory'!AJ85*$D$5*'POSF Zone Def'!$AP82</f>
        <v>0</v>
      </c>
      <c r="P93" s="532">
        <f>'POSF Inventory'!AK85*$D$6*'POSF Zone Def'!$AP82</f>
        <v>0</v>
      </c>
      <c r="Q93" s="532">
        <f>'POSF Inventory'!AL85*$D$5*'POSF Zone Def'!$AP82</f>
        <v>0</v>
      </c>
      <c r="R93" s="532">
        <f>'POSF Inventory'!AM85*$D$6*'POSF Zone Def'!$AP82</f>
        <v>0</v>
      </c>
      <c r="S93" s="532">
        <f>'POSF Inventory'!AN85*$D$5*'POSF Zone Def'!$AP82</f>
        <v>0</v>
      </c>
      <c r="T93" s="533">
        <f>'POSF Inventory'!AO85*$D$6*'POSF Zone Def'!$AP82</f>
        <v>0</v>
      </c>
      <c r="U93" s="545">
        <f>'POSF Inventory'!AJ85*$D$5*'POSF Zone Def'!$AQ82</f>
        <v>0</v>
      </c>
      <c r="V93" s="545">
        <f>'POSF Inventory'!AK85*$D$6*'POSF Zone Def'!$AQ82</f>
        <v>0</v>
      </c>
      <c r="W93" s="545">
        <f>'POSF Inventory'!AL85*$D$5*'POSF Zone Def'!$AQ82</f>
        <v>0</v>
      </c>
      <c r="X93" s="545">
        <f>'POSF Inventory'!AM85*$D$6*'POSF Zone Def'!$AQ82</f>
        <v>0</v>
      </c>
      <c r="Y93" s="545">
        <f>'POSF Inventory'!AN85*$D$5*'POSF Zone Def'!$AQ82</f>
        <v>0</v>
      </c>
      <c r="Z93" s="554">
        <f>'POSF Inventory'!AO85*$D$6*'POSF Zone Def'!$AQ82</f>
        <v>0</v>
      </c>
      <c r="AA93" s="532">
        <f>'POSF Inventory'!AV85*'POSF Emiss by Zone'!$D$5*'POSF Zone Def'!$M82</f>
        <v>0</v>
      </c>
      <c r="AB93" s="532">
        <f>'POSF Inventory'!AW85*'POSF Emiss by Zone'!$D$6*'POSF Zone Def'!$M82</f>
        <v>0</v>
      </c>
      <c r="AC93" s="532">
        <f>'POSF Inventory'!AX85*'POSF Emiss by Zone'!$D$5*'POSF Zone Def'!$M82</f>
        <v>0</v>
      </c>
      <c r="AD93" s="532">
        <f>'POSF Inventory'!AY85*'POSF Emiss by Zone'!$D$6*'POSF Zone Def'!$M82</f>
        <v>0</v>
      </c>
      <c r="AE93" s="532">
        <f>'POSF Inventory'!AZ85*'POSF Emiss by Zone'!$D$5*'POSF Zone Def'!$M82</f>
        <v>0</v>
      </c>
      <c r="AF93" s="533">
        <f>'POSF Inventory'!BA85*'POSF Emiss by Zone'!$D$6*'POSF Zone Def'!$M82</f>
        <v>0</v>
      </c>
      <c r="AG93" s="545">
        <f>'POSF Inventory'!AV85*'POSF Emiss by Zone'!$D$5*'POSF Zone Def'!$N82</f>
        <v>0</v>
      </c>
      <c r="AH93" s="545">
        <f>'POSF Inventory'!AW85*'POSF Emiss by Zone'!$D$6*'POSF Zone Def'!$N82</f>
        <v>0</v>
      </c>
      <c r="AI93" s="545">
        <f>'POSF Inventory'!AX85*'POSF Emiss by Zone'!$D$5*'POSF Zone Def'!$N82</f>
        <v>0</v>
      </c>
      <c r="AJ93" s="545">
        <f>'POSF Inventory'!AY85*'POSF Emiss by Zone'!$D$6*'POSF Zone Def'!$N82</f>
        <v>0</v>
      </c>
      <c r="AK93" s="545">
        <f>'POSF Inventory'!AZ85*'POSF Emiss by Zone'!$D$5*'POSF Zone Def'!$N82</f>
        <v>0</v>
      </c>
      <c r="AL93" s="558">
        <f>'POSF Inventory'!BA85*'POSF Emiss by Zone'!$D$6*'POSF Zone Def'!$N82</f>
        <v>0</v>
      </c>
      <c r="AM93" s="532">
        <f>'POSF Inventory'!BB85*'POSF Emiss by Zone'!$D$5*'POSF Zone Def'!$AP82</f>
        <v>0</v>
      </c>
      <c r="AN93" s="532">
        <f>'POSF Inventory'!BC85*'POSF Emiss by Zone'!$D$6*'POSF Zone Def'!$AP82</f>
        <v>0</v>
      </c>
      <c r="AO93" s="532">
        <f>'POSF Inventory'!BD85*'POSF Emiss by Zone'!$D$5*'POSF Zone Def'!$AP82</f>
        <v>0</v>
      </c>
      <c r="AP93" s="532">
        <f>'POSF Inventory'!BE85*'POSF Emiss by Zone'!$D$6*'POSF Zone Def'!$AP82</f>
        <v>0</v>
      </c>
      <c r="AQ93" s="532">
        <f>'POSF Inventory'!BF85*'POSF Emiss by Zone'!$D$5*'POSF Zone Def'!$AP82</f>
        <v>0</v>
      </c>
      <c r="AR93" s="533">
        <f>'POSF Inventory'!BG85*'POSF Emiss by Zone'!$D$6*'POSF Zone Def'!$AP82</f>
        <v>0</v>
      </c>
      <c r="AS93" s="545">
        <f>'POSF Inventory'!BB85*'POSF Emiss by Zone'!$D$5*'POSF Zone Def'!$AQ82</f>
        <v>0</v>
      </c>
      <c r="AT93" s="545">
        <f>'POSF Inventory'!BC85*'POSF Emiss by Zone'!$D$6*'POSF Zone Def'!$AQ82</f>
        <v>0</v>
      </c>
      <c r="AU93" s="545">
        <f>'POSF Inventory'!BD85*'POSF Emiss by Zone'!$D$5*'POSF Zone Def'!$AQ82</f>
        <v>0</v>
      </c>
      <c r="AV93" s="545">
        <f>'POSF Inventory'!BE85*'POSF Emiss by Zone'!$D$6*'POSF Zone Def'!$AQ82</f>
        <v>0</v>
      </c>
      <c r="AW93" s="545">
        <f>'POSF Inventory'!BF85*'POSF Emiss by Zone'!$D$5*'POSF Zone Def'!$AQ82</f>
        <v>0</v>
      </c>
      <c r="AX93" s="554">
        <f>'POSF Inventory'!BG85*'POSF Emiss by Zone'!$D$6*'POSF Zone Def'!$AQ82</f>
        <v>0</v>
      </c>
      <c r="AY93" s="532">
        <f>'POSF Inventory'!EA85*'POSF Emiss by Zone'!$D$5*'POSF Zone Def'!$Y82</f>
        <v>0</v>
      </c>
      <c r="AZ93" s="532">
        <f>'POSF Inventory'!EB85*'POSF Emiss by Zone'!$D$6*'POSF Zone Def'!$Y82</f>
        <v>0</v>
      </c>
      <c r="BA93" s="532">
        <f>'POSF Inventory'!EC85*'POSF Emiss by Zone'!$D$5*'POSF Zone Def'!$Y82</f>
        <v>0</v>
      </c>
      <c r="BB93" s="532">
        <f>'POSF Inventory'!ED85*'POSF Emiss by Zone'!$D$6*'POSF Zone Def'!$Y82</f>
        <v>0</v>
      </c>
      <c r="BC93" s="532">
        <f>'POSF Inventory'!EE85*'POSF Emiss by Zone'!$D$5*'POSF Zone Def'!$Y82</f>
        <v>0</v>
      </c>
      <c r="BD93" s="533">
        <f>'POSF Inventory'!EF85*'POSF Emiss by Zone'!$D$6*'POSF Zone Def'!$Y82</f>
        <v>0</v>
      </c>
      <c r="BE93" s="545">
        <f>'POSF Inventory'!EA85*'POSF Emiss by Zone'!$D$5*'POSF Zone Def'!$Z82</f>
        <v>0</v>
      </c>
      <c r="BF93" s="545">
        <f>'POSF Inventory'!EB85*'POSF Emiss by Zone'!$D$6*'POSF Zone Def'!$Z82</f>
        <v>0</v>
      </c>
      <c r="BG93" s="545">
        <f>'POSF Inventory'!EC85*'POSF Emiss by Zone'!$D$5*'POSF Zone Def'!$Z82</f>
        <v>0</v>
      </c>
      <c r="BH93" s="545">
        <f>'POSF Inventory'!ED85*'POSF Emiss by Zone'!$D$6*'POSF Zone Def'!$Z82</f>
        <v>0</v>
      </c>
      <c r="BI93" s="545">
        <f>'POSF Inventory'!EE85*'POSF Emiss by Zone'!$D$5*'POSF Zone Def'!$Z82</f>
        <v>0</v>
      </c>
      <c r="BJ93" s="558">
        <f>'POSF Inventory'!EF85*'POSF Emiss by Zone'!$D$6*'POSF Zone Def'!$Z82</f>
        <v>0</v>
      </c>
      <c r="BK93" s="545">
        <f>'POSF Inventory'!$EA85*'POSF Emiss by Zone'!$D$5*'POSF Zone Def'!$AC82</f>
        <v>0</v>
      </c>
      <c r="BL93" s="545">
        <f>'POSF Inventory'!$EB85*'POSF Emiss by Zone'!$D$6*'POSF Zone Def'!$AC82</f>
        <v>0</v>
      </c>
      <c r="BM93" s="545">
        <f>'POSF Inventory'!$EC85*'POSF Emiss by Zone'!$D$5*'POSF Zone Def'!$AC82</f>
        <v>0</v>
      </c>
      <c r="BN93" s="545">
        <f>'POSF Inventory'!$ED85*'POSF Emiss by Zone'!$D$6*'POSF Zone Def'!$AC82</f>
        <v>0</v>
      </c>
      <c r="BO93" s="545">
        <f>'POSF Inventory'!$EE85*'POSF Emiss by Zone'!$D$5*'POSF Zone Def'!$AC82</f>
        <v>0</v>
      </c>
      <c r="BP93" s="712">
        <f>'POSF Inventory'!$EF85*'POSF Emiss by Zone'!$D$6*'POSF Zone Def'!$AC82</f>
        <v>0</v>
      </c>
      <c r="BQ93" s="532">
        <f>'POSF Inventory'!EG85*'POSF Emiss by Zone'!$D$5*'POSF Zone Def'!$BB82</f>
        <v>0</v>
      </c>
      <c r="BR93" s="532">
        <f>'POSF Inventory'!EH85*'POSF Emiss by Zone'!$D$6*'POSF Zone Def'!$BB82</f>
        <v>0</v>
      </c>
      <c r="BS93" s="532">
        <f>'POSF Inventory'!EI85*'POSF Emiss by Zone'!$D$5*'POSF Zone Def'!$BB82</f>
        <v>0</v>
      </c>
      <c r="BT93" s="532">
        <f>'POSF Inventory'!EJ85*'POSF Emiss by Zone'!$D$6*'POSF Zone Def'!$BB82</f>
        <v>0</v>
      </c>
      <c r="BU93" s="532">
        <f>'POSF Inventory'!EK85*'POSF Emiss by Zone'!$D$5*'POSF Zone Def'!$BB82</f>
        <v>0</v>
      </c>
      <c r="BV93" s="533">
        <f>'POSF Inventory'!EL85*'POSF Emiss by Zone'!$D$6*'POSF Zone Def'!$BB82</f>
        <v>0</v>
      </c>
      <c r="BW93" s="545">
        <f>'POSF Inventory'!EG85*'POSF Emiss by Zone'!$D$5*'POSF Zone Def'!$BC82</f>
        <v>0</v>
      </c>
      <c r="BX93" s="545">
        <f>'POSF Inventory'!EH85*'POSF Emiss by Zone'!$D$6*'POSF Zone Def'!$BC82</f>
        <v>0</v>
      </c>
      <c r="BY93" s="545">
        <f>'POSF Inventory'!EI85*'POSF Emiss by Zone'!$D$5*'POSF Zone Def'!$BC82</f>
        <v>0</v>
      </c>
      <c r="BZ93" s="545">
        <f>'POSF Inventory'!EJ85*'POSF Emiss by Zone'!$D$6*'POSF Zone Def'!$BC82</f>
        <v>0</v>
      </c>
      <c r="CA93" s="545">
        <f>'POSF Inventory'!EK85*'POSF Emiss by Zone'!$D$5*'POSF Zone Def'!$BC82</f>
        <v>0</v>
      </c>
      <c r="CB93" s="555">
        <f>'POSF Inventory'!EL85*'POSF Emiss by Zone'!$D$6*'POSF Zone Def'!$BC82</f>
        <v>0</v>
      </c>
      <c r="CC93" s="532">
        <f>'POSF Inventory'!GC85*'POSF Emiss by Zone'!$D$7*'POSF Zone Def'!$M82</f>
        <v>0</v>
      </c>
      <c r="CD93" s="532">
        <f>'POSF Inventory'!GD85*'POSF Emiss by Zone'!$D$9*'POSF Zone Def'!$M82</f>
        <v>0</v>
      </c>
      <c r="CE93" s="532">
        <f>'POSF Inventory'!GE85*'POSF Emiss by Zone'!$D$7*'POSF Zone Def'!$M82</f>
        <v>0</v>
      </c>
      <c r="CF93" s="532">
        <f>'POSF Inventory'!GF85*'POSF Emiss by Zone'!$D$9*'POSF Zone Def'!$M82</f>
        <v>0</v>
      </c>
      <c r="CG93" s="532">
        <f>'POSF Inventory'!GG85*'POSF Emiss by Zone'!$D$7*'POSF Zone Def'!$M82</f>
        <v>0</v>
      </c>
      <c r="CH93" s="533">
        <f>'POSF Inventory'!GH85*'POSF Emiss by Zone'!$D$9*'POSF Zone Def'!$M82</f>
        <v>0</v>
      </c>
      <c r="CI93" s="545">
        <f>'POSF Inventory'!GC85*'POSF Emiss by Zone'!$D$7*'POSF Zone Def'!$N82</f>
        <v>0</v>
      </c>
      <c r="CJ93" s="545">
        <f>'POSF Inventory'!GD85*'POSF Emiss by Zone'!$D$9*'POSF Zone Def'!$N82</f>
        <v>0</v>
      </c>
      <c r="CK93" s="545">
        <f>'POSF Inventory'!GE85*'POSF Emiss by Zone'!$D$7*'POSF Zone Def'!$N82</f>
        <v>0</v>
      </c>
      <c r="CL93" s="545">
        <f>'POSF Inventory'!GF85*'POSF Emiss by Zone'!$D$9*'POSF Zone Def'!$N82</f>
        <v>0</v>
      </c>
      <c r="CM93" s="545">
        <f>'POSF Inventory'!GG85*'POSF Emiss by Zone'!$D$7*'POSF Zone Def'!$N82</f>
        <v>0</v>
      </c>
      <c r="CN93" s="558">
        <f>'POSF Inventory'!GH85*'POSF Emiss by Zone'!$D$9*'POSF Zone Def'!$N82</f>
        <v>0</v>
      </c>
      <c r="CO93" s="532">
        <f>'POSF Inventory'!GI85*'POSF Emiss by Zone'!$D$7*'POSF Zone Def'!$AP82</f>
        <v>0</v>
      </c>
      <c r="CP93" s="532">
        <f>'POSF Inventory'!GJ85*'POSF Emiss by Zone'!$D$9*'POSF Zone Def'!$AP82</f>
        <v>0</v>
      </c>
      <c r="CQ93" s="532">
        <f>'POSF Inventory'!GK85*'POSF Emiss by Zone'!$D$7*'POSF Zone Def'!$AP82</f>
        <v>0</v>
      </c>
      <c r="CR93" s="532">
        <f>'POSF Inventory'!GL85*'POSF Emiss by Zone'!$D$9*'POSF Zone Def'!$AP82</f>
        <v>0</v>
      </c>
      <c r="CS93" s="532">
        <f>'POSF Inventory'!GM85*'POSF Emiss by Zone'!$D$7*'POSF Zone Def'!$AP82</f>
        <v>0</v>
      </c>
      <c r="CT93" s="533">
        <f>'POSF Inventory'!GN85*'POSF Emiss by Zone'!$D$9*'POSF Zone Def'!$AP82</f>
        <v>0</v>
      </c>
      <c r="CU93" s="545">
        <f>'POSF Inventory'!GI85*'POSF Emiss by Zone'!$D$7*'POSF Zone Def'!$AQ82</f>
        <v>0</v>
      </c>
      <c r="CV93" s="545">
        <f>'POSF Inventory'!GJ85*'POSF Emiss by Zone'!$D$9*'POSF Zone Def'!$AQ82</f>
        <v>0</v>
      </c>
      <c r="CW93" s="545">
        <f>'POSF Inventory'!GK85*'POSF Emiss by Zone'!$D$7*'POSF Zone Def'!$AQ82</f>
        <v>0</v>
      </c>
      <c r="CX93" s="545">
        <f>'POSF Inventory'!GL85*'POSF Emiss by Zone'!$D$9*'POSF Zone Def'!$AQ82</f>
        <v>0</v>
      </c>
      <c r="CY93" s="545">
        <f>'POSF Inventory'!GM85*'POSF Emiss by Zone'!$D$7*'POSF Zone Def'!$AQ82</f>
        <v>0</v>
      </c>
      <c r="CZ93" s="554">
        <f>'POSF Inventory'!GN85*'POSF Emiss by Zone'!$D$9*'POSF Zone Def'!$AQ82</f>
        <v>0</v>
      </c>
      <c r="DA93" s="532">
        <f>SUM('POSF Inventory'!GQ85,'POSF Inventory'!GS85)*'POSF Emiss by Zone'!$D$7*'POSF Zone Def'!$Y82</f>
        <v>0</v>
      </c>
      <c r="DB93" s="532">
        <f>SUM('POSF Inventory'!GR85,'POSF Inventory'!GT85)*'POSF Emiss by Zone'!$D$9*'POSF Zone Def'!$Y82</f>
        <v>0</v>
      </c>
      <c r="DC93" s="532"/>
      <c r="DD93" s="532"/>
      <c r="DE93" s="532">
        <f>'POSF Inventory'!GU85*'POSF Emiss by Zone'!$D$7*'POSF Zone Def'!$Y82</f>
        <v>0</v>
      </c>
      <c r="DF93" s="533">
        <f>'POSF Inventory'!GV85*'POSF Emiss by Zone'!$D$9*'POSF Zone Def'!$Y82</f>
        <v>0</v>
      </c>
      <c r="DG93" s="545">
        <f>SUM('POSF Inventory'!GQ85,'POSF Inventory'!GS85)*'POSF Emiss by Zone'!$D$7*'POSF Zone Def'!$Z82</f>
        <v>0</v>
      </c>
      <c r="DH93" s="545">
        <f>SUM('POSF Inventory'!GR85,'POSF Inventory'!GT85)*'POSF Emiss by Zone'!$D$9*'POSF Zone Def'!$Z82</f>
        <v>0</v>
      </c>
      <c r="DI93" s="545"/>
      <c r="DJ93" s="545"/>
      <c r="DK93" s="545">
        <f>'POSF Inventory'!GU85*'POSF Emiss by Zone'!$D$7*'POSF Zone Def'!$Z82</f>
        <v>0</v>
      </c>
      <c r="DL93" s="558">
        <f>'POSF Inventory'!GV85*'POSF Emiss by Zone'!$D$9*'POSF Zone Def'!$Z82</f>
        <v>0</v>
      </c>
      <c r="DM93" s="545">
        <f>SUM('POSF Inventory'!$GQ85,'POSF Inventory'!$GS85)*'POSF Emiss by Zone'!$D$7*'POSF Zone Def'!$AC82</f>
        <v>0</v>
      </c>
      <c r="DN93" s="545">
        <f>SUM('POSF Inventory'!$GR85,'POSF Inventory'!$GT85)*'POSF Emiss by Zone'!$D$9*'POSF Zone Def'!$AC82</f>
        <v>0</v>
      </c>
      <c r="DO93" s="545"/>
      <c r="DP93" s="545"/>
      <c r="DQ93" s="545">
        <f>'POSF Inventory'!$GU85*'POSF Emiss by Zone'!$D$7*'POSF Zone Def'!$AC82</f>
        <v>0</v>
      </c>
      <c r="DR93" s="558">
        <f>'POSF Inventory'!$GV85*'POSF Emiss by Zone'!$D$9*'POSF Zone Def'!$AC82</f>
        <v>0</v>
      </c>
      <c r="DS93" s="532">
        <f>SUM('POSF Inventory'!GW85,'POSF Inventory'!GY85)*$D$7*'POSF Zone Def'!$BB82</f>
        <v>0</v>
      </c>
      <c r="DT93" s="532">
        <f>SUM('POSF Inventory'!GX85,'POSF Inventory'!GZ85)*$D$9*'POSF Zone Def'!$BB82</f>
        <v>0</v>
      </c>
      <c r="DU93" s="532"/>
      <c r="DV93" s="532"/>
      <c r="DW93" s="532">
        <f>'POSF Inventory'!HA85*'POSF Emiss by Zone'!$D$7*'POSF Zone Def'!$BB82</f>
        <v>0</v>
      </c>
      <c r="DX93" s="533">
        <f>'POSF Inventory'!HB85*'POSF Emiss by Zone'!$D$9*'POSF Zone Def'!$BB82</f>
        <v>0</v>
      </c>
      <c r="DY93" s="545">
        <f>SUM('POSF Inventory'!GW85,'POSF Inventory'!GY85)*$D$7*'POSF Zone Def'!$BC82</f>
        <v>0</v>
      </c>
      <c r="DZ93" s="545">
        <f>SUM('POSF Inventory'!GX85,'POSF Inventory'!GZ85)*$D$9*'POSF Zone Def'!$BC82</f>
        <v>0</v>
      </c>
      <c r="EA93" s="545"/>
      <c r="EB93" s="545"/>
      <c r="EC93" s="545">
        <f>'POSF Inventory'!HA85*'POSF Emiss by Zone'!$D$7*'POSF Zone Def'!$BC82</f>
        <v>0</v>
      </c>
      <c r="ED93" s="554">
        <f>'POSF Inventory'!HB85*'POSF Emiss by Zone'!$D$9*'POSF Zone Def'!$BC82</f>
        <v>0</v>
      </c>
      <c r="EE93" s="575">
        <f>'POSF Inventory'!$CF85*'POSF Emiss by Zone'!$D$7*'POSF Zone Def'!$CE82</f>
        <v>0</v>
      </c>
      <c r="EF93" s="575">
        <f>'POSF Inventory'!$CG85*'POSF Emiss by Zone'!$D$9*'POSF Zone Def'!$CE82</f>
        <v>0</v>
      </c>
      <c r="EG93" s="575">
        <f>'POSF Inventory'!$CH85*'POSF Emiss by Zone'!$D$7*'POSF Zone Def'!$CE82</f>
        <v>0</v>
      </c>
      <c r="EH93" s="575">
        <f>'POSF Inventory'!$CI85*'POSF Emiss by Zone'!$D$9*'POSF Zone Def'!$CE82</f>
        <v>0</v>
      </c>
      <c r="EI93" s="575">
        <f>'POSF Inventory'!$CJ85*'POSF Emiss by Zone'!$D$7*'POSF Zone Def'!$CE82</f>
        <v>0</v>
      </c>
      <c r="EJ93" s="582">
        <f>'POSF Inventory'!$CK85*'POSF Emiss by Zone'!$D$9*'POSF Zone Def'!$CE82</f>
        <v>0</v>
      </c>
      <c r="EK93" s="575">
        <f>'POSF Inventory'!$CF85*'POSF Emiss by Zone'!$D$7*'POSF Zone Def'!$CF82</f>
        <v>0</v>
      </c>
      <c r="EL93" s="575">
        <f>'POSF Inventory'!$CG85*'POSF Emiss by Zone'!$D$9*'POSF Zone Def'!$CF82</f>
        <v>0</v>
      </c>
      <c r="EM93" s="575">
        <f>'POSF Inventory'!$CH85*'POSF Emiss by Zone'!$D$7*'POSF Zone Def'!$CF82</f>
        <v>0</v>
      </c>
      <c r="EN93" s="575">
        <f>'POSF Inventory'!$CI85*'POSF Emiss by Zone'!$D$9*'POSF Zone Def'!$CF82</f>
        <v>0</v>
      </c>
      <c r="EO93" s="575">
        <f>'POSF Inventory'!$CJ85*'POSF Emiss by Zone'!$D$7*'POSF Zone Def'!$CF82</f>
        <v>0</v>
      </c>
      <c r="EP93" s="582">
        <f>'POSF Inventory'!$CK85*'POSF Emiss by Zone'!$D$9*'POSF Zone Def'!$CF82</f>
        <v>0</v>
      </c>
      <c r="EQ93" s="575">
        <f>'POSF Inventory'!$CF85*'POSF Emiss by Zone'!$D$7*'POSF Zone Def'!$CG82</f>
        <v>0</v>
      </c>
      <c r="ER93" s="575">
        <f>'POSF Inventory'!$CG85*'POSF Emiss by Zone'!$D$9*'POSF Zone Def'!$CG82</f>
        <v>1.0677986728951161E-4</v>
      </c>
      <c r="ES93" s="575">
        <f>'POSF Inventory'!$CH85*'POSF Emiss by Zone'!$D$7*'POSF Zone Def'!$CG82</f>
        <v>0</v>
      </c>
      <c r="ET93" s="575">
        <f>'POSF Inventory'!$CI85*'POSF Emiss by Zone'!$D$9*'POSF Zone Def'!$CG82</f>
        <v>0</v>
      </c>
      <c r="EU93" s="575">
        <f>'POSF Inventory'!$CJ85*'POSF Emiss by Zone'!$D$7*'POSF Zone Def'!$CG82</f>
        <v>0</v>
      </c>
      <c r="EV93" s="582">
        <f>'POSF Inventory'!$CK85*'POSF Emiss by Zone'!$D$9*'POSF Zone Def'!$CG82</f>
        <v>9.6101880560560458E-4</v>
      </c>
      <c r="EW93" s="575">
        <f>'POSF Inventory'!$CF85*'POSF Emiss by Zone'!$D$7*'POSF Zone Def'!$CH82</f>
        <v>0</v>
      </c>
      <c r="EX93" s="575">
        <f>'POSF Inventory'!$CG85*'POSF Emiss by Zone'!$D$9*'POSF Zone Def'!$CH82</f>
        <v>1.6768323577908004</v>
      </c>
      <c r="EY93" s="575">
        <f>'POSF Inventory'!$CH85*'POSF Emiss by Zone'!$D$7*'POSF Zone Def'!$CH82</f>
        <v>0</v>
      </c>
      <c r="EZ93" s="575">
        <f>'POSF Inventory'!$CI85*'POSF Emiss by Zone'!$D$9*'POSF Zone Def'!$CH82</f>
        <v>0</v>
      </c>
      <c r="FA93" s="575">
        <f>'POSF Inventory'!$CJ85*'POSF Emiss by Zone'!$D$7*'POSF Zone Def'!$CH82</f>
        <v>0</v>
      </c>
      <c r="FB93" s="582">
        <f>'POSF Inventory'!$CK85*'POSF Emiss by Zone'!$D$9*'POSF Zone Def'!$CH82</f>
        <v>15.091491220117206</v>
      </c>
      <c r="FC93" s="575">
        <f>'POSF Inventory'!$CF85*'POSF Emiss by Zone'!$D$7*'POSF Zone Def'!$CI82</f>
        <v>0</v>
      </c>
      <c r="FD93" s="575">
        <f>'POSF Inventory'!$CG85*'POSF Emiss by Zone'!$D$9*'POSF Zone Def'!$CI82</f>
        <v>2.2497172323419106</v>
      </c>
      <c r="FE93" s="575">
        <f>'POSF Inventory'!$CH85*'POSF Emiss by Zone'!$D$7*'POSF Zone Def'!$CI82</f>
        <v>0</v>
      </c>
      <c r="FF93" s="575">
        <f>'POSF Inventory'!$CI85*'POSF Emiss by Zone'!$D$9*'POSF Zone Def'!$CI82</f>
        <v>0</v>
      </c>
      <c r="FG93" s="575">
        <f>'POSF Inventory'!$CJ85*'POSF Emiss by Zone'!$D$7*'POSF Zone Def'!$CI82</f>
        <v>0</v>
      </c>
      <c r="FH93" s="579">
        <f>'POSF Inventory'!$CK85*'POSF Emiss by Zone'!$D$9*'POSF Zone Def'!$CI82</f>
        <v>20.2474550910772</v>
      </c>
      <c r="FI93" s="595"/>
      <c r="FJ93" s="595"/>
      <c r="FM93" s="592">
        <v>76</v>
      </c>
      <c r="FN93" s="592">
        <f t="shared" si="99"/>
        <v>2030</v>
      </c>
      <c r="FO93" s="587">
        <v>73</v>
      </c>
      <c r="FP93" s="576">
        <f t="shared" si="100"/>
        <v>0</v>
      </c>
      <c r="FQ93" s="532">
        <f t="shared" si="101"/>
        <v>0</v>
      </c>
      <c r="FR93" s="532">
        <f t="shared" si="102"/>
        <v>0</v>
      </c>
      <c r="FS93" s="532">
        <f t="shared" si="103"/>
        <v>0</v>
      </c>
      <c r="FT93" s="532">
        <f t="shared" si="104"/>
        <v>0</v>
      </c>
      <c r="FU93" s="533">
        <f t="shared" si="105"/>
        <v>0</v>
      </c>
      <c r="FV93" s="545">
        <f t="shared" si="106"/>
        <v>0</v>
      </c>
      <c r="FW93" s="545">
        <f t="shared" si="107"/>
        <v>0</v>
      </c>
      <c r="FX93" s="545">
        <f t="shared" si="108"/>
        <v>0</v>
      </c>
      <c r="FY93" s="545">
        <f t="shared" si="109"/>
        <v>0</v>
      </c>
      <c r="FZ93" s="545">
        <f t="shared" si="110"/>
        <v>0</v>
      </c>
      <c r="GA93" s="554">
        <f t="shared" si="111"/>
        <v>0</v>
      </c>
      <c r="GB93" s="532">
        <f t="shared" si="112"/>
        <v>0</v>
      </c>
      <c r="GC93" s="532">
        <f t="shared" si="113"/>
        <v>0</v>
      </c>
      <c r="GD93" s="532">
        <f t="shared" si="114"/>
        <v>0</v>
      </c>
      <c r="GE93" s="532">
        <f t="shared" si="115"/>
        <v>0</v>
      </c>
      <c r="GF93" s="532">
        <f t="shared" si="116"/>
        <v>0</v>
      </c>
      <c r="GG93" s="533">
        <f t="shared" si="117"/>
        <v>0</v>
      </c>
      <c r="GH93" s="545">
        <f t="shared" si="118"/>
        <v>0</v>
      </c>
      <c r="GI93" s="545">
        <f t="shared" si="119"/>
        <v>0</v>
      </c>
      <c r="GJ93" s="545">
        <f t="shared" si="120"/>
        <v>0</v>
      </c>
      <c r="GK93" s="545">
        <f t="shared" si="121"/>
        <v>0</v>
      </c>
      <c r="GL93" s="545">
        <f t="shared" si="122"/>
        <v>0</v>
      </c>
      <c r="GM93" s="545">
        <f t="shared" si="123"/>
        <v>0</v>
      </c>
      <c r="GN93" s="545">
        <f t="shared" si="124"/>
        <v>0</v>
      </c>
      <c r="GO93" s="545">
        <f t="shared" si="125"/>
        <v>0</v>
      </c>
      <c r="GP93" s="545">
        <f t="shared" si="126"/>
        <v>0</v>
      </c>
      <c r="GQ93" s="545">
        <f t="shared" si="127"/>
        <v>0</v>
      </c>
      <c r="GR93" s="545">
        <f t="shared" si="128"/>
        <v>0</v>
      </c>
      <c r="GS93" s="554">
        <f t="shared" si="129"/>
        <v>0</v>
      </c>
      <c r="GT93" s="532">
        <f t="shared" si="130"/>
        <v>0</v>
      </c>
      <c r="GU93" s="532">
        <f t="shared" si="131"/>
        <v>0</v>
      </c>
      <c r="GV93" s="532">
        <f t="shared" si="132"/>
        <v>0</v>
      </c>
      <c r="GW93" s="532">
        <f t="shared" si="133"/>
        <v>0</v>
      </c>
      <c r="GX93" s="532">
        <f t="shared" si="134"/>
        <v>0</v>
      </c>
      <c r="GY93" s="533">
        <f t="shared" si="135"/>
        <v>0</v>
      </c>
      <c r="GZ93" s="545">
        <f t="shared" si="136"/>
        <v>0</v>
      </c>
      <c r="HA93" s="545">
        <f t="shared" si="137"/>
        <v>0</v>
      </c>
      <c r="HB93" s="545">
        <f t="shared" si="138"/>
        <v>0</v>
      </c>
      <c r="HC93" s="545">
        <f t="shared" si="139"/>
        <v>0</v>
      </c>
      <c r="HD93" s="545">
        <f t="shared" si="140"/>
        <v>0</v>
      </c>
      <c r="HE93" s="558">
        <f t="shared" si="141"/>
        <v>0</v>
      </c>
      <c r="HF93" s="575">
        <f t="shared" si="142"/>
        <v>0</v>
      </c>
      <c r="HG93" s="575">
        <f t="shared" si="143"/>
        <v>1.1060862747120724E-4</v>
      </c>
      <c r="HH93" s="575">
        <f t="shared" si="144"/>
        <v>0</v>
      </c>
      <c r="HI93" s="575">
        <f t="shared" si="145"/>
        <v>0</v>
      </c>
      <c r="HJ93" s="575">
        <f t="shared" si="146"/>
        <v>0</v>
      </c>
      <c r="HK93" s="582">
        <f t="shared" si="147"/>
        <v>9.9547764724086532E-4</v>
      </c>
      <c r="HL93" s="575">
        <f t="shared" si="148"/>
        <v>0</v>
      </c>
      <c r="HM93" s="575">
        <f t="shared" si="149"/>
        <v>1.7369578208191558</v>
      </c>
      <c r="HN93" s="575">
        <f t="shared" si="150"/>
        <v>0</v>
      </c>
      <c r="HO93" s="575">
        <f t="shared" si="151"/>
        <v>0</v>
      </c>
      <c r="HP93" s="575">
        <f t="shared" si="152"/>
        <v>0</v>
      </c>
      <c r="HQ93" s="582">
        <f t="shared" si="153"/>
        <v>15.632620387372404</v>
      </c>
      <c r="HR93" s="575">
        <f t="shared" si="154"/>
        <v>0</v>
      </c>
      <c r="HS93" s="575">
        <f t="shared" si="155"/>
        <v>2.3303843840991902</v>
      </c>
      <c r="HT93" s="575">
        <f t="shared" si="156"/>
        <v>0</v>
      </c>
      <c r="HU93" s="575">
        <f t="shared" si="157"/>
        <v>0</v>
      </c>
      <c r="HV93" s="575">
        <f t="shared" si="158"/>
        <v>0</v>
      </c>
      <c r="HW93" s="579">
        <f t="shared" si="159"/>
        <v>20.973459456892716</v>
      </c>
      <c r="HX93" s="575">
        <f t="shared" si="160"/>
        <v>0</v>
      </c>
      <c r="HY93" s="575">
        <f t="shared" si="161"/>
        <v>0</v>
      </c>
      <c r="HZ93" s="575">
        <f t="shared" si="162"/>
        <v>0</v>
      </c>
      <c r="IA93" s="575">
        <f t="shared" si="163"/>
        <v>0</v>
      </c>
      <c r="IB93" s="575">
        <f t="shared" si="164"/>
        <v>0</v>
      </c>
      <c r="IC93" s="575">
        <f t="shared" si="165"/>
        <v>0</v>
      </c>
      <c r="ID93" s="575">
        <f t="shared" si="166"/>
        <v>0</v>
      </c>
      <c r="IE93" s="575">
        <f t="shared" si="167"/>
        <v>0</v>
      </c>
      <c r="IF93" s="575">
        <f t="shared" si="168"/>
        <v>0</v>
      </c>
      <c r="IG93" s="575">
        <f t="shared" si="169"/>
        <v>0</v>
      </c>
      <c r="IH93" s="575">
        <f t="shared" si="170"/>
        <v>0</v>
      </c>
      <c r="II93" s="575">
        <f t="shared" si="171"/>
        <v>0</v>
      </c>
      <c r="IJ93" s="575">
        <f t="shared" si="172"/>
        <v>0</v>
      </c>
      <c r="IK93" s="575">
        <f t="shared" si="173"/>
        <v>0</v>
      </c>
      <c r="IL93" s="575">
        <f t="shared" si="174"/>
        <v>0</v>
      </c>
      <c r="IM93" s="575">
        <f t="shared" si="175"/>
        <v>0</v>
      </c>
      <c r="IN93" s="575">
        <f t="shared" si="176"/>
        <v>0</v>
      </c>
      <c r="IO93" s="575">
        <f t="shared" si="177"/>
        <v>0</v>
      </c>
    </row>
    <row r="94" spans="1:249" ht="18" x14ac:dyDescent="0.25">
      <c r="A94" s="561" t="s">
        <v>1498</v>
      </c>
      <c r="B94" s="564"/>
      <c r="C94" s="94">
        <f t="shared" ref="C94:BN94" si="178">SUM(C21:C65)</f>
        <v>191.28846888124994</v>
      </c>
      <c r="D94" s="94">
        <f t="shared" si="178"/>
        <v>191.74122265374999</v>
      </c>
      <c r="E94" s="94">
        <f t="shared" si="178"/>
        <v>0</v>
      </c>
      <c r="F94" s="94">
        <f t="shared" si="178"/>
        <v>0</v>
      </c>
      <c r="G94" s="94">
        <f t="shared" si="178"/>
        <v>134.29980037500002</v>
      </c>
      <c r="H94" s="94">
        <f t="shared" si="178"/>
        <v>134.61766972499998</v>
      </c>
      <c r="I94" s="94">
        <f t="shared" si="178"/>
        <v>191.28846888124994</v>
      </c>
      <c r="J94" s="94">
        <f t="shared" si="178"/>
        <v>191.74122265374999</v>
      </c>
      <c r="K94" s="94">
        <f t="shared" si="178"/>
        <v>0</v>
      </c>
      <c r="L94" s="94">
        <f t="shared" si="178"/>
        <v>0</v>
      </c>
      <c r="M94" s="94">
        <f t="shared" si="178"/>
        <v>134.29980037500002</v>
      </c>
      <c r="N94" s="144">
        <f t="shared" si="178"/>
        <v>134.61766972499998</v>
      </c>
      <c r="O94" s="94">
        <f t="shared" si="178"/>
        <v>6.0676492499999991E-2</v>
      </c>
      <c r="P94" s="94">
        <f t="shared" si="178"/>
        <v>6.0820105499999985E-2</v>
      </c>
      <c r="Q94" s="94">
        <f t="shared" si="178"/>
        <v>0</v>
      </c>
      <c r="R94" s="94">
        <f t="shared" si="178"/>
        <v>0</v>
      </c>
      <c r="S94" s="94">
        <f t="shared" si="178"/>
        <v>4.4945549999999994E-2</v>
      </c>
      <c r="T94" s="94">
        <f t="shared" si="178"/>
        <v>4.5051929999999997E-2</v>
      </c>
      <c r="U94" s="94">
        <f t="shared" si="178"/>
        <v>0.14157848249999996</v>
      </c>
      <c r="V94" s="94">
        <f t="shared" si="178"/>
        <v>0.14191357949999997</v>
      </c>
      <c r="W94" s="94">
        <f t="shared" si="178"/>
        <v>0</v>
      </c>
      <c r="X94" s="94">
        <f t="shared" si="178"/>
        <v>0</v>
      </c>
      <c r="Y94" s="94">
        <f t="shared" si="178"/>
        <v>0.10487294999999999</v>
      </c>
      <c r="Z94" s="96">
        <f t="shared" si="178"/>
        <v>0.10512117</v>
      </c>
      <c r="AA94" s="94">
        <f t="shared" si="178"/>
        <v>0</v>
      </c>
      <c r="AB94" s="94">
        <f t="shared" si="178"/>
        <v>0</v>
      </c>
      <c r="AC94" s="94">
        <f t="shared" si="178"/>
        <v>134.34786714375005</v>
      </c>
      <c r="AD94" s="94">
        <f t="shared" si="178"/>
        <v>134.66585026125003</v>
      </c>
      <c r="AE94" s="94">
        <f t="shared" si="178"/>
        <v>223.83300062499998</v>
      </c>
      <c r="AF94" s="94">
        <f t="shared" si="178"/>
        <v>224.36278287499997</v>
      </c>
      <c r="AG94" s="94">
        <f t="shared" si="178"/>
        <v>0</v>
      </c>
      <c r="AH94" s="94">
        <f t="shared" si="178"/>
        <v>0</v>
      </c>
      <c r="AI94" s="94">
        <f t="shared" si="178"/>
        <v>134.34786714375005</v>
      </c>
      <c r="AJ94" s="94">
        <f t="shared" si="178"/>
        <v>134.66585026125003</v>
      </c>
      <c r="AK94" s="94">
        <f t="shared" si="178"/>
        <v>223.83300062499998</v>
      </c>
      <c r="AL94" s="144">
        <f t="shared" si="178"/>
        <v>224.36278287499997</v>
      </c>
      <c r="AM94" s="94">
        <f t="shared" si="178"/>
        <v>0</v>
      </c>
      <c r="AN94" s="94">
        <f t="shared" si="178"/>
        <v>0</v>
      </c>
      <c r="AO94" s="94">
        <f t="shared" si="178"/>
        <v>4.0450994999999997E-2</v>
      </c>
      <c r="AP94" s="94">
        <f t="shared" si="178"/>
        <v>4.0546736999999999E-2</v>
      </c>
      <c r="AQ94" s="94">
        <f t="shared" si="178"/>
        <v>7.4909249999999997E-2</v>
      </c>
      <c r="AR94" s="94">
        <f t="shared" si="178"/>
        <v>7.5086550000000002E-2</v>
      </c>
      <c r="AS94" s="94">
        <f t="shared" si="178"/>
        <v>0</v>
      </c>
      <c r="AT94" s="94">
        <f t="shared" si="178"/>
        <v>0</v>
      </c>
      <c r="AU94" s="94">
        <f t="shared" si="178"/>
        <v>9.4385654999999999E-2</v>
      </c>
      <c r="AV94" s="94">
        <f t="shared" si="178"/>
        <v>9.4609052999999999E-2</v>
      </c>
      <c r="AW94" s="94">
        <f t="shared" si="178"/>
        <v>0.17478825000000001</v>
      </c>
      <c r="AX94" s="96">
        <f t="shared" si="178"/>
        <v>0.17520195</v>
      </c>
      <c r="AY94" s="94">
        <f t="shared" si="178"/>
        <v>0</v>
      </c>
      <c r="AZ94" s="94">
        <f t="shared" si="178"/>
        <v>0</v>
      </c>
      <c r="BA94" s="94">
        <f t="shared" si="178"/>
        <v>241.06051985973755</v>
      </c>
      <c r="BB94" s="94">
        <f t="shared" si="178"/>
        <v>2416.3107730319257</v>
      </c>
      <c r="BC94" s="94">
        <f t="shared" si="178"/>
        <v>0</v>
      </c>
      <c r="BD94" s="94">
        <f t="shared" si="178"/>
        <v>0</v>
      </c>
      <c r="BE94" s="94">
        <f t="shared" si="178"/>
        <v>0</v>
      </c>
      <c r="BF94" s="94">
        <f t="shared" si="178"/>
        <v>0</v>
      </c>
      <c r="BG94" s="94">
        <f t="shared" si="178"/>
        <v>26.784502206637505</v>
      </c>
      <c r="BH94" s="94">
        <f t="shared" si="178"/>
        <v>268.47897478132506</v>
      </c>
      <c r="BI94" s="94">
        <f t="shared" si="178"/>
        <v>0</v>
      </c>
      <c r="BJ94" s="144">
        <f t="shared" si="178"/>
        <v>0</v>
      </c>
      <c r="BK94" s="94">
        <f t="shared" si="178"/>
        <v>0</v>
      </c>
      <c r="BL94" s="94">
        <f t="shared" si="178"/>
        <v>0</v>
      </c>
      <c r="BM94" s="94">
        <f t="shared" si="178"/>
        <v>0</v>
      </c>
      <c r="BN94" s="94">
        <f t="shared" si="178"/>
        <v>0</v>
      </c>
      <c r="BO94" s="94">
        <f t="shared" ref="BO94:DZ94" si="179">SUM(BO21:BO65)</f>
        <v>0</v>
      </c>
      <c r="BP94" s="94">
        <f t="shared" si="179"/>
        <v>0</v>
      </c>
      <c r="BQ94" s="94">
        <f t="shared" si="179"/>
        <v>0</v>
      </c>
      <c r="BR94" s="94">
        <f t="shared" si="179"/>
        <v>0</v>
      </c>
      <c r="BS94" s="94">
        <f t="shared" si="179"/>
        <v>4.7275373437500002E-3</v>
      </c>
      <c r="BT94" s="94">
        <f t="shared" si="179"/>
        <v>4.7387267812500002E-2</v>
      </c>
      <c r="BU94" s="94">
        <f t="shared" si="179"/>
        <v>0</v>
      </c>
      <c r="BV94" s="94">
        <f t="shared" si="179"/>
        <v>0</v>
      </c>
      <c r="BW94" s="94">
        <f t="shared" si="179"/>
        <v>0</v>
      </c>
      <c r="BX94" s="94">
        <f t="shared" si="179"/>
        <v>0</v>
      </c>
      <c r="BY94" s="94">
        <f t="shared" si="179"/>
        <v>1.103092046875E-2</v>
      </c>
      <c r="BZ94" s="94">
        <f t="shared" si="179"/>
        <v>0.11057029156249999</v>
      </c>
      <c r="CA94" s="94">
        <f t="shared" si="179"/>
        <v>0</v>
      </c>
      <c r="CB94" s="144">
        <f t="shared" si="179"/>
        <v>0</v>
      </c>
      <c r="CC94" s="94">
        <f t="shared" si="179"/>
        <v>0.89491190000000032</v>
      </c>
      <c r="CD94" s="94">
        <f t="shared" si="179"/>
        <v>1.1063348363750001</v>
      </c>
      <c r="CE94" s="94">
        <f t="shared" si="179"/>
        <v>14.132583</v>
      </c>
      <c r="CF94" s="94">
        <f t="shared" si="179"/>
        <v>17.47140573375</v>
      </c>
      <c r="CG94" s="94">
        <f t="shared" si="179"/>
        <v>46.620838000000006</v>
      </c>
      <c r="CH94" s="94">
        <f t="shared" si="179"/>
        <v>230.54004391000001</v>
      </c>
      <c r="CI94" s="94">
        <f t="shared" si="179"/>
        <v>0.89491190000000032</v>
      </c>
      <c r="CJ94" s="94">
        <f t="shared" si="179"/>
        <v>1.1063348363750001</v>
      </c>
      <c r="CK94" s="94">
        <f t="shared" si="179"/>
        <v>14.132583</v>
      </c>
      <c r="CL94" s="94">
        <f t="shared" si="179"/>
        <v>17.47140573375</v>
      </c>
      <c r="CM94" s="94">
        <f t="shared" si="179"/>
        <v>46.620838000000006</v>
      </c>
      <c r="CN94" s="144">
        <f t="shared" si="179"/>
        <v>230.54004391000001</v>
      </c>
      <c r="CO94" s="94">
        <f t="shared" si="179"/>
        <v>2.8368000000000002E-4</v>
      </c>
      <c r="CP94" s="94">
        <f t="shared" si="179"/>
        <v>3.5069940000000008E-4</v>
      </c>
      <c r="CQ94" s="94">
        <f t="shared" si="179"/>
        <v>4.2551999999999998E-3</v>
      </c>
      <c r="CR94" s="94">
        <f t="shared" si="179"/>
        <v>5.260491E-3</v>
      </c>
      <c r="CS94" s="94">
        <f t="shared" si="179"/>
        <v>1.5602399999999999E-2</v>
      </c>
      <c r="CT94" s="94">
        <f t="shared" si="179"/>
        <v>7.7153868E-2</v>
      </c>
      <c r="CU94" s="94">
        <f t="shared" si="179"/>
        <v>6.6192000000000009E-4</v>
      </c>
      <c r="CV94" s="94">
        <f t="shared" si="179"/>
        <v>8.1829860000000017E-4</v>
      </c>
      <c r="CW94" s="94">
        <f t="shared" si="179"/>
        <v>9.9287999999999998E-3</v>
      </c>
      <c r="CX94" s="94">
        <f t="shared" si="179"/>
        <v>1.2274479E-2</v>
      </c>
      <c r="CY94" s="94">
        <f t="shared" si="179"/>
        <v>3.6405599999999996E-2</v>
      </c>
      <c r="CZ94" s="96">
        <f t="shared" si="179"/>
        <v>0.18002569200000001</v>
      </c>
      <c r="DA94" s="94">
        <f t="shared" si="179"/>
        <v>140.90646749897851</v>
      </c>
      <c r="DB94" s="94">
        <f>SUM(DB21:DB65)</f>
        <v>5575.7508824746637</v>
      </c>
      <c r="DC94" s="94">
        <f t="shared" si="179"/>
        <v>0</v>
      </c>
      <c r="DD94" s="94">
        <f t="shared" si="179"/>
        <v>0</v>
      </c>
      <c r="DE94" s="94">
        <f t="shared" si="179"/>
        <v>0</v>
      </c>
      <c r="DF94" s="94">
        <f t="shared" si="179"/>
        <v>0</v>
      </c>
      <c r="DG94" s="94">
        <f t="shared" si="179"/>
        <v>15.656274166553166</v>
      </c>
      <c r="DH94" s="94">
        <f t="shared" si="179"/>
        <v>619.52787583051827</v>
      </c>
      <c r="DI94" s="94">
        <f t="shared" si="179"/>
        <v>0</v>
      </c>
      <c r="DJ94" s="94">
        <f t="shared" si="179"/>
        <v>0</v>
      </c>
      <c r="DK94" s="94">
        <f t="shared" si="179"/>
        <v>0</v>
      </c>
      <c r="DL94" s="144">
        <f t="shared" si="179"/>
        <v>0</v>
      </c>
      <c r="DM94" s="94">
        <f t="shared" si="179"/>
        <v>0</v>
      </c>
      <c r="DN94" s="94">
        <f t="shared" si="179"/>
        <v>0</v>
      </c>
      <c r="DO94" s="94">
        <f t="shared" si="179"/>
        <v>0</v>
      </c>
      <c r="DP94" s="94">
        <f t="shared" si="179"/>
        <v>0</v>
      </c>
      <c r="DQ94" s="94">
        <f t="shared" si="179"/>
        <v>0</v>
      </c>
      <c r="DR94" s="144">
        <f t="shared" si="179"/>
        <v>0</v>
      </c>
      <c r="DS94" s="94">
        <f t="shared" si="179"/>
        <v>1.1658834403125002E-3</v>
      </c>
      <c r="DT94" s="94">
        <f t="shared" si="179"/>
        <v>3.8732237906250008E-2</v>
      </c>
      <c r="DU94" s="94">
        <f t="shared" si="179"/>
        <v>0</v>
      </c>
      <c r="DV94" s="94">
        <f t="shared" si="179"/>
        <v>0</v>
      </c>
      <c r="DW94" s="94">
        <f t="shared" si="179"/>
        <v>0</v>
      </c>
      <c r="DX94" s="94">
        <f t="shared" si="179"/>
        <v>0</v>
      </c>
      <c r="DY94" s="94">
        <f t="shared" si="179"/>
        <v>2.7203946940625003E-3</v>
      </c>
      <c r="DZ94" s="94">
        <f t="shared" si="179"/>
        <v>9.0375221781250015E-2</v>
      </c>
      <c r="EA94" s="94">
        <f t="shared" ref="EA94:FH94" si="180">SUM(EA21:EA65)</f>
        <v>0</v>
      </c>
      <c r="EB94" s="94">
        <f t="shared" si="180"/>
        <v>0</v>
      </c>
      <c r="EC94" s="94">
        <f t="shared" si="180"/>
        <v>0</v>
      </c>
      <c r="ED94" s="96">
        <f t="shared" si="180"/>
        <v>0</v>
      </c>
      <c r="EE94" s="94">
        <f t="shared" si="180"/>
        <v>0</v>
      </c>
      <c r="EF94" s="94">
        <f t="shared" si="180"/>
        <v>0</v>
      </c>
      <c r="EG94" s="94">
        <f t="shared" si="180"/>
        <v>0</v>
      </c>
      <c r="EH94" s="94">
        <f t="shared" si="180"/>
        <v>0</v>
      </c>
      <c r="EI94" s="94">
        <f t="shared" si="180"/>
        <v>0</v>
      </c>
      <c r="EJ94" s="144">
        <f t="shared" si="180"/>
        <v>0</v>
      </c>
      <c r="EK94" s="94">
        <f t="shared" si="180"/>
        <v>0</v>
      </c>
      <c r="EL94" s="94">
        <f t="shared" si="180"/>
        <v>0</v>
      </c>
      <c r="EM94" s="94">
        <f t="shared" si="180"/>
        <v>0</v>
      </c>
      <c r="EN94" s="94">
        <f t="shared" si="180"/>
        <v>0</v>
      </c>
      <c r="EO94" s="94">
        <f t="shared" si="180"/>
        <v>0</v>
      </c>
      <c r="EP94" s="144">
        <f t="shared" si="180"/>
        <v>0</v>
      </c>
      <c r="EQ94" s="94">
        <f t="shared" si="180"/>
        <v>4.3698422425421162E-4</v>
      </c>
      <c r="ER94" s="94">
        <f t="shared" si="180"/>
        <v>5.4022174723426905E-4</v>
      </c>
      <c r="ES94" s="94">
        <f t="shared" si="180"/>
        <v>0</v>
      </c>
      <c r="ET94" s="94">
        <f t="shared" si="180"/>
        <v>0</v>
      </c>
      <c r="EU94" s="94">
        <f t="shared" si="180"/>
        <v>3.9328580182879042E-3</v>
      </c>
      <c r="EV94" s="144">
        <f t="shared" si="180"/>
        <v>4.8619957251084221E-3</v>
      </c>
      <c r="EW94" s="94">
        <f t="shared" si="180"/>
        <v>5.7465878769165766</v>
      </c>
      <c r="EX94" s="94">
        <f t="shared" si="180"/>
        <v>7.1042192628381189</v>
      </c>
      <c r="EY94" s="94">
        <f t="shared" si="180"/>
        <v>0</v>
      </c>
      <c r="EZ94" s="94">
        <f t="shared" si="180"/>
        <v>0</v>
      </c>
      <c r="FA94" s="94">
        <f t="shared" si="180"/>
        <v>51.719290892249191</v>
      </c>
      <c r="FB94" s="144">
        <f t="shared" si="180"/>
        <v>63.937973365543066</v>
      </c>
      <c r="FC94" s="94">
        <f t="shared" si="180"/>
        <v>5.2529751388591688</v>
      </c>
      <c r="FD94" s="94">
        <f t="shared" si="180"/>
        <v>6.4939905154146498</v>
      </c>
      <c r="FE94" s="94">
        <f t="shared" si="180"/>
        <v>0</v>
      </c>
      <c r="FF94" s="94">
        <f t="shared" si="180"/>
        <v>0</v>
      </c>
      <c r="FG94" s="94">
        <f t="shared" si="180"/>
        <v>47.276776249732521</v>
      </c>
      <c r="FH94" s="96">
        <f t="shared" si="180"/>
        <v>58.445914638731843</v>
      </c>
      <c r="FI94" s="234"/>
      <c r="FJ94" s="234"/>
      <c r="FP94" s="91">
        <f t="shared" ref="FP94:IA94" si="181">SUM(FP21:FP65)</f>
        <v>191.34914537374996</v>
      </c>
      <c r="FQ94" s="94">
        <f t="shared" si="181"/>
        <v>191.80204275924999</v>
      </c>
      <c r="FR94" s="94">
        <f t="shared" si="181"/>
        <v>0</v>
      </c>
      <c r="FS94" s="94">
        <f t="shared" si="181"/>
        <v>0</v>
      </c>
      <c r="FT94" s="94">
        <f t="shared" si="181"/>
        <v>134.34474592500001</v>
      </c>
      <c r="FU94" s="94">
        <f t="shared" si="181"/>
        <v>134.66272165499998</v>
      </c>
      <c r="FV94" s="94">
        <f t="shared" si="181"/>
        <v>191.43004736374996</v>
      </c>
      <c r="FW94" s="94">
        <f t="shared" si="181"/>
        <v>191.88313623324999</v>
      </c>
      <c r="FX94" s="94">
        <f t="shared" si="181"/>
        <v>0</v>
      </c>
      <c r="FY94" s="94">
        <f t="shared" si="181"/>
        <v>0</v>
      </c>
      <c r="FZ94" s="94">
        <f t="shared" si="181"/>
        <v>134.404673325</v>
      </c>
      <c r="GA94" s="96">
        <f t="shared" si="181"/>
        <v>134.72279089499997</v>
      </c>
      <c r="GB94" s="94">
        <f t="shared" si="181"/>
        <v>0</v>
      </c>
      <c r="GC94" s="94">
        <f t="shared" si="181"/>
        <v>0</v>
      </c>
      <c r="GD94" s="94">
        <f t="shared" si="181"/>
        <v>373.95773459744157</v>
      </c>
      <c r="GE94" s="94">
        <f t="shared" si="181"/>
        <v>2540.9009534840511</v>
      </c>
      <c r="GF94" s="94">
        <f t="shared" si="181"/>
        <v>223.01584648904384</v>
      </c>
      <c r="GG94" s="94">
        <f t="shared" si="181"/>
        <v>223.54369464641437</v>
      </c>
      <c r="GH94" s="94">
        <f t="shared" si="181"/>
        <v>0</v>
      </c>
      <c r="GI94" s="94">
        <f t="shared" si="181"/>
        <v>0</v>
      </c>
      <c r="GJ94" s="94">
        <f t="shared" si="181"/>
        <v>160.5954043086218</v>
      </c>
      <c r="GK94" s="94">
        <f t="shared" si="181"/>
        <v>401.74303225810507</v>
      </c>
      <c r="GL94" s="94">
        <f t="shared" si="181"/>
        <v>223.11532756474105</v>
      </c>
      <c r="GM94" s="94">
        <f t="shared" si="181"/>
        <v>223.64341118027892</v>
      </c>
      <c r="GN94" s="94">
        <f t="shared" si="181"/>
        <v>0</v>
      </c>
      <c r="GO94" s="94">
        <f t="shared" si="181"/>
        <v>0</v>
      </c>
      <c r="GP94" s="94">
        <f t="shared" si="181"/>
        <v>0</v>
      </c>
      <c r="GQ94" s="94">
        <f t="shared" si="181"/>
        <v>0</v>
      </c>
      <c r="GR94" s="94">
        <f t="shared" si="181"/>
        <v>0</v>
      </c>
      <c r="GS94" s="94">
        <f t="shared" si="181"/>
        <v>0</v>
      </c>
      <c r="GT94" s="94">
        <f t="shared" si="181"/>
        <v>2.9377478510142545</v>
      </c>
      <c r="GU94" s="94">
        <f t="shared" si="181"/>
        <v>115.53729386968682</v>
      </c>
      <c r="GV94" s="94">
        <f t="shared" si="181"/>
        <v>0.29287473561752986</v>
      </c>
      <c r="GW94" s="94">
        <f t="shared" si="181"/>
        <v>0.36206639190717121</v>
      </c>
      <c r="GX94" s="94">
        <f t="shared" si="181"/>
        <v>0.96617326725099595</v>
      </c>
      <c r="GY94" s="94">
        <f t="shared" si="181"/>
        <v>4.777726806556176</v>
      </c>
      <c r="GZ94" s="94">
        <f t="shared" si="181"/>
        <v>0.342963169651337</v>
      </c>
      <c r="HA94" s="94">
        <f t="shared" si="181"/>
        <v>12.859649807863853</v>
      </c>
      <c r="HB94" s="94">
        <f t="shared" si="181"/>
        <v>0.29299227633466135</v>
      </c>
      <c r="HC94" s="94">
        <f t="shared" si="181"/>
        <v>0.36221170161872501</v>
      </c>
      <c r="HD94" s="94">
        <f t="shared" si="181"/>
        <v>0.96660424988047799</v>
      </c>
      <c r="HE94" s="144">
        <f t="shared" si="181"/>
        <v>4.7798580156589647</v>
      </c>
      <c r="HF94" s="94">
        <f t="shared" si="181"/>
        <v>4.526529812991833E-4</v>
      </c>
      <c r="HG94" s="94">
        <f t="shared" si="181"/>
        <v>5.595922481311154E-4</v>
      </c>
      <c r="HH94" s="94">
        <f t="shared" si="181"/>
        <v>0</v>
      </c>
      <c r="HI94" s="94">
        <f t="shared" si="181"/>
        <v>0</v>
      </c>
      <c r="HJ94" s="94">
        <f t="shared" si="181"/>
        <v>4.0738768316926502E-3</v>
      </c>
      <c r="HK94" s="144">
        <f t="shared" si="181"/>
        <v>5.036330233180039E-3</v>
      </c>
      <c r="HL94" s="94">
        <f t="shared" si="181"/>
        <v>5.9526408286785255</v>
      </c>
      <c r="HM94" s="94">
        <f t="shared" si="181"/>
        <v>7.3589522244538284</v>
      </c>
      <c r="HN94" s="94">
        <f t="shared" si="181"/>
        <v>0</v>
      </c>
      <c r="HO94" s="94">
        <f t="shared" si="181"/>
        <v>0</v>
      </c>
      <c r="HP94" s="94">
        <f t="shared" si="181"/>
        <v>53.57376745810673</v>
      </c>
      <c r="HQ94" s="144">
        <f t="shared" si="181"/>
        <v>66.230570020084457</v>
      </c>
      <c r="HR94" s="94">
        <f t="shared" si="181"/>
        <v>5.4413288290971478</v>
      </c>
      <c r="HS94" s="94">
        <f t="shared" si="181"/>
        <v>6.7268427649713498</v>
      </c>
      <c r="HT94" s="94">
        <f t="shared" si="181"/>
        <v>0</v>
      </c>
      <c r="HU94" s="94">
        <f t="shared" si="181"/>
        <v>0</v>
      </c>
      <c r="HV94" s="94">
        <f t="shared" si="181"/>
        <v>48.971959461874334</v>
      </c>
      <c r="HW94" s="96">
        <f t="shared" si="181"/>
        <v>60.541584884742143</v>
      </c>
      <c r="HX94" s="94">
        <f t="shared" si="181"/>
        <v>156.1299992512113</v>
      </c>
      <c r="HY94" s="94">
        <f t="shared" si="181"/>
        <v>6140.3627949666643</v>
      </c>
      <c r="HZ94" s="94">
        <f t="shared" si="181"/>
        <v>15.565165756780877</v>
      </c>
      <c r="IA94" s="94">
        <f t="shared" si="181"/>
        <v>19.242436166820347</v>
      </c>
      <c r="IB94" s="94">
        <f t="shared" ref="IB94:IO94" si="182">SUM(IB21:IB65)</f>
        <v>51.348393103362554</v>
      </c>
      <c r="IC94" s="94">
        <f t="shared" si="182"/>
        <v>253.91780389612782</v>
      </c>
      <c r="ID94" s="94">
        <f t="shared" si="182"/>
        <v>18.227173377854516</v>
      </c>
      <c r="IE94" s="94">
        <f t="shared" si="182"/>
        <v>683.44092709639506</v>
      </c>
      <c r="IF94" s="94">
        <f t="shared" si="182"/>
        <v>15.571412593816733</v>
      </c>
      <c r="IG94" s="94">
        <f t="shared" si="182"/>
        <v>19.250158819105923</v>
      </c>
      <c r="IH94" s="94">
        <f t="shared" si="182"/>
        <v>51.371298172494022</v>
      </c>
      <c r="II94" s="94">
        <f t="shared" si="182"/>
        <v>254.03106946298294</v>
      </c>
      <c r="IJ94" s="94">
        <f t="shared" si="182"/>
        <v>0</v>
      </c>
      <c r="IK94" s="94">
        <f t="shared" si="182"/>
        <v>0</v>
      </c>
      <c r="IL94" s="94">
        <f t="shared" si="182"/>
        <v>0</v>
      </c>
      <c r="IM94" s="94">
        <f t="shared" si="182"/>
        <v>0</v>
      </c>
      <c r="IN94" s="94">
        <f t="shared" si="182"/>
        <v>0</v>
      </c>
      <c r="IO94" s="94">
        <f t="shared" si="182"/>
        <v>0</v>
      </c>
    </row>
    <row r="95" spans="1:249" ht="18" x14ac:dyDescent="0.25">
      <c r="A95" s="562" t="s">
        <v>5</v>
      </c>
      <c r="B95" s="564"/>
      <c r="C95" s="80">
        <f>SUM(C66:C78)</f>
        <v>0.20641660000000001</v>
      </c>
      <c r="D95" s="80">
        <f t="shared" ref="D95:BO95" si="183">SUM(D66:D78)</f>
        <v>0.52727444000000001</v>
      </c>
      <c r="E95" s="80">
        <f t="shared" si="183"/>
        <v>0</v>
      </c>
      <c r="F95" s="80">
        <f t="shared" si="183"/>
        <v>0</v>
      </c>
      <c r="G95" s="80">
        <f t="shared" si="183"/>
        <v>0</v>
      </c>
      <c r="H95" s="80">
        <f t="shared" si="183"/>
        <v>0</v>
      </c>
      <c r="I95" s="80">
        <f t="shared" si="183"/>
        <v>0.20641660000000001</v>
      </c>
      <c r="J95" s="80">
        <f t="shared" si="183"/>
        <v>0.52727444000000001</v>
      </c>
      <c r="K95" s="80">
        <f t="shared" si="183"/>
        <v>0</v>
      </c>
      <c r="L95" s="80">
        <f t="shared" si="183"/>
        <v>0</v>
      </c>
      <c r="M95" s="80">
        <f t="shared" si="183"/>
        <v>0</v>
      </c>
      <c r="N95" s="140">
        <f t="shared" si="183"/>
        <v>0</v>
      </c>
      <c r="O95" s="80">
        <f t="shared" si="183"/>
        <v>4.1462269874999995</v>
      </c>
      <c r="P95" s="80">
        <f t="shared" si="183"/>
        <v>4.1560405424999995</v>
      </c>
      <c r="Q95" s="80">
        <f t="shared" si="183"/>
        <v>0</v>
      </c>
      <c r="R95" s="80">
        <f t="shared" si="183"/>
        <v>0</v>
      </c>
      <c r="S95" s="80">
        <f t="shared" si="183"/>
        <v>3.0712792499999999</v>
      </c>
      <c r="T95" s="80">
        <f t="shared" si="183"/>
        <v>3.0785485499999994</v>
      </c>
      <c r="U95" s="80">
        <f t="shared" si="183"/>
        <v>9.6745296374999974</v>
      </c>
      <c r="V95" s="80">
        <f t="shared" si="183"/>
        <v>9.6974279325000001</v>
      </c>
      <c r="W95" s="80">
        <f t="shared" si="183"/>
        <v>0</v>
      </c>
      <c r="X95" s="80">
        <f t="shared" si="183"/>
        <v>0</v>
      </c>
      <c r="Y95" s="80">
        <f t="shared" si="183"/>
        <v>7.1663182499999998</v>
      </c>
      <c r="Z95" s="84">
        <f t="shared" si="183"/>
        <v>7.1832799499999993</v>
      </c>
      <c r="AA95" s="80">
        <f t="shared" si="183"/>
        <v>0</v>
      </c>
      <c r="AB95" s="80">
        <f t="shared" si="183"/>
        <v>0</v>
      </c>
      <c r="AC95" s="80">
        <f t="shared" si="183"/>
        <v>0.27866241000000003</v>
      </c>
      <c r="AD95" s="80">
        <f t="shared" si="183"/>
        <v>0.71182049399999991</v>
      </c>
      <c r="AE95" s="80">
        <f t="shared" si="183"/>
        <v>0</v>
      </c>
      <c r="AF95" s="80">
        <f t="shared" si="183"/>
        <v>0</v>
      </c>
      <c r="AG95" s="80">
        <f t="shared" si="183"/>
        <v>0</v>
      </c>
      <c r="AH95" s="80">
        <f t="shared" si="183"/>
        <v>0</v>
      </c>
      <c r="AI95" s="80">
        <f t="shared" si="183"/>
        <v>0.27866241000000003</v>
      </c>
      <c r="AJ95" s="80">
        <f t="shared" si="183"/>
        <v>0.71182049399999991</v>
      </c>
      <c r="AK95" s="80">
        <f t="shared" si="183"/>
        <v>0</v>
      </c>
      <c r="AL95" s="140">
        <f t="shared" si="183"/>
        <v>0</v>
      </c>
      <c r="AM95" s="80">
        <f t="shared" si="183"/>
        <v>0</v>
      </c>
      <c r="AN95" s="80">
        <f t="shared" si="183"/>
        <v>0</v>
      </c>
      <c r="AO95" s="80">
        <f t="shared" si="183"/>
        <v>2.7641513250000003</v>
      </c>
      <c r="AP95" s="80">
        <f t="shared" si="183"/>
        <v>2.7706936950000003</v>
      </c>
      <c r="AQ95" s="80">
        <f t="shared" si="183"/>
        <v>5.118798749999999</v>
      </c>
      <c r="AR95" s="80">
        <f t="shared" si="183"/>
        <v>5.1309142499999991</v>
      </c>
      <c r="AS95" s="80">
        <f t="shared" si="183"/>
        <v>0</v>
      </c>
      <c r="AT95" s="80">
        <f t="shared" si="183"/>
        <v>0</v>
      </c>
      <c r="AU95" s="80">
        <f t="shared" si="183"/>
        <v>6.4496864250000003</v>
      </c>
      <c r="AV95" s="80">
        <f t="shared" si="183"/>
        <v>6.4649519550000001</v>
      </c>
      <c r="AW95" s="80">
        <f t="shared" si="183"/>
        <v>11.943863749999998</v>
      </c>
      <c r="AX95" s="84">
        <f t="shared" si="183"/>
        <v>11.972133250000001</v>
      </c>
      <c r="AY95" s="80">
        <f t="shared" si="183"/>
        <v>0</v>
      </c>
      <c r="AZ95" s="80">
        <f t="shared" si="183"/>
        <v>0</v>
      </c>
      <c r="BA95" s="80">
        <f t="shared" si="183"/>
        <v>21.395386818000006</v>
      </c>
      <c r="BB95" s="80">
        <f t="shared" si="183"/>
        <v>348.31912543312495</v>
      </c>
      <c r="BC95" s="80">
        <f t="shared" si="183"/>
        <v>0</v>
      </c>
      <c r="BD95" s="80">
        <f t="shared" si="183"/>
        <v>0</v>
      </c>
      <c r="BE95" s="80">
        <f t="shared" si="183"/>
        <v>0</v>
      </c>
      <c r="BF95" s="80">
        <f t="shared" si="183"/>
        <v>0</v>
      </c>
      <c r="BG95" s="80">
        <f t="shared" si="183"/>
        <v>2.3772652019999998</v>
      </c>
      <c r="BH95" s="80">
        <f t="shared" si="183"/>
        <v>38.702125048124998</v>
      </c>
      <c r="BI95" s="80">
        <f t="shared" si="183"/>
        <v>0</v>
      </c>
      <c r="BJ95" s="140">
        <f t="shared" si="183"/>
        <v>0</v>
      </c>
      <c r="BK95" s="80">
        <f t="shared" si="183"/>
        <v>0</v>
      </c>
      <c r="BL95" s="80">
        <f t="shared" si="183"/>
        <v>0</v>
      </c>
      <c r="BM95" s="80">
        <f t="shared" si="183"/>
        <v>0</v>
      </c>
      <c r="BN95" s="80">
        <f t="shared" si="183"/>
        <v>0</v>
      </c>
      <c r="BO95" s="80">
        <f t="shared" si="183"/>
        <v>0</v>
      </c>
      <c r="BP95" s="80">
        <f t="shared" ref="BP95:EA95" si="184">SUM(BP66:BP78)</f>
        <v>0</v>
      </c>
      <c r="BQ95" s="80">
        <f t="shared" si="184"/>
        <v>0</v>
      </c>
      <c r="BR95" s="80">
        <f t="shared" si="184"/>
        <v>0</v>
      </c>
      <c r="BS95" s="80">
        <f t="shared" si="184"/>
        <v>7.2555797669062496</v>
      </c>
      <c r="BT95" s="80">
        <f t="shared" si="184"/>
        <v>72.727527367687486</v>
      </c>
      <c r="BU95" s="80">
        <f t="shared" si="184"/>
        <v>0</v>
      </c>
      <c r="BV95" s="80">
        <f t="shared" si="184"/>
        <v>0</v>
      </c>
      <c r="BW95" s="80">
        <f t="shared" si="184"/>
        <v>0</v>
      </c>
      <c r="BX95" s="80">
        <f t="shared" si="184"/>
        <v>0</v>
      </c>
      <c r="BY95" s="80">
        <f t="shared" si="184"/>
        <v>16.929686122781249</v>
      </c>
      <c r="BZ95" s="80">
        <f t="shared" si="184"/>
        <v>169.69756385793747</v>
      </c>
      <c r="CA95" s="80">
        <f t="shared" si="184"/>
        <v>0</v>
      </c>
      <c r="CB95" s="140">
        <f t="shared" si="184"/>
        <v>0</v>
      </c>
      <c r="CC95" s="80">
        <f t="shared" si="184"/>
        <v>9.7712000000000016E-4</v>
      </c>
      <c r="CD95" s="80">
        <f t="shared" si="184"/>
        <v>3.0783614000000005E-3</v>
      </c>
      <c r="CE95" s="80">
        <f t="shared" si="184"/>
        <v>2.9313599999999995E-2</v>
      </c>
      <c r="CF95" s="80">
        <f t="shared" si="184"/>
        <v>9.2350841999999989E-2</v>
      </c>
      <c r="CG95" s="80">
        <f t="shared" si="184"/>
        <v>0</v>
      </c>
      <c r="CH95" s="80">
        <f t="shared" si="184"/>
        <v>0</v>
      </c>
      <c r="CI95" s="80">
        <f t="shared" si="184"/>
        <v>9.7712000000000016E-4</v>
      </c>
      <c r="CJ95" s="80">
        <f t="shared" si="184"/>
        <v>3.0783614000000005E-3</v>
      </c>
      <c r="CK95" s="80">
        <f t="shared" si="184"/>
        <v>2.9313599999999995E-2</v>
      </c>
      <c r="CL95" s="80">
        <f t="shared" si="184"/>
        <v>9.2350841999999989E-2</v>
      </c>
      <c r="CM95" s="80">
        <f t="shared" si="184"/>
        <v>0</v>
      </c>
      <c r="CN95" s="140">
        <f t="shared" si="184"/>
        <v>0</v>
      </c>
      <c r="CO95" s="80">
        <f t="shared" si="184"/>
        <v>1.9384800000000004E-2</v>
      </c>
      <c r="CP95" s="80">
        <f t="shared" si="184"/>
        <v>2.3964459E-2</v>
      </c>
      <c r="CQ95" s="80">
        <f t="shared" si="184"/>
        <v>0.29077199999999992</v>
      </c>
      <c r="CR95" s="80">
        <f t="shared" si="184"/>
        <v>0.35946688500000001</v>
      </c>
      <c r="CS95" s="80">
        <f t="shared" si="184"/>
        <v>1.0661639999999999</v>
      </c>
      <c r="CT95" s="80">
        <f t="shared" si="184"/>
        <v>5.2721809799999999</v>
      </c>
      <c r="CU95" s="80">
        <f t="shared" si="184"/>
        <v>4.5231199999999999E-2</v>
      </c>
      <c r="CV95" s="80">
        <f t="shared" si="184"/>
        <v>5.5917071000000006E-2</v>
      </c>
      <c r="CW95" s="80">
        <f t="shared" si="184"/>
        <v>0.67846799999999985</v>
      </c>
      <c r="CX95" s="80">
        <f t="shared" si="184"/>
        <v>0.83875606500000011</v>
      </c>
      <c r="CY95" s="80">
        <f t="shared" si="184"/>
        <v>2.4877160000000003</v>
      </c>
      <c r="CZ95" s="84">
        <f t="shared" si="184"/>
        <v>12.30175562</v>
      </c>
      <c r="DA95" s="80">
        <f t="shared" si="184"/>
        <v>0.65840838138702007</v>
      </c>
      <c r="DB95" s="80">
        <f t="shared" si="184"/>
        <v>239.22099958393673</v>
      </c>
      <c r="DC95" s="80">
        <f t="shared" si="184"/>
        <v>0</v>
      </c>
      <c r="DD95" s="80">
        <f t="shared" si="184"/>
        <v>0</v>
      </c>
      <c r="DE95" s="80">
        <f t="shared" si="184"/>
        <v>0</v>
      </c>
      <c r="DF95" s="80">
        <f t="shared" si="184"/>
        <v>0</v>
      </c>
      <c r="DG95" s="80">
        <f t="shared" si="184"/>
        <v>7.3156486820779992E-2</v>
      </c>
      <c r="DH95" s="80">
        <f t="shared" si="184"/>
        <v>26.580111064881859</v>
      </c>
      <c r="DI95" s="80">
        <f t="shared" si="184"/>
        <v>0</v>
      </c>
      <c r="DJ95" s="80">
        <f t="shared" si="184"/>
        <v>0</v>
      </c>
      <c r="DK95" s="80">
        <f t="shared" si="184"/>
        <v>0</v>
      </c>
      <c r="DL95" s="140">
        <f t="shared" si="184"/>
        <v>0</v>
      </c>
      <c r="DM95" s="80">
        <f t="shared" si="184"/>
        <v>0</v>
      </c>
      <c r="DN95" s="80">
        <f t="shared" si="184"/>
        <v>0</v>
      </c>
      <c r="DO95" s="80">
        <f t="shared" si="184"/>
        <v>0</v>
      </c>
      <c r="DP95" s="80">
        <f t="shared" si="184"/>
        <v>0</v>
      </c>
      <c r="DQ95" s="80">
        <f t="shared" si="184"/>
        <v>0</v>
      </c>
      <c r="DR95" s="140">
        <f t="shared" si="184"/>
        <v>0</v>
      </c>
      <c r="DS95" s="80">
        <f t="shared" si="184"/>
        <v>3.3612828888043125</v>
      </c>
      <c r="DT95" s="80">
        <f t="shared" si="184"/>
        <v>54.4138335793861</v>
      </c>
      <c r="DU95" s="80">
        <f t="shared" si="184"/>
        <v>0</v>
      </c>
      <c r="DV95" s="80">
        <f t="shared" si="184"/>
        <v>0</v>
      </c>
      <c r="DW95" s="80">
        <f t="shared" si="184"/>
        <v>0</v>
      </c>
      <c r="DX95" s="80">
        <f t="shared" si="184"/>
        <v>0</v>
      </c>
      <c r="DY95" s="80">
        <f t="shared" si="184"/>
        <v>7.8429934072100611</v>
      </c>
      <c r="DZ95" s="80">
        <f t="shared" si="184"/>
        <v>126.96561168523422</v>
      </c>
      <c r="EA95" s="80">
        <f t="shared" si="184"/>
        <v>0</v>
      </c>
      <c r="EB95" s="80">
        <f t="shared" ref="EB95:FH95" si="185">SUM(EB66:EB78)</f>
        <v>0</v>
      </c>
      <c r="EC95" s="80">
        <f t="shared" si="185"/>
        <v>0</v>
      </c>
      <c r="ED95" s="84">
        <f t="shared" si="185"/>
        <v>0</v>
      </c>
      <c r="EE95" s="80">
        <f t="shared" si="185"/>
        <v>0</v>
      </c>
      <c r="EF95" s="80">
        <f t="shared" si="185"/>
        <v>0</v>
      </c>
      <c r="EG95" s="80">
        <f t="shared" si="185"/>
        <v>0</v>
      </c>
      <c r="EH95" s="80">
        <f t="shared" si="185"/>
        <v>0</v>
      </c>
      <c r="EI95" s="80">
        <f t="shared" si="185"/>
        <v>0</v>
      </c>
      <c r="EJ95" s="140">
        <f t="shared" si="185"/>
        <v>0</v>
      </c>
      <c r="EK95" s="80">
        <f t="shared" si="185"/>
        <v>3.9380330051301496E-6</v>
      </c>
      <c r="EL95" s="80">
        <f t="shared" si="185"/>
        <v>4.8683933025921475E-6</v>
      </c>
      <c r="EM95" s="80">
        <f t="shared" si="185"/>
        <v>0</v>
      </c>
      <c r="EN95" s="80">
        <f t="shared" si="185"/>
        <v>0</v>
      </c>
      <c r="EO95" s="80">
        <f t="shared" si="185"/>
        <v>3.5442297046171342E-5</v>
      </c>
      <c r="EP95" s="140">
        <f t="shared" si="185"/>
        <v>4.3815539723329316E-5</v>
      </c>
      <c r="EQ95" s="80">
        <f t="shared" si="185"/>
        <v>1.1680467285898463E-3</v>
      </c>
      <c r="ER95" s="80">
        <f t="shared" si="185"/>
        <v>1.4439977682191979E-3</v>
      </c>
      <c r="ES95" s="80">
        <f t="shared" si="185"/>
        <v>0</v>
      </c>
      <c r="ET95" s="80">
        <f t="shared" si="185"/>
        <v>0</v>
      </c>
      <c r="EU95" s="80">
        <f t="shared" si="185"/>
        <v>1.0512420557308617E-2</v>
      </c>
      <c r="EV95" s="140">
        <f t="shared" si="185"/>
        <v>1.2995979913972779E-2</v>
      </c>
      <c r="EW95" s="80">
        <f t="shared" si="185"/>
        <v>16.322285170497565</v>
      </c>
      <c r="EX95" s="80">
        <f t="shared" si="185"/>
        <v>20.178425042027612</v>
      </c>
      <c r="EY95" s="80">
        <f t="shared" si="185"/>
        <v>0</v>
      </c>
      <c r="EZ95" s="80">
        <f t="shared" si="185"/>
        <v>0</v>
      </c>
      <c r="FA95" s="80">
        <f t="shared" si="185"/>
        <v>146.90056653447809</v>
      </c>
      <c r="FB95" s="140">
        <f t="shared" si="185"/>
        <v>181.60582537824854</v>
      </c>
      <c r="FC95" s="80">
        <f t="shared" si="185"/>
        <v>17.423358844740847</v>
      </c>
      <c r="FD95" s="80">
        <f t="shared" si="185"/>
        <v>21.53962737181087</v>
      </c>
      <c r="FE95" s="80">
        <f t="shared" si="185"/>
        <v>0</v>
      </c>
      <c r="FF95" s="80">
        <f t="shared" si="185"/>
        <v>0</v>
      </c>
      <c r="FG95" s="80">
        <f t="shared" si="185"/>
        <v>156.81022960266762</v>
      </c>
      <c r="FH95" s="84">
        <f t="shared" si="185"/>
        <v>193.85664634629785</v>
      </c>
      <c r="FI95" s="233"/>
      <c r="FJ95" s="233"/>
      <c r="FP95" s="92">
        <f t="shared" ref="FP95:IA95" si="186">SUM(FP66:FP78)</f>
        <v>4.3526435874999994</v>
      </c>
      <c r="FQ95" s="80">
        <f t="shared" si="186"/>
        <v>4.6833149824999998</v>
      </c>
      <c r="FR95" s="80">
        <f t="shared" si="186"/>
        <v>0</v>
      </c>
      <c r="FS95" s="80">
        <f t="shared" si="186"/>
        <v>0</v>
      </c>
      <c r="FT95" s="80">
        <f t="shared" si="186"/>
        <v>3.0712792499999999</v>
      </c>
      <c r="FU95" s="80">
        <f t="shared" si="186"/>
        <v>3.0785485499999994</v>
      </c>
      <c r="FV95" s="80">
        <f t="shared" si="186"/>
        <v>9.8809462374999963</v>
      </c>
      <c r="FW95" s="80">
        <f t="shared" si="186"/>
        <v>10.224702372499999</v>
      </c>
      <c r="FX95" s="80">
        <f t="shared" si="186"/>
        <v>0</v>
      </c>
      <c r="FY95" s="80">
        <f t="shared" si="186"/>
        <v>0</v>
      </c>
      <c r="FZ95" s="80">
        <f t="shared" si="186"/>
        <v>7.1663182499999998</v>
      </c>
      <c r="GA95" s="84">
        <f t="shared" si="186"/>
        <v>7.1832799499999993</v>
      </c>
      <c r="GB95" s="80">
        <f t="shared" si="186"/>
        <v>0</v>
      </c>
      <c r="GC95" s="80">
        <f t="shared" si="186"/>
        <v>0</v>
      </c>
      <c r="GD95" s="80">
        <f t="shared" si="186"/>
        <v>31.567510278791087</v>
      </c>
      <c r="GE95" s="80">
        <f t="shared" si="186"/>
        <v>422.83781572690486</v>
      </c>
      <c r="GF95" s="80">
        <f t="shared" si="186"/>
        <v>5.0984051294820718</v>
      </c>
      <c r="GG95" s="80">
        <f t="shared" si="186"/>
        <v>5.1104723605577691</v>
      </c>
      <c r="GH95" s="80">
        <f t="shared" si="186"/>
        <v>0</v>
      </c>
      <c r="GI95" s="80">
        <f t="shared" si="186"/>
        <v>0</v>
      </c>
      <c r="GJ95" s="80">
        <f t="shared" si="186"/>
        <v>25.931573864323955</v>
      </c>
      <c r="GK95" s="80">
        <f t="shared" si="186"/>
        <v>214.71759099109809</v>
      </c>
      <c r="GL95" s="80">
        <f t="shared" si="186"/>
        <v>11.896278635458167</v>
      </c>
      <c r="GM95" s="80">
        <f t="shared" si="186"/>
        <v>11.924435507968129</v>
      </c>
      <c r="GN95" s="80">
        <f t="shared" si="186"/>
        <v>0</v>
      </c>
      <c r="GO95" s="80">
        <f t="shared" si="186"/>
        <v>0</v>
      </c>
      <c r="GP95" s="80">
        <f t="shared" si="186"/>
        <v>0</v>
      </c>
      <c r="GQ95" s="80">
        <f t="shared" si="186"/>
        <v>0</v>
      </c>
      <c r="GR95" s="80">
        <f t="shared" si="186"/>
        <v>0</v>
      </c>
      <c r="GS95" s="80">
        <f t="shared" si="186"/>
        <v>0</v>
      </c>
      <c r="GT95" s="80">
        <f t="shared" si="186"/>
        <v>8.3698313103565458E-2</v>
      </c>
      <c r="GU95" s="80">
        <f t="shared" si="186"/>
        <v>6.0838316936866885</v>
      </c>
      <c r="GV95" s="80">
        <f t="shared" si="186"/>
        <v>6.6312554581673287E-3</v>
      </c>
      <c r="GW95" s="80">
        <f t="shared" si="186"/>
        <v>9.3603672525896416E-3</v>
      </c>
      <c r="GX95" s="80">
        <f t="shared" si="186"/>
        <v>2.2087859760956178E-2</v>
      </c>
      <c r="GY95" s="80">
        <f t="shared" si="186"/>
        <v>0.10922446651792829</v>
      </c>
      <c r="GZ95" s="80">
        <f t="shared" si="186"/>
        <v>0.16496130120136143</v>
      </c>
      <c r="HA95" s="80">
        <f t="shared" si="186"/>
        <v>3.1822541845870207</v>
      </c>
      <c r="HB95" s="80">
        <f t="shared" si="186"/>
        <v>1.4663204462151394E-2</v>
      </c>
      <c r="HC95" s="80">
        <f t="shared" si="186"/>
        <v>1.928986420876494E-2</v>
      </c>
      <c r="HD95" s="80">
        <f t="shared" si="186"/>
        <v>5.1575052578613563E-2</v>
      </c>
      <c r="HE95" s="140">
        <f t="shared" si="186"/>
        <v>0.25490247515668552</v>
      </c>
      <c r="HF95" s="80">
        <f t="shared" si="186"/>
        <v>1.2099288822046219E-3</v>
      </c>
      <c r="HG95" s="80">
        <f t="shared" si="186"/>
        <v>1.4957745806254636E-3</v>
      </c>
      <c r="HH95" s="80">
        <f t="shared" si="186"/>
        <v>0</v>
      </c>
      <c r="HI95" s="80">
        <f t="shared" si="186"/>
        <v>0</v>
      </c>
      <c r="HJ95" s="80">
        <f t="shared" si="186"/>
        <v>1.0889359939841595E-2</v>
      </c>
      <c r="HK95" s="140">
        <f t="shared" si="186"/>
        <v>1.3461971225629173E-2</v>
      </c>
      <c r="HL95" s="80">
        <f t="shared" si="186"/>
        <v>16.907546391750465</v>
      </c>
      <c r="HM95" s="80">
        <f t="shared" si="186"/>
        <v>20.901954226801514</v>
      </c>
      <c r="HN95" s="80">
        <f t="shared" si="186"/>
        <v>0</v>
      </c>
      <c r="HO95" s="80">
        <f t="shared" si="186"/>
        <v>0</v>
      </c>
      <c r="HP95" s="80">
        <f t="shared" si="186"/>
        <v>152.16791752575421</v>
      </c>
      <c r="HQ95" s="140">
        <f t="shared" si="186"/>
        <v>188.11758804121359</v>
      </c>
      <c r="HR95" s="80">
        <f t="shared" si="186"/>
        <v>18.048100795349082</v>
      </c>
      <c r="HS95" s="80">
        <f t="shared" si="186"/>
        <v>22.311964608250303</v>
      </c>
      <c r="HT95" s="80">
        <f t="shared" si="186"/>
        <v>0</v>
      </c>
      <c r="HU95" s="80">
        <f t="shared" si="186"/>
        <v>0</v>
      </c>
      <c r="HV95" s="80">
        <f t="shared" si="186"/>
        <v>162.43290715814172</v>
      </c>
      <c r="HW95" s="84">
        <f t="shared" si="186"/>
        <v>200.80768147425272</v>
      </c>
      <c r="HX95" s="80">
        <f t="shared" si="186"/>
        <v>4.4482434248656428</v>
      </c>
      <c r="HY95" s="80">
        <f t="shared" si="186"/>
        <v>323.33225516677942</v>
      </c>
      <c r="HZ95" s="80">
        <f t="shared" si="186"/>
        <v>0.35242572277290829</v>
      </c>
      <c r="IA95" s="80">
        <f t="shared" si="186"/>
        <v>0.49746751806262957</v>
      </c>
      <c r="IB95" s="80">
        <f t="shared" ref="IB95:IO95" si="187">SUM(IB66:IB78)</f>
        <v>1.1738847929880474</v>
      </c>
      <c r="IC95" s="80">
        <f t="shared" si="187"/>
        <v>5.8048603013258964</v>
      </c>
      <c r="ID95" s="80">
        <f t="shared" si="187"/>
        <v>8.7668418965321244</v>
      </c>
      <c r="IE95" s="80">
        <f t="shared" si="187"/>
        <v>169.12430245784915</v>
      </c>
      <c r="IF95" s="80">
        <f t="shared" si="187"/>
        <v>0.77929292022310748</v>
      </c>
      <c r="IG95" s="80">
        <f t="shared" si="187"/>
        <v>1.0251820909104381</v>
      </c>
      <c r="IH95" s="80">
        <f t="shared" si="187"/>
        <v>2.7390645169721108</v>
      </c>
      <c r="II95" s="80">
        <f t="shared" si="187"/>
        <v>13.544674036427091</v>
      </c>
      <c r="IJ95" s="80">
        <f t="shared" si="187"/>
        <v>0</v>
      </c>
      <c r="IK95" s="80">
        <f t="shared" si="187"/>
        <v>0</v>
      </c>
      <c r="IL95" s="80">
        <f t="shared" si="187"/>
        <v>0</v>
      </c>
      <c r="IM95" s="80">
        <f t="shared" si="187"/>
        <v>0</v>
      </c>
      <c r="IN95" s="80">
        <f t="shared" si="187"/>
        <v>0</v>
      </c>
      <c r="IO95" s="80">
        <f t="shared" si="187"/>
        <v>0</v>
      </c>
    </row>
    <row r="96" spans="1:249" ht="18" x14ac:dyDescent="0.25">
      <c r="A96" s="562" t="s">
        <v>43</v>
      </c>
      <c r="B96" s="564"/>
      <c r="C96" s="80">
        <f>SUM(C79:C93)</f>
        <v>0</v>
      </c>
      <c r="D96" s="80">
        <f t="shared" ref="D96:BO96" si="188">SUM(D79:D93)</f>
        <v>0</v>
      </c>
      <c r="E96" s="80">
        <f t="shared" si="188"/>
        <v>0</v>
      </c>
      <c r="F96" s="80">
        <f t="shared" si="188"/>
        <v>0</v>
      </c>
      <c r="G96" s="80">
        <f t="shared" si="188"/>
        <v>0</v>
      </c>
      <c r="H96" s="80">
        <f t="shared" si="188"/>
        <v>0</v>
      </c>
      <c r="I96" s="80">
        <f t="shared" si="188"/>
        <v>0</v>
      </c>
      <c r="J96" s="80">
        <f t="shared" si="188"/>
        <v>0</v>
      </c>
      <c r="K96" s="80">
        <f t="shared" si="188"/>
        <v>0</v>
      </c>
      <c r="L96" s="80">
        <f t="shared" si="188"/>
        <v>0</v>
      </c>
      <c r="M96" s="80">
        <f t="shared" si="188"/>
        <v>0</v>
      </c>
      <c r="N96" s="140">
        <f t="shared" si="188"/>
        <v>0</v>
      </c>
      <c r="O96" s="80">
        <f t="shared" si="188"/>
        <v>0.34383345749999994</v>
      </c>
      <c r="P96" s="80">
        <f t="shared" si="188"/>
        <v>1.5509126902499997</v>
      </c>
      <c r="Q96" s="80">
        <f t="shared" si="188"/>
        <v>0</v>
      </c>
      <c r="R96" s="80">
        <f t="shared" si="188"/>
        <v>0</v>
      </c>
      <c r="S96" s="80">
        <f t="shared" si="188"/>
        <v>0.25469145000000004</v>
      </c>
      <c r="T96" s="80">
        <f t="shared" si="188"/>
        <v>1.1488242149999999</v>
      </c>
      <c r="U96" s="80">
        <f t="shared" si="188"/>
        <v>0.80227806749999986</v>
      </c>
      <c r="V96" s="80">
        <f t="shared" si="188"/>
        <v>3.6187962772499991</v>
      </c>
      <c r="W96" s="80">
        <f t="shared" si="188"/>
        <v>0</v>
      </c>
      <c r="X96" s="80">
        <f t="shared" si="188"/>
        <v>0</v>
      </c>
      <c r="Y96" s="80">
        <f t="shared" si="188"/>
        <v>0.59428005000000006</v>
      </c>
      <c r="Z96" s="84">
        <f t="shared" si="188"/>
        <v>2.6805898349999997</v>
      </c>
      <c r="AA96" s="80">
        <f t="shared" si="188"/>
        <v>0</v>
      </c>
      <c r="AB96" s="80">
        <f t="shared" si="188"/>
        <v>0</v>
      </c>
      <c r="AC96" s="80">
        <f t="shared" si="188"/>
        <v>0</v>
      </c>
      <c r="AD96" s="80">
        <f t="shared" si="188"/>
        <v>0</v>
      </c>
      <c r="AE96" s="80">
        <f t="shared" si="188"/>
        <v>0</v>
      </c>
      <c r="AF96" s="80">
        <f t="shared" si="188"/>
        <v>0</v>
      </c>
      <c r="AG96" s="80">
        <f t="shared" si="188"/>
        <v>0</v>
      </c>
      <c r="AH96" s="80">
        <f t="shared" si="188"/>
        <v>0</v>
      </c>
      <c r="AI96" s="80">
        <f t="shared" si="188"/>
        <v>0</v>
      </c>
      <c r="AJ96" s="80">
        <f t="shared" si="188"/>
        <v>0</v>
      </c>
      <c r="AK96" s="80">
        <f t="shared" si="188"/>
        <v>0</v>
      </c>
      <c r="AL96" s="140">
        <f t="shared" si="188"/>
        <v>0</v>
      </c>
      <c r="AM96" s="80">
        <f t="shared" si="188"/>
        <v>0</v>
      </c>
      <c r="AN96" s="80">
        <f t="shared" si="188"/>
        <v>0</v>
      </c>
      <c r="AO96" s="80">
        <f t="shared" si="188"/>
        <v>0.22922230500000002</v>
      </c>
      <c r="AP96" s="80">
        <f t="shared" si="188"/>
        <v>1.0339417934999999</v>
      </c>
      <c r="AQ96" s="80">
        <f t="shared" si="188"/>
        <v>0.42448575</v>
      </c>
      <c r="AR96" s="80">
        <f t="shared" si="188"/>
        <v>1.9147070249999998</v>
      </c>
      <c r="AS96" s="80">
        <f t="shared" si="188"/>
        <v>0</v>
      </c>
      <c r="AT96" s="80">
        <f t="shared" si="188"/>
        <v>0</v>
      </c>
      <c r="AU96" s="80">
        <f t="shared" si="188"/>
        <v>0.53485204500000005</v>
      </c>
      <c r="AV96" s="80">
        <f t="shared" si="188"/>
        <v>2.4125308514999997</v>
      </c>
      <c r="AW96" s="80">
        <f t="shared" si="188"/>
        <v>0.99046675000000006</v>
      </c>
      <c r="AX96" s="84">
        <f t="shared" si="188"/>
        <v>4.4676497250000002</v>
      </c>
      <c r="AY96" s="80">
        <f t="shared" si="188"/>
        <v>0</v>
      </c>
      <c r="AZ96" s="80">
        <f t="shared" si="188"/>
        <v>0</v>
      </c>
      <c r="BA96" s="80">
        <f t="shared" si="188"/>
        <v>0</v>
      </c>
      <c r="BB96" s="80">
        <f t="shared" si="188"/>
        <v>0</v>
      </c>
      <c r="BC96" s="80">
        <f t="shared" si="188"/>
        <v>0</v>
      </c>
      <c r="BD96" s="80">
        <f t="shared" si="188"/>
        <v>0</v>
      </c>
      <c r="BE96" s="80">
        <f t="shared" si="188"/>
        <v>0</v>
      </c>
      <c r="BF96" s="80">
        <f t="shared" si="188"/>
        <v>0</v>
      </c>
      <c r="BG96" s="80">
        <f t="shared" si="188"/>
        <v>0</v>
      </c>
      <c r="BH96" s="80">
        <f t="shared" si="188"/>
        <v>0</v>
      </c>
      <c r="BI96" s="80">
        <f t="shared" si="188"/>
        <v>0</v>
      </c>
      <c r="BJ96" s="140">
        <f t="shared" si="188"/>
        <v>0</v>
      </c>
      <c r="BK96" s="80">
        <f t="shared" si="188"/>
        <v>0</v>
      </c>
      <c r="BL96" s="80">
        <f t="shared" si="188"/>
        <v>0</v>
      </c>
      <c r="BM96" s="80">
        <f t="shared" si="188"/>
        <v>0</v>
      </c>
      <c r="BN96" s="80">
        <f t="shared" si="188"/>
        <v>0</v>
      </c>
      <c r="BO96" s="80">
        <f t="shared" si="188"/>
        <v>0</v>
      </c>
      <c r="BP96" s="80">
        <f t="shared" ref="BP96:EA96" si="189">SUM(BP79:BP93)</f>
        <v>0</v>
      </c>
      <c r="BQ96" s="80">
        <f t="shared" si="189"/>
        <v>0</v>
      </c>
      <c r="BR96" s="80">
        <f t="shared" si="189"/>
        <v>0</v>
      </c>
      <c r="BS96" s="80">
        <f t="shared" si="189"/>
        <v>1.6579742253749996</v>
      </c>
      <c r="BT96" s="80">
        <f t="shared" si="189"/>
        <v>34.115094124649985</v>
      </c>
      <c r="BU96" s="80">
        <f t="shared" si="189"/>
        <v>0</v>
      </c>
      <c r="BV96" s="80">
        <f t="shared" si="189"/>
        <v>0</v>
      </c>
      <c r="BW96" s="80">
        <f t="shared" si="189"/>
        <v>0</v>
      </c>
      <c r="BX96" s="80">
        <f t="shared" si="189"/>
        <v>0</v>
      </c>
      <c r="BY96" s="80">
        <f t="shared" si="189"/>
        <v>3.8686065258749993</v>
      </c>
      <c r="BZ96" s="80">
        <f t="shared" si="189"/>
        <v>79.60188629084999</v>
      </c>
      <c r="CA96" s="80">
        <f t="shared" si="189"/>
        <v>0</v>
      </c>
      <c r="CB96" s="140">
        <f t="shared" si="189"/>
        <v>0</v>
      </c>
      <c r="CC96" s="80">
        <f t="shared" si="189"/>
        <v>0</v>
      </c>
      <c r="CD96" s="80">
        <f t="shared" si="189"/>
        <v>0</v>
      </c>
      <c r="CE96" s="80">
        <f t="shared" si="189"/>
        <v>0</v>
      </c>
      <c r="CF96" s="80">
        <f t="shared" si="189"/>
        <v>0</v>
      </c>
      <c r="CG96" s="80">
        <f t="shared" si="189"/>
        <v>0</v>
      </c>
      <c r="CH96" s="80">
        <f t="shared" si="189"/>
        <v>0</v>
      </c>
      <c r="CI96" s="80">
        <f t="shared" si="189"/>
        <v>0</v>
      </c>
      <c r="CJ96" s="80">
        <f t="shared" si="189"/>
        <v>0</v>
      </c>
      <c r="CK96" s="80">
        <f t="shared" si="189"/>
        <v>0</v>
      </c>
      <c r="CL96" s="80">
        <f t="shared" si="189"/>
        <v>0</v>
      </c>
      <c r="CM96" s="80">
        <f t="shared" si="189"/>
        <v>0</v>
      </c>
      <c r="CN96" s="140">
        <f t="shared" si="189"/>
        <v>0</v>
      </c>
      <c r="CO96" s="80">
        <f t="shared" si="189"/>
        <v>1.6075200000000003E-3</v>
      </c>
      <c r="CP96" s="80">
        <f t="shared" si="189"/>
        <v>8.9428347000000026E-3</v>
      </c>
      <c r="CQ96" s="80">
        <f t="shared" si="189"/>
        <v>2.41128E-2</v>
      </c>
      <c r="CR96" s="80">
        <f t="shared" si="189"/>
        <v>0.13414252050000003</v>
      </c>
      <c r="CS96" s="80">
        <f t="shared" si="189"/>
        <v>8.8413600000000009E-2</v>
      </c>
      <c r="CT96" s="80">
        <f t="shared" si="189"/>
        <v>1.9674236340000002</v>
      </c>
      <c r="CU96" s="80">
        <f t="shared" si="189"/>
        <v>3.7508800000000007E-3</v>
      </c>
      <c r="CV96" s="80">
        <f t="shared" si="189"/>
        <v>2.0866614300000003E-2</v>
      </c>
      <c r="CW96" s="80">
        <f t="shared" si="189"/>
        <v>5.6263199999999999E-2</v>
      </c>
      <c r="CX96" s="80">
        <f t="shared" si="189"/>
        <v>0.31299921449999996</v>
      </c>
      <c r="CY96" s="80">
        <f t="shared" si="189"/>
        <v>0.20629840000000002</v>
      </c>
      <c r="CZ96" s="84">
        <f t="shared" si="189"/>
        <v>4.5906551460000005</v>
      </c>
      <c r="DA96" s="80">
        <f t="shared" si="189"/>
        <v>0</v>
      </c>
      <c r="DB96" s="80">
        <f t="shared" si="189"/>
        <v>0</v>
      </c>
      <c r="DC96" s="80">
        <f t="shared" si="189"/>
        <v>0</v>
      </c>
      <c r="DD96" s="80">
        <f t="shared" si="189"/>
        <v>0</v>
      </c>
      <c r="DE96" s="80">
        <f t="shared" si="189"/>
        <v>0</v>
      </c>
      <c r="DF96" s="80">
        <f t="shared" si="189"/>
        <v>0</v>
      </c>
      <c r="DG96" s="80">
        <f t="shared" si="189"/>
        <v>0</v>
      </c>
      <c r="DH96" s="80">
        <f t="shared" si="189"/>
        <v>0</v>
      </c>
      <c r="DI96" s="80">
        <f t="shared" si="189"/>
        <v>0</v>
      </c>
      <c r="DJ96" s="80">
        <f t="shared" si="189"/>
        <v>0</v>
      </c>
      <c r="DK96" s="80">
        <f t="shared" si="189"/>
        <v>0</v>
      </c>
      <c r="DL96" s="140">
        <f t="shared" si="189"/>
        <v>0</v>
      </c>
      <c r="DM96" s="80">
        <f t="shared" si="189"/>
        <v>0</v>
      </c>
      <c r="DN96" s="80">
        <f t="shared" si="189"/>
        <v>0</v>
      </c>
      <c r="DO96" s="80">
        <f t="shared" si="189"/>
        <v>0</v>
      </c>
      <c r="DP96" s="80">
        <f t="shared" si="189"/>
        <v>0</v>
      </c>
      <c r="DQ96" s="80">
        <f t="shared" si="189"/>
        <v>0</v>
      </c>
      <c r="DR96" s="140">
        <f t="shared" si="189"/>
        <v>0</v>
      </c>
      <c r="DS96" s="80">
        <f t="shared" si="189"/>
        <v>0.61873484660400002</v>
      </c>
      <c r="DT96" s="80">
        <f t="shared" si="189"/>
        <v>20.747249063747056</v>
      </c>
      <c r="DU96" s="80">
        <f t="shared" si="189"/>
        <v>0</v>
      </c>
      <c r="DV96" s="80">
        <f t="shared" si="189"/>
        <v>0</v>
      </c>
      <c r="DW96" s="80">
        <f t="shared" si="189"/>
        <v>0</v>
      </c>
      <c r="DX96" s="80">
        <f t="shared" si="189"/>
        <v>0</v>
      </c>
      <c r="DY96" s="80">
        <f t="shared" si="189"/>
        <v>1.4437146420760001</v>
      </c>
      <c r="DZ96" s="80">
        <f t="shared" si="189"/>
        <v>48.410247815409804</v>
      </c>
      <c r="EA96" s="80">
        <f t="shared" si="189"/>
        <v>0</v>
      </c>
      <c r="EB96" s="80">
        <f t="shared" ref="EB96:FH96" si="190">SUM(EB79:EB93)</f>
        <v>0</v>
      </c>
      <c r="EC96" s="80">
        <f t="shared" si="190"/>
        <v>0</v>
      </c>
      <c r="ED96" s="84">
        <f t="shared" si="190"/>
        <v>0</v>
      </c>
      <c r="EE96" s="80">
        <f t="shared" si="190"/>
        <v>0</v>
      </c>
      <c r="EF96" s="80">
        <f t="shared" si="190"/>
        <v>0</v>
      </c>
      <c r="EG96" s="80">
        <f t="shared" si="190"/>
        <v>0</v>
      </c>
      <c r="EH96" s="80">
        <f t="shared" si="190"/>
        <v>0</v>
      </c>
      <c r="EI96" s="80">
        <f t="shared" si="190"/>
        <v>0</v>
      </c>
      <c r="EJ96" s="140">
        <f t="shared" si="190"/>
        <v>0</v>
      </c>
      <c r="EK96" s="80">
        <f t="shared" si="190"/>
        <v>0</v>
      </c>
      <c r="EL96" s="80">
        <f t="shared" si="190"/>
        <v>0</v>
      </c>
      <c r="EM96" s="80">
        <f t="shared" si="190"/>
        <v>0</v>
      </c>
      <c r="EN96" s="80">
        <f t="shared" si="190"/>
        <v>0</v>
      </c>
      <c r="EO96" s="80">
        <f t="shared" si="190"/>
        <v>0</v>
      </c>
      <c r="EP96" s="140">
        <f t="shared" si="190"/>
        <v>0</v>
      </c>
      <c r="EQ96" s="80">
        <f t="shared" si="190"/>
        <v>0</v>
      </c>
      <c r="ER96" s="80">
        <f t="shared" si="190"/>
        <v>1.6016980093426743E-3</v>
      </c>
      <c r="ES96" s="80">
        <f t="shared" si="190"/>
        <v>0</v>
      </c>
      <c r="ET96" s="80">
        <f t="shared" si="190"/>
        <v>0</v>
      </c>
      <c r="EU96" s="80">
        <f t="shared" si="190"/>
        <v>0</v>
      </c>
      <c r="EV96" s="140">
        <f t="shared" si="190"/>
        <v>1.4415282084084066E-2</v>
      </c>
      <c r="EW96" s="80">
        <f t="shared" si="190"/>
        <v>0</v>
      </c>
      <c r="EX96" s="80">
        <f t="shared" si="190"/>
        <v>25.152485366862006</v>
      </c>
      <c r="EY96" s="80">
        <f t="shared" si="190"/>
        <v>0</v>
      </c>
      <c r="EZ96" s="80">
        <f t="shared" si="190"/>
        <v>0</v>
      </c>
      <c r="FA96" s="80">
        <f t="shared" si="190"/>
        <v>0</v>
      </c>
      <c r="FB96" s="140">
        <f t="shared" si="190"/>
        <v>226.37236830175809</v>
      </c>
      <c r="FC96" s="80">
        <f t="shared" si="190"/>
        <v>0</v>
      </c>
      <c r="FD96" s="80">
        <f t="shared" si="190"/>
        <v>33.745758485128668</v>
      </c>
      <c r="FE96" s="80">
        <f t="shared" si="190"/>
        <v>0</v>
      </c>
      <c r="FF96" s="80">
        <f t="shared" si="190"/>
        <v>0</v>
      </c>
      <c r="FG96" s="80">
        <f t="shared" si="190"/>
        <v>0</v>
      </c>
      <c r="FH96" s="84">
        <f t="shared" si="190"/>
        <v>303.71182636615799</v>
      </c>
      <c r="FI96" s="233"/>
      <c r="FJ96" s="233"/>
      <c r="FP96" s="92">
        <f t="shared" ref="FP96:IA96" si="191">SUM(FP79:FP93)</f>
        <v>0.34383345749999994</v>
      </c>
      <c r="FQ96" s="80">
        <f t="shared" si="191"/>
        <v>1.5509126902499997</v>
      </c>
      <c r="FR96" s="80">
        <f t="shared" si="191"/>
        <v>0</v>
      </c>
      <c r="FS96" s="80">
        <f t="shared" si="191"/>
        <v>0</v>
      </c>
      <c r="FT96" s="80">
        <f t="shared" si="191"/>
        <v>0.25469145000000004</v>
      </c>
      <c r="FU96" s="80">
        <f t="shared" si="191"/>
        <v>1.1488242149999999</v>
      </c>
      <c r="FV96" s="80">
        <f t="shared" si="191"/>
        <v>0.80227806749999986</v>
      </c>
      <c r="FW96" s="80">
        <f t="shared" si="191"/>
        <v>3.6187962772499991</v>
      </c>
      <c r="FX96" s="80">
        <f t="shared" si="191"/>
        <v>0</v>
      </c>
      <c r="FY96" s="80">
        <f t="shared" si="191"/>
        <v>0</v>
      </c>
      <c r="FZ96" s="80">
        <f t="shared" si="191"/>
        <v>0.59428005000000006</v>
      </c>
      <c r="GA96" s="84">
        <f t="shared" si="191"/>
        <v>2.6805898349999997</v>
      </c>
      <c r="GB96" s="80">
        <f t="shared" si="191"/>
        <v>0</v>
      </c>
      <c r="GC96" s="80">
        <f t="shared" si="191"/>
        <v>0</v>
      </c>
      <c r="GD96" s="80">
        <f t="shared" si="191"/>
        <v>1.8796778190986054</v>
      </c>
      <c r="GE96" s="80">
        <f t="shared" si="191"/>
        <v>35.008999918476086</v>
      </c>
      <c r="GF96" s="80">
        <f t="shared" si="191"/>
        <v>0.42279457171314744</v>
      </c>
      <c r="GG96" s="80">
        <f t="shared" si="191"/>
        <v>1.9070787101593627</v>
      </c>
      <c r="GH96" s="80">
        <f t="shared" si="191"/>
        <v>0</v>
      </c>
      <c r="GI96" s="80">
        <f t="shared" si="191"/>
        <v>0</v>
      </c>
      <c r="GJ96" s="80">
        <f t="shared" si="191"/>
        <v>4.3859149112300786</v>
      </c>
      <c r="GK96" s="80">
        <f t="shared" si="191"/>
        <v>81.687666476444178</v>
      </c>
      <c r="GL96" s="80">
        <f t="shared" si="191"/>
        <v>0.98652066733067734</v>
      </c>
      <c r="GM96" s="80">
        <f t="shared" si="191"/>
        <v>4.4498503237051787</v>
      </c>
      <c r="GN96" s="80">
        <f t="shared" si="191"/>
        <v>0</v>
      </c>
      <c r="GO96" s="80">
        <f t="shared" si="191"/>
        <v>0</v>
      </c>
      <c r="GP96" s="80">
        <f t="shared" si="191"/>
        <v>0</v>
      </c>
      <c r="GQ96" s="80">
        <f t="shared" si="191"/>
        <v>0</v>
      </c>
      <c r="GR96" s="80">
        <f t="shared" si="191"/>
        <v>0</v>
      </c>
      <c r="GS96" s="80">
        <f t="shared" si="191"/>
        <v>0</v>
      </c>
      <c r="GT96" s="80">
        <f t="shared" si="191"/>
        <v>1.2851714367891637E-2</v>
      </c>
      <c r="GU96" s="80">
        <f t="shared" si="191"/>
        <v>0.43000875646185138</v>
      </c>
      <c r="GV96" s="80">
        <f t="shared" si="191"/>
        <v>4.9954804780876503E-4</v>
      </c>
      <c r="GW96" s="80">
        <f t="shared" si="191"/>
        <v>2.779048233466135E-3</v>
      </c>
      <c r="GX96" s="80">
        <f t="shared" si="191"/>
        <v>1.8316761752988049E-3</v>
      </c>
      <c r="GY96" s="80">
        <f t="shared" si="191"/>
        <v>4.0759374090836659E-2</v>
      </c>
      <c r="GZ96" s="80">
        <f t="shared" si="191"/>
        <v>2.9987333525080481E-2</v>
      </c>
      <c r="HA96" s="80">
        <f t="shared" si="191"/>
        <v>1.0033537650776534</v>
      </c>
      <c r="HB96" s="80">
        <f t="shared" si="191"/>
        <v>1.1656121115537848E-3</v>
      </c>
      <c r="HC96" s="80">
        <f t="shared" si="191"/>
        <v>6.4844458780876487E-3</v>
      </c>
      <c r="HD96" s="80">
        <f t="shared" si="191"/>
        <v>4.2739110756972107E-3</v>
      </c>
      <c r="HE96" s="140">
        <f t="shared" si="191"/>
        <v>9.510520621195219E-2</v>
      </c>
      <c r="HF96" s="80">
        <f t="shared" si="191"/>
        <v>0</v>
      </c>
      <c r="HG96" s="80">
        <f t="shared" si="191"/>
        <v>1.6591294120681087E-3</v>
      </c>
      <c r="HH96" s="80">
        <f t="shared" si="191"/>
        <v>0</v>
      </c>
      <c r="HI96" s="80">
        <f t="shared" si="191"/>
        <v>0</v>
      </c>
      <c r="HJ96" s="80">
        <f t="shared" si="191"/>
        <v>0</v>
      </c>
      <c r="HK96" s="140">
        <f t="shared" si="191"/>
        <v>1.4932164708612975E-2</v>
      </c>
      <c r="HL96" s="80">
        <f t="shared" si="191"/>
        <v>0</v>
      </c>
      <c r="HM96" s="80">
        <f t="shared" si="191"/>
        <v>26.05436731228734</v>
      </c>
      <c r="HN96" s="80">
        <f t="shared" si="191"/>
        <v>0</v>
      </c>
      <c r="HO96" s="80">
        <f t="shared" si="191"/>
        <v>0</v>
      </c>
      <c r="HP96" s="80">
        <f t="shared" si="191"/>
        <v>0</v>
      </c>
      <c r="HQ96" s="140">
        <f t="shared" si="191"/>
        <v>234.4893058105861</v>
      </c>
      <c r="HR96" s="80">
        <f t="shared" si="191"/>
        <v>0</v>
      </c>
      <c r="HS96" s="80">
        <f t="shared" si="191"/>
        <v>34.955765761487854</v>
      </c>
      <c r="HT96" s="80">
        <f t="shared" si="191"/>
        <v>0</v>
      </c>
      <c r="HU96" s="80">
        <f t="shared" si="191"/>
        <v>0</v>
      </c>
      <c r="HV96" s="80">
        <f t="shared" si="191"/>
        <v>0</v>
      </c>
      <c r="HW96" s="84">
        <f t="shared" si="191"/>
        <v>314.60189185339078</v>
      </c>
      <c r="HX96" s="80">
        <f t="shared" si="191"/>
        <v>0.68301918898279457</v>
      </c>
      <c r="HY96" s="80">
        <f t="shared" si="191"/>
        <v>22.853311526114851</v>
      </c>
      <c r="HZ96" s="80">
        <f t="shared" si="191"/>
        <v>2.6549057402390434E-2</v>
      </c>
      <c r="IA96" s="80">
        <f t="shared" si="191"/>
        <v>0.14769572496167332</v>
      </c>
      <c r="IB96" s="80">
        <f t="shared" ref="IB96:IO96" si="192">SUM(IB79:IB93)</f>
        <v>9.7346543808764938E-2</v>
      </c>
      <c r="IC96" s="80">
        <f t="shared" si="192"/>
        <v>2.166203966104542</v>
      </c>
      <c r="ID96" s="80">
        <f t="shared" si="192"/>
        <v>1.5937114409598538</v>
      </c>
      <c r="IE96" s="80">
        <f t="shared" si="192"/>
        <v>53.324393560934666</v>
      </c>
      <c r="IF96" s="80">
        <f t="shared" si="192"/>
        <v>6.1947800605577683E-2</v>
      </c>
      <c r="IG96" s="80">
        <f t="shared" si="192"/>
        <v>0.34462335824390433</v>
      </c>
      <c r="IH96" s="80">
        <f t="shared" si="192"/>
        <v>0.22714193555378487</v>
      </c>
      <c r="II96" s="80">
        <f t="shared" si="192"/>
        <v>5.0544759209105985</v>
      </c>
      <c r="IJ96" s="80">
        <f t="shared" si="192"/>
        <v>0</v>
      </c>
      <c r="IK96" s="80">
        <f t="shared" si="192"/>
        <v>0</v>
      </c>
      <c r="IL96" s="80">
        <f t="shared" si="192"/>
        <v>0</v>
      </c>
      <c r="IM96" s="80">
        <f t="shared" si="192"/>
        <v>0</v>
      </c>
      <c r="IN96" s="80">
        <f t="shared" si="192"/>
        <v>0</v>
      </c>
      <c r="IO96" s="80">
        <f t="shared" si="192"/>
        <v>0</v>
      </c>
    </row>
    <row r="97" spans="1:249" ht="19" thickBot="1" x14ac:dyDescent="0.3">
      <c r="A97" s="563" t="s">
        <v>0</v>
      </c>
      <c r="B97" s="564"/>
      <c r="C97" s="95">
        <f>SUM(C94:C96)</f>
        <v>191.49488548124995</v>
      </c>
      <c r="D97" s="95">
        <f t="shared" ref="D97:BO97" si="193">SUM(D94:D96)</f>
        <v>192.26849709375</v>
      </c>
      <c r="E97" s="95">
        <f t="shared" si="193"/>
        <v>0</v>
      </c>
      <c r="F97" s="95">
        <f t="shared" si="193"/>
        <v>0</v>
      </c>
      <c r="G97" s="95">
        <f t="shared" si="193"/>
        <v>134.29980037500002</v>
      </c>
      <c r="H97" s="95">
        <f t="shared" si="193"/>
        <v>134.61766972499998</v>
      </c>
      <c r="I97" s="95">
        <f t="shared" si="193"/>
        <v>191.49488548124995</v>
      </c>
      <c r="J97" s="95">
        <f t="shared" si="193"/>
        <v>192.26849709375</v>
      </c>
      <c r="K97" s="95">
        <f t="shared" si="193"/>
        <v>0</v>
      </c>
      <c r="L97" s="95">
        <f t="shared" si="193"/>
        <v>0</v>
      </c>
      <c r="M97" s="95">
        <f t="shared" si="193"/>
        <v>134.29980037500002</v>
      </c>
      <c r="N97" s="145">
        <f t="shared" si="193"/>
        <v>134.61766972499998</v>
      </c>
      <c r="O97" s="95">
        <f t="shared" si="193"/>
        <v>4.5507369374999991</v>
      </c>
      <c r="P97" s="95">
        <f t="shared" si="193"/>
        <v>5.7677733382499996</v>
      </c>
      <c r="Q97" s="95">
        <f t="shared" si="193"/>
        <v>0</v>
      </c>
      <c r="R97" s="95">
        <f t="shared" si="193"/>
        <v>0</v>
      </c>
      <c r="S97" s="95">
        <f t="shared" si="193"/>
        <v>3.3709162500000001</v>
      </c>
      <c r="T97" s="95">
        <f t="shared" si="193"/>
        <v>4.2724246949999998</v>
      </c>
      <c r="U97" s="95">
        <f t="shared" si="193"/>
        <v>10.618386187499997</v>
      </c>
      <c r="V97" s="95">
        <f t="shared" si="193"/>
        <v>13.458137789249999</v>
      </c>
      <c r="W97" s="95">
        <f t="shared" si="193"/>
        <v>0</v>
      </c>
      <c r="X97" s="95">
        <f t="shared" si="193"/>
        <v>0</v>
      </c>
      <c r="Y97" s="95">
        <f t="shared" si="193"/>
        <v>7.8654712499999997</v>
      </c>
      <c r="Z97" s="97">
        <f t="shared" si="193"/>
        <v>9.9689909549999989</v>
      </c>
      <c r="AA97" s="95">
        <f t="shared" si="193"/>
        <v>0</v>
      </c>
      <c r="AB97" s="95">
        <f t="shared" si="193"/>
        <v>0</v>
      </c>
      <c r="AC97" s="95">
        <f t="shared" si="193"/>
        <v>134.62652955375006</v>
      </c>
      <c r="AD97" s="95">
        <f t="shared" si="193"/>
        <v>135.37767075525002</v>
      </c>
      <c r="AE97" s="95">
        <f t="shared" si="193"/>
        <v>223.83300062499998</v>
      </c>
      <c r="AF97" s="95">
        <f t="shared" si="193"/>
        <v>224.36278287499997</v>
      </c>
      <c r="AG97" s="95">
        <f t="shared" si="193"/>
        <v>0</v>
      </c>
      <c r="AH97" s="95">
        <f t="shared" si="193"/>
        <v>0</v>
      </c>
      <c r="AI97" s="95">
        <f t="shared" si="193"/>
        <v>134.62652955375006</v>
      </c>
      <c r="AJ97" s="95">
        <f t="shared" si="193"/>
        <v>135.37767075525002</v>
      </c>
      <c r="AK97" s="95">
        <f t="shared" si="193"/>
        <v>223.83300062499998</v>
      </c>
      <c r="AL97" s="145">
        <f t="shared" si="193"/>
        <v>224.36278287499997</v>
      </c>
      <c r="AM97" s="95">
        <f t="shared" si="193"/>
        <v>0</v>
      </c>
      <c r="AN97" s="95">
        <f t="shared" si="193"/>
        <v>0</v>
      </c>
      <c r="AO97" s="95">
        <f t="shared" si="193"/>
        <v>3.0338246250000003</v>
      </c>
      <c r="AP97" s="95">
        <f t="shared" si="193"/>
        <v>3.8451822255000003</v>
      </c>
      <c r="AQ97" s="95">
        <f t="shared" si="193"/>
        <v>5.6181937499999988</v>
      </c>
      <c r="AR97" s="95">
        <f t="shared" si="193"/>
        <v>7.1207078249999984</v>
      </c>
      <c r="AS97" s="95">
        <f t="shared" si="193"/>
        <v>0</v>
      </c>
      <c r="AT97" s="95">
        <f t="shared" si="193"/>
        <v>0</v>
      </c>
      <c r="AU97" s="95">
        <f t="shared" si="193"/>
        <v>7.0789241250000003</v>
      </c>
      <c r="AV97" s="95">
        <f t="shared" si="193"/>
        <v>8.9720918595000008</v>
      </c>
      <c r="AW97" s="95">
        <f t="shared" si="193"/>
        <v>13.109118749999999</v>
      </c>
      <c r="AX97" s="97">
        <f t="shared" si="193"/>
        <v>16.614984925000002</v>
      </c>
      <c r="AY97" s="95">
        <f t="shared" si="193"/>
        <v>0</v>
      </c>
      <c r="AZ97" s="95">
        <f t="shared" si="193"/>
        <v>0</v>
      </c>
      <c r="BA97" s="95">
        <f t="shared" si="193"/>
        <v>262.45590667773757</v>
      </c>
      <c r="BB97" s="95">
        <f t="shared" si="193"/>
        <v>2764.6298984650507</v>
      </c>
      <c r="BC97" s="95">
        <f t="shared" si="193"/>
        <v>0</v>
      </c>
      <c r="BD97" s="95">
        <f t="shared" si="193"/>
        <v>0</v>
      </c>
      <c r="BE97" s="95">
        <f t="shared" si="193"/>
        <v>0</v>
      </c>
      <c r="BF97" s="95">
        <f t="shared" si="193"/>
        <v>0</v>
      </c>
      <c r="BG97" s="95">
        <f t="shared" si="193"/>
        <v>29.161767408637505</v>
      </c>
      <c r="BH97" s="95">
        <f t="shared" si="193"/>
        <v>307.18109982945009</v>
      </c>
      <c r="BI97" s="95">
        <f t="shared" si="193"/>
        <v>0</v>
      </c>
      <c r="BJ97" s="145">
        <f t="shared" si="193"/>
        <v>0</v>
      </c>
      <c r="BK97" s="95">
        <f t="shared" si="193"/>
        <v>0</v>
      </c>
      <c r="BL97" s="95">
        <f t="shared" si="193"/>
        <v>0</v>
      </c>
      <c r="BM97" s="95">
        <f t="shared" si="193"/>
        <v>0</v>
      </c>
      <c r="BN97" s="95">
        <f t="shared" si="193"/>
        <v>0</v>
      </c>
      <c r="BO97" s="95">
        <f t="shared" si="193"/>
        <v>0</v>
      </c>
      <c r="BP97" s="95">
        <f t="shared" ref="BP97:EA97" si="194">SUM(BP94:BP96)</f>
        <v>0</v>
      </c>
      <c r="BQ97" s="95">
        <f t="shared" si="194"/>
        <v>0</v>
      </c>
      <c r="BR97" s="95">
        <f t="shared" si="194"/>
        <v>0</v>
      </c>
      <c r="BS97" s="95">
        <f t="shared" si="194"/>
        <v>8.9182815296249984</v>
      </c>
      <c r="BT97" s="95">
        <f t="shared" si="194"/>
        <v>106.89000876014997</v>
      </c>
      <c r="BU97" s="95">
        <f t="shared" si="194"/>
        <v>0</v>
      </c>
      <c r="BV97" s="95">
        <f t="shared" si="194"/>
        <v>0</v>
      </c>
      <c r="BW97" s="95">
        <f t="shared" si="194"/>
        <v>0</v>
      </c>
      <c r="BX97" s="95">
        <f t="shared" si="194"/>
        <v>0</v>
      </c>
      <c r="BY97" s="95">
        <f t="shared" si="194"/>
        <v>20.809323569124999</v>
      </c>
      <c r="BZ97" s="95">
        <f t="shared" si="194"/>
        <v>249.41002044034997</v>
      </c>
      <c r="CA97" s="95">
        <f t="shared" si="194"/>
        <v>0</v>
      </c>
      <c r="CB97" s="145">
        <f t="shared" si="194"/>
        <v>0</v>
      </c>
      <c r="CC97" s="95">
        <f t="shared" si="194"/>
        <v>0.89588902000000037</v>
      </c>
      <c r="CD97" s="95">
        <f t="shared" si="194"/>
        <v>1.1094131977750001</v>
      </c>
      <c r="CE97" s="95">
        <f t="shared" si="194"/>
        <v>14.1618966</v>
      </c>
      <c r="CF97" s="95">
        <f t="shared" si="194"/>
        <v>17.563756575749998</v>
      </c>
      <c r="CG97" s="95">
        <f t="shared" si="194"/>
        <v>46.620838000000006</v>
      </c>
      <c r="CH97" s="95">
        <f t="shared" si="194"/>
        <v>230.54004391000001</v>
      </c>
      <c r="CI97" s="95">
        <f t="shared" si="194"/>
        <v>0.89588902000000037</v>
      </c>
      <c r="CJ97" s="95">
        <f t="shared" si="194"/>
        <v>1.1094131977750001</v>
      </c>
      <c r="CK97" s="95">
        <f t="shared" si="194"/>
        <v>14.1618966</v>
      </c>
      <c r="CL97" s="95">
        <f t="shared" si="194"/>
        <v>17.563756575749998</v>
      </c>
      <c r="CM97" s="95">
        <f t="shared" si="194"/>
        <v>46.620838000000006</v>
      </c>
      <c r="CN97" s="145">
        <f t="shared" si="194"/>
        <v>230.54004391000001</v>
      </c>
      <c r="CO97" s="95">
        <f t="shared" si="194"/>
        <v>2.1276000000000007E-2</v>
      </c>
      <c r="CP97" s="95">
        <f t="shared" si="194"/>
        <v>3.3257993100000008E-2</v>
      </c>
      <c r="CQ97" s="95">
        <f t="shared" si="194"/>
        <v>0.31913999999999992</v>
      </c>
      <c r="CR97" s="95">
        <f t="shared" si="194"/>
        <v>0.49886989650000002</v>
      </c>
      <c r="CS97" s="95">
        <f t="shared" si="194"/>
        <v>1.1701799999999998</v>
      </c>
      <c r="CT97" s="95">
        <f t="shared" si="194"/>
        <v>7.316758482</v>
      </c>
      <c r="CU97" s="95">
        <f t="shared" si="194"/>
        <v>4.9644000000000001E-2</v>
      </c>
      <c r="CV97" s="95">
        <f t="shared" si="194"/>
        <v>7.7601983900000004E-2</v>
      </c>
      <c r="CW97" s="95">
        <f t="shared" si="194"/>
        <v>0.74465999999999977</v>
      </c>
      <c r="CX97" s="95">
        <f t="shared" si="194"/>
        <v>1.1640297585000001</v>
      </c>
      <c r="CY97" s="95">
        <f t="shared" si="194"/>
        <v>2.7304200000000005</v>
      </c>
      <c r="CZ97" s="97">
        <f t="shared" si="194"/>
        <v>17.072436457999999</v>
      </c>
      <c r="DA97" s="95">
        <f t="shared" si="194"/>
        <v>141.56487588036555</v>
      </c>
      <c r="DB97" s="95">
        <f t="shared" si="194"/>
        <v>5814.9718820586004</v>
      </c>
      <c r="DC97" s="95">
        <f t="shared" si="194"/>
        <v>0</v>
      </c>
      <c r="DD97" s="95">
        <f t="shared" si="194"/>
        <v>0</v>
      </c>
      <c r="DE97" s="95">
        <f t="shared" si="194"/>
        <v>0</v>
      </c>
      <c r="DF97" s="95">
        <f t="shared" si="194"/>
        <v>0</v>
      </c>
      <c r="DG97" s="95">
        <f t="shared" si="194"/>
        <v>15.729430653373946</v>
      </c>
      <c r="DH97" s="95">
        <f t="shared" si="194"/>
        <v>646.10798689540013</v>
      </c>
      <c r="DI97" s="95">
        <f t="shared" si="194"/>
        <v>0</v>
      </c>
      <c r="DJ97" s="95">
        <f t="shared" si="194"/>
        <v>0</v>
      </c>
      <c r="DK97" s="95">
        <f t="shared" si="194"/>
        <v>0</v>
      </c>
      <c r="DL97" s="145">
        <f t="shared" si="194"/>
        <v>0</v>
      </c>
      <c r="DM97" s="95">
        <f t="shared" si="194"/>
        <v>0</v>
      </c>
      <c r="DN97" s="95">
        <f t="shared" si="194"/>
        <v>0</v>
      </c>
      <c r="DO97" s="95">
        <f t="shared" si="194"/>
        <v>0</v>
      </c>
      <c r="DP97" s="95">
        <f t="shared" si="194"/>
        <v>0</v>
      </c>
      <c r="DQ97" s="95">
        <f t="shared" si="194"/>
        <v>0</v>
      </c>
      <c r="DR97" s="145">
        <f t="shared" si="194"/>
        <v>0</v>
      </c>
      <c r="DS97" s="95">
        <f t="shared" si="194"/>
        <v>3.9811836188486249</v>
      </c>
      <c r="DT97" s="95">
        <f t="shared" si="194"/>
        <v>75.199814881039401</v>
      </c>
      <c r="DU97" s="95">
        <f t="shared" si="194"/>
        <v>0</v>
      </c>
      <c r="DV97" s="95">
        <f t="shared" si="194"/>
        <v>0</v>
      </c>
      <c r="DW97" s="95">
        <f t="shared" si="194"/>
        <v>0</v>
      </c>
      <c r="DX97" s="95">
        <f t="shared" si="194"/>
        <v>0</v>
      </c>
      <c r="DY97" s="95">
        <f t="shared" si="194"/>
        <v>9.2894284439801229</v>
      </c>
      <c r="DZ97" s="95">
        <f t="shared" si="194"/>
        <v>175.46623472242527</v>
      </c>
      <c r="EA97" s="95">
        <f t="shared" si="194"/>
        <v>0</v>
      </c>
      <c r="EB97" s="95">
        <f t="shared" ref="EB97:FH97" si="195">SUM(EB94:EB96)</f>
        <v>0</v>
      </c>
      <c r="EC97" s="95">
        <f t="shared" si="195"/>
        <v>0</v>
      </c>
      <c r="ED97" s="97">
        <f t="shared" si="195"/>
        <v>0</v>
      </c>
      <c r="EE97" s="95">
        <f t="shared" si="195"/>
        <v>0</v>
      </c>
      <c r="EF97" s="95">
        <f t="shared" si="195"/>
        <v>0</v>
      </c>
      <c r="EG97" s="95">
        <f t="shared" si="195"/>
        <v>0</v>
      </c>
      <c r="EH97" s="95">
        <f t="shared" si="195"/>
        <v>0</v>
      </c>
      <c r="EI97" s="95">
        <f t="shared" si="195"/>
        <v>0</v>
      </c>
      <c r="EJ97" s="145">
        <f t="shared" si="195"/>
        <v>0</v>
      </c>
      <c r="EK97" s="95">
        <f t="shared" si="195"/>
        <v>3.9380330051301496E-6</v>
      </c>
      <c r="EL97" s="95">
        <f t="shared" si="195"/>
        <v>4.8683933025921475E-6</v>
      </c>
      <c r="EM97" s="95">
        <f t="shared" si="195"/>
        <v>0</v>
      </c>
      <c r="EN97" s="95">
        <f t="shared" si="195"/>
        <v>0</v>
      </c>
      <c r="EO97" s="95">
        <f t="shared" si="195"/>
        <v>3.5442297046171342E-5</v>
      </c>
      <c r="EP97" s="145">
        <f t="shared" si="195"/>
        <v>4.3815539723329316E-5</v>
      </c>
      <c r="EQ97" s="95">
        <f t="shared" si="195"/>
        <v>1.6050309528440579E-3</v>
      </c>
      <c r="ER97" s="95">
        <f t="shared" si="195"/>
        <v>3.5859175247961415E-3</v>
      </c>
      <c r="ES97" s="95">
        <f t="shared" si="195"/>
        <v>0</v>
      </c>
      <c r="ET97" s="95">
        <f t="shared" si="195"/>
        <v>0</v>
      </c>
      <c r="EU97" s="95">
        <f t="shared" si="195"/>
        <v>1.4445278575596521E-2</v>
      </c>
      <c r="EV97" s="145">
        <f t="shared" si="195"/>
        <v>3.227325772316527E-2</v>
      </c>
      <c r="EW97" s="95">
        <f t="shared" si="195"/>
        <v>22.068873047414144</v>
      </c>
      <c r="EX97" s="95">
        <f t="shared" si="195"/>
        <v>52.435129671727736</v>
      </c>
      <c r="EY97" s="95">
        <f t="shared" si="195"/>
        <v>0</v>
      </c>
      <c r="EZ97" s="95">
        <f t="shared" si="195"/>
        <v>0</v>
      </c>
      <c r="FA97" s="95">
        <f t="shared" si="195"/>
        <v>198.61985742672726</v>
      </c>
      <c r="FB97" s="145">
        <f t="shared" si="195"/>
        <v>471.91616704554968</v>
      </c>
      <c r="FC97" s="95">
        <f t="shared" si="195"/>
        <v>22.676333983600017</v>
      </c>
      <c r="FD97" s="95">
        <f t="shared" si="195"/>
        <v>61.779376372354186</v>
      </c>
      <c r="FE97" s="95">
        <f t="shared" si="195"/>
        <v>0</v>
      </c>
      <c r="FF97" s="95">
        <f t="shared" si="195"/>
        <v>0</v>
      </c>
      <c r="FG97" s="95">
        <f t="shared" si="195"/>
        <v>204.08700585240013</v>
      </c>
      <c r="FH97" s="97">
        <f t="shared" si="195"/>
        <v>556.01438735118768</v>
      </c>
      <c r="FI97" s="234"/>
      <c r="FJ97" s="234"/>
      <c r="FP97" s="93">
        <f t="shared" ref="FP97" si="196">SUM(FP94:FP96)</f>
        <v>196.04562241874999</v>
      </c>
      <c r="FQ97" s="95">
        <f t="shared" ref="FQ97" si="197">SUM(FQ94:FQ96)</f>
        <v>198.03627043199998</v>
      </c>
      <c r="FR97" s="95">
        <f t="shared" ref="FR97" si="198">SUM(FR94:FR96)</f>
        <v>0</v>
      </c>
      <c r="FS97" s="95">
        <f t="shared" ref="FS97" si="199">SUM(FS94:FS96)</f>
        <v>0</v>
      </c>
      <c r="FT97" s="95">
        <f t="shared" ref="FT97" si="200">SUM(FT94:FT96)</f>
        <v>137.67071662500001</v>
      </c>
      <c r="FU97" s="95">
        <f t="shared" ref="FU97" si="201">SUM(FU94:FU96)</f>
        <v>138.89009441999997</v>
      </c>
      <c r="FV97" s="95">
        <f t="shared" ref="FV97" si="202">SUM(FV94:FV96)</f>
        <v>202.11327166874995</v>
      </c>
      <c r="FW97" s="95">
        <f t="shared" ref="FW97" si="203">SUM(FW94:FW96)</f>
        <v>205.72663488299997</v>
      </c>
      <c r="FX97" s="95">
        <f t="shared" ref="FX97" si="204">SUM(FX94:FX96)</f>
        <v>0</v>
      </c>
      <c r="FY97" s="95">
        <f t="shared" ref="FY97" si="205">SUM(FY94:FY96)</f>
        <v>0</v>
      </c>
      <c r="FZ97" s="95">
        <f t="shared" ref="FZ97" si="206">SUM(FZ94:FZ96)</f>
        <v>142.165271625</v>
      </c>
      <c r="GA97" s="97">
        <f t="shared" ref="GA97" si="207">SUM(GA94:GA96)</f>
        <v>144.58666067999999</v>
      </c>
      <c r="GB97" s="95">
        <f t="shared" ref="GB97" si="208">SUM(GB94:GB96)</f>
        <v>0</v>
      </c>
      <c r="GC97" s="95">
        <f t="shared" ref="GC97" si="209">SUM(GC94:GC96)</f>
        <v>0</v>
      </c>
      <c r="GD97" s="95">
        <f t="shared" ref="GD97" si="210">SUM(GD94:GD96)</f>
        <v>407.40492269533127</v>
      </c>
      <c r="GE97" s="95">
        <f t="shared" ref="GE97" si="211">SUM(GE94:GE96)</f>
        <v>2998.7477691294321</v>
      </c>
      <c r="GF97" s="95">
        <f t="shared" ref="GF97" si="212">SUM(GF94:GF96)</f>
        <v>228.53704619023907</v>
      </c>
      <c r="GG97" s="95">
        <f t="shared" ref="GG97" si="213">SUM(GG94:GG96)</f>
        <v>230.5612457171315</v>
      </c>
      <c r="GH97" s="95">
        <f t="shared" ref="GH97" si="214">SUM(GH94:GH96)</f>
        <v>0</v>
      </c>
      <c r="GI97" s="95">
        <f t="shared" ref="GI97" si="215">SUM(GI94:GI96)</f>
        <v>0</v>
      </c>
      <c r="GJ97" s="95">
        <f t="shared" ref="GJ97" si="216">SUM(GJ94:GJ96)</f>
        <v>190.91289308417583</v>
      </c>
      <c r="GK97" s="95">
        <f t="shared" ref="GK97" si="217">SUM(GK94:GK96)</f>
        <v>698.14828972564737</v>
      </c>
      <c r="GL97" s="95">
        <f t="shared" ref="GL97" si="218">SUM(GL94:GL96)</f>
        <v>235.99812686752989</v>
      </c>
      <c r="GM97" s="95">
        <f t="shared" ref="GM97" si="219">SUM(GM94:GM96)</f>
        <v>240.01769701195224</v>
      </c>
      <c r="GN97" s="95">
        <f t="shared" ref="GN97" si="220">SUM(GN94:GN96)</f>
        <v>0</v>
      </c>
      <c r="GO97" s="95">
        <f t="shared" ref="GO97" si="221">SUM(GO94:GO96)</f>
        <v>0</v>
      </c>
      <c r="GP97" s="95">
        <f t="shared" ref="GP97" si="222">SUM(GP94:GP96)</f>
        <v>0</v>
      </c>
      <c r="GQ97" s="95">
        <f t="shared" ref="GQ97" si="223">SUM(GQ94:GQ96)</f>
        <v>0</v>
      </c>
      <c r="GR97" s="95">
        <f t="shared" ref="GR97" si="224">SUM(GR94:GR96)</f>
        <v>0</v>
      </c>
      <c r="GS97" s="95">
        <f t="shared" ref="GS97" si="225">SUM(GS94:GS96)</f>
        <v>0</v>
      </c>
      <c r="GT97" s="95">
        <f t="shared" ref="GT97" si="226">SUM(GT94:GT96)</f>
        <v>3.0342978784857113</v>
      </c>
      <c r="GU97" s="95">
        <f t="shared" ref="GU97" si="227">SUM(GU94:GU96)</f>
        <v>122.05113431983536</v>
      </c>
      <c r="GV97" s="95">
        <f t="shared" ref="GV97" si="228">SUM(GV94:GV96)</f>
        <v>0.30000553912350597</v>
      </c>
      <c r="GW97" s="95">
        <f t="shared" ref="GW97" si="229">SUM(GW94:GW96)</f>
        <v>0.37420580739322701</v>
      </c>
      <c r="GX97" s="95">
        <f t="shared" ref="GX97" si="230">SUM(GX94:GX96)</f>
        <v>0.9900928031872509</v>
      </c>
      <c r="GY97" s="95">
        <f t="shared" ref="GY97" si="231">SUM(GY94:GY96)</f>
        <v>4.9277106471649414</v>
      </c>
      <c r="GZ97" s="95">
        <f t="shared" ref="GZ97" si="232">SUM(GZ94:GZ96)</f>
        <v>0.53791180437777886</v>
      </c>
      <c r="HA97" s="95">
        <f t="shared" ref="HA97" si="233">SUM(HA94:HA96)</f>
        <v>17.045257757528525</v>
      </c>
      <c r="HB97" s="95">
        <f t="shared" ref="HB97" si="234">SUM(HB94:HB96)</f>
        <v>0.30882109290836657</v>
      </c>
      <c r="HC97" s="95">
        <f t="shared" ref="HC97" si="235">SUM(HC94:HC96)</f>
        <v>0.38798601170557762</v>
      </c>
      <c r="HD97" s="95">
        <f t="shared" ref="HD97" si="236">SUM(HD94:HD96)</f>
        <v>1.0224532135347888</v>
      </c>
      <c r="HE97" s="145">
        <f t="shared" ref="HE97" si="237">SUM(HE94:HE96)</f>
        <v>5.1298656970276024</v>
      </c>
      <c r="HF97" s="95">
        <f t="shared" ref="HF97" si="238">SUM(HF94:HF96)</f>
        <v>1.6625818635038051E-3</v>
      </c>
      <c r="HG97" s="95">
        <f t="shared" ref="HG97" si="239">SUM(HG94:HG96)</f>
        <v>3.7144962408246877E-3</v>
      </c>
      <c r="HH97" s="95">
        <f t="shared" ref="HH97" si="240">SUM(HH94:HH96)</f>
        <v>0</v>
      </c>
      <c r="HI97" s="95">
        <f t="shared" ref="HI97" si="241">SUM(HI94:HI96)</f>
        <v>0</v>
      </c>
      <c r="HJ97" s="95">
        <f t="shared" ref="HJ97" si="242">SUM(HJ94:HJ96)</f>
        <v>1.4963236771534244E-2</v>
      </c>
      <c r="HK97" s="145">
        <f t="shared" ref="HK97" si="243">SUM(HK94:HK96)</f>
        <v>3.3430466167422186E-2</v>
      </c>
      <c r="HL97" s="95">
        <f t="shared" ref="HL97" si="244">SUM(HL94:HL96)</f>
        <v>22.86018722042899</v>
      </c>
      <c r="HM97" s="95">
        <f t="shared" ref="HM97" si="245">SUM(HM94:HM96)</f>
        <v>54.315273763542685</v>
      </c>
      <c r="HN97" s="95">
        <f t="shared" ref="HN97" si="246">SUM(HN94:HN96)</f>
        <v>0</v>
      </c>
      <c r="HO97" s="95">
        <f t="shared" ref="HO97" si="247">SUM(HO94:HO96)</f>
        <v>0</v>
      </c>
      <c r="HP97" s="95">
        <f t="shared" ref="HP97" si="248">SUM(HP94:HP96)</f>
        <v>205.74168498386092</v>
      </c>
      <c r="HQ97" s="145">
        <f t="shared" ref="HQ97" si="249">SUM(HQ94:HQ96)</f>
        <v>488.83746387188415</v>
      </c>
      <c r="HR97" s="95">
        <f t="shared" ref="HR97" si="250">SUM(HR94:HR96)</f>
        <v>23.489429624446231</v>
      </c>
      <c r="HS97" s="95">
        <f t="shared" ref="HS97" si="251">SUM(HS94:HS96)</f>
        <v>63.994573134709505</v>
      </c>
      <c r="HT97" s="95">
        <f t="shared" ref="HT97" si="252">SUM(HT94:HT96)</f>
        <v>0</v>
      </c>
      <c r="HU97" s="95">
        <f t="shared" ref="HU97" si="253">SUM(HU94:HU96)</f>
        <v>0</v>
      </c>
      <c r="HV97" s="95">
        <f t="shared" ref="HV97" si="254">SUM(HV94:HV96)</f>
        <v>211.40486662001604</v>
      </c>
      <c r="HW97" s="97">
        <f t="shared" ref="HW97" si="255">SUM(HW94:HW96)</f>
        <v>575.95115821238562</v>
      </c>
      <c r="HX97" s="95">
        <f t="shared" ref="HX97" si="256">SUM(HX94:HX96)</f>
        <v>161.26126186505974</v>
      </c>
      <c r="HY97" s="95">
        <f t="shared" ref="HY97" si="257">SUM(HY94:HY96)</f>
        <v>6486.5483616595593</v>
      </c>
      <c r="HZ97" s="95">
        <f t="shared" ref="HZ97" si="258">SUM(HZ94:HZ96)</f>
        <v>15.944140536956175</v>
      </c>
      <c r="IA97" s="95">
        <f t="shared" ref="IA97" si="259">SUM(IA94:IA96)</f>
        <v>19.887599409844647</v>
      </c>
      <c r="IB97" s="95">
        <f t="shared" ref="IB97" si="260">SUM(IB94:IB96)</f>
        <v>52.619624440159363</v>
      </c>
      <c r="IC97" s="95">
        <f t="shared" ref="IC97" si="261">SUM(IC94:IC96)</f>
        <v>261.88886816355824</v>
      </c>
      <c r="ID97" s="95">
        <f t="shared" ref="ID97" si="262">SUM(ID94:ID96)</f>
        <v>28.587726715346495</v>
      </c>
      <c r="IE97" s="95">
        <f t="shared" ref="IE97" si="263">SUM(IE94:IE96)</f>
        <v>905.88962311517889</v>
      </c>
      <c r="IF97" s="95">
        <f t="shared" ref="IF97" si="264">SUM(IF94:IF96)</f>
        <v>16.412653314645418</v>
      </c>
      <c r="IG97" s="95">
        <f t="shared" ref="IG97" si="265">SUM(IG94:IG96)</f>
        <v>20.619964268260265</v>
      </c>
      <c r="IH97" s="95">
        <f t="shared" ref="IH97" si="266">SUM(IH94:IH96)</f>
        <v>54.337504625019918</v>
      </c>
      <c r="II97" s="95">
        <f t="shared" ref="II97" si="267">SUM(II94:II96)</f>
        <v>272.6302194203206</v>
      </c>
      <c r="IJ97" s="95">
        <f t="shared" ref="IJ97" si="268">SUM(IJ94:IJ96)</f>
        <v>0</v>
      </c>
      <c r="IK97" s="95">
        <f t="shared" ref="IK97" si="269">SUM(IK94:IK96)</f>
        <v>0</v>
      </c>
      <c r="IL97" s="95">
        <f t="shared" ref="IL97" si="270">SUM(IL94:IL96)</f>
        <v>0</v>
      </c>
      <c r="IM97" s="95">
        <f t="shared" ref="IM97" si="271">SUM(IM94:IM96)</f>
        <v>0</v>
      </c>
      <c r="IN97" s="95">
        <f t="shared" ref="IN97" si="272">SUM(IN94:IN96)</f>
        <v>0</v>
      </c>
      <c r="IO97" s="95">
        <f t="shared" ref="IO97" si="273">SUM(IO94:IO96)</f>
        <v>0</v>
      </c>
    </row>
    <row r="98" spans="1:249" ht="18" x14ac:dyDescent="0.25">
      <c r="A98" s="562" t="s">
        <v>1862</v>
      </c>
      <c r="C98" s="80">
        <f>SUM(C21:C73)</f>
        <v>191.49488548124995</v>
      </c>
      <c r="D98" s="80">
        <f t="shared" ref="D98:BO98" si="274">SUM(D21:D73)</f>
        <v>192.26849709374997</v>
      </c>
      <c r="E98" s="80">
        <f t="shared" si="274"/>
        <v>0</v>
      </c>
      <c r="F98" s="80">
        <f t="shared" si="274"/>
        <v>0</v>
      </c>
      <c r="G98" s="80">
        <f t="shared" si="274"/>
        <v>134.29980037500002</v>
      </c>
      <c r="H98" s="80">
        <f t="shared" si="274"/>
        <v>134.61766972499998</v>
      </c>
      <c r="I98" s="80">
        <f t="shared" si="274"/>
        <v>191.49488548124995</v>
      </c>
      <c r="J98" s="80">
        <f t="shared" si="274"/>
        <v>192.26849709374997</v>
      </c>
      <c r="K98" s="80">
        <f t="shared" si="274"/>
        <v>0</v>
      </c>
      <c r="L98" s="80">
        <f t="shared" si="274"/>
        <v>0</v>
      </c>
      <c r="M98" s="80">
        <f t="shared" si="274"/>
        <v>134.29980037500002</v>
      </c>
      <c r="N98" s="80">
        <f t="shared" si="274"/>
        <v>134.61766972499998</v>
      </c>
      <c r="O98" s="80">
        <f t="shared" si="274"/>
        <v>2.6899911674999992</v>
      </c>
      <c r="P98" s="80">
        <f t="shared" si="274"/>
        <v>2.6963580104999996</v>
      </c>
      <c r="Q98" s="80">
        <f t="shared" si="274"/>
        <v>0</v>
      </c>
      <c r="R98" s="80">
        <f t="shared" si="274"/>
        <v>0</v>
      </c>
      <c r="S98" s="80">
        <f t="shared" si="274"/>
        <v>1.9925860499999999</v>
      </c>
      <c r="T98" s="80">
        <f t="shared" si="274"/>
        <v>1.9973022299999998</v>
      </c>
      <c r="U98" s="80">
        <f t="shared" si="274"/>
        <v>6.276646057499998</v>
      </c>
      <c r="V98" s="80">
        <f t="shared" si="274"/>
        <v>6.2915020244999997</v>
      </c>
      <c r="W98" s="80">
        <f t="shared" si="274"/>
        <v>0</v>
      </c>
      <c r="X98" s="80">
        <f t="shared" si="274"/>
        <v>0</v>
      </c>
      <c r="Y98" s="80">
        <f t="shared" si="274"/>
        <v>4.6493674499999997</v>
      </c>
      <c r="Z98" s="80">
        <f t="shared" si="274"/>
        <v>4.6603718699999996</v>
      </c>
      <c r="AA98" s="80">
        <f t="shared" si="274"/>
        <v>0</v>
      </c>
      <c r="AB98" s="80">
        <f t="shared" si="274"/>
        <v>0</v>
      </c>
      <c r="AC98" s="80">
        <f t="shared" si="274"/>
        <v>134.62652955375009</v>
      </c>
      <c r="AD98" s="80">
        <f t="shared" si="274"/>
        <v>135.37767075525002</v>
      </c>
      <c r="AE98" s="80">
        <f t="shared" si="274"/>
        <v>223.83300062499998</v>
      </c>
      <c r="AF98" s="80">
        <f t="shared" si="274"/>
        <v>224.36278287499997</v>
      </c>
      <c r="AG98" s="80">
        <f t="shared" si="274"/>
        <v>0</v>
      </c>
      <c r="AH98" s="80">
        <f t="shared" si="274"/>
        <v>0</v>
      </c>
      <c r="AI98" s="80">
        <f t="shared" si="274"/>
        <v>134.62652955375009</v>
      </c>
      <c r="AJ98" s="80">
        <f t="shared" si="274"/>
        <v>135.37767075525002</v>
      </c>
      <c r="AK98" s="80">
        <f t="shared" si="274"/>
        <v>223.83300062499998</v>
      </c>
      <c r="AL98" s="80">
        <f t="shared" si="274"/>
        <v>224.36278287499997</v>
      </c>
      <c r="AM98" s="80">
        <f t="shared" si="274"/>
        <v>0</v>
      </c>
      <c r="AN98" s="80">
        <f t="shared" si="274"/>
        <v>0</v>
      </c>
      <c r="AO98" s="80">
        <f t="shared" si="274"/>
        <v>1.7933274450000001</v>
      </c>
      <c r="AP98" s="80">
        <f t="shared" si="274"/>
        <v>1.7975720069999999</v>
      </c>
      <c r="AQ98" s="80">
        <f t="shared" si="274"/>
        <v>3.3209767499999998</v>
      </c>
      <c r="AR98" s="80">
        <f t="shared" si="274"/>
        <v>3.3288370499999997</v>
      </c>
      <c r="AS98" s="80">
        <f t="shared" si="274"/>
        <v>0</v>
      </c>
      <c r="AT98" s="80">
        <f t="shared" si="274"/>
        <v>0</v>
      </c>
      <c r="AU98" s="80">
        <f t="shared" si="274"/>
        <v>4.1844307049999996</v>
      </c>
      <c r="AV98" s="80">
        <f t="shared" si="274"/>
        <v>4.1943346830000001</v>
      </c>
      <c r="AW98" s="80">
        <f t="shared" si="274"/>
        <v>7.748945749999999</v>
      </c>
      <c r="AX98" s="80">
        <f t="shared" si="274"/>
        <v>7.7672864499999994</v>
      </c>
      <c r="AY98" s="80">
        <f t="shared" si="274"/>
        <v>0</v>
      </c>
      <c r="AZ98" s="80">
        <f t="shared" si="274"/>
        <v>0</v>
      </c>
      <c r="BA98" s="80">
        <f t="shared" si="274"/>
        <v>262.45590667773752</v>
      </c>
      <c r="BB98" s="80">
        <f t="shared" si="274"/>
        <v>2764.6298984650507</v>
      </c>
      <c r="BC98" s="80">
        <f t="shared" si="274"/>
        <v>0</v>
      </c>
      <c r="BD98" s="80">
        <f t="shared" si="274"/>
        <v>0</v>
      </c>
      <c r="BE98" s="80">
        <f t="shared" si="274"/>
        <v>0</v>
      </c>
      <c r="BF98" s="80">
        <f t="shared" si="274"/>
        <v>0</v>
      </c>
      <c r="BG98" s="80">
        <f t="shared" si="274"/>
        <v>29.161767408637509</v>
      </c>
      <c r="BH98" s="80">
        <f t="shared" si="274"/>
        <v>307.18109982945009</v>
      </c>
      <c r="BI98" s="80">
        <f t="shared" si="274"/>
        <v>0</v>
      </c>
      <c r="BJ98" s="80">
        <f t="shared" si="274"/>
        <v>0</v>
      </c>
      <c r="BK98" s="80">
        <f t="shared" si="274"/>
        <v>0</v>
      </c>
      <c r="BL98" s="80">
        <f t="shared" si="274"/>
        <v>0</v>
      </c>
      <c r="BM98" s="80">
        <f t="shared" si="274"/>
        <v>0</v>
      </c>
      <c r="BN98" s="80">
        <f t="shared" si="274"/>
        <v>0</v>
      </c>
      <c r="BO98" s="80">
        <f t="shared" si="274"/>
        <v>0</v>
      </c>
      <c r="BP98" s="80">
        <f t="shared" ref="BP98:EA98" si="275">SUM(BP21:BP73)</f>
        <v>0</v>
      </c>
      <c r="BQ98" s="80">
        <f t="shared" si="275"/>
        <v>0</v>
      </c>
      <c r="BR98" s="80">
        <f t="shared" si="275"/>
        <v>0</v>
      </c>
      <c r="BS98" s="80">
        <f t="shared" si="275"/>
        <v>3.585566170875</v>
      </c>
      <c r="BT98" s="80">
        <f t="shared" si="275"/>
        <v>35.940527180249994</v>
      </c>
      <c r="BU98" s="80">
        <f t="shared" si="275"/>
        <v>0</v>
      </c>
      <c r="BV98" s="80">
        <f t="shared" si="275"/>
        <v>0</v>
      </c>
      <c r="BW98" s="80">
        <f t="shared" si="275"/>
        <v>0</v>
      </c>
      <c r="BX98" s="80">
        <f t="shared" si="275"/>
        <v>0</v>
      </c>
      <c r="BY98" s="80">
        <f t="shared" si="275"/>
        <v>8.3663210653749989</v>
      </c>
      <c r="BZ98" s="80">
        <f t="shared" si="275"/>
        <v>83.861230087249979</v>
      </c>
      <c r="CA98" s="80">
        <f t="shared" si="275"/>
        <v>0</v>
      </c>
      <c r="CB98" s="80">
        <f t="shared" si="275"/>
        <v>0</v>
      </c>
      <c r="CC98" s="80">
        <f t="shared" si="275"/>
        <v>0.89588902000000037</v>
      </c>
      <c r="CD98" s="80">
        <f t="shared" si="275"/>
        <v>1.1094131977750001</v>
      </c>
      <c r="CE98" s="80">
        <f t="shared" si="275"/>
        <v>14.1618966</v>
      </c>
      <c r="CF98" s="80">
        <f t="shared" si="275"/>
        <v>17.563756575749998</v>
      </c>
      <c r="CG98" s="80">
        <f t="shared" si="275"/>
        <v>46.620838000000006</v>
      </c>
      <c r="CH98" s="80">
        <f t="shared" si="275"/>
        <v>230.54004391000001</v>
      </c>
      <c r="CI98" s="80">
        <f t="shared" si="275"/>
        <v>0.89588902000000037</v>
      </c>
      <c r="CJ98" s="80">
        <f t="shared" si="275"/>
        <v>1.1094131977750001</v>
      </c>
      <c r="CK98" s="80">
        <f t="shared" si="275"/>
        <v>14.1618966</v>
      </c>
      <c r="CL98" s="80">
        <f t="shared" si="275"/>
        <v>17.563756575749998</v>
      </c>
      <c r="CM98" s="80">
        <f t="shared" si="275"/>
        <v>46.620838000000006</v>
      </c>
      <c r="CN98" s="80">
        <f t="shared" si="275"/>
        <v>230.54004391000001</v>
      </c>
      <c r="CO98" s="80">
        <f t="shared" si="275"/>
        <v>1.2576479999999999E-2</v>
      </c>
      <c r="CP98" s="80">
        <f t="shared" si="275"/>
        <v>1.5547673400000003E-2</v>
      </c>
      <c r="CQ98" s="80">
        <f t="shared" si="275"/>
        <v>0.18864719999999996</v>
      </c>
      <c r="CR98" s="80">
        <f t="shared" si="275"/>
        <v>0.23321510100000001</v>
      </c>
      <c r="CS98" s="80">
        <f t="shared" si="275"/>
        <v>0.69170640000000005</v>
      </c>
      <c r="CT98" s="80">
        <f t="shared" si="275"/>
        <v>3.420488148</v>
      </c>
      <c r="CU98" s="80">
        <f t="shared" si="275"/>
        <v>2.9345120000000002E-2</v>
      </c>
      <c r="CV98" s="80">
        <f t="shared" si="275"/>
        <v>3.6277904600000001E-2</v>
      </c>
      <c r="CW98" s="80">
        <f t="shared" si="275"/>
        <v>0.44017679999999992</v>
      </c>
      <c r="CX98" s="80">
        <f t="shared" si="275"/>
        <v>0.54416856899999999</v>
      </c>
      <c r="CY98" s="80">
        <f t="shared" si="275"/>
        <v>1.6139816</v>
      </c>
      <c r="CZ98" s="80">
        <f t="shared" si="275"/>
        <v>7.9811390119999999</v>
      </c>
      <c r="DA98" s="80">
        <f t="shared" si="275"/>
        <v>141.56468319476792</v>
      </c>
      <c r="DB98" s="80">
        <f t="shared" si="275"/>
        <v>5814.8527782736082</v>
      </c>
      <c r="DC98" s="80">
        <f t="shared" si="275"/>
        <v>0</v>
      </c>
      <c r="DD98" s="80">
        <f t="shared" si="275"/>
        <v>0</v>
      </c>
      <c r="DE98" s="80">
        <f t="shared" si="275"/>
        <v>0</v>
      </c>
      <c r="DF98" s="80">
        <f t="shared" si="275"/>
        <v>0</v>
      </c>
      <c r="DG98" s="80">
        <f t="shared" si="275"/>
        <v>15.729409243863104</v>
      </c>
      <c r="DH98" s="80">
        <f t="shared" si="275"/>
        <v>646.09475314151223</v>
      </c>
      <c r="DI98" s="80">
        <f t="shared" si="275"/>
        <v>0</v>
      </c>
      <c r="DJ98" s="80">
        <f t="shared" si="275"/>
        <v>0</v>
      </c>
      <c r="DK98" s="80">
        <f t="shared" si="275"/>
        <v>0</v>
      </c>
      <c r="DL98" s="80">
        <f t="shared" si="275"/>
        <v>0</v>
      </c>
      <c r="DM98" s="80">
        <f t="shared" si="275"/>
        <v>0</v>
      </c>
      <c r="DN98" s="80">
        <f t="shared" si="275"/>
        <v>0</v>
      </c>
      <c r="DO98" s="80">
        <f t="shared" si="275"/>
        <v>0</v>
      </c>
      <c r="DP98" s="80">
        <f t="shared" si="275"/>
        <v>0</v>
      </c>
      <c r="DQ98" s="80">
        <f t="shared" si="275"/>
        <v>0</v>
      </c>
      <c r="DR98" s="80">
        <f t="shared" si="275"/>
        <v>0</v>
      </c>
      <c r="DS98" s="80">
        <f t="shared" si="275"/>
        <v>1.3648898670881251</v>
      </c>
      <c r="DT98" s="80">
        <f t="shared" si="275"/>
        <v>25.174915653611716</v>
      </c>
      <c r="DU98" s="80">
        <f t="shared" si="275"/>
        <v>0</v>
      </c>
      <c r="DV98" s="80">
        <f t="shared" si="275"/>
        <v>0</v>
      </c>
      <c r="DW98" s="80">
        <f t="shared" si="275"/>
        <v>0</v>
      </c>
      <c r="DX98" s="80">
        <f t="shared" si="275"/>
        <v>0</v>
      </c>
      <c r="DY98" s="80">
        <f t="shared" si="275"/>
        <v>3.1847430232056251</v>
      </c>
      <c r="DZ98" s="80">
        <f t="shared" si="275"/>
        <v>58.741469858427337</v>
      </c>
      <c r="EA98" s="80">
        <f t="shared" si="275"/>
        <v>0</v>
      </c>
      <c r="EB98" s="80">
        <f t="shared" ref="EB98:FH98" si="276">SUM(EB21:EB73)</f>
        <v>0</v>
      </c>
      <c r="EC98" s="80">
        <f t="shared" si="276"/>
        <v>0</v>
      </c>
      <c r="ED98" s="80">
        <f t="shared" si="276"/>
        <v>0</v>
      </c>
      <c r="EE98" s="80">
        <f t="shared" si="276"/>
        <v>0</v>
      </c>
      <c r="EF98" s="80">
        <f t="shared" si="276"/>
        <v>0</v>
      </c>
      <c r="EG98" s="80">
        <f t="shared" si="276"/>
        <v>0</v>
      </c>
      <c r="EH98" s="80">
        <f t="shared" si="276"/>
        <v>0</v>
      </c>
      <c r="EI98" s="80">
        <f t="shared" si="276"/>
        <v>0</v>
      </c>
      <c r="EJ98" s="80">
        <f t="shared" si="276"/>
        <v>0</v>
      </c>
      <c r="EK98" s="80">
        <f t="shared" si="276"/>
        <v>3.9380330051301496E-6</v>
      </c>
      <c r="EL98" s="80">
        <f t="shared" si="276"/>
        <v>4.8683933025921475E-6</v>
      </c>
      <c r="EM98" s="80">
        <f t="shared" si="276"/>
        <v>0</v>
      </c>
      <c r="EN98" s="80">
        <f t="shared" si="276"/>
        <v>0</v>
      </c>
      <c r="EO98" s="80">
        <f t="shared" si="276"/>
        <v>3.5442297046171342E-5</v>
      </c>
      <c r="EP98" s="80">
        <f t="shared" si="276"/>
        <v>4.3815539723329316E-5</v>
      </c>
      <c r="EQ98" s="80">
        <f t="shared" si="276"/>
        <v>1.2172389900333587E-3</v>
      </c>
      <c r="ER98" s="80">
        <f t="shared" si="276"/>
        <v>1.5048117014287395E-3</v>
      </c>
      <c r="ES98" s="80">
        <f t="shared" si="276"/>
        <v>0</v>
      </c>
      <c r="ET98" s="80">
        <f t="shared" si="276"/>
        <v>0</v>
      </c>
      <c r="EU98" s="80">
        <f t="shared" si="276"/>
        <v>1.095515091030023E-2</v>
      </c>
      <c r="EV98" s="80">
        <f t="shared" si="276"/>
        <v>1.3543305312858659E-2</v>
      </c>
      <c r="EW98" s="80">
        <f t="shared" si="276"/>
        <v>15.294646254848619</v>
      </c>
      <c r="EX98" s="80">
        <f t="shared" si="276"/>
        <v>18.908006432556608</v>
      </c>
      <c r="EY98" s="80">
        <f t="shared" si="276"/>
        <v>0</v>
      </c>
      <c r="EZ98" s="80">
        <f t="shared" si="276"/>
        <v>0</v>
      </c>
      <c r="FA98" s="80">
        <f t="shared" si="276"/>
        <v>137.65181629363755</v>
      </c>
      <c r="FB98" s="80">
        <f t="shared" si="276"/>
        <v>170.17205789300945</v>
      </c>
      <c r="FC98" s="80">
        <f t="shared" si="276"/>
        <v>14.400300568128344</v>
      </c>
      <c r="FD98" s="80">
        <f t="shared" si="276"/>
        <v>17.802371577348669</v>
      </c>
      <c r="FE98" s="80">
        <f t="shared" si="276"/>
        <v>0</v>
      </c>
      <c r="FF98" s="80">
        <f t="shared" si="276"/>
        <v>0</v>
      </c>
      <c r="FG98" s="80">
        <f t="shared" si="276"/>
        <v>129.60270511315511</v>
      </c>
      <c r="FH98" s="80">
        <f t="shared" si="276"/>
        <v>160.22134419613801</v>
      </c>
    </row>
    <row r="100" spans="1:249" x14ac:dyDescent="0.2">
      <c r="D100" s="895"/>
    </row>
  </sheetData>
  <mergeCells count="218">
    <mergeCell ref="GN9:GS9"/>
    <mergeCell ref="GN10:GO10"/>
    <mergeCell ref="GP10:GQ10"/>
    <mergeCell ref="GR10:GS10"/>
    <mergeCell ref="GB12:GS13"/>
    <mergeCell ref="GB7:GS7"/>
    <mergeCell ref="IJ9:IO9"/>
    <mergeCell ref="IJ10:IK10"/>
    <mergeCell ref="IL10:IM10"/>
    <mergeCell ref="IN10:IO10"/>
    <mergeCell ref="HX7:IO7"/>
    <mergeCell ref="IJ8:IO8"/>
    <mergeCell ref="HR10:HS10"/>
    <mergeCell ref="HT10:HU10"/>
    <mergeCell ref="HV10:HW10"/>
    <mergeCell ref="GT7:HW7"/>
    <mergeCell ref="HF10:HG10"/>
    <mergeCell ref="HH10:HI10"/>
    <mergeCell ref="HJ10:HK10"/>
    <mergeCell ref="HL10:HM10"/>
    <mergeCell ref="HN10:HO10"/>
    <mergeCell ref="HP10:HQ10"/>
    <mergeCell ref="HF8:HK8"/>
    <mergeCell ref="HL8:HQ8"/>
    <mergeCell ref="DM15:DR15"/>
    <mergeCell ref="DM16:DR16"/>
    <mergeCell ref="DM17:DN17"/>
    <mergeCell ref="DO17:DP17"/>
    <mergeCell ref="DQ17:DR17"/>
    <mergeCell ref="BK15:BP15"/>
    <mergeCell ref="BK16:BP16"/>
    <mergeCell ref="BK17:BL17"/>
    <mergeCell ref="BM17:BN17"/>
    <mergeCell ref="BO17:BP17"/>
    <mergeCell ref="DA17:DB17"/>
    <mergeCell ref="DC17:DD17"/>
    <mergeCell ref="DE17:DF17"/>
    <mergeCell ref="DG17:DH17"/>
    <mergeCell ref="DI17:DJ17"/>
    <mergeCell ref="DK17:DL17"/>
    <mergeCell ref="CO17:CP17"/>
    <mergeCell ref="CQ17:CR17"/>
    <mergeCell ref="CS17:CT17"/>
    <mergeCell ref="CU17:CV17"/>
    <mergeCell ref="CW17:CX17"/>
    <mergeCell ref="CY17:CZ17"/>
    <mergeCell ref="CC17:CD17"/>
    <mergeCell ref="CE17:CF17"/>
    <mergeCell ref="HR8:HW8"/>
    <mergeCell ref="HF9:HK9"/>
    <mergeCell ref="HL9:HQ9"/>
    <mergeCell ref="HR9:HW9"/>
    <mergeCell ref="GV10:GW10"/>
    <mergeCell ref="GX10:GY10"/>
    <mergeCell ref="GZ10:HA10"/>
    <mergeCell ref="HB10:HC10"/>
    <mergeCell ref="HD10:HE10"/>
    <mergeCell ref="GT12:HE13"/>
    <mergeCell ref="FP12:GA13"/>
    <mergeCell ref="FP7:GA7"/>
    <mergeCell ref="GT8:GY8"/>
    <mergeCell ref="GZ8:HE8"/>
    <mergeCell ref="GT9:GY9"/>
    <mergeCell ref="GZ9:HE9"/>
    <mergeCell ref="GT10:GU10"/>
    <mergeCell ref="GB10:GC10"/>
    <mergeCell ref="GD10:GE10"/>
    <mergeCell ref="GF10:GG10"/>
    <mergeCell ref="GH10:GI10"/>
    <mergeCell ref="GJ10:GK10"/>
    <mergeCell ref="GL10:GM10"/>
    <mergeCell ref="FP10:FQ10"/>
    <mergeCell ref="FR10:FS10"/>
    <mergeCell ref="FT10:FU10"/>
    <mergeCell ref="FV10:FW10"/>
    <mergeCell ref="FX10:FY10"/>
    <mergeCell ref="FZ10:GA10"/>
    <mergeCell ref="FP8:FU8"/>
    <mergeCell ref="FV8:GA8"/>
    <mergeCell ref="GB8:GG8"/>
    <mergeCell ref="GH8:GM8"/>
    <mergeCell ref="FP9:FU9"/>
    <mergeCell ref="FV9:GA9"/>
    <mergeCell ref="GB9:GG9"/>
    <mergeCell ref="GH9:GM9"/>
    <mergeCell ref="FC15:FH15"/>
    <mergeCell ref="FC16:FH16"/>
    <mergeCell ref="FC17:FD17"/>
    <mergeCell ref="FE17:FF17"/>
    <mergeCell ref="FG17:FH17"/>
    <mergeCell ref="EE14:FH14"/>
    <mergeCell ref="EW15:FB15"/>
    <mergeCell ref="EQ16:EV16"/>
    <mergeCell ref="EW16:FB16"/>
    <mergeCell ref="EQ17:ER17"/>
    <mergeCell ref="ES17:ET17"/>
    <mergeCell ref="EU17:EV17"/>
    <mergeCell ref="EW17:EX17"/>
    <mergeCell ref="EY17:EZ17"/>
    <mergeCell ref="FA17:FB17"/>
    <mergeCell ref="EK15:EP15"/>
    <mergeCell ref="EK16:EP16"/>
    <mergeCell ref="EK17:EL17"/>
    <mergeCell ref="EM17:EN17"/>
    <mergeCell ref="EO17:EP17"/>
    <mergeCell ref="EQ15:EV15"/>
    <mergeCell ref="EE15:EJ15"/>
    <mergeCell ref="EE16:EJ16"/>
    <mergeCell ref="EE17:EF17"/>
    <mergeCell ref="EG17:EH17"/>
    <mergeCell ref="EI17:EJ17"/>
    <mergeCell ref="DS17:DT17"/>
    <mergeCell ref="DU17:DV17"/>
    <mergeCell ref="DW17:DX17"/>
    <mergeCell ref="DY17:DZ17"/>
    <mergeCell ref="EA17:EB17"/>
    <mergeCell ref="EC17:ED17"/>
    <mergeCell ref="CG17:CH17"/>
    <mergeCell ref="CI17:CJ17"/>
    <mergeCell ref="CK17:CL17"/>
    <mergeCell ref="CM17:CN17"/>
    <mergeCell ref="AY14:CB14"/>
    <mergeCell ref="AY15:BD15"/>
    <mergeCell ref="DA14:ED14"/>
    <mergeCell ref="DA15:DF15"/>
    <mergeCell ref="DG15:DL15"/>
    <mergeCell ref="DS15:DX15"/>
    <mergeCell ref="DY15:ED15"/>
    <mergeCell ref="DA16:DF16"/>
    <mergeCell ref="DG16:DL16"/>
    <mergeCell ref="DS16:DX16"/>
    <mergeCell ref="DY16:ED16"/>
    <mergeCell ref="CC14:CZ14"/>
    <mergeCell ref="CC15:CH15"/>
    <mergeCell ref="CI15:CN15"/>
    <mergeCell ref="CO15:CT15"/>
    <mergeCell ref="CU15:CZ15"/>
    <mergeCell ref="CC16:CH16"/>
    <mergeCell ref="CI16:CN16"/>
    <mergeCell ref="CO16:CT16"/>
    <mergeCell ref="CU16:CZ16"/>
    <mergeCell ref="BE15:BJ15"/>
    <mergeCell ref="BQ15:BV15"/>
    <mergeCell ref="BW15:CB15"/>
    <mergeCell ref="AY16:BD16"/>
    <mergeCell ref="BE16:BJ16"/>
    <mergeCell ref="BQ16:BV16"/>
    <mergeCell ref="BW16:CB16"/>
    <mergeCell ref="AQ17:AR17"/>
    <mergeCell ref="AS17:AT17"/>
    <mergeCell ref="AU17:AV17"/>
    <mergeCell ref="AW17:AX17"/>
    <mergeCell ref="BQ17:BR17"/>
    <mergeCell ref="BS17:BT17"/>
    <mergeCell ref="BU17:BV17"/>
    <mergeCell ref="BW17:BX17"/>
    <mergeCell ref="BY17:BZ17"/>
    <mergeCell ref="CA17:CB17"/>
    <mergeCell ref="AY17:AZ17"/>
    <mergeCell ref="BA17:BB17"/>
    <mergeCell ref="BC17:BD17"/>
    <mergeCell ref="BE17:BF17"/>
    <mergeCell ref="BG17:BH17"/>
    <mergeCell ref="BI17:BJ17"/>
    <mergeCell ref="AS16:AX16"/>
    <mergeCell ref="O17:P17"/>
    <mergeCell ref="Q17:R17"/>
    <mergeCell ref="S17:T17"/>
    <mergeCell ref="AG15:AL15"/>
    <mergeCell ref="C17:D17"/>
    <mergeCell ref="E17:F17"/>
    <mergeCell ref="AM16:AR16"/>
    <mergeCell ref="U16:Z16"/>
    <mergeCell ref="U17:V17"/>
    <mergeCell ref="W17:X17"/>
    <mergeCell ref="Y17:Z17"/>
    <mergeCell ref="AA17:AB17"/>
    <mergeCell ref="AC17:AD17"/>
    <mergeCell ref="AE17:AF17"/>
    <mergeCell ref="AG17:AH17"/>
    <mergeCell ref="AI17:AJ17"/>
    <mergeCell ref="AK17:AL17"/>
    <mergeCell ref="AM17:AN17"/>
    <mergeCell ref="AO17:AP17"/>
    <mergeCell ref="M17:N17"/>
    <mergeCell ref="AY19:CB20"/>
    <mergeCell ref="CC19:CZ20"/>
    <mergeCell ref="DA19:FH20"/>
    <mergeCell ref="A14:A18"/>
    <mergeCell ref="A19:A20"/>
    <mergeCell ref="G17:H17"/>
    <mergeCell ref="C16:H16"/>
    <mergeCell ref="I16:N16"/>
    <mergeCell ref="C15:H15"/>
    <mergeCell ref="O15:T15"/>
    <mergeCell ref="AA15:AF15"/>
    <mergeCell ref="I15:N15"/>
    <mergeCell ref="U15:Z15"/>
    <mergeCell ref="C19:Z20"/>
    <mergeCell ref="AA19:AX20"/>
    <mergeCell ref="C14:Z14"/>
    <mergeCell ref="AA14:AX14"/>
    <mergeCell ref="AM15:AR15"/>
    <mergeCell ref="AS15:AX15"/>
    <mergeCell ref="AA16:AF16"/>
    <mergeCell ref="AG16:AL16"/>
    <mergeCell ref="I17:J17"/>
    <mergeCell ref="K17:L17"/>
    <mergeCell ref="O16:T16"/>
    <mergeCell ref="HX8:II8"/>
    <mergeCell ref="HX9:IC9"/>
    <mergeCell ref="ID9:II9"/>
    <mergeCell ref="HX10:HY10"/>
    <mergeCell ref="HZ10:IA10"/>
    <mergeCell ref="IB10:IC10"/>
    <mergeCell ref="ID10:IE10"/>
    <mergeCell ref="IF10:IG10"/>
    <mergeCell ref="IH10:II10"/>
  </mergeCell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pageSetUpPr fitToPage="1"/>
  </sheetPr>
  <dimension ref="A2:Z165"/>
  <sheetViews>
    <sheetView showGridLines="0" zoomScale="129" zoomScaleNormal="129" zoomScalePageLayoutView="129" workbookViewId="0">
      <selection activeCell="I3" sqref="I3"/>
    </sheetView>
  </sheetViews>
  <sheetFormatPr baseColWidth="10" defaultColWidth="11" defaultRowHeight="16" x14ac:dyDescent="0.2"/>
  <cols>
    <col min="2" max="2" width="3.83203125" customWidth="1"/>
    <col min="3" max="3" width="20.33203125" customWidth="1"/>
    <col min="4" max="4" width="24.6640625" customWidth="1"/>
    <col min="5" max="5" width="14" customWidth="1"/>
    <col min="6" max="6" width="12.5" customWidth="1"/>
    <col min="7" max="7" width="14.1640625" customWidth="1"/>
    <col min="8" max="8" width="12.1640625" bestFit="1" customWidth="1"/>
    <col min="9" max="9" width="14.5" customWidth="1"/>
    <col min="11" max="11" width="11.33203125" customWidth="1"/>
    <col min="14" max="14" width="11.6640625" bestFit="1" customWidth="1"/>
    <col min="15" max="15" width="11.83203125" bestFit="1" customWidth="1"/>
    <col min="25" max="25" width="16" customWidth="1"/>
  </cols>
  <sheetData>
    <row r="2" spans="1:26" ht="33" customHeight="1" x14ac:dyDescent="0.25">
      <c r="C2" s="596" t="s">
        <v>1146</v>
      </c>
      <c r="F2" s="759" t="s">
        <v>1523</v>
      </c>
      <c r="G2" s="760" t="s">
        <v>1522</v>
      </c>
      <c r="I2" t="s">
        <v>1544</v>
      </c>
      <c r="Y2" s="455"/>
    </row>
    <row r="3" spans="1:26" ht="33" customHeight="1" x14ac:dyDescent="0.2">
      <c r="F3" s="761" t="s">
        <v>1536</v>
      </c>
      <c r="G3" s="784" t="s">
        <v>1600</v>
      </c>
      <c r="Y3" s="455"/>
    </row>
    <row r="4" spans="1:26" ht="20" thickBot="1" x14ac:dyDescent="0.3">
      <c r="C4" s="754" t="s">
        <v>1525</v>
      </c>
      <c r="D4" s="752"/>
      <c r="Y4" s="455"/>
    </row>
    <row r="5" spans="1:26" x14ac:dyDescent="0.2">
      <c r="C5" s="341" t="s">
        <v>1147</v>
      </c>
      <c r="D5" s="341" t="s">
        <v>1527</v>
      </c>
      <c r="E5" s="341" t="s">
        <v>1528</v>
      </c>
      <c r="F5" s="341" t="s">
        <v>1529</v>
      </c>
      <c r="G5" s="341" t="s">
        <v>1530</v>
      </c>
      <c r="H5" s="341" t="s">
        <v>1531</v>
      </c>
      <c r="I5" s="341" t="s">
        <v>1532</v>
      </c>
      <c r="J5" s="341" t="s">
        <v>1533</v>
      </c>
      <c r="K5" s="341" t="s">
        <v>1908</v>
      </c>
      <c r="L5" s="341" t="s">
        <v>1909</v>
      </c>
      <c r="M5" s="341" t="s">
        <v>1152</v>
      </c>
      <c r="N5" s="341" t="s">
        <v>1153</v>
      </c>
      <c r="O5" s="341" t="s">
        <v>1154</v>
      </c>
      <c r="P5" s="341" t="s">
        <v>1155</v>
      </c>
      <c r="Q5" s="341" t="s">
        <v>1156</v>
      </c>
      <c r="R5" s="341" t="s">
        <v>1157</v>
      </c>
      <c r="S5" s="341" t="s">
        <v>1158</v>
      </c>
      <c r="T5" s="341" t="s">
        <v>1159</v>
      </c>
      <c r="U5" s="341" t="s">
        <v>1160</v>
      </c>
      <c r="V5" s="341" t="s">
        <v>1161</v>
      </c>
      <c r="W5" s="341" t="s">
        <v>1162</v>
      </c>
      <c r="X5" s="341" t="s">
        <v>1184</v>
      </c>
      <c r="Y5" s="341" t="s">
        <v>1163</v>
      </c>
    </row>
    <row r="6" spans="1:26" x14ac:dyDescent="0.2">
      <c r="D6" t="s">
        <v>1524</v>
      </c>
      <c r="E6" t="s">
        <v>1534</v>
      </c>
      <c r="F6" t="s">
        <v>1524</v>
      </c>
      <c r="G6" t="s">
        <v>1534</v>
      </c>
      <c r="H6" t="s">
        <v>1524</v>
      </c>
      <c r="I6" t="s">
        <v>1535</v>
      </c>
      <c r="J6" t="s">
        <v>1524</v>
      </c>
      <c r="K6" t="s">
        <v>1524</v>
      </c>
      <c r="L6" t="s">
        <v>1524</v>
      </c>
      <c r="M6" t="s">
        <v>1166</v>
      </c>
      <c r="N6" t="s">
        <v>1166</v>
      </c>
      <c r="O6" t="s">
        <v>1166</v>
      </c>
      <c r="P6" t="s">
        <v>1166</v>
      </c>
      <c r="Q6" t="s">
        <v>1167</v>
      </c>
      <c r="R6" t="s">
        <v>1168</v>
      </c>
      <c r="S6" t="s">
        <v>1167</v>
      </c>
      <c r="T6" t="s">
        <v>1168</v>
      </c>
      <c r="U6" t="s">
        <v>1167</v>
      </c>
      <c r="V6" t="s">
        <v>1167</v>
      </c>
      <c r="W6" t="s">
        <v>1167</v>
      </c>
      <c r="X6" t="s">
        <v>1185</v>
      </c>
      <c r="Y6" t="s">
        <v>1169</v>
      </c>
    </row>
    <row r="8" spans="1:26" ht="16" customHeight="1" x14ac:dyDescent="0.2">
      <c r="A8" s="1329" t="s">
        <v>1517</v>
      </c>
      <c r="B8">
        <v>1</v>
      </c>
      <c r="C8" s="346" t="s">
        <v>392</v>
      </c>
      <c r="D8" s="782">
        <v>1825</v>
      </c>
      <c r="E8" s="747">
        <v>1E+19</v>
      </c>
      <c r="F8" s="782">
        <v>1825</v>
      </c>
      <c r="G8" s="783">
        <v>1E+19</v>
      </c>
      <c r="H8" s="782">
        <v>1825</v>
      </c>
      <c r="I8" s="671">
        <v>1E+19</v>
      </c>
      <c r="J8" s="747">
        <v>1E+19</v>
      </c>
      <c r="K8" s="783">
        <v>1E+19</v>
      </c>
      <c r="L8" s="783">
        <v>1E+19</v>
      </c>
      <c r="M8" s="749">
        <v>30000</v>
      </c>
      <c r="N8" s="749">
        <v>30000</v>
      </c>
      <c r="O8" s="749">
        <v>15000</v>
      </c>
      <c r="P8" s="749">
        <v>30000</v>
      </c>
      <c r="Q8" s="669">
        <v>4.41</v>
      </c>
      <c r="R8" s="749">
        <v>11612</v>
      </c>
      <c r="S8" s="669">
        <v>3</v>
      </c>
      <c r="T8" s="669">
        <v>-20000</v>
      </c>
      <c r="U8" s="603">
        <v>0</v>
      </c>
      <c r="V8" s="603">
        <v>0</v>
      </c>
      <c r="W8" s="603">
        <v>10</v>
      </c>
      <c r="X8" s="603">
        <v>0</v>
      </c>
      <c r="Y8" s="669">
        <v>502</v>
      </c>
    </row>
    <row r="9" spans="1:26" x14ac:dyDescent="0.2">
      <c r="A9" s="1329"/>
      <c r="B9">
        <v>2</v>
      </c>
      <c r="C9" s="346" t="s">
        <v>40</v>
      </c>
      <c r="D9" s="671">
        <v>1E+19</v>
      </c>
      <c r="E9" s="671">
        <v>1E+19</v>
      </c>
      <c r="F9" s="671">
        <v>1E+19</v>
      </c>
      <c r="G9" s="671">
        <v>1E+19</v>
      </c>
      <c r="H9" s="671">
        <v>1E+19</v>
      </c>
      <c r="I9" s="671">
        <v>1E+19</v>
      </c>
      <c r="J9" s="671">
        <v>1E+19</v>
      </c>
      <c r="K9" s="783">
        <v>1E+19</v>
      </c>
      <c r="L9" s="783">
        <v>1E+19</v>
      </c>
      <c r="M9" s="749">
        <v>30000</v>
      </c>
      <c r="N9" s="749">
        <v>30000</v>
      </c>
      <c r="O9" s="749">
        <v>15000</v>
      </c>
      <c r="P9" s="749">
        <v>30000</v>
      </c>
      <c r="Q9" s="749">
        <v>-8</v>
      </c>
      <c r="R9" s="749">
        <v>84442</v>
      </c>
      <c r="S9" s="749">
        <v>2.9</v>
      </c>
      <c r="T9" s="669">
        <v>-20000</v>
      </c>
      <c r="U9" s="603">
        <v>0</v>
      </c>
      <c r="V9" s="603">
        <v>0</v>
      </c>
      <c r="W9" s="603">
        <v>10</v>
      </c>
      <c r="X9" s="603">
        <v>0</v>
      </c>
      <c r="Y9" s="669">
        <v>500</v>
      </c>
      <c r="Z9" s="392"/>
    </row>
    <row r="10" spans="1:26" x14ac:dyDescent="0.2">
      <c r="A10" s="1329"/>
      <c r="B10">
        <v>3</v>
      </c>
      <c r="C10" s="346" t="s">
        <v>1197</v>
      </c>
      <c r="D10" s="756">
        <v>365</v>
      </c>
      <c r="E10" s="671">
        <v>1E+19</v>
      </c>
      <c r="F10" s="747">
        <v>1E+19</v>
      </c>
      <c r="G10" s="671">
        <v>1E+19</v>
      </c>
      <c r="H10" s="756">
        <v>40</v>
      </c>
      <c r="I10" s="671">
        <v>1E+19</v>
      </c>
      <c r="J10" s="747">
        <v>1E+19</v>
      </c>
      <c r="K10" s="783">
        <v>1E+19</v>
      </c>
      <c r="L10" s="783">
        <v>1E+19</v>
      </c>
      <c r="M10" s="749">
        <v>30000</v>
      </c>
      <c r="N10" s="749">
        <v>30000</v>
      </c>
      <c r="O10" s="669">
        <v>5000</v>
      </c>
      <c r="P10" s="749">
        <v>30000</v>
      </c>
      <c r="Q10" s="670">
        <f>Q58</f>
        <v>-0.47</v>
      </c>
      <c r="R10" s="749">
        <v>48863</v>
      </c>
      <c r="S10" s="670">
        <f>S58</f>
        <v>6.3900000000000006</v>
      </c>
      <c r="T10" s="669">
        <v>-20000</v>
      </c>
      <c r="U10" s="603">
        <v>0</v>
      </c>
      <c r="V10" s="603">
        <v>0</v>
      </c>
      <c r="W10" s="603">
        <v>10</v>
      </c>
      <c r="X10" s="603">
        <v>0</v>
      </c>
      <c r="Y10" s="669">
        <f>Y58</f>
        <v>520</v>
      </c>
      <c r="Z10" s="392"/>
    </row>
    <row r="11" spans="1:26" x14ac:dyDescent="0.2">
      <c r="A11" s="1329"/>
      <c r="B11">
        <v>4</v>
      </c>
      <c r="C11" s="597" t="s">
        <v>401</v>
      </c>
      <c r="D11" s="756">
        <v>160</v>
      </c>
      <c r="E11" s="671">
        <v>1E+19</v>
      </c>
      <c r="F11" s="756">
        <v>2664.5</v>
      </c>
      <c r="G11" s="671">
        <v>1E+19</v>
      </c>
      <c r="H11" s="756">
        <v>1.8</v>
      </c>
      <c r="I11" s="671">
        <v>1E+19</v>
      </c>
      <c r="J11" s="747">
        <v>1E+19</v>
      </c>
      <c r="K11" s="783">
        <v>1E+19</v>
      </c>
      <c r="L11" s="783">
        <v>1E+19</v>
      </c>
      <c r="M11" s="749">
        <v>30000</v>
      </c>
      <c r="N11" s="749">
        <v>30000</v>
      </c>
      <c r="O11" s="781">
        <v>5000</v>
      </c>
      <c r="P11" s="749">
        <v>30000</v>
      </c>
      <c r="Q11" s="670">
        <f>Q62</f>
        <v>-2.2149999999999999</v>
      </c>
      <c r="R11" s="749">
        <v>63069</v>
      </c>
      <c r="S11" s="670">
        <f>S62</f>
        <v>6.26</v>
      </c>
      <c r="T11" s="669">
        <v>-20000</v>
      </c>
      <c r="U11" s="603">
        <v>0</v>
      </c>
      <c r="V11" s="603">
        <v>0</v>
      </c>
      <c r="W11" s="603">
        <v>10</v>
      </c>
      <c r="X11" s="603">
        <v>0</v>
      </c>
      <c r="Y11" s="669">
        <f>Y62</f>
        <v>564</v>
      </c>
      <c r="Z11" s="392"/>
    </row>
    <row r="12" spans="1:26" x14ac:dyDescent="0.2">
      <c r="A12" s="1329"/>
      <c r="B12">
        <v>5</v>
      </c>
      <c r="C12" s="597" t="s">
        <v>1198</v>
      </c>
      <c r="D12" s="748">
        <v>1E+19</v>
      </c>
      <c r="E12" s="748">
        <v>1E+19</v>
      </c>
      <c r="F12" s="748">
        <v>1E+19</v>
      </c>
      <c r="G12" s="748">
        <v>1E+19</v>
      </c>
      <c r="H12" s="757">
        <v>28.6</v>
      </c>
      <c r="I12" s="748">
        <v>1E+19</v>
      </c>
      <c r="J12" s="748">
        <v>1E+19</v>
      </c>
      <c r="K12" s="1012">
        <v>1E+19</v>
      </c>
      <c r="L12" s="1012">
        <v>1E+19</v>
      </c>
      <c r="M12" s="749">
        <v>30000</v>
      </c>
      <c r="N12" s="749">
        <v>30000</v>
      </c>
      <c r="O12" s="749">
        <v>2500</v>
      </c>
      <c r="P12" s="749">
        <v>30000</v>
      </c>
      <c r="Q12" s="749">
        <v>-0.5</v>
      </c>
      <c r="R12" s="749">
        <v>45213</v>
      </c>
      <c r="S12" s="750">
        <v>5.94</v>
      </c>
      <c r="T12" s="669">
        <v>-20000</v>
      </c>
      <c r="U12" s="603">
        <v>0</v>
      </c>
      <c r="V12" s="603">
        <v>0</v>
      </c>
      <c r="W12" s="603">
        <v>10</v>
      </c>
      <c r="X12" s="603">
        <v>0</v>
      </c>
      <c r="Y12" s="749">
        <v>480</v>
      </c>
      <c r="Z12" s="392"/>
    </row>
    <row r="13" spans="1:26" s="455" customFormat="1" x14ac:dyDescent="0.2">
      <c r="A13" s="598"/>
      <c r="C13" s="392"/>
      <c r="D13" s="392"/>
      <c r="F13" s="392"/>
      <c r="H13" s="392"/>
      <c r="J13" s="392"/>
      <c r="K13" s="392"/>
      <c r="L13" s="392"/>
      <c r="M13" s="392"/>
      <c r="N13" s="392"/>
      <c r="O13" s="392"/>
      <c r="P13" s="392"/>
      <c r="Q13" s="392"/>
      <c r="R13" s="392"/>
      <c r="S13" s="599"/>
      <c r="T13" s="392"/>
      <c r="U13" s="392"/>
      <c r="V13" s="392"/>
      <c r="W13" s="392"/>
      <c r="X13" s="392"/>
      <c r="Y13" s="392"/>
    </row>
    <row r="14" spans="1:26" s="455" customFormat="1" x14ac:dyDescent="0.2">
      <c r="A14" s="598"/>
      <c r="C14" s="341" t="s">
        <v>1147</v>
      </c>
      <c r="D14" s="341" t="s">
        <v>1527</v>
      </c>
      <c r="E14" s="341" t="s">
        <v>1528</v>
      </c>
      <c r="F14" s="341" t="s">
        <v>1529</v>
      </c>
      <c r="G14" s="341" t="s">
        <v>1530</v>
      </c>
      <c r="H14" s="341" t="s">
        <v>1531</v>
      </c>
      <c r="I14" s="341" t="s">
        <v>1532</v>
      </c>
      <c r="J14" s="341" t="s">
        <v>1533</v>
      </c>
      <c r="K14" s="341" t="s">
        <v>1908</v>
      </c>
      <c r="L14" s="341" t="s">
        <v>1909</v>
      </c>
      <c r="M14" s="341" t="s">
        <v>1152</v>
      </c>
      <c r="N14" s="341" t="s">
        <v>1153</v>
      </c>
      <c r="O14" s="341" t="s">
        <v>1154</v>
      </c>
      <c r="P14" s="341" t="s">
        <v>1155</v>
      </c>
      <c r="Q14" s="341" t="s">
        <v>1156</v>
      </c>
      <c r="R14" s="341" t="s">
        <v>1157</v>
      </c>
      <c r="S14" s="341" t="s">
        <v>1158</v>
      </c>
      <c r="T14" s="341" t="s">
        <v>1159</v>
      </c>
      <c r="U14" s="341" t="s">
        <v>1160</v>
      </c>
      <c r="V14" s="341" t="s">
        <v>1161</v>
      </c>
      <c r="W14" s="341" t="s">
        <v>1162</v>
      </c>
      <c r="X14" s="341" t="s">
        <v>1184</v>
      </c>
      <c r="Y14" s="341" t="s">
        <v>1163</v>
      </c>
    </row>
    <row r="15" spans="1:26" s="455" customFormat="1" x14ac:dyDescent="0.2">
      <c r="C15"/>
      <c r="D15" t="s">
        <v>1524</v>
      </c>
      <c r="E15" t="s">
        <v>1534</v>
      </c>
      <c r="F15" t="s">
        <v>1524</v>
      </c>
      <c r="G15" t="s">
        <v>1534</v>
      </c>
      <c r="H15" t="s">
        <v>1524</v>
      </c>
      <c r="I15" t="s">
        <v>1535</v>
      </c>
      <c r="J15" t="s">
        <v>1524</v>
      </c>
      <c r="K15" t="s">
        <v>1524</v>
      </c>
      <c r="L15" t="s">
        <v>1524</v>
      </c>
      <c r="M15" t="s">
        <v>1166</v>
      </c>
      <c r="N15" t="s">
        <v>1166</v>
      </c>
      <c r="O15" t="s">
        <v>1166</v>
      </c>
      <c r="P15" t="s">
        <v>1166</v>
      </c>
      <c r="Q15" t="s">
        <v>1167</v>
      </c>
      <c r="R15" t="s">
        <v>1168</v>
      </c>
      <c r="S15" t="s">
        <v>1167</v>
      </c>
      <c r="T15" t="s">
        <v>1168</v>
      </c>
      <c r="U15" t="s">
        <v>1167</v>
      </c>
      <c r="V15" t="s">
        <v>1167</v>
      </c>
      <c r="W15" t="s">
        <v>1167</v>
      </c>
      <c r="X15" t="s">
        <v>1185</v>
      </c>
      <c r="Y15" t="s">
        <v>1169</v>
      </c>
    </row>
    <row r="16" spans="1:26" s="455" customFormat="1" x14ac:dyDescent="0.2">
      <c r="C16"/>
      <c r="D16"/>
      <c r="F16"/>
      <c r="H16"/>
      <c r="J16"/>
      <c r="K16"/>
      <c r="L16"/>
      <c r="M16"/>
      <c r="N16"/>
      <c r="O16"/>
      <c r="P16"/>
      <c r="Q16"/>
      <c r="R16"/>
      <c r="S16"/>
      <c r="T16"/>
      <c r="U16"/>
      <c r="V16"/>
      <c r="W16"/>
      <c r="X16"/>
      <c r="Y16"/>
    </row>
    <row r="17" spans="1:25" ht="16" customHeight="1" x14ac:dyDescent="0.2">
      <c r="A17" s="1329" t="s">
        <v>1518</v>
      </c>
      <c r="B17">
        <v>1</v>
      </c>
      <c r="C17" s="346" t="s">
        <v>392</v>
      </c>
      <c r="D17" s="782">
        <v>180</v>
      </c>
      <c r="E17" s="672">
        <f t="shared" ref="E17:I17" si="0">E8</f>
        <v>1E+19</v>
      </c>
      <c r="F17" s="782">
        <v>180</v>
      </c>
      <c r="G17" s="672">
        <f t="shared" si="0"/>
        <v>1E+19</v>
      </c>
      <c r="H17" s="782">
        <v>180</v>
      </c>
      <c r="I17" s="672">
        <f t="shared" si="0"/>
        <v>1E+19</v>
      </c>
      <c r="J17" s="782">
        <v>180</v>
      </c>
      <c r="K17" s="672">
        <f t="shared" ref="K17:L17" si="1">K8</f>
        <v>1E+19</v>
      </c>
      <c r="L17" s="672">
        <f t="shared" si="1"/>
        <v>1E+19</v>
      </c>
      <c r="M17" s="603">
        <f t="shared" ref="M17:Y17" si="2">M8</f>
        <v>30000</v>
      </c>
      <c r="N17" s="603">
        <f t="shared" si="2"/>
        <v>30000</v>
      </c>
      <c r="O17" s="603">
        <f t="shared" si="2"/>
        <v>15000</v>
      </c>
      <c r="P17" s="603">
        <f t="shared" si="2"/>
        <v>30000</v>
      </c>
      <c r="Q17" s="603">
        <f t="shared" si="2"/>
        <v>4.41</v>
      </c>
      <c r="R17" s="603">
        <f t="shared" si="2"/>
        <v>11612</v>
      </c>
      <c r="S17" s="603">
        <f t="shared" si="2"/>
        <v>3</v>
      </c>
      <c r="T17" s="603">
        <f t="shared" si="2"/>
        <v>-20000</v>
      </c>
      <c r="U17" s="603">
        <f t="shared" si="2"/>
        <v>0</v>
      </c>
      <c r="V17" s="603">
        <f t="shared" si="2"/>
        <v>0</v>
      </c>
      <c r="W17" s="603">
        <f t="shared" si="2"/>
        <v>10</v>
      </c>
      <c r="X17" s="603">
        <f t="shared" si="2"/>
        <v>0</v>
      </c>
      <c r="Y17" s="603">
        <f t="shared" si="2"/>
        <v>502</v>
      </c>
    </row>
    <row r="18" spans="1:25" x14ac:dyDescent="0.2">
      <c r="A18" s="1329"/>
      <c r="B18">
        <v>2</v>
      </c>
      <c r="C18" s="346" t="s">
        <v>40</v>
      </c>
      <c r="D18" s="672">
        <f>D9</f>
        <v>1E+19</v>
      </c>
      <c r="E18" s="672">
        <f t="shared" ref="E18:J18" si="3">E9</f>
        <v>1E+19</v>
      </c>
      <c r="F18" s="672">
        <f t="shared" si="3"/>
        <v>1E+19</v>
      </c>
      <c r="G18" s="672">
        <f t="shared" si="3"/>
        <v>1E+19</v>
      </c>
      <c r="H18" s="672">
        <f t="shared" si="3"/>
        <v>1E+19</v>
      </c>
      <c r="I18" s="672">
        <f t="shared" si="3"/>
        <v>1E+19</v>
      </c>
      <c r="J18" s="672">
        <f t="shared" si="3"/>
        <v>1E+19</v>
      </c>
      <c r="K18" s="672">
        <f t="shared" ref="K18:L18" si="4">K9</f>
        <v>1E+19</v>
      </c>
      <c r="L18" s="672">
        <f t="shared" si="4"/>
        <v>1E+19</v>
      </c>
      <c r="M18" s="603">
        <f t="shared" ref="M18:Y18" si="5">M9</f>
        <v>30000</v>
      </c>
      <c r="N18" s="603">
        <f t="shared" si="5"/>
        <v>30000</v>
      </c>
      <c r="O18" s="603">
        <f t="shared" si="5"/>
        <v>15000</v>
      </c>
      <c r="P18" s="603">
        <f t="shared" si="5"/>
        <v>30000</v>
      </c>
      <c r="Q18" s="603">
        <f t="shared" si="5"/>
        <v>-8</v>
      </c>
      <c r="R18" s="603">
        <f t="shared" si="5"/>
        <v>84442</v>
      </c>
      <c r="S18" s="603">
        <f t="shared" si="5"/>
        <v>2.9</v>
      </c>
      <c r="T18" s="603">
        <f t="shared" si="5"/>
        <v>-20000</v>
      </c>
      <c r="U18" s="603">
        <f t="shared" si="5"/>
        <v>0</v>
      </c>
      <c r="V18" s="603">
        <f t="shared" si="5"/>
        <v>0</v>
      </c>
      <c r="W18" s="603">
        <f t="shared" si="5"/>
        <v>10</v>
      </c>
      <c r="X18" s="603">
        <f t="shared" si="5"/>
        <v>0</v>
      </c>
      <c r="Y18" s="603">
        <f t="shared" si="5"/>
        <v>500</v>
      </c>
    </row>
    <row r="19" spans="1:25" x14ac:dyDescent="0.2">
      <c r="A19" s="1329"/>
      <c r="B19">
        <v>3</v>
      </c>
      <c r="C19" s="346" t="s">
        <v>1197</v>
      </c>
      <c r="D19" s="756">
        <v>13.9</v>
      </c>
      <c r="E19" s="672">
        <f t="shared" ref="E19:J19" si="6">E10</f>
        <v>1E+19</v>
      </c>
      <c r="F19" s="672">
        <f t="shared" si="6"/>
        <v>1E+19</v>
      </c>
      <c r="G19" s="672">
        <f t="shared" si="6"/>
        <v>1E+19</v>
      </c>
      <c r="H19" s="756">
        <v>20</v>
      </c>
      <c r="I19" s="672">
        <f t="shared" si="6"/>
        <v>1E+19</v>
      </c>
      <c r="J19" s="672">
        <f t="shared" si="6"/>
        <v>1E+19</v>
      </c>
      <c r="K19" s="672">
        <f t="shared" ref="K19:L19" si="7">K10</f>
        <v>1E+19</v>
      </c>
      <c r="L19" s="672">
        <f t="shared" si="7"/>
        <v>1E+19</v>
      </c>
      <c r="M19" s="603">
        <f t="shared" ref="M19:Y19" si="8">M10</f>
        <v>30000</v>
      </c>
      <c r="N19" s="603">
        <f t="shared" si="8"/>
        <v>30000</v>
      </c>
      <c r="O19" s="603">
        <f t="shared" si="8"/>
        <v>5000</v>
      </c>
      <c r="P19" s="603">
        <f t="shared" si="8"/>
        <v>30000</v>
      </c>
      <c r="Q19" s="604">
        <f t="shared" si="8"/>
        <v>-0.47</v>
      </c>
      <c r="R19" s="603">
        <f t="shared" si="8"/>
        <v>48863</v>
      </c>
      <c r="S19" s="604">
        <f t="shared" si="8"/>
        <v>6.3900000000000006</v>
      </c>
      <c r="T19" s="603">
        <f t="shared" si="8"/>
        <v>-20000</v>
      </c>
      <c r="U19" s="603">
        <f t="shared" si="8"/>
        <v>0</v>
      </c>
      <c r="V19" s="603">
        <f t="shared" si="8"/>
        <v>0</v>
      </c>
      <c r="W19" s="603">
        <f t="shared" si="8"/>
        <v>10</v>
      </c>
      <c r="X19" s="603">
        <f t="shared" si="8"/>
        <v>0</v>
      </c>
      <c r="Y19" s="603">
        <f t="shared" si="8"/>
        <v>520</v>
      </c>
    </row>
    <row r="20" spans="1:25" x14ac:dyDescent="0.2">
      <c r="A20" s="1329"/>
      <c r="B20">
        <v>4</v>
      </c>
      <c r="C20" s="597" t="s">
        <v>401</v>
      </c>
      <c r="D20" s="756">
        <v>44</v>
      </c>
      <c r="E20" s="672">
        <f t="shared" ref="D20:J21" si="9">E11</f>
        <v>1E+19</v>
      </c>
      <c r="F20" s="671">
        <v>2299.5</v>
      </c>
      <c r="G20" s="672">
        <f t="shared" si="9"/>
        <v>1E+19</v>
      </c>
      <c r="H20" s="758">
        <f t="shared" si="9"/>
        <v>1.8</v>
      </c>
      <c r="I20" s="672">
        <f t="shared" si="9"/>
        <v>1E+19</v>
      </c>
      <c r="J20" s="671">
        <v>2299.5</v>
      </c>
      <c r="K20" s="672">
        <f t="shared" ref="K20:L20" si="10">K11</f>
        <v>1E+19</v>
      </c>
      <c r="L20" s="672">
        <f t="shared" si="10"/>
        <v>1E+19</v>
      </c>
      <c r="M20" s="603">
        <f t="shared" ref="M20:S21" si="11">M11</f>
        <v>30000</v>
      </c>
      <c r="N20" s="603">
        <f t="shared" si="11"/>
        <v>30000</v>
      </c>
      <c r="O20" s="603">
        <f t="shared" si="11"/>
        <v>5000</v>
      </c>
      <c r="P20" s="603">
        <f t="shared" si="11"/>
        <v>30000</v>
      </c>
      <c r="Q20" s="604">
        <f t="shared" si="11"/>
        <v>-2.2149999999999999</v>
      </c>
      <c r="R20" s="603">
        <f t="shared" si="11"/>
        <v>63069</v>
      </c>
      <c r="S20" s="603">
        <f t="shared" si="11"/>
        <v>6.26</v>
      </c>
      <c r="T20" s="603">
        <f t="shared" ref="T20:Y20" si="12">T11</f>
        <v>-20000</v>
      </c>
      <c r="U20" s="603">
        <f t="shared" si="12"/>
        <v>0</v>
      </c>
      <c r="V20" s="603">
        <f t="shared" si="12"/>
        <v>0</v>
      </c>
      <c r="W20" s="603">
        <f t="shared" si="12"/>
        <v>10</v>
      </c>
      <c r="X20" s="603">
        <f t="shared" si="12"/>
        <v>0</v>
      </c>
      <c r="Y20" s="603">
        <f t="shared" si="12"/>
        <v>564</v>
      </c>
    </row>
    <row r="21" spans="1:25" x14ac:dyDescent="0.2">
      <c r="A21" s="1329"/>
      <c r="B21">
        <v>5</v>
      </c>
      <c r="C21" s="597" t="s">
        <v>1198</v>
      </c>
      <c r="D21" s="672">
        <f t="shared" si="9"/>
        <v>1E+19</v>
      </c>
      <c r="E21" s="672">
        <f t="shared" si="9"/>
        <v>1E+19</v>
      </c>
      <c r="F21" s="672">
        <f t="shared" si="9"/>
        <v>1E+19</v>
      </c>
      <c r="G21" s="672">
        <f t="shared" si="9"/>
        <v>1E+19</v>
      </c>
      <c r="H21" s="758">
        <f t="shared" si="9"/>
        <v>28.6</v>
      </c>
      <c r="I21" s="672">
        <f t="shared" si="9"/>
        <v>1E+19</v>
      </c>
      <c r="J21" s="672">
        <f t="shared" si="9"/>
        <v>1E+19</v>
      </c>
      <c r="K21" s="672">
        <f t="shared" ref="K21:L21" si="13">K12</f>
        <v>1E+19</v>
      </c>
      <c r="L21" s="672">
        <f t="shared" si="13"/>
        <v>1E+19</v>
      </c>
      <c r="M21" s="603">
        <f t="shared" si="11"/>
        <v>30000</v>
      </c>
      <c r="N21" s="603">
        <f t="shared" si="11"/>
        <v>30000</v>
      </c>
      <c r="O21" s="603">
        <f t="shared" si="11"/>
        <v>2500</v>
      </c>
      <c r="P21" s="603">
        <f t="shared" si="11"/>
        <v>30000</v>
      </c>
      <c r="Q21" s="603">
        <f t="shared" si="11"/>
        <v>-0.5</v>
      </c>
      <c r="R21" s="603">
        <f t="shared" si="11"/>
        <v>45213</v>
      </c>
      <c r="S21" s="603">
        <f t="shared" si="11"/>
        <v>5.94</v>
      </c>
      <c r="T21" s="603">
        <f t="shared" ref="T21:Y21" si="14">T12</f>
        <v>-20000</v>
      </c>
      <c r="U21" s="603">
        <f t="shared" si="14"/>
        <v>0</v>
      </c>
      <c r="V21" s="603">
        <f t="shared" si="14"/>
        <v>0</v>
      </c>
      <c r="W21" s="603">
        <f t="shared" si="14"/>
        <v>10</v>
      </c>
      <c r="X21" s="603">
        <f t="shared" si="14"/>
        <v>0</v>
      </c>
      <c r="Y21" s="603">
        <f t="shared" si="14"/>
        <v>480</v>
      </c>
    </row>
    <row r="22" spans="1:25" x14ac:dyDescent="0.2">
      <c r="A22" s="724"/>
      <c r="C22" s="392"/>
      <c r="D22" s="751"/>
      <c r="E22" s="751"/>
      <c r="F22" s="751"/>
      <c r="G22" s="751"/>
      <c r="H22" s="751"/>
      <c r="I22" s="751"/>
      <c r="J22" s="751"/>
      <c r="K22" s="751"/>
      <c r="L22" s="751"/>
      <c r="M22" s="392"/>
      <c r="N22" s="392"/>
      <c r="O22" s="392"/>
      <c r="P22" s="392"/>
      <c r="Q22" s="392"/>
      <c r="R22" s="392"/>
      <c r="S22" s="392"/>
      <c r="T22" s="392"/>
      <c r="U22" s="392"/>
      <c r="V22" s="392"/>
      <c r="W22" s="392"/>
      <c r="X22" s="392"/>
      <c r="Y22" s="392"/>
    </row>
    <row r="23" spans="1:25" x14ac:dyDescent="0.2">
      <c r="A23" s="646"/>
      <c r="C23" s="392"/>
      <c r="D23" s="392"/>
      <c r="E23" s="392"/>
      <c r="F23" s="392"/>
      <c r="G23" s="392"/>
      <c r="H23" s="392"/>
      <c r="I23" s="392"/>
      <c r="J23" s="392"/>
      <c r="K23" s="392"/>
      <c r="L23" s="392"/>
      <c r="M23" s="392"/>
      <c r="N23" s="392"/>
      <c r="O23" s="392"/>
      <c r="P23" s="392"/>
      <c r="Q23" s="392"/>
      <c r="R23" s="392"/>
      <c r="S23" s="392"/>
      <c r="T23" s="392"/>
      <c r="U23" s="392"/>
      <c r="V23" s="392"/>
      <c r="W23" s="392"/>
      <c r="X23" s="392"/>
      <c r="Y23" s="392"/>
    </row>
    <row r="24" spans="1:25" ht="20" thickBot="1" x14ac:dyDescent="0.3">
      <c r="A24" s="724"/>
      <c r="C24" s="755" t="s">
        <v>1526</v>
      </c>
      <c r="D24" s="753"/>
      <c r="E24" s="392"/>
      <c r="F24" s="392"/>
      <c r="G24" s="392"/>
      <c r="H24" s="392"/>
      <c r="I24" s="392"/>
      <c r="J24" s="392"/>
      <c r="K24" s="392"/>
      <c r="L24" s="392"/>
      <c r="M24" s="392"/>
      <c r="N24" s="392"/>
      <c r="O24" s="392"/>
      <c r="P24" s="392"/>
      <c r="Q24" s="392"/>
      <c r="R24" s="392"/>
      <c r="S24" s="392"/>
      <c r="T24" s="392"/>
      <c r="U24" s="392"/>
      <c r="V24" s="392"/>
      <c r="W24" s="392"/>
      <c r="X24" s="392"/>
      <c r="Y24" s="392"/>
    </row>
    <row r="25" spans="1:25" x14ac:dyDescent="0.2">
      <c r="C25" s="341" t="s">
        <v>1147</v>
      </c>
      <c r="D25" s="341" t="s">
        <v>1148</v>
      </c>
      <c r="E25" s="341" t="s">
        <v>1179</v>
      </c>
      <c r="F25" s="341" t="s">
        <v>1149</v>
      </c>
      <c r="G25" s="341" t="s">
        <v>1181</v>
      </c>
      <c r="H25" s="341" t="s">
        <v>1150</v>
      </c>
      <c r="I25" s="341" t="s">
        <v>1182</v>
      </c>
      <c r="J25" s="341" t="s">
        <v>1151</v>
      </c>
      <c r="K25" s="341" t="s">
        <v>1910</v>
      </c>
      <c r="L25" s="341" t="s">
        <v>1911</v>
      </c>
      <c r="M25" s="341" t="s">
        <v>1152</v>
      </c>
      <c r="N25" s="341" t="s">
        <v>1153</v>
      </c>
      <c r="O25" s="341" t="s">
        <v>1154</v>
      </c>
      <c r="P25" s="341" t="s">
        <v>1155</v>
      </c>
      <c r="Q25" s="341" t="s">
        <v>1156</v>
      </c>
      <c r="R25" s="341" t="s">
        <v>1157</v>
      </c>
      <c r="S25" s="341" t="s">
        <v>1158</v>
      </c>
      <c r="T25" s="341" t="s">
        <v>1159</v>
      </c>
      <c r="U25" s="341" t="s">
        <v>1160</v>
      </c>
      <c r="V25" s="341" t="s">
        <v>1161</v>
      </c>
      <c r="W25" s="341" t="s">
        <v>1162</v>
      </c>
      <c r="X25" s="341" t="s">
        <v>1184</v>
      </c>
      <c r="Y25" s="341" t="s">
        <v>1163</v>
      </c>
    </row>
    <row r="26" spans="1:25" x14ac:dyDescent="0.2">
      <c r="D26" t="s">
        <v>1164</v>
      </c>
      <c r="E26" s="600" t="s">
        <v>1180</v>
      </c>
      <c r="F26" t="s">
        <v>1164</v>
      </c>
      <c r="G26" t="s">
        <v>1180</v>
      </c>
      <c r="H26" t="s">
        <v>1165</v>
      </c>
      <c r="I26" t="s">
        <v>1183</v>
      </c>
      <c r="J26" t="s">
        <v>1164</v>
      </c>
      <c r="K26" t="s">
        <v>1164</v>
      </c>
      <c r="L26" t="s">
        <v>1164</v>
      </c>
      <c r="M26" t="s">
        <v>1166</v>
      </c>
      <c r="N26" t="s">
        <v>1166</v>
      </c>
      <c r="O26" t="s">
        <v>1166</v>
      </c>
      <c r="P26" t="s">
        <v>1166</v>
      </c>
      <c r="Q26" t="s">
        <v>1167</v>
      </c>
      <c r="R26" t="s">
        <v>1168</v>
      </c>
      <c r="S26" t="s">
        <v>1167</v>
      </c>
      <c r="T26" t="s">
        <v>1168</v>
      </c>
      <c r="U26" t="s">
        <v>1167</v>
      </c>
      <c r="V26" t="s">
        <v>1167</v>
      </c>
      <c r="W26" t="s">
        <v>1167</v>
      </c>
      <c r="X26" t="s">
        <v>1185</v>
      </c>
      <c r="Y26" t="s">
        <v>1169</v>
      </c>
    </row>
    <row r="28" spans="1:25" x14ac:dyDescent="0.2">
      <c r="A28" s="1329" t="s">
        <v>1517</v>
      </c>
      <c r="B28">
        <v>1</v>
      </c>
      <c r="C28" s="346" t="s">
        <v>392</v>
      </c>
      <c r="D28" s="672">
        <f>LN(2)/D8</f>
        <v>3.7980667427942207E-4</v>
      </c>
      <c r="E28" s="672">
        <f t="shared" ref="E28:J28" si="15">LN(2)/E8</f>
        <v>6.9314718055994529E-20</v>
      </c>
      <c r="F28" s="672">
        <f t="shared" si="15"/>
        <v>3.7980667427942207E-4</v>
      </c>
      <c r="G28" s="672">
        <f t="shared" si="15"/>
        <v>6.9314718055994529E-20</v>
      </c>
      <c r="H28" s="672">
        <f>LN(2)/(H8*750000)</f>
        <v>5.0640889903922948E-10</v>
      </c>
      <c r="I28" s="672">
        <f t="shared" si="15"/>
        <v>6.9314718055994529E-20</v>
      </c>
      <c r="J28" s="672">
        <f t="shared" si="15"/>
        <v>6.9314718055994529E-20</v>
      </c>
      <c r="K28" s="672">
        <f t="shared" ref="K28:L28" si="16">LN(2)/K8</f>
        <v>6.9314718055994529E-20</v>
      </c>
      <c r="L28" s="672">
        <f t="shared" si="16"/>
        <v>6.9314718055994529E-20</v>
      </c>
      <c r="M28" s="603">
        <f>M8</f>
        <v>30000</v>
      </c>
      <c r="N28" s="603">
        <f t="shared" ref="N28:Y28" si="17">N8</f>
        <v>30000</v>
      </c>
      <c r="O28" s="603">
        <f t="shared" si="17"/>
        <v>15000</v>
      </c>
      <c r="P28" s="603">
        <f t="shared" si="17"/>
        <v>30000</v>
      </c>
      <c r="Q28" s="603">
        <f t="shared" si="17"/>
        <v>4.41</v>
      </c>
      <c r="R28" s="603">
        <f t="shared" si="17"/>
        <v>11612</v>
      </c>
      <c r="S28" s="603">
        <f t="shared" si="17"/>
        <v>3</v>
      </c>
      <c r="T28" s="603">
        <f t="shared" si="17"/>
        <v>-20000</v>
      </c>
      <c r="U28" s="603">
        <f t="shared" si="17"/>
        <v>0</v>
      </c>
      <c r="V28" s="603">
        <f t="shared" si="17"/>
        <v>0</v>
      </c>
      <c r="W28" s="603">
        <f t="shared" si="17"/>
        <v>10</v>
      </c>
      <c r="X28" s="603">
        <f t="shared" si="17"/>
        <v>0</v>
      </c>
      <c r="Y28" s="603">
        <f t="shared" si="17"/>
        <v>502</v>
      </c>
    </row>
    <row r="29" spans="1:25" x14ac:dyDescent="0.2">
      <c r="A29" s="1329"/>
      <c r="B29">
        <v>2</v>
      </c>
      <c r="C29" s="346" t="s">
        <v>40</v>
      </c>
      <c r="D29" s="672">
        <f t="shared" ref="D29:J32" si="18">LN(2)/D9</f>
        <v>6.9314718055994529E-20</v>
      </c>
      <c r="E29" s="672">
        <f t="shared" si="18"/>
        <v>6.9314718055994529E-20</v>
      </c>
      <c r="F29" s="672">
        <f t="shared" si="18"/>
        <v>6.9314718055994529E-20</v>
      </c>
      <c r="G29" s="672">
        <f t="shared" si="18"/>
        <v>6.9314718055994529E-20</v>
      </c>
      <c r="H29" s="672">
        <f t="shared" ref="H29:H32" si="19">LN(2)/(H9*750000)</f>
        <v>9.241962407465937E-26</v>
      </c>
      <c r="I29" s="672">
        <f t="shared" si="18"/>
        <v>6.9314718055994529E-20</v>
      </c>
      <c r="J29" s="672">
        <f t="shared" si="18"/>
        <v>6.9314718055994529E-20</v>
      </c>
      <c r="K29" s="672">
        <f t="shared" ref="K29:L29" si="20">LN(2)/K9</f>
        <v>6.9314718055994529E-20</v>
      </c>
      <c r="L29" s="672">
        <f t="shared" si="20"/>
        <v>6.9314718055994529E-20</v>
      </c>
      <c r="M29" s="603">
        <f t="shared" ref="M29:Y32" si="21">M9</f>
        <v>30000</v>
      </c>
      <c r="N29" s="603">
        <f t="shared" si="21"/>
        <v>30000</v>
      </c>
      <c r="O29" s="603">
        <f t="shared" si="21"/>
        <v>15000</v>
      </c>
      <c r="P29" s="603">
        <f t="shared" si="21"/>
        <v>30000</v>
      </c>
      <c r="Q29" s="603">
        <f t="shared" si="21"/>
        <v>-8</v>
      </c>
      <c r="R29" s="603">
        <f t="shared" si="21"/>
        <v>84442</v>
      </c>
      <c r="S29" s="603">
        <f t="shared" si="21"/>
        <v>2.9</v>
      </c>
      <c r="T29" s="603">
        <f t="shared" si="21"/>
        <v>-20000</v>
      </c>
      <c r="U29" s="603">
        <f t="shared" si="21"/>
        <v>0</v>
      </c>
      <c r="V29" s="603">
        <f t="shared" si="21"/>
        <v>0</v>
      </c>
      <c r="W29" s="603">
        <f t="shared" si="21"/>
        <v>10</v>
      </c>
      <c r="X29" s="603">
        <f t="shared" si="21"/>
        <v>0</v>
      </c>
      <c r="Y29" s="603">
        <f t="shared" si="21"/>
        <v>500</v>
      </c>
    </row>
    <row r="30" spans="1:25" x14ac:dyDescent="0.2">
      <c r="A30" s="1329"/>
      <c r="B30">
        <v>3</v>
      </c>
      <c r="C30" s="346" t="s">
        <v>1197</v>
      </c>
      <c r="D30" s="672">
        <f t="shared" si="18"/>
        <v>1.8990333713971104E-3</v>
      </c>
      <c r="E30" s="672">
        <f t="shared" si="18"/>
        <v>6.9314718055994529E-20</v>
      </c>
      <c r="F30" s="672">
        <f t="shared" si="18"/>
        <v>6.9314718055994529E-20</v>
      </c>
      <c r="G30" s="672">
        <f t="shared" si="18"/>
        <v>6.9314718055994529E-20</v>
      </c>
      <c r="H30" s="672">
        <f t="shared" si="19"/>
        <v>2.3104906018664841E-8</v>
      </c>
      <c r="I30" s="672">
        <f t="shared" si="18"/>
        <v>6.9314718055994529E-20</v>
      </c>
      <c r="J30" s="672">
        <f t="shared" si="18"/>
        <v>6.9314718055994529E-20</v>
      </c>
      <c r="K30" s="672">
        <f t="shared" ref="K30:L30" si="22">LN(2)/K10</f>
        <v>6.9314718055994529E-20</v>
      </c>
      <c r="L30" s="672">
        <f t="shared" si="22"/>
        <v>6.9314718055994529E-20</v>
      </c>
      <c r="M30" s="603">
        <f t="shared" si="21"/>
        <v>30000</v>
      </c>
      <c r="N30" s="603">
        <f t="shared" si="21"/>
        <v>30000</v>
      </c>
      <c r="O30" s="603">
        <f t="shared" si="21"/>
        <v>5000</v>
      </c>
      <c r="P30" s="603">
        <f t="shared" si="21"/>
        <v>30000</v>
      </c>
      <c r="Q30" s="603">
        <f t="shared" si="21"/>
        <v>-0.47</v>
      </c>
      <c r="R30" s="603">
        <f t="shared" si="21"/>
        <v>48863</v>
      </c>
      <c r="S30" s="603">
        <f t="shared" si="21"/>
        <v>6.3900000000000006</v>
      </c>
      <c r="T30" s="603">
        <f t="shared" si="21"/>
        <v>-20000</v>
      </c>
      <c r="U30" s="603">
        <f t="shared" si="21"/>
        <v>0</v>
      </c>
      <c r="V30" s="603">
        <f t="shared" si="21"/>
        <v>0</v>
      </c>
      <c r="W30" s="603">
        <f t="shared" si="21"/>
        <v>10</v>
      </c>
      <c r="X30" s="603">
        <f t="shared" si="21"/>
        <v>0</v>
      </c>
      <c r="Y30" s="603">
        <f t="shared" si="21"/>
        <v>520</v>
      </c>
    </row>
    <row r="31" spans="1:25" x14ac:dyDescent="0.2">
      <c r="A31" s="1329"/>
      <c r="B31">
        <v>4</v>
      </c>
      <c r="C31" s="597" t="s">
        <v>401</v>
      </c>
      <c r="D31" s="672">
        <f t="shared" si="18"/>
        <v>4.3321698784996579E-3</v>
      </c>
      <c r="E31" s="672">
        <f t="shared" si="18"/>
        <v>6.9314718055994529E-20</v>
      </c>
      <c r="F31" s="672">
        <f t="shared" si="18"/>
        <v>2.6014155772563155E-4</v>
      </c>
      <c r="G31" s="672">
        <f t="shared" si="18"/>
        <v>6.9314718055994529E-20</v>
      </c>
      <c r="H31" s="672">
        <f t="shared" si="19"/>
        <v>5.1344235597032986E-7</v>
      </c>
      <c r="I31" s="672">
        <f t="shared" si="18"/>
        <v>6.9314718055994529E-20</v>
      </c>
      <c r="J31" s="672">
        <f t="shared" si="18"/>
        <v>6.9314718055994529E-20</v>
      </c>
      <c r="K31" s="672">
        <f t="shared" ref="K31:L31" si="23">LN(2)/K11</f>
        <v>6.9314718055994529E-20</v>
      </c>
      <c r="L31" s="672">
        <f t="shared" si="23"/>
        <v>6.9314718055994529E-20</v>
      </c>
      <c r="M31" s="603">
        <f t="shared" si="21"/>
        <v>30000</v>
      </c>
      <c r="N31" s="603">
        <f t="shared" si="21"/>
        <v>30000</v>
      </c>
      <c r="O31" s="603">
        <f t="shared" si="21"/>
        <v>5000</v>
      </c>
      <c r="P31" s="603">
        <f t="shared" si="21"/>
        <v>30000</v>
      </c>
      <c r="Q31" s="603">
        <f t="shared" si="21"/>
        <v>-2.2149999999999999</v>
      </c>
      <c r="R31" s="603">
        <f t="shared" si="21"/>
        <v>63069</v>
      </c>
      <c r="S31" s="603">
        <f t="shared" si="21"/>
        <v>6.26</v>
      </c>
      <c r="T31" s="603">
        <f t="shared" si="21"/>
        <v>-20000</v>
      </c>
      <c r="U31" s="603">
        <f t="shared" si="21"/>
        <v>0</v>
      </c>
      <c r="V31" s="603">
        <f t="shared" si="21"/>
        <v>0</v>
      </c>
      <c r="W31" s="603">
        <f t="shared" si="21"/>
        <v>10</v>
      </c>
      <c r="X31" s="603">
        <f t="shared" si="21"/>
        <v>0</v>
      </c>
      <c r="Y31" s="603">
        <f t="shared" si="21"/>
        <v>564</v>
      </c>
    </row>
    <row r="32" spans="1:25" x14ac:dyDescent="0.2">
      <c r="A32" s="1329"/>
      <c r="B32">
        <v>5</v>
      </c>
      <c r="C32" s="597" t="s">
        <v>1198</v>
      </c>
      <c r="D32" s="672">
        <f t="shared" si="18"/>
        <v>6.9314718055994529E-20</v>
      </c>
      <c r="E32" s="672">
        <f t="shared" si="18"/>
        <v>6.9314718055994529E-20</v>
      </c>
      <c r="F32" s="672">
        <f t="shared" si="18"/>
        <v>6.9314718055994529E-20</v>
      </c>
      <c r="G32" s="672">
        <f t="shared" si="18"/>
        <v>6.9314718055994529E-20</v>
      </c>
      <c r="H32" s="672">
        <f t="shared" si="19"/>
        <v>3.2314553872258523E-8</v>
      </c>
      <c r="I32" s="672">
        <f t="shared" si="18"/>
        <v>6.9314718055994529E-20</v>
      </c>
      <c r="J32" s="672">
        <f t="shared" si="18"/>
        <v>6.9314718055994529E-20</v>
      </c>
      <c r="K32" s="672">
        <f t="shared" ref="K32:L32" si="24">LN(2)/K12</f>
        <v>6.9314718055994529E-20</v>
      </c>
      <c r="L32" s="672">
        <f t="shared" si="24"/>
        <v>6.9314718055994529E-20</v>
      </c>
      <c r="M32" s="603">
        <f t="shared" si="21"/>
        <v>30000</v>
      </c>
      <c r="N32" s="603">
        <f t="shared" si="21"/>
        <v>30000</v>
      </c>
      <c r="O32" s="603">
        <f t="shared" si="21"/>
        <v>2500</v>
      </c>
      <c r="P32" s="603">
        <f t="shared" si="21"/>
        <v>30000</v>
      </c>
      <c r="Q32" s="603">
        <f t="shared" si="21"/>
        <v>-0.5</v>
      </c>
      <c r="R32" s="603">
        <f t="shared" si="21"/>
        <v>45213</v>
      </c>
      <c r="S32" s="603">
        <f t="shared" si="21"/>
        <v>5.94</v>
      </c>
      <c r="T32" s="603">
        <f t="shared" si="21"/>
        <v>-20000</v>
      </c>
      <c r="U32" s="603">
        <f t="shared" si="21"/>
        <v>0</v>
      </c>
      <c r="V32" s="603">
        <f t="shared" si="21"/>
        <v>0</v>
      </c>
      <c r="W32" s="603">
        <f t="shared" si="21"/>
        <v>10</v>
      </c>
      <c r="X32" s="603">
        <f t="shared" si="21"/>
        <v>0</v>
      </c>
      <c r="Y32" s="603">
        <f t="shared" si="21"/>
        <v>480</v>
      </c>
    </row>
    <row r="33" spans="1:25" x14ac:dyDescent="0.2">
      <c r="A33" s="724"/>
      <c r="C33" s="392"/>
      <c r="D33" s="392"/>
      <c r="E33" s="392"/>
      <c r="F33" s="392"/>
      <c r="G33" s="392"/>
      <c r="H33" s="392"/>
      <c r="I33" s="392"/>
      <c r="J33" s="392"/>
      <c r="K33" s="392"/>
      <c r="L33" s="392"/>
      <c r="M33" s="392"/>
      <c r="N33" s="392"/>
      <c r="O33" s="392"/>
      <c r="P33" s="392"/>
      <c r="Q33" s="392"/>
      <c r="R33" s="392"/>
      <c r="S33" s="392"/>
      <c r="T33" s="392"/>
      <c r="U33" s="392"/>
      <c r="V33" s="392"/>
      <c r="W33" s="392"/>
      <c r="X33" s="392"/>
      <c r="Y33" s="392"/>
    </row>
    <row r="34" spans="1:25" x14ac:dyDescent="0.2">
      <c r="C34" s="341" t="s">
        <v>1147</v>
      </c>
      <c r="D34" s="341" t="s">
        <v>1148</v>
      </c>
      <c r="E34" s="341" t="s">
        <v>1179</v>
      </c>
      <c r="F34" s="341" t="s">
        <v>1149</v>
      </c>
      <c r="G34" s="341" t="s">
        <v>1181</v>
      </c>
      <c r="H34" s="341" t="s">
        <v>1150</v>
      </c>
      <c r="I34" s="341" t="s">
        <v>1182</v>
      </c>
      <c r="J34" s="341" t="s">
        <v>1151</v>
      </c>
      <c r="K34" s="341" t="s">
        <v>1910</v>
      </c>
      <c r="L34" s="341" t="s">
        <v>1911</v>
      </c>
      <c r="M34" s="341" t="s">
        <v>1152</v>
      </c>
      <c r="N34" s="341" t="s">
        <v>1153</v>
      </c>
      <c r="O34" s="341" t="s">
        <v>1154</v>
      </c>
      <c r="P34" s="341" t="s">
        <v>1155</v>
      </c>
      <c r="Q34" s="341" t="s">
        <v>1156</v>
      </c>
      <c r="R34" s="341" t="s">
        <v>1157</v>
      </c>
      <c r="S34" s="341" t="s">
        <v>1158</v>
      </c>
      <c r="T34" s="341" t="s">
        <v>1159</v>
      </c>
      <c r="U34" s="341" t="s">
        <v>1160</v>
      </c>
      <c r="V34" s="341" t="s">
        <v>1161</v>
      </c>
      <c r="W34" s="341" t="s">
        <v>1162</v>
      </c>
      <c r="X34" s="341" t="s">
        <v>1184</v>
      </c>
      <c r="Y34" s="341" t="s">
        <v>1163</v>
      </c>
    </row>
    <row r="35" spans="1:25" x14ac:dyDescent="0.2">
      <c r="D35" t="s">
        <v>1164</v>
      </c>
      <c r="E35" s="600" t="s">
        <v>1180</v>
      </c>
      <c r="F35" t="s">
        <v>1164</v>
      </c>
      <c r="G35" t="s">
        <v>1180</v>
      </c>
      <c r="H35" t="s">
        <v>1165</v>
      </c>
      <c r="I35" t="s">
        <v>1183</v>
      </c>
      <c r="J35" t="s">
        <v>1164</v>
      </c>
      <c r="K35" t="s">
        <v>1164</v>
      </c>
      <c r="L35" t="s">
        <v>1164</v>
      </c>
      <c r="M35" t="s">
        <v>1166</v>
      </c>
      <c r="N35" t="s">
        <v>1166</v>
      </c>
      <c r="O35" t="s">
        <v>1166</v>
      </c>
      <c r="P35" t="s">
        <v>1166</v>
      </c>
      <c r="Q35" t="s">
        <v>1167</v>
      </c>
      <c r="R35" t="s">
        <v>1168</v>
      </c>
      <c r="S35" t="s">
        <v>1167</v>
      </c>
      <c r="T35" t="s">
        <v>1168</v>
      </c>
      <c r="U35" t="s">
        <v>1167</v>
      </c>
      <c r="V35" t="s">
        <v>1167</v>
      </c>
      <c r="W35" t="s">
        <v>1167</v>
      </c>
      <c r="X35" t="s">
        <v>1185</v>
      </c>
      <c r="Y35" t="s">
        <v>1169</v>
      </c>
    </row>
    <row r="37" spans="1:25" x14ac:dyDescent="0.2">
      <c r="A37" s="1329" t="s">
        <v>1518</v>
      </c>
      <c r="B37">
        <v>1</v>
      </c>
      <c r="C37" s="346" t="s">
        <v>392</v>
      </c>
      <c r="D37" s="672">
        <f>LN(2)/D17</f>
        <v>3.8508176697774738E-3</v>
      </c>
      <c r="E37" s="672">
        <f t="shared" ref="E37:J37" si="25">LN(2)/E17</f>
        <v>6.9314718055994529E-20</v>
      </c>
      <c r="F37" s="672">
        <f t="shared" si="25"/>
        <v>3.8508176697774738E-3</v>
      </c>
      <c r="G37" s="672">
        <f t="shared" si="25"/>
        <v>6.9314718055994529E-20</v>
      </c>
      <c r="H37" s="672">
        <f>LN(2)/(H17*750000)</f>
        <v>5.1344235597032985E-9</v>
      </c>
      <c r="I37" s="672">
        <f t="shared" si="25"/>
        <v>6.9314718055994529E-20</v>
      </c>
      <c r="J37" s="672">
        <f t="shared" si="25"/>
        <v>3.8508176697774738E-3</v>
      </c>
      <c r="K37" s="672">
        <f t="shared" ref="K37:L37" si="26">LN(2)/K17</f>
        <v>6.9314718055994529E-20</v>
      </c>
      <c r="L37" s="672">
        <f t="shared" si="26"/>
        <v>6.9314718055994529E-20</v>
      </c>
      <c r="M37" s="603">
        <f>M17</f>
        <v>30000</v>
      </c>
      <c r="N37" s="603">
        <f t="shared" ref="N37:Y37" si="27">N17</f>
        <v>30000</v>
      </c>
      <c r="O37" s="603">
        <f t="shared" si="27"/>
        <v>15000</v>
      </c>
      <c r="P37" s="603">
        <f t="shared" si="27"/>
        <v>30000</v>
      </c>
      <c r="Q37" s="603">
        <f t="shared" si="27"/>
        <v>4.41</v>
      </c>
      <c r="R37" s="603">
        <f t="shared" si="27"/>
        <v>11612</v>
      </c>
      <c r="S37" s="603">
        <f t="shared" si="27"/>
        <v>3</v>
      </c>
      <c r="T37" s="603">
        <f t="shared" si="27"/>
        <v>-20000</v>
      </c>
      <c r="U37" s="603">
        <f t="shared" si="27"/>
        <v>0</v>
      </c>
      <c r="V37" s="603">
        <f t="shared" si="27"/>
        <v>0</v>
      </c>
      <c r="W37" s="603">
        <f t="shared" si="27"/>
        <v>10</v>
      </c>
      <c r="X37" s="603">
        <f t="shared" si="27"/>
        <v>0</v>
      </c>
      <c r="Y37" s="603">
        <f t="shared" si="27"/>
        <v>502</v>
      </c>
    </row>
    <row r="38" spans="1:25" x14ac:dyDescent="0.2">
      <c r="A38" s="1329"/>
      <c r="B38">
        <v>2</v>
      </c>
      <c r="C38" s="346" t="s">
        <v>40</v>
      </c>
      <c r="D38" s="672">
        <f t="shared" ref="D38:J38" si="28">LN(2)/D18</f>
        <v>6.9314718055994529E-20</v>
      </c>
      <c r="E38" s="672">
        <f t="shared" si="28"/>
        <v>6.9314718055994529E-20</v>
      </c>
      <c r="F38" s="672">
        <f t="shared" si="28"/>
        <v>6.9314718055994529E-20</v>
      </c>
      <c r="G38" s="672">
        <f t="shared" si="28"/>
        <v>6.9314718055994529E-20</v>
      </c>
      <c r="H38" s="672">
        <f t="shared" ref="H38:H41" si="29">LN(2)/(H18*750000)</f>
        <v>9.241962407465937E-26</v>
      </c>
      <c r="I38" s="672">
        <f t="shared" si="28"/>
        <v>6.9314718055994529E-20</v>
      </c>
      <c r="J38" s="672">
        <f t="shared" si="28"/>
        <v>6.9314718055994529E-20</v>
      </c>
      <c r="K38" s="672">
        <f t="shared" ref="K38:L38" si="30">LN(2)/K18</f>
        <v>6.9314718055994529E-20</v>
      </c>
      <c r="L38" s="672">
        <f t="shared" si="30"/>
        <v>6.9314718055994529E-20</v>
      </c>
      <c r="M38" s="603">
        <f t="shared" ref="M38:Y38" si="31">M18</f>
        <v>30000</v>
      </c>
      <c r="N38" s="603">
        <f t="shared" si="31"/>
        <v>30000</v>
      </c>
      <c r="O38" s="603">
        <f t="shared" si="31"/>
        <v>15000</v>
      </c>
      <c r="P38" s="603">
        <f t="shared" si="31"/>
        <v>30000</v>
      </c>
      <c r="Q38" s="603">
        <f t="shared" si="31"/>
        <v>-8</v>
      </c>
      <c r="R38" s="603">
        <f t="shared" si="31"/>
        <v>84442</v>
      </c>
      <c r="S38" s="603">
        <f t="shared" si="31"/>
        <v>2.9</v>
      </c>
      <c r="T38" s="603">
        <f t="shared" si="31"/>
        <v>-20000</v>
      </c>
      <c r="U38" s="603">
        <f t="shared" si="31"/>
        <v>0</v>
      </c>
      <c r="V38" s="603">
        <f t="shared" si="31"/>
        <v>0</v>
      </c>
      <c r="W38" s="603">
        <f t="shared" si="31"/>
        <v>10</v>
      </c>
      <c r="X38" s="603">
        <f t="shared" si="31"/>
        <v>0</v>
      </c>
      <c r="Y38" s="603">
        <f t="shared" si="31"/>
        <v>500</v>
      </c>
    </row>
    <row r="39" spans="1:25" x14ac:dyDescent="0.2">
      <c r="A39" s="1329"/>
      <c r="B39">
        <v>3</v>
      </c>
      <c r="C39" s="346" t="s">
        <v>1197</v>
      </c>
      <c r="D39" s="672">
        <f t="shared" ref="D39:J39" si="32">LN(2)/D19</f>
        <v>4.9866703637406133E-2</v>
      </c>
      <c r="E39" s="672">
        <f t="shared" si="32"/>
        <v>6.9314718055994529E-20</v>
      </c>
      <c r="F39" s="672">
        <f t="shared" si="32"/>
        <v>6.9314718055994529E-20</v>
      </c>
      <c r="G39" s="672">
        <f t="shared" si="32"/>
        <v>6.9314718055994529E-20</v>
      </c>
      <c r="H39" s="672">
        <f t="shared" si="29"/>
        <v>4.6209812037329683E-8</v>
      </c>
      <c r="I39" s="672">
        <f t="shared" si="32"/>
        <v>6.9314718055994529E-20</v>
      </c>
      <c r="J39" s="672">
        <f t="shared" si="32"/>
        <v>6.9314718055994529E-20</v>
      </c>
      <c r="K39" s="672">
        <f t="shared" ref="K39:L39" si="33">LN(2)/K19</f>
        <v>6.9314718055994529E-20</v>
      </c>
      <c r="L39" s="672">
        <f t="shared" si="33"/>
        <v>6.9314718055994529E-20</v>
      </c>
      <c r="M39" s="603">
        <f t="shared" ref="M39:Y39" si="34">M19</f>
        <v>30000</v>
      </c>
      <c r="N39" s="603">
        <f t="shared" si="34"/>
        <v>30000</v>
      </c>
      <c r="O39" s="603">
        <f t="shared" si="34"/>
        <v>5000</v>
      </c>
      <c r="P39" s="603">
        <f t="shared" si="34"/>
        <v>30000</v>
      </c>
      <c r="Q39" s="603">
        <f t="shared" si="34"/>
        <v>-0.47</v>
      </c>
      <c r="R39" s="603">
        <f t="shared" si="34"/>
        <v>48863</v>
      </c>
      <c r="S39" s="603">
        <f t="shared" si="34"/>
        <v>6.3900000000000006</v>
      </c>
      <c r="T39" s="603">
        <f t="shared" si="34"/>
        <v>-20000</v>
      </c>
      <c r="U39" s="603">
        <f t="shared" si="34"/>
        <v>0</v>
      </c>
      <c r="V39" s="603">
        <f t="shared" si="34"/>
        <v>0</v>
      </c>
      <c r="W39" s="603">
        <f t="shared" si="34"/>
        <v>10</v>
      </c>
      <c r="X39" s="603">
        <f t="shared" si="34"/>
        <v>0</v>
      </c>
      <c r="Y39" s="603">
        <f t="shared" si="34"/>
        <v>520</v>
      </c>
    </row>
    <row r="40" spans="1:25" x14ac:dyDescent="0.2">
      <c r="A40" s="1329"/>
      <c r="B40">
        <v>4</v>
      </c>
      <c r="C40" s="597" t="s">
        <v>401</v>
      </c>
      <c r="D40" s="672">
        <f t="shared" ref="D40:J40" si="35">LN(2)/D20</f>
        <v>1.575334501272603E-2</v>
      </c>
      <c r="E40" s="672">
        <f t="shared" si="35"/>
        <v>6.9314718055994529E-20</v>
      </c>
      <c r="F40" s="672">
        <f t="shared" si="35"/>
        <v>3.014338684757318E-4</v>
      </c>
      <c r="G40" s="672">
        <f t="shared" si="35"/>
        <v>6.9314718055994529E-20</v>
      </c>
      <c r="H40" s="672">
        <f t="shared" si="29"/>
        <v>5.1344235597032986E-7</v>
      </c>
      <c r="I40" s="672">
        <f t="shared" si="35"/>
        <v>6.9314718055994529E-20</v>
      </c>
      <c r="J40" s="672">
        <f t="shared" si="35"/>
        <v>3.014338684757318E-4</v>
      </c>
      <c r="K40" s="672">
        <f t="shared" ref="K40:L40" si="36">LN(2)/K20</f>
        <v>6.9314718055994529E-20</v>
      </c>
      <c r="L40" s="672">
        <f t="shared" si="36"/>
        <v>6.9314718055994529E-20</v>
      </c>
      <c r="M40" s="603">
        <f t="shared" ref="M40:Y40" si="37">M20</f>
        <v>30000</v>
      </c>
      <c r="N40" s="603">
        <f t="shared" si="37"/>
        <v>30000</v>
      </c>
      <c r="O40" s="603">
        <f t="shared" si="37"/>
        <v>5000</v>
      </c>
      <c r="P40" s="603">
        <f t="shared" si="37"/>
        <v>30000</v>
      </c>
      <c r="Q40" s="603">
        <f t="shared" si="37"/>
        <v>-2.2149999999999999</v>
      </c>
      <c r="R40" s="603">
        <f t="shared" si="37"/>
        <v>63069</v>
      </c>
      <c r="S40" s="603">
        <f t="shared" si="37"/>
        <v>6.26</v>
      </c>
      <c r="T40" s="603">
        <f t="shared" si="37"/>
        <v>-20000</v>
      </c>
      <c r="U40" s="603">
        <f t="shared" si="37"/>
        <v>0</v>
      </c>
      <c r="V40" s="603">
        <f t="shared" si="37"/>
        <v>0</v>
      </c>
      <c r="W40" s="603">
        <f t="shared" si="37"/>
        <v>10</v>
      </c>
      <c r="X40" s="603">
        <f t="shared" si="37"/>
        <v>0</v>
      </c>
      <c r="Y40" s="603">
        <f t="shared" si="37"/>
        <v>564</v>
      </c>
    </row>
    <row r="41" spans="1:25" x14ac:dyDescent="0.2">
      <c r="A41" s="1329"/>
      <c r="B41">
        <v>5</v>
      </c>
      <c r="C41" s="597" t="s">
        <v>1198</v>
      </c>
      <c r="D41" s="672">
        <f t="shared" ref="D41:J41" si="38">LN(2)/D21</f>
        <v>6.9314718055994529E-20</v>
      </c>
      <c r="E41" s="672">
        <f t="shared" si="38"/>
        <v>6.9314718055994529E-20</v>
      </c>
      <c r="F41" s="672">
        <f t="shared" si="38"/>
        <v>6.9314718055994529E-20</v>
      </c>
      <c r="G41" s="672">
        <f t="shared" si="38"/>
        <v>6.9314718055994529E-20</v>
      </c>
      <c r="H41" s="672">
        <f t="shared" si="29"/>
        <v>3.2314553872258523E-8</v>
      </c>
      <c r="I41" s="672">
        <f t="shared" si="38"/>
        <v>6.9314718055994529E-20</v>
      </c>
      <c r="J41" s="672">
        <f t="shared" si="38"/>
        <v>6.9314718055994529E-20</v>
      </c>
      <c r="K41" s="672">
        <f t="shared" ref="K41:L41" si="39">LN(2)/K21</f>
        <v>6.9314718055994529E-20</v>
      </c>
      <c r="L41" s="672">
        <f t="shared" si="39"/>
        <v>6.9314718055994529E-20</v>
      </c>
      <c r="M41" s="603">
        <f t="shared" ref="M41:Y41" si="40">M21</f>
        <v>30000</v>
      </c>
      <c r="N41" s="603">
        <f t="shared" si="40"/>
        <v>30000</v>
      </c>
      <c r="O41" s="603">
        <f t="shared" si="40"/>
        <v>2500</v>
      </c>
      <c r="P41" s="603">
        <f t="shared" si="40"/>
        <v>30000</v>
      </c>
      <c r="Q41" s="603">
        <f t="shared" si="40"/>
        <v>-0.5</v>
      </c>
      <c r="R41" s="603">
        <f t="shared" si="40"/>
        <v>45213</v>
      </c>
      <c r="S41" s="603">
        <f t="shared" si="40"/>
        <v>5.94</v>
      </c>
      <c r="T41" s="603">
        <f t="shared" si="40"/>
        <v>-20000</v>
      </c>
      <c r="U41" s="603">
        <f t="shared" si="40"/>
        <v>0</v>
      </c>
      <c r="V41" s="603">
        <f t="shared" si="40"/>
        <v>0</v>
      </c>
      <c r="W41" s="603">
        <f t="shared" si="40"/>
        <v>10</v>
      </c>
      <c r="X41" s="603">
        <f t="shared" si="40"/>
        <v>0</v>
      </c>
      <c r="Y41" s="603">
        <f t="shared" si="40"/>
        <v>480</v>
      </c>
    </row>
    <row r="42" spans="1:25" x14ac:dyDescent="0.2">
      <c r="A42" s="724"/>
      <c r="C42" s="392"/>
      <c r="D42" s="392"/>
      <c r="E42" s="392"/>
      <c r="F42" s="392"/>
      <c r="G42" s="392"/>
      <c r="H42" s="392"/>
      <c r="I42" s="392"/>
      <c r="J42" s="392"/>
      <c r="K42" s="392"/>
      <c r="L42" s="392"/>
      <c r="M42" s="392"/>
      <c r="N42" s="392"/>
      <c r="O42" s="392"/>
      <c r="P42" s="392"/>
      <c r="Q42" s="392"/>
      <c r="R42" s="392"/>
      <c r="S42" s="392"/>
      <c r="T42" s="392"/>
      <c r="U42" s="392"/>
      <c r="V42" s="392"/>
      <c r="W42" s="392"/>
      <c r="X42" s="392"/>
      <c r="Y42" s="392"/>
    </row>
    <row r="43" spans="1:25" x14ac:dyDescent="0.2">
      <c r="A43" s="646"/>
    </row>
    <row r="44" spans="1:25" x14ac:dyDescent="0.2">
      <c r="A44" s="646"/>
      <c r="C44" s="653" t="s">
        <v>1147</v>
      </c>
      <c r="D44" s="653" t="s">
        <v>1148</v>
      </c>
      <c r="E44" s="653" t="s">
        <v>1179</v>
      </c>
      <c r="F44" s="653" t="s">
        <v>1149</v>
      </c>
      <c r="G44" s="653" t="s">
        <v>1181</v>
      </c>
      <c r="H44" s="653" t="s">
        <v>1150</v>
      </c>
      <c r="I44" s="653" t="s">
        <v>1182</v>
      </c>
      <c r="J44" s="653" t="s">
        <v>1151</v>
      </c>
      <c r="K44" s="341" t="s">
        <v>1910</v>
      </c>
      <c r="L44" s="341" t="s">
        <v>1911</v>
      </c>
      <c r="M44" s="653" t="s">
        <v>1152</v>
      </c>
      <c r="N44" s="653" t="s">
        <v>1153</v>
      </c>
      <c r="O44" s="653" t="s">
        <v>1154</v>
      </c>
      <c r="P44" s="653" t="s">
        <v>1155</v>
      </c>
      <c r="Q44" s="653" t="s">
        <v>1156</v>
      </c>
      <c r="R44" s="653" t="s">
        <v>1157</v>
      </c>
      <c r="S44" s="653" t="s">
        <v>1158</v>
      </c>
      <c r="T44" s="653" t="s">
        <v>1159</v>
      </c>
      <c r="U44" s="653" t="s">
        <v>1160</v>
      </c>
      <c r="V44" s="653" t="s">
        <v>1161</v>
      </c>
      <c r="W44" s="653" t="s">
        <v>1162</v>
      </c>
      <c r="X44" s="653" t="s">
        <v>1184</v>
      </c>
      <c r="Y44" s="653" t="s">
        <v>1163</v>
      </c>
    </row>
    <row r="45" spans="1:25" x14ac:dyDescent="0.2">
      <c r="A45" s="646"/>
      <c r="C45" s="392"/>
      <c r="D45" s="392" t="s">
        <v>1164</v>
      </c>
      <c r="E45" s="392" t="s">
        <v>1180</v>
      </c>
      <c r="F45" s="392" t="s">
        <v>1164</v>
      </c>
      <c r="G45" s="392" t="s">
        <v>1180</v>
      </c>
      <c r="H45" s="392" t="s">
        <v>1165</v>
      </c>
      <c r="I45" s="392" t="s">
        <v>1183</v>
      </c>
      <c r="J45" s="392" t="s">
        <v>1164</v>
      </c>
      <c r="K45" s="392" t="s">
        <v>1164</v>
      </c>
      <c r="L45" s="392" t="s">
        <v>1164</v>
      </c>
      <c r="M45" s="392" t="s">
        <v>1166</v>
      </c>
      <c r="N45" s="392" t="s">
        <v>1166</v>
      </c>
      <c r="O45" s="392" t="s">
        <v>1166</v>
      </c>
      <c r="P45" s="392" t="s">
        <v>1166</v>
      </c>
      <c r="Q45" s="392" t="s">
        <v>1167</v>
      </c>
      <c r="R45" s="392" t="s">
        <v>1168</v>
      </c>
      <c r="S45" s="392" t="s">
        <v>1167</v>
      </c>
      <c r="T45" s="392" t="s">
        <v>1168</v>
      </c>
      <c r="U45" s="392" t="s">
        <v>1167</v>
      </c>
      <c r="V45" s="392" t="s">
        <v>1167</v>
      </c>
      <c r="W45" s="392" t="s">
        <v>1167</v>
      </c>
      <c r="X45" s="392" t="s">
        <v>1185</v>
      </c>
      <c r="Y45" s="392" t="s">
        <v>1169</v>
      </c>
    </row>
    <row r="46" spans="1:25" x14ac:dyDescent="0.2">
      <c r="A46" s="646"/>
      <c r="C46" s="392"/>
      <c r="D46" s="392"/>
      <c r="E46" s="392"/>
      <c r="F46" s="392"/>
      <c r="G46" s="392"/>
      <c r="H46" s="392"/>
      <c r="I46" s="392"/>
      <c r="J46" s="392"/>
      <c r="K46" s="392"/>
      <c r="L46" s="392"/>
      <c r="M46" s="392"/>
      <c r="N46" s="392"/>
      <c r="O46" s="392"/>
      <c r="P46" s="392"/>
      <c r="Q46" s="392"/>
      <c r="R46" s="392"/>
      <c r="S46" s="392"/>
      <c r="T46" s="392"/>
      <c r="U46" s="392"/>
      <c r="V46" s="392"/>
      <c r="W46" s="392"/>
      <c r="X46" s="392"/>
      <c r="Y46" s="392"/>
    </row>
    <row r="47" spans="1:25" ht="43" customHeight="1" x14ac:dyDescent="0.2">
      <c r="A47" s="1329" t="s">
        <v>1405</v>
      </c>
      <c r="B47">
        <v>1</v>
      </c>
      <c r="C47" s="597" t="s">
        <v>392</v>
      </c>
      <c r="D47" s="655" t="s">
        <v>3</v>
      </c>
      <c r="E47" s="655" t="s">
        <v>3</v>
      </c>
      <c r="F47" s="655" t="s">
        <v>3</v>
      </c>
      <c r="G47" s="655" t="s">
        <v>3</v>
      </c>
      <c r="H47" s="655" t="s">
        <v>3</v>
      </c>
      <c r="I47" s="655" t="s">
        <v>3</v>
      </c>
      <c r="J47" s="655" t="s">
        <v>3</v>
      </c>
      <c r="K47" s="655" t="s">
        <v>3</v>
      </c>
      <c r="L47" s="655" t="s">
        <v>3</v>
      </c>
      <c r="M47" s="655" t="s">
        <v>3</v>
      </c>
      <c r="N47" s="655" t="s">
        <v>3</v>
      </c>
      <c r="O47" s="655" t="s">
        <v>3</v>
      </c>
      <c r="P47" s="655" t="s">
        <v>3</v>
      </c>
      <c r="Q47" s="655" t="s">
        <v>3</v>
      </c>
      <c r="R47" s="655" t="s">
        <v>3</v>
      </c>
      <c r="S47" s="655" t="s">
        <v>3</v>
      </c>
      <c r="T47" s="655" t="s">
        <v>3</v>
      </c>
      <c r="U47" s="655" t="s">
        <v>3</v>
      </c>
      <c r="V47" s="655" t="s">
        <v>3</v>
      </c>
      <c r="W47" s="655" t="s">
        <v>3</v>
      </c>
      <c r="X47" s="655" t="s">
        <v>3</v>
      </c>
      <c r="Y47" s="655" t="s">
        <v>3</v>
      </c>
    </row>
    <row r="48" spans="1:25" x14ac:dyDescent="0.2">
      <c r="A48" s="1329"/>
      <c r="B48">
        <v>2</v>
      </c>
      <c r="C48" s="597" t="s">
        <v>40</v>
      </c>
      <c r="D48" s="597">
        <v>0</v>
      </c>
      <c r="E48" s="655" t="s">
        <v>3</v>
      </c>
      <c r="F48" s="597">
        <v>0</v>
      </c>
      <c r="G48" s="655" t="s">
        <v>3</v>
      </c>
      <c r="H48" s="597">
        <v>0</v>
      </c>
      <c r="I48" s="655" t="s">
        <v>3</v>
      </c>
      <c r="J48" s="597">
        <v>0</v>
      </c>
      <c r="K48" s="597">
        <v>0</v>
      </c>
      <c r="L48" s="597">
        <v>0</v>
      </c>
      <c r="M48" s="597">
        <v>30000</v>
      </c>
      <c r="N48" s="597">
        <v>30000</v>
      </c>
      <c r="O48" s="597">
        <v>15000</v>
      </c>
      <c r="P48" s="597">
        <v>30000</v>
      </c>
      <c r="Q48" s="597">
        <v>-8</v>
      </c>
      <c r="R48" s="597">
        <v>71600</v>
      </c>
      <c r="S48" s="597">
        <v>2.9</v>
      </c>
      <c r="T48" s="597">
        <v>0</v>
      </c>
      <c r="U48" s="597">
        <v>0</v>
      </c>
      <c r="V48" s="597">
        <v>0</v>
      </c>
      <c r="W48" s="597">
        <v>10</v>
      </c>
      <c r="X48" s="655" t="s">
        <v>3</v>
      </c>
      <c r="Y48" s="597">
        <v>538</v>
      </c>
    </row>
    <row r="49" spans="1:25" x14ac:dyDescent="0.2">
      <c r="A49" s="1329"/>
      <c r="B49">
        <v>3</v>
      </c>
      <c r="C49" s="597" t="s">
        <v>1197</v>
      </c>
      <c r="D49" s="597">
        <v>0</v>
      </c>
      <c r="E49" s="655" t="s">
        <v>3</v>
      </c>
      <c r="F49" s="597">
        <v>0</v>
      </c>
      <c r="G49" s="655" t="s">
        <v>3</v>
      </c>
      <c r="H49" s="654">
        <v>3.2299999999999998E-8</v>
      </c>
      <c r="I49" s="655" t="s">
        <v>3</v>
      </c>
      <c r="J49" s="597">
        <v>0</v>
      </c>
      <c r="K49" s="597">
        <v>0</v>
      </c>
      <c r="L49" s="597">
        <v>0</v>
      </c>
      <c r="M49" s="597">
        <v>30000</v>
      </c>
      <c r="N49" s="597">
        <v>30000</v>
      </c>
      <c r="O49" s="597">
        <v>2500</v>
      </c>
      <c r="P49" s="597">
        <v>30000</v>
      </c>
      <c r="Q49" s="597">
        <v>-1</v>
      </c>
      <c r="R49" s="597">
        <v>71600</v>
      </c>
      <c r="S49" s="597">
        <v>5.94</v>
      </c>
      <c r="T49" s="597">
        <v>0</v>
      </c>
      <c r="U49" s="597">
        <v>0</v>
      </c>
      <c r="V49" s="597">
        <v>0</v>
      </c>
      <c r="W49" s="597">
        <v>10</v>
      </c>
      <c r="X49" s="655" t="s">
        <v>3</v>
      </c>
      <c r="Y49" s="597">
        <v>528</v>
      </c>
    </row>
    <row r="50" spans="1:25" x14ac:dyDescent="0.2">
      <c r="A50" s="1329"/>
      <c r="B50">
        <v>4</v>
      </c>
      <c r="C50" s="597" t="s">
        <v>401</v>
      </c>
      <c r="D50" s="597">
        <v>0</v>
      </c>
      <c r="E50" s="655" t="s">
        <v>3</v>
      </c>
      <c r="F50" s="597">
        <v>0</v>
      </c>
      <c r="G50" s="655" t="s">
        <v>3</v>
      </c>
      <c r="H50" s="654">
        <v>4.9999999999999998E-7</v>
      </c>
      <c r="I50" s="655" t="s">
        <v>3</v>
      </c>
      <c r="J50" s="597">
        <v>0</v>
      </c>
      <c r="K50" s="597">
        <v>0</v>
      </c>
      <c r="L50" s="597">
        <v>0</v>
      </c>
      <c r="M50" s="597">
        <v>30000</v>
      </c>
      <c r="N50" s="597">
        <v>30000</v>
      </c>
      <c r="O50" s="597">
        <v>15000</v>
      </c>
      <c r="P50" s="597">
        <v>30000</v>
      </c>
      <c r="Q50" s="597">
        <v>-1</v>
      </c>
      <c r="R50" s="597">
        <v>71600</v>
      </c>
      <c r="S50" s="597">
        <v>5.94</v>
      </c>
      <c r="T50" s="597">
        <v>0</v>
      </c>
      <c r="U50" s="597">
        <v>0</v>
      </c>
      <c r="V50" s="597">
        <v>0</v>
      </c>
      <c r="W50" s="597">
        <v>10</v>
      </c>
      <c r="X50" s="655" t="s">
        <v>3</v>
      </c>
      <c r="Y50" s="597">
        <v>542</v>
      </c>
    </row>
    <row r="51" spans="1:25" x14ac:dyDescent="0.2">
      <c r="A51" s="1329"/>
      <c r="B51">
        <v>5</v>
      </c>
      <c r="C51" s="597" t="s">
        <v>1198</v>
      </c>
      <c r="D51" s="597">
        <v>0</v>
      </c>
      <c r="E51" s="655" t="s">
        <v>3</v>
      </c>
      <c r="F51" s="597">
        <v>0</v>
      </c>
      <c r="G51" s="655" t="s">
        <v>3</v>
      </c>
      <c r="H51" s="654">
        <v>3.2299999999999998E-8</v>
      </c>
      <c r="I51" s="655" t="s">
        <v>3</v>
      </c>
      <c r="J51" s="597">
        <v>0</v>
      </c>
      <c r="K51" s="597">
        <v>0</v>
      </c>
      <c r="L51" s="597">
        <v>0</v>
      </c>
      <c r="M51" s="597">
        <v>30000</v>
      </c>
      <c r="N51" s="597">
        <v>30000</v>
      </c>
      <c r="O51" s="597">
        <v>2500</v>
      </c>
      <c r="P51" s="597">
        <v>30000</v>
      </c>
      <c r="Q51" s="597">
        <v>-0.5</v>
      </c>
      <c r="R51" s="597">
        <v>71600</v>
      </c>
      <c r="S51" s="597">
        <v>5.94</v>
      </c>
      <c r="T51" s="597">
        <v>0</v>
      </c>
      <c r="U51" s="597">
        <v>0</v>
      </c>
      <c r="V51" s="597">
        <v>0</v>
      </c>
      <c r="W51" s="597">
        <v>10</v>
      </c>
      <c r="X51" s="655" t="s">
        <v>3</v>
      </c>
      <c r="Y51" s="597">
        <v>480</v>
      </c>
    </row>
    <row r="52" spans="1:25" x14ac:dyDescent="0.2">
      <c r="A52" s="646"/>
      <c r="C52" s="392"/>
      <c r="D52" s="392"/>
      <c r="E52" s="392"/>
      <c r="F52" s="392"/>
      <c r="G52" s="392"/>
      <c r="H52" s="392"/>
      <c r="I52" s="392"/>
      <c r="J52" s="392"/>
      <c r="K52" s="392"/>
      <c r="L52" s="392"/>
      <c r="M52" s="392"/>
      <c r="N52" s="392"/>
      <c r="O52" s="392"/>
      <c r="P52" s="392"/>
      <c r="Q52" s="392"/>
      <c r="R52" s="392"/>
      <c r="S52" s="392"/>
      <c r="T52" s="392"/>
      <c r="U52" s="392"/>
      <c r="V52" s="392"/>
      <c r="W52" s="392"/>
      <c r="X52" s="392"/>
      <c r="Y52" s="392"/>
    </row>
    <row r="54" spans="1:25" x14ac:dyDescent="0.2">
      <c r="C54" s="341" t="s">
        <v>2172</v>
      </c>
    </row>
    <row r="55" spans="1:25" x14ac:dyDescent="0.2">
      <c r="C55" s="346"/>
      <c r="D55" s="346"/>
      <c r="E55" s="346"/>
      <c r="F55" s="346"/>
      <c r="G55" s="346"/>
      <c r="H55" s="346"/>
      <c r="I55" s="346"/>
      <c r="J55" s="346"/>
      <c r="K55" s="346"/>
      <c r="L55" s="346"/>
      <c r="M55" s="346"/>
      <c r="N55" s="346"/>
      <c r="O55" s="346"/>
      <c r="P55" s="346"/>
      <c r="Q55" s="346"/>
      <c r="R55" s="346"/>
      <c r="S55" s="346"/>
      <c r="T55" s="346"/>
      <c r="U55" s="346"/>
      <c r="V55" s="346"/>
      <c r="W55" s="346"/>
      <c r="X55" s="346"/>
      <c r="Y55" s="346"/>
    </row>
    <row r="56" spans="1:25" x14ac:dyDescent="0.2">
      <c r="C56" s="346" t="s">
        <v>1187</v>
      </c>
      <c r="D56" s="346"/>
      <c r="E56" s="346"/>
      <c r="F56" s="346"/>
      <c r="G56" s="346"/>
      <c r="H56" s="346"/>
      <c r="I56" s="346"/>
      <c r="J56" s="346"/>
      <c r="K56" s="346"/>
      <c r="L56" s="346"/>
      <c r="M56" s="346"/>
      <c r="N56" s="346"/>
      <c r="O56" s="346"/>
      <c r="P56" s="346"/>
      <c r="Q56" s="346">
        <v>-0.57999999999999996</v>
      </c>
      <c r="R56" s="346"/>
      <c r="S56" s="346">
        <v>6.07</v>
      </c>
      <c r="T56" s="346"/>
      <c r="U56" s="346"/>
      <c r="V56" s="346"/>
      <c r="W56" s="346"/>
      <c r="X56" s="346"/>
      <c r="Y56" s="346">
        <v>513</v>
      </c>
    </row>
    <row r="57" spans="1:25" x14ac:dyDescent="0.2">
      <c r="C57" s="346" t="s">
        <v>1188</v>
      </c>
      <c r="D57" s="346"/>
      <c r="E57" s="346"/>
      <c r="F57" s="346"/>
      <c r="G57" s="346"/>
      <c r="H57" s="346"/>
      <c r="I57" s="346"/>
      <c r="J57" s="346"/>
      <c r="K57" s="346"/>
      <c r="L57" s="346"/>
      <c r="M57" s="346"/>
      <c r="N57" s="346"/>
      <c r="O57" s="346"/>
      <c r="P57" s="346"/>
      <c r="Q57" s="346">
        <v>-0.36</v>
      </c>
      <c r="R57" s="346"/>
      <c r="S57" s="346">
        <v>6.71</v>
      </c>
      <c r="T57" s="346"/>
      <c r="U57" s="346"/>
      <c r="V57" s="346"/>
      <c r="W57" s="346"/>
      <c r="X57" s="346"/>
      <c r="Y57" s="346">
        <v>527</v>
      </c>
    </row>
    <row r="58" spans="1:25" ht="17" thickBot="1" x14ac:dyDescent="0.25">
      <c r="C58" s="787" t="s">
        <v>2171</v>
      </c>
      <c r="D58" s="787"/>
      <c r="E58" s="787"/>
      <c r="F58" s="787"/>
      <c r="G58" s="787"/>
      <c r="H58" s="787"/>
      <c r="I58" s="787"/>
      <c r="J58" s="787"/>
      <c r="K58" s="787"/>
      <c r="L58" s="787"/>
      <c r="M58" s="787"/>
      <c r="N58" s="787"/>
      <c r="O58" s="787"/>
      <c r="P58" s="787"/>
      <c r="Q58" s="787">
        <f>AVERAGE(Q56:Q57)</f>
        <v>-0.47</v>
      </c>
      <c r="R58" s="787"/>
      <c r="S58" s="788">
        <f>AVERAGE(S56:S57)</f>
        <v>6.3900000000000006</v>
      </c>
      <c r="T58" s="787"/>
      <c r="U58" s="787"/>
      <c r="V58" s="787"/>
      <c r="W58" s="787"/>
      <c r="X58" s="787"/>
      <c r="Y58" s="787">
        <f>AVERAGE(Y56:Y57)</f>
        <v>520</v>
      </c>
    </row>
    <row r="59" spans="1:25" x14ac:dyDescent="0.2">
      <c r="C59" s="352"/>
      <c r="D59" s="352"/>
      <c r="E59" s="352"/>
      <c r="F59" s="352"/>
      <c r="G59" s="352"/>
      <c r="H59" s="352"/>
      <c r="I59" s="352"/>
      <c r="J59" s="352"/>
      <c r="K59" s="352"/>
      <c r="L59" s="352"/>
      <c r="M59" s="352"/>
      <c r="N59" s="352"/>
      <c r="O59" s="352"/>
      <c r="P59" s="352"/>
      <c r="Q59" s="352"/>
      <c r="R59" s="352"/>
      <c r="S59" s="352"/>
      <c r="T59" s="352"/>
      <c r="U59" s="352"/>
      <c r="V59" s="352"/>
      <c r="W59" s="352"/>
      <c r="X59" s="352"/>
      <c r="Y59" s="352"/>
    </row>
    <row r="60" spans="1:25" x14ac:dyDescent="0.2">
      <c r="C60" s="346" t="s">
        <v>1189</v>
      </c>
      <c r="D60" s="346"/>
      <c r="E60" s="346"/>
      <c r="F60" s="346"/>
      <c r="G60" s="346"/>
      <c r="H60" s="346"/>
      <c r="I60" s="346"/>
      <c r="J60" s="346"/>
      <c r="K60" s="346"/>
      <c r="L60" s="346"/>
      <c r="M60" s="346"/>
      <c r="N60" s="346"/>
      <c r="O60" s="346"/>
      <c r="P60" s="346"/>
      <c r="Q60" s="346">
        <v>-2.35</v>
      </c>
      <c r="R60" s="346"/>
      <c r="S60" s="346">
        <v>6</v>
      </c>
      <c r="T60" s="346"/>
      <c r="U60" s="346"/>
      <c r="V60" s="346"/>
      <c r="W60" s="346"/>
      <c r="X60" s="346"/>
      <c r="Y60" s="346">
        <v>557</v>
      </c>
    </row>
    <row r="61" spans="1:25" x14ac:dyDescent="0.2">
      <c r="C61" s="346" t="s">
        <v>1190</v>
      </c>
      <c r="D61" s="346"/>
      <c r="E61" s="346"/>
      <c r="F61" s="346"/>
      <c r="G61" s="346"/>
      <c r="H61" s="346"/>
      <c r="I61" s="346"/>
      <c r="J61" s="346"/>
      <c r="K61" s="346"/>
      <c r="L61" s="346"/>
      <c r="M61" s="346"/>
      <c r="N61" s="346"/>
      <c r="O61" s="346"/>
      <c r="P61" s="346"/>
      <c r="Q61" s="346">
        <v>-2.08</v>
      </c>
      <c r="R61" s="346"/>
      <c r="S61" s="346">
        <v>6.52</v>
      </c>
      <c r="T61" s="346"/>
      <c r="U61" s="346"/>
      <c r="V61" s="346"/>
      <c r="W61" s="346"/>
      <c r="X61" s="346"/>
      <c r="Y61" s="346">
        <v>571</v>
      </c>
    </row>
    <row r="62" spans="1:25" x14ac:dyDescent="0.2">
      <c r="C62" s="789" t="s">
        <v>2170</v>
      </c>
      <c r="D62" s="785"/>
      <c r="E62" s="785"/>
      <c r="F62" s="785"/>
      <c r="G62" s="785"/>
      <c r="H62" s="785"/>
      <c r="I62" s="785"/>
      <c r="J62" s="785"/>
      <c r="K62" s="785"/>
      <c r="L62" s="785"/>
      <c r="M62" s="785"/>
      <c r="N62" s="785"/>
      <c r="O62" s="785"/>
      <c r="P62" s="785"/>
      <c r="Q62" s="785">
        <f>AVERAGE(Q60:Q61)</f>
        <v>-2.2149999999999999</v>
      </c>
      <c r="R62" s="785"/>
      <c r="S62" s="786">
        <f>AVERAGE(S60:S61)</f>
        <v>6.26</v>
      </c>
      <c r="T62" s="785"/>
      <c r="U62" s="785"/>
      <c r="V62" s="785"/>
      <c r="W62" s="785"/>
      <c r="X62" s="785"/>
      <c r="Y62" s="785">
        <f>AVERAGE(Y60:Y61)</f>
        <v>564</v>
      </c>
    </row>
    <row r="68" spans="3:10" ht="21" x14ac:dyDescent="0.25">
      <c r="C68" s="596" t="s">
        <v>1170</v>
      </c>
    </row>
    <row r="69" spans="3:10" x14ac:dyDescent="0.2">
      <c r="I69" s="341"/>
      <c r="J69" s="341"/>
    </row>
    <row r="70" spans="3:10" ht="48" x14ac:dyDescent="0.2">
      <c r="C70" s="341" t="s">
        <v>1174</v>
      </c>
      <c r="D70" s="341" t="s">
        <v>1175</v>
      </c>
      <c r="E70" s="341" t="s">
        <v>1176</v>
      </c>
      <c r="F70" s="435" t="s">
        <v>1171</v>
      </c>
      <c r="G70" s="435" t="s">
        <v>1172</v>
      </c>
      <c r="H70" s="435" t="s">
        <v>1173</v>
      </c>
      <c r="I70" s="435" t="s">
        <v>1177</v>
      </c>
    </row>
    <row r="71" spans="3:10" x14ac:dyDescent="0.2">
      <c r="C71" s="346" t="s">
        <v>404</v>
      </c>
      <c r="D71" s="346" t="s">
        <v>1198</v>
      </c>
      <c r="E71" s="854" t="s">
        <v>740</v>
      </c>
      <c r="F71" s="346">
        <v>3</v>
      </c>
      <c r="G71" s="346">
        <v>5</v>
      </c>
      <c r="H71" s="855">
        <v>7</v>
      </c>
      <c r="I71" s="781">
        <v>0</v>
      </c>
    </row>
    <row r="72" spans="3:10" x14ac:dyDescent="0.2">
      <c r="C72" s="346" t="s">
        <v>404</v>
      </c>
      <c r="D72" s="346" t="s">
        <v>1198</v>
      </c>
      <c r="E72" s="854" t="s">
        <v>1667</v>
      </c>
      <c r="F72" s="346">
        <v>3</v>
      </c>
      <c r="G72" s="346">
        <v>5</v>
      </c>
      <c r="H72" s="855">
        <v>6</v>
      </c>
      <c r="I72" s="781">
        <v>0</v>
      </c>
    </row>
    <row r="73" spans="3:10" x14ac:dyDescent="0.2">
      <c r="C73" s="346" t="s">
        <v>404</v>
      </c>
      <c r="D73" s="346" t="s">
        <v>1198</v>
      </c>
      <c r="E73" s="854" t="s">
        <v>1668</v>
      </c>
      <c r="F73" s="346">
        <v>3</v>
      </c>
      <c r="G73" s="346">
        <v>5</v>
      </c>
      <c r="H73" s="855">
        <v>5</v>
      </c>
      <c r="I73" s="781">
        <v>0</v>
      </c>
    </row>
    <row r="74" spans="3:10" x14ac:dyDescent="0.2">
      <c r="C74" s="346" t="s">
        <v>404</v>
      </c>
      <c r="D74" s="346" t="s">
        <v>1198</v>
      </c>
      <c r="E74" s="854" t="s">
        <v>1669</v>
      </c>
      <c r="F74" s="346">
        <v>3</v>
      </c>
      <c r="G74" s="346">
        <v>5</v>
      </c>
      <c r="H74" s="855">
        <v>4</v>
      </c>
      <c r="I74" s="781">
        <v>0</v>
      </c>
      <c r="J74" t="s">
        <v>2180</v>
      </c>
    </row>
    <row r="75" spans="3:10" x14ac:dyDescent="0.2">
      <c r="C75" s="346" t="s">
        <v>404</v>
      </c>
      <c r="D75" s="346" t="s">
        <v>1198</v>
      </c>
      <c r="E75" s="346" t="s">
        <v>47</v>
      </c>
      <c r="F75" s="346">
        <v>3</v>
      </c>
      <c r="G75" s="346">
        <v>5</v>
      </c>
      <c r="H75" s="346">
        <v>3</v>
      </c>
      <c r="I75" s="669">
        <v>0.7</v>
      </c>
    </row>
    <row r="76" spans="3:10" x14ac:dyDescent="0.2">
      <c r="C76" s="346" t="s">
        <v>404</v>
      </c>
      <c r="D76" s="346" t="s">
        <v>1198</v>
      </c>
      <c r="E76" s="346" t="s">
        <v>48</v>
      </c>
      <c r="F76" s="346">
        <v>3</v>
      </c>
      <c r="G76" s="346">
        <v>5</v>
      </c>
      <c r="H76" s="346">
        <v>2</v>
      </c>
      <c r="I76" s="781">
        <v>0</v>
      </c>
    </row>
    <row r="77" spans="3:10" x14ac:dyDescent="0.2">
      <c r="C77" s="597" t="s">
        <v>404</v>
      </c>
      <c r="D77" s="597" t="s">
        <v>1198</v>
      </c>
      <c r="E77" s="597" t="s">
        <v>49</v>
      </c>
      <c r="F77" s="346">
        <v>3</v>
      </c>
      <c r="G77" s="346">
        <v>5</v>
      </c>
      <c r="H77" s="346">
        <v>1</v>
      </c>
      <c r="I77" s="781">
        <v>0</v>
      </c>
      <c r="J77" t="s">
        <v>2180</v>
      </c>
    </row>
    <row r="78" spans="3:10" x14ac:dyDescent="0.2">
      <c r="C78" s="597" t="s">
        <v>404</v>
      </c>
      <c r="D78" s="597" t="s">
        <v>40</v>
      </c>
      <c r="E78" s="854" t="s">
        <v>740</v>
      </c>
      <c r="F78" s="346">
        <v>3</v>
      </c>
      <c r="G78" s="346">
        <v>2</v>
      </c>
      <c r="H78" s="855">
        <v>7</v>
      </c>
      <c r="I78" s="781">
        <v>0</v>
      </c>
    </row>
    <row r="79" spans="3:10" x14ac:dyDescent="0.2">
      <c r="C79" s="597" t="s">
        <v>404</v>
      </c>
      <c r="D79" s="597" t="s">
        <v>40</v>
      </c>
      <c r="E79" s="854" t="s">
        <v>1667</v>
      </c>
      <c r="F79" s="346">
        <v>3</v>
      </c>
      <c r="G79" s="346">
        <v>2</v>
      </c>
      <c r="H79" s="855">
        <v>6</v>
      </c>
      <c r="I79" s="781">
        <v>0</v>
      </c>
    </row>
    <row r="80" spans="3:10" x14ac:dyDescent="0.2">
      <c r="C80" s="597" t="s">
        <v>404</v>
      </c>
      <c r="D80" s="597" t="s">
        <v>40</v>
      </c>
      <c r="E80" s="854" t="s">
        <v>1668</v>
      </c>
      <c r="F80" s="346">
        <v>3</v>
      </c>
      <c r="G80" s="346">
        <v>2</v>
      </c>
      <c r="H80" s="855">
        <v>5</v>
      </c>
      <c r="I80" s="781">
        <v>0</v>
      </c>
    </row>
    <row r="81" spans="1:11" x14ac:dyDescent="0.2">
      <c r="C81" s="597" t="s">
        <v>404</v>
      </c>
      <c r="D81" s="597" t="s">
        <v>40</v>
      </c>
      <c r="E81" s="854" t="s">
        <v>1669</v>
      </c>
      <c r="F81" s="346">
        <v>3</v>
      </c>
      <c r="G81" s="346">
        <v>2</v>
      </c>
      <c r="H81" s="855">
        <v>4</v>
      </c>
      <c r="I81" s="781">
        <v>1E-3</v>
      </c>
      <c r="J81" t="s">
        <v>2178</v>
      </c>
    </row>
    <row r="82" spans="1:11" x14ac:dyDescent="0.2">
      <c r="C82" s="597" t="s">
        <v>404</v>
      </c>
      <c r="D82" s="597" t="s">
        <v>40</v>
      </c>
      <c r="E82" s="597" t="s">
        <v>47</v>
      </c>
      <c r="F82" s="346">
        <v>3</v>
      </c>
      <c r="G82" s="346">
        <v>2</v>
      </c>
      <c r="H82" s="346">
        <v>3</v>
      </c>
      <c r="I82" s="669">
        <v>4.5599999999999998E-3</v>
      </c>
    </row>
    <row r="83" spans="1:11" x14ac:dyDescent="0.2">
      <c r="C83" s="597" t="s">
        <v>404</v>
      </c>
      <c r="D83" s="597" t="s">
        <v>40</v>
      </c>
      <c r="E83" s="597" t="s">
        <v>48</v>
      </c>
      <c r="F83" s="346">
        <v>3</v>
      </c>
      <c r="G83" s="346">
        <v>2</v>
      </c>
      <c r="H83" s="346">
        <v>2</v>
      </c>
      <c r="I83" s="781">
        <v>0</v>
      </c>
    </row>
    <row r="84" spans="1:11" x14ac:dyDescent="0.2">
      <c r="C84" s="597" t="s">
        <v>404</v>
      </c>
      <c r="D84" s="597" t="s">
        <v>40</v>
      </c>
      <c r="E84" s="597" t="s">
        <v>49</v>
      </c>
      <c r="F84" s="346">
        <v>3</v>
      </c>
      <c r="G84" s="346">
        <v>2</v>
      </c>
      <c r="H84" s="346">
        <v>1</v>
      </c>
      <c r="I84" s="781">
        <v>1E-3</v>
      </c>
      <c r="J84" t="s">
        <v>2178</v>
      </c>
    </row>
    <row r="85" spans="1:11" x14ac:dyDescent="0.2">
      <c r="C85" s="346" t="s">
        <v>406</v>
      </c>
      <c r="D85" s="346" t="s">
        <v>404</v>
      </c>
      <c r="E85" s="854" t="s">
        <v>740</v>
      </c>
      <c r="F85" s="346">
        <v>4</v>
      </c>
      <c r="G85" s="346">
        <v>3</v>
      </c>
      <c r="H85" s="855">
        <v>7</v>
      </c>
      <c r="I85" s="781">
        <v>0</v>
      </c>
    </row>
    <row r="86" spans="1:11" x14ac:dyDescent="0.2">
      <c r="C86" s="346" t="s">
        <v>406</v>
      </c>
      <c r="D86" s="346" t="s">
        <v>404</v>
      </c>
      <c r="E86" s="854" t="s">
        <v>1667</v>
      </c>
      <c r="F86" s="346">
        <v>4</v>
      </c>
      <c r="G86" s="346">
        <v>3</v>
      </c>
      <c r="H86" s="855">
        <v>6</v>
      </c>
      <c r="I86" s="781">
        <v>0</v>
      </c>
    </row>
    <row r="87" spans="1:11" x14ac:dyDescent="0.2">
      <c r="C87" s="346" t="s">
        <v>406</v>
      </c>
      <c r="D87" s="346" t="s">
        <v>404</v>
      </c>
      <c r="E87" s="854" t="s">
        <v>1668</v>
      </c>
      <c r="F87" s="346">
        <v>4</v>
      </c>
      <c r="G87" s="346">
        <v>3</v>
      </c>
      <c r="H87" s="855">
        <v>5</v>
      </c>
      <c r="I87" s="781">
        <v>0</v>
      </c>
    </row>
    <row r="88" spans="1:11" x14ac:dyDescent="0.2">
      <c r="C88" s="346" t="s">
        <v>406</v>
      </c>
      <c r="D88" s="346" t="s">
        <v>404</v>
      </c>
      <c r="E88" s="854" t="s">
        <v>1669</v>
      </c>
      <c r="F88" s="346">
        <v>4</v>
      </c>
      <c r="G88" s="346">
        <v>3</v>
      </c>
      <c r="H88" s="855">
        <v>4</v>
      </c>
      <c r="I88" s="781">
        <v>1.7000000000000001E-2</v>
      </c>
      <c r="J88" t="s">
        <v>2177</v>
      </c>
    </row>
    <row r="89" spans="1:11" x14ac:dyDescent="0.2">
      <c r="C89" s="346" t="s">
        <v>406</v>
      </c>
      <c r="D89" s="346" t="s">
        <v>404</v>
      </c>
      <c r="E89" s="346" t="s">
        <v>47</v>
      </c>
      <c r="F89" s="346">
        <v>4</v>
      </c>
      <c r="G89" s="346">
        <v>3</v>
      </c>
      <c r="H89" s="346">
        <v>3</v>
      </c>
      <c r="I89" s="669">
        <v>0.7</v>
      </c>
    </row>
    <row r="90" spans="1:11" x14ac:dyDescent="0.2">
      <c r="A90" s="1329" t="s">
        <v>1517</v>
      </c>
      <c r="C90" s="346" t="s">
        <v>406</v>
      </c>
      <c r="D90" s="346" t="s">
        <v>404</v>
      </c>
      <c r="E90" s="346" t="s">
        <v>48</v>
      </c>
      <c r="F90" s="346">
        <v>4</v>
      </c>
      <c r="G90" s="346">
        <v>3</v>
      </c>
      <c r="H90" s="346">
        <v>2</v>
      </c>
      <c r="I90" s="781">
        <v>0.7</v>
      </c>
      <c r="J90" t="s">
        <v>2173</v>
      </c>
    </row>
    <row r="91" spans="1:11" x14ac:dyDescent="0.2">
      <c r="A91" s="1329"/>
      <c r="C91" s="346" t="s">
        <v>406</v>
      </c>
      <c r="D91" s="346" t="s">
        <v>404</v>
      </c>
      <c r="E91" s="346" t="s">
        <v>49</v>
      </c>
      <c r="F91" s="346">
        <v>4</v>
      </c>
      <c r="G91" s="346">
        <v>3</v>
      </c>
      <c r="H91" s="346">
        <v>1</v>
      </c>
      <c r="I91" s="781">
        <v>1.7000000000000001E-2</v>
      </c>
      <c r="J91" t="s">
        <v>2177</v>
      </c>
      <c r="K91" s="340"/>
    </row>
    <row r="92" spans="1:11" x14ac:dyDescent="0.2">
      <c r="A92" s="1329"/>
      <c r="C92" s="346" t="s">
        <v>406</v>
      </c>
      <c r="D92" s="346" t="s">
        <v>40</v>
      </c>
      <c r="E92" s="854" t="s">
        <v>740</v>
      </c>
      <c r="F92" s="346">
        <v>4</v>
      </c>
      <c r="G92" s="346">
        <v>2</v>
      </c>
      <c r="H92" s="855">
        <v>7</v>
      </c>
      <c r="I92" s="781">
        <v>0</v>
      </c>
      <c r="J92" s="853"/>
      <c r="K92" s="340"/>
    </row>
    <row r="93" spans="1:11" x14ac:dyDescent="0.2">
      <c r="A93" s="1329"/>
      <c r="C93" s="346" t="s">
        <v>406</v>
      </c>
      <c r="D93" s="346" t="s">
        <v>40</v>
      </c>
      <c r="E93" s="854" t="s">
        <v>1667</v>
      </c>
      <c r="F93" s="346">
        <v>4</v>
      </c>
      <c r="G93" s="346">
        <v>2</v>
      </c>
      <c r="H93" s="855">
        <v>6</v>
      </c>
      <c r="I93" s="781">
        <v>0</v>
      </c>
      <c r="J93" s="853"/>
      <c r="K93" s="340"/>
    </row>
    <row r="94" spans="1:11" x14ac:dyDescent="0.2">
      <c r="A94" s="1329"/>
      <c r="C94" s="346" t="s">
        <v>406</v>
      </c>
      <c r="D94" s="346" t="s">
        <v>40</v>
      </c>
      <c r="E94" s="854" t="s">
        <v>1668</v>
      </c>
      <c r="F94" s="346">
        <v>4</v>
      </c>
      <c r="G94" s="346">
        <v>2</v>
      </c>
      <c r="H94" s="855">
        <v>5</v>
      </c>
      <c r="I94" s="781">
        <v>0</v>
      </c>
      <c r="J94" s="853"/>
      <c r="K94" s="340"/>
    </row>
    <row r="95" spans="1:11" x14ac:dyDescent="0.2">
      <c r="A95" s="1329"/>
      <c r="C95" s="346" t="s">
        <v>406</v>
      </c>
      <c r="D95" s="346" t="s">
        <v>40</v>
      </c>
      <c r="E95" s="854" t="s">
        <v>1669</v>
      </c>
      <c r="F95" s="346">
        <v>4</v>
      </c>
      <c r="G95" s="346">
        <v>2</v>
      </c>
      <c r="H95" s="855">
        <v>4</v>
      </c>
      <c r="I95" s="781">
        <v>4.4000000000000003E-3</v>
      </c>
      <c r="J95" t="s">
        <v>2176</v>
      </c>
      <c r="K95" s="340"/>
    </row>
    <row r="96" spans="1:11" x14ac:dyDescent="0.2">
      <c r="A96" s="1329"/>
      <c r="C96" s="346" t="s">
        <v>406</v>
      </c>
      <c r="D96" s="346" t="s">
        <v>40</v>
      </c>
      <c r="E96" s="346" t="s">
        <v>47</v>
      </c>
      <c r="F96" s="346">
        <v>4</v>
      </c>
      <c r="G96" s="346">
        <v>2</v>
      </c>
      <c r="H96" s="346">
        <v>3</v>
      </c>
      <c r="I96" s="669">
        <v>4.5599999999999998E-3</v>
      </c>
    </row>
    <row r="97" spans="1:11" x14ac:dyDescent="0.2">
      <c r="A97" s="1329"/>
      <c r="C97" s="346" t="s">
        <v>406</v>
      </c>
      <c r="D97" s="346" t="s">
        <v>40</v>
      </c>
      <c r="E97" s="346" t="s">
        <v>48</v>
      </c>
      <c r="F97" s="346">
        <v>4</v>
      </c>
      <c r="G97" s="346">
        <v>2</v>
      </c>
      <c r="H97" s="346">
        <v>2</v>
      </c>
      <c r="I97" s="781">
        <v>4.5599999999999998E-3</v>
      </c>
      <c r="J97" t="s">
        <v>2173</v>
      </c>
    </row>
    <row r="98" spans="1:11" x14ac:dyDescent="0.2">
      <c r="A98" s="1329"/>
      <c r="C98" s="346" t="s">
        <v>406</v>
      </c>
      <c r="D98" s="346" t="s">
        <v>40</v>
      </c>
      <c r="E98" s="346" t="s">
        <v>49</v>
      </c>
      <c r="F98" s="346">
        <v>4</v>
      </c>
      <c r="G98" s="346">
        <v>2</v>
      </c>
      <c r="H98" s="346">
        <v>1</v>
      </c>
      <c r="I98" s="781">
        <v>4.4000000000000003E-3</v>
      </c>
      <c r="J98" t="s">
        <v>2176</v>
      </c>
    </row>
    <row r="99" spans="1:11" x14ac:dyDescent="0.2">
      <c r="A99" s="847"/>
      <c r="C99" s="346" t="s">
        <v>1198</v>
      </c>
      <c r="D99" s="346" t="s">
        <v>40</v>
      </c>
      <c r="E99" s="854" t="s">
        <v>740</v>
      </c>
      <c r="F99" s="346">
        <v>5</v>
      </c>
      <c r="G99" s="346">
        <v>2</v>
      </c>
      <c r="H99" s="855">
        <v>7</v>
      </c>
      <c r="I99" s="781">
        <v>0</v>
      </c>
    </row>
    <row r="100" spans="1:11" x14ac:dyDescent="0.2">
      <c r="A100" s="847"/>
      <c r="C100" s="346" t="s">
        <v>1198</v>
      </c>
      <c r="D100" s="346" t="s">
        <v>40</v>
      </c>
      <c r="E100" s="854" t="s">
        <v>1667</v>
      </c>
      <c r="F100" s="346">
        <v>5</v>
      </c>
      <c r="G100" s="346">
        <v>2</v>
      </c>
      <c r="H100" s="855">
        <v>6</v>
      </c>
      <c r="I100" s="781">
        <v>0</v>
      </c>
    </row>
    <row r="101" spans="1:11" x14ac:dyDescent="0.2">
      <c r="A101" s="847"/>
      <c r="C101" s="346" t="s">
        <v>1198</v>
      </c>
      <c r="D101" s="346" t="s">
        <v>40</v>
      </c>
      <c r="E101" s="854" t="s">
        <v>1668</v>
      </c>
      <c r="F101" s="346">
        <v>5</v>
      </c>
      <c r="G101" s="346">
        <v>2</v>
      </c>
      <c r="H101" s="855">
        <v>5</v>
      </c>
      <c r="I101" s="781">
        <v>0</v>
      </c>
    </row>
    <row r="102" spans="1:11" x14ac:dyDescent="0.2">
      <c r="A102" s="847"/>
      <c r="C102" s="346" t="s">
        <v>1198</v>
      </c>
      <c r="D102" s="346" t="s">
        <v>40</v>
      </c>
      <c r="E102" s="854" t="s">
        <v>1669</v>
      </c>
      <c r="F102" s="346">
        <v>5</v>
      </c>
      <c r="G102" s="346">
        <v>2</v>
      </c>
      <c r="H102" s="855">
        <v>4</v>
      </c>
      <c r="I102" s="781">
        <v>0</v>
      </c>
    </row>
    <row r="103" spans="1:11" x14ac:dyDescent="0.2">
      <c r="C103" s="346" t="s">
        <v>1198</v>
      </c>
      <c r="D103" s="346" t="s">
        <v>40</v>
      </c>
      <c r="E103" s="346" t="s">
        <v>47</v>
      </c>
      <c r="F103" s="346">
        <v>5</v>
      </c>
      <c r="G103" s="346">
        <v>2</v>
      </c>
      <c r="H103" s="346">
        <v>3</v>
      </c>
      <c r="I103" s="669">
        <v>4.5599999999999998E-3</v>
      </c>
      <c r="J103" s="617"/>
      <c r="K103" s="340"/>
    </row>
    <row r="104" spans="1:11" x14ac:dyDescent="0.2">
      <c r="C104" s="346" t="s">
        <v>1198</v>
      </c>
      <c r="D104" s="346" t="s">
        <v>40</v>
      </c>
      <c r="E104" s="346" t="s">
        <v>48</v>
      </c>
      <c r="F104" s="346">
        <v>5</v>
      </c>
      <c r="G104" s="346">
        <v>2</v>
      </c>
      <c r="H104" s="346">
        <v>2</v>
      </c>
      <c r="I104" s="781">
        <v>0</v>
      </c>
    </row>
    <row r="105" spans="1:11" x14ac:dyDescent="0.2">
      <c r="C105" s="346" t="s">
        <v>1198</v>
      </c>
      <c r="D105" s="346" t="s">
        <v>40</v>
      </c>
      <c r="E105" s="346" t="s">
        <v>49</v>
      </c>
      <c r="F105" s="346">
        <v>5</v>
      </c>
      <c r="G105" s="346">
        <v>2</v>
      </c>
      <c r="H105" s="346">
        <v>1</v>
      </c>
      <c r="I105" s="781">
        <v>0</v>
      </c>
    </row>
    <row r="106" spans="1:11" x14ac:dyDescent="0.2">
      <c r="C106" s="346" t="s">
        <v>392</v>
      </c>
      <c r="D106" s="346" t="s">
        <v>40</v>
      </c>
      <c r="E106" s="854" t="s">
        <v>740</v>
      </c>
      <c r="F106" s="346">
        <v>1</v>
      </c>
      <c r="G106" s="346">
        <v>2</v>
      </c>
      <c r="H106" s="855">
        <v>7</v>
      </c>
      <c r="I106" s="669">
        <v>0</v>
      </c>
    </row>
    <row r="107" spans="1:11" x14ac:dyDescent="0.2">
      <c r="C107" s="346" t="s">
        <v>392</v>
      </c>
      <c r="D107" s="346" t="s">
        <v>40</v>
      </c>
      <c r="E107" s="854" t="s">
        <v>1667</v>
      </c>
      <c r="F107" s="346">
        <v>1</v>
      </c>
      <c r="G107" s="346">
        <v>2</v>
      </c>
      <c r="H107" s="855">
        <v>6</v>
      </c>
      <c r="I107" s="669">
        <v>0</v>
      </c>
    </row>
    <row r="108" spans="1:11" x14ac:dyDescent="0.2">
      <c r="C108" s="346" t="s">
        <v>392</v>
      </c>
      <c r="D108" s="346" t="s">
        <v>40</v>
      </c>
      <c r="E108" s="854" t="s">
        <v>1668</v>
      </c>
      <c r="F108" s="346">
        <v>1</v>
      </c>
      <c r="G108" s="346">
        <v>2</v>
      </c>
      <c r="H108" s="855">
        <v>5</v>
      </c>
      <c r="I108" s="669">
        <v>0</v>
      </c>
    </row>
    <row r="109" spans="1:11" x14ac:dyDescent="0.2">
      <c r="C109" s="346" t="s">
        <v>392</v>
      </c>
      <c r="D109" s="346" t="s">
        <v>40</v>
      </c>
      <c r="E109" s="854" t="s">
        <v>1669</v>
      </c>
      <c r="F109" s="346">
        <v>1</v>
      </c>
      <c r="G109" s="346">
        <v>2</v>
      </c>
      <c r="H109" s="855">
        <v>4</v>
      </c>
      <c r="I109" s="669">
        <v>1</v>
      </c>
    </row>
    <row r="110" spans="1:11" x14ac:dyDescent="0.2">
      <c r="C110" s="346" t="s">
        <v>392</v>
      </c>
      <c r="D110" s="346" t="s">
        <v>40</v>
      </c>
      <c r="E110" s="346" t="s">
        <v>47</v>
      </c>
      <c r="F110" s="346">
        <v>1</v>
      </c>
      <c r="G110" s="346">
        <v>2</v>
      </c>
      <c r="H110" s="346">
        <v>3</v>
      </c>
      <c r="I110" s="669">
        <v>1</v>
      </c>
    </row>
    <row r="111" spans="1:11" x14ac:dyDescent="0.2">
      <c r="C111" s="346" t="s">
        <v>392</v>
      </c>
      <c r="D111" s="346" t="s">
        <v>40</v>
      </c>
      <c r="E111" s="346" t="s">
        <v>48</v>
      </c>
      <c r="F111" s="346">
        <v>1</v>
      </c>
      <c r="G111" s="346">
        <v>2</v>
      </c>
      <c r="H111" s="346">
        <v>2</v>
      </c>
      <c r="I111" s="669">
        <v>1</v>
      </c>
    </row>
    <row r="112" spans="1:11" x14ac:dyDescent="0.2">
      <c r="C112" s="346" t="s">
        <v>392</v>
      </c>
      <c r="D112" s="346" t="s">
        <v>40</v>
      </c>
      <c r="E112" s="346" t="s">
        <v>49</v>
      </c>
      <c r="F112" s="346">
        <v>1</v>
      </c>
      <c r="G112" s="346">
        <v>2</v>
      </c>
      <c r="H112" s="346">
        <v>1</v>
      </c>
      <c r="I112" s="669">
        <v>1</v>
      </c>
    </row>
    <row r="113" spans="1:10" x14ac:dyDescent="0.2">
      <c r="C113" s="668"/>
    </row>
    <row r="114" spans="1:10" ht="48" x14ac:dyDescent="0.2">
      <c r="C114" s="341" t="s">
        <v>1174</v>
      </c>
      <c r="D114" s="341" t="s">
        <v>1175</v>
      </c>
      <c r="E114" s="341" t="s">
        <v>1176</v>
      </c>
      <c r="F114" s="435" t="s">
        <v>1171</v>
      </c>
      <c r="G114" s="435" t="s">
        <v>1172</v>
      </c>
      <c r="H114" s="435" t="s">
        <v>1173</v>
      </c>
      <c r="I114" s="435" t="s">
        <v>1178</v>
      </c>
    </row>
    <row r="115" spans="1:10" x14ac:dyDescent="0.2">
      <c r="A115" s="1329" t="s">
        <v>1518</v>
      </c>
      <c r="C115" s="346" t="s">
        <v>404</v>
      </c>
      <c r="D115" s="346" t="s">
        <v>1198</v>
      </c>
      <c r="E115" s="854" t="s">
        <v>740</v>
      </c>
      <c r="F115" s="346">
        <v>3</v>
      </c>
      <c r="G115" s="346">
        <v>5</v>
      </c>
      <c r="H115" s="855">
        <v>7</v>
      </c>
      <c r="I115" s="603">
        <f>I71</f>
        <v>0</v>
      </c>
    </row>
    <row r="116" spans="1:10" x14ac:dyDescent="0.2">
      <c r="A116" s="1329"/>
      <c r="C116" s="346" t="s">
        <v>404</v>
      </c>
      <c r="D116" s="346" t="s">
        <v>1198</v>
      </c>
      <c r="E116" s="854" t="s">
        <v>1667</v>
      </c>
      <c r="F116" s="346">
        <v>3</v>
      </c>
      <c r="G116" s="346">
        <v>5</v>
      </c>
      <c r="H116" s="855">
        <v>6</v>
      </c>
      <c r="I116" s="603">
        <f t="shared" ref="I116:I121" si="41">I72</f>
        <v>0</v>
      </c>
    </row>
    <row r="117" spans="1:10" x14ac:dyDescent="0.2">
      <c r="A117" s="1329"/>
      <c r="C117" s="346" t="s">
        <v>404</v>
      </c>
      <c r="D117" s="346" t="s">
        <v>1198</v>
      </c>
      <c r="E117" s="854" t="s">
        <v>1668</v>
      </c>
      <c r="F117" s="346">
        <v>3</v>
      </c>
      <c r="G117" s="346">
        <v>5</v>
      </c>
      <c r="H117" s="855">
        <v>5</v>
      </c>
      <c r="I117" s="603">
        <f t="shared" si="41"/>
        <v>0</v>
      </c>
    </row>
    <row r="118" spans="1:10" x14ac:dyDescent="0.2">
      <c r="A118" s="1329"/>
      <c r="C118" s="346" t="s">
        <v>404</v>
      </c>
      <c r="D118" s="346" t="s">
        <v>1198</v>
      </c>
      <c r="E118" s="854" t="s">
        <v>1669</v>
      </c>
      <c r="F118" s="346">
        <v>3</v>
      </c>
      <c r="G118" s="346">
        <v>5</v>
      </c>
      <c r="H118" s="855">
        <v>4</v>
      </c>
      <c r="I118" s="603">
        <f t="shared" si="41"/>
        <v>0</v>
      </c>
      <c r="J118" t="s">
        <v>2180</v>
      </c>
    </row>
    <row r="119" spans="1:10" x14ac:dyDescent="0.2">
      <c r="A119" s="1329"/>
      <c r="C119" s="346" t="s">
        <v>404</v>
      </c>
      <c r="D119" s="346" t="s">
        <v>1198</v>
      </c>
      <c r="E119" s="346" t="s">
        <v>47</v>
      </c>
      <c r="F119" s="346">
        <v>3</v>
      </c>
      <c r="G119" s="346">
        <v>5</v>
      </c>
      <c r="H119" s="346">
        <v>3</v>
      </c>
      <c r="I119" s="603">
        <f t="shared" si="41"/>
        <v>0.7</v>
      </c>
    </row>
    <row r="120" spans="1:10" x14ac:dyDescent="0.2">
      <c r="A120" s="1329"/>
      <c r="C120" s="346" t="s">
        <v>404</v>
      </c>
      <c r="D120" s="346" t="s">
        <v>1198</v>
      </c>
      <c r="E120" s="346" t="s">
        <v>48</v>
      </c>
      <c r="F120" s="346">
        <v>3</v>
      </c>
      <c r="G120" s="346">
        <v>5</v>
      </c>
      <c r="H120" s="346">
        <v>2</v>
      </c>
      <c r="I120" s="603">
        <f t="shared" si="41"/>
        <v>0</v>
      </c>
    </row>
    <row r="121" spans="1:10" x14ac:dyDescent="0.2">
      <c r="A121" s="1329"/>
      <c r="C121" s="597" t="s">
        <v>404</v>
      </c>
      <c r="D121" s="597" t="s">
        <v>1198</v>
      </c>
      <c r="E121" s="597" t="s">
        <v>49</v>
      </c>
      <c r="F121" s="346">
        <v>3</v>
      </c>
      <c r="G121" s="346">
        <v>5</v>
      </c>
      <c r="H121" s="346">
        <v>1</v>
      </c>
      <c r="I121" s="603">
        <f t="shared" si="41"/>
        <v>0</v>
      </c>
      <c r="J121" t="s">
        <v>2180</v>
      </c>
    </row>
    <row r="122" spans="1:10" x14ac:dyDescent="0.2">
      <c r="A122" s="1329"/>
      <c r="C122" s="597" t="s">
        <v>404</v>
      </c>
      <c r="D122" s="597" t="s">
        <v>40</v>
      </c>
      <c r="E122" s="854" t="s">
        <v>740</v>
      </c>
      <c r="F122" s="346">
        <v>3</v>
      </c>
      <c r="G122" s="346">
        <v>2</v>
      </c>
      <c r="H122" s="855">
        <v>7</v>
      </c>
      <c r="I122" s="781">
        <v>0</v>
      </c>
    </row>
    <row r="123" spans="1:10" x14ac:dyDescent="0.2">
      <c r="A123" s="1329"/>
      <c r="C123" s="597" t="s">
        <v>404</v>
      </c>
      <c r="D123" s="597" t="s">
        <v>40</v>
      </c>
      <c r="E123" s="854" t="s">
        <v>1667</v>
      </c>
      <c r="F123" s="346">
        <v>3</v>
      </c>
      <c r="G123" s="346">
        <v>2</v>
      </c>
      <c r="H123" s="855">
        <v>6</v>
      </c>
      <c r="I123" s="781">
        <v>0</v>
      </c>
    </row>
    <row r="124" spans="1:10" x14ac:dyDescent="0.2">
      <c r="A124" s="1329"/>
      <c r="C124" s="597" t="s">
        <v>404</v>
      </c>
      <c r="D124" s="597" t="s">
        <v>40</v>
      </c>
      <c r="E124" s="854" t="s">
        <v>1668</v>
      </c>
      <c r="F124" s="346">
        <v>3</v>
      </c>
      <c r="G124" s="346">
        <v>2</v>
      </c>
      <c r="H124" s="855">
        <v>5</v>
      </c>
      <c r="I124" s="781">
        <v>0</v>
      </c>
    </row>
    <row r="125" spans="1:10" x14ac:dyDescent="0.2">
      <c r="A125" s="1329"/>
      <c r="C125" s="597" t="s">
        <v>404</v>
      </c>
      <c r="D125" s="597" t="s">
        <v>40</v>
      </c>
      <c r="E125" s="854" t="s">
        <v>1669</v>
      </c>
      <c r="F125" s="346">
        <v>3</v>
      </c>
      <c r="G125" s="346">
        <v>2</v>
      </c>
      <c r="H125" s="855">
        <v>4</v>
      </c>
      <c r="I125" s="781">
        <v>0.04</v>
      </c>
      <c r="J125" t="s">
        <v>2179</v>
      </c>
    </row>
    <row r="126" spans="1:10" x14ac:dyDescent="0.2">
      <c r="A126" s="1329"/>
      <c r="C126" s="597" t="s">
        <v>404</v>
      </c>
      <c r="D126" s="597" t="s">
        <v>40</v>
      </c>
      <c r="E126" s="597" t="s">
        <v>47</v>
      </c>
      <c r="F126" s="346">
        <v>3</v>
      </c>
      <c r="G126" s="346">
        <v>2</v>
      </c>
      <c r="H126" s="346">
        <v>3</v>
      </c>
      <c r="I126" s="669">
        <v>2.0549999999999999E-2</v>
      </c>
    </row>
    <row r="127" spans="1:10" x14ac:dyDescent="0.2">
      <c r="A127" s="1329"/>
      <c r="C127" s="597" t="s">
        <v>404</v>
      </c>
      <c r="D127" s="597" t="s">
        <v>40</v>
      </c>
      <c r="E127" s="597" t="s">
        <v>48</v>
      </c>
      <c r="F127" s="346">
        <v>3</v>
      </c>
      <c r="G127" s="346">
        <v>2</v>
      </c>
      <c r="H127" s="346">
        <v>2</v>
      </c>
      <c r="I127" s="781">
        <v>0</v>
      </c>
    </row>
    <row r="128" spans="1:10" x14ac:dyDescent="0.2">
      <c r="A128" s="1329"/>
      <c r="C128" s="597" t="s">
        <v>404</v>
      </c>
      <c r="D128" s="597" t="s">
        <v>40</v>
      </c>
      <c r="E128" s="597" t="s">
        <v>49</v>
      </c>
      <c r="F128" s="346">
        <v>3</v>
      </c>
      <c r="G128" s="346">
        <v>2</v>
      </c>
      <c r="H128" s="346">
        <v>1</v>
      </c>
      <c r="I128" s="781">
        <v>0.04</v>
      </c>
      <c r="J128" t="s">
        <v>2179</v>
      </c>
    </row>
    <row r="129" spans="1:12" x14ac:dyDescent="0.2">
      <c r="A129" s="1329"/>
      <c r="C129" s="346" t="s">
        <v>406</v>
      </c>
      <c r="D129" s="346" t="s">
        <v>404</v>
      </c>
      <c r="E129" s="854" t="s">
        <v>740</v>
      </c>
      <c r="F129" s="346">
        <v>4</v>
      </c>
      <c r="G129" s="346">
        <v>3</v>
      </c>
      <c r="H129" s="855">
        <v>7</v>
      </c>
      <c r="I129" s="603">
        <f t="shared" ref="I129:I133" si="42">I85</f>
        <v>0</v>
      </c>
    </row>
    <row r="130" spans="1:12" x14ac:dyDescent="0.2">
      <c r="A130" s="1329"/>
      <c r="C130" s="346" t="s">
        <v>406</v>
      </c>
      <c r="D130" s="346" t="s">
        <v>404</v>
      </c>
      <c r="E130" s="854" t="s">
        <v>1667</v>
      </c>
      <c r="F130" s="346">
        <v>4</v>
      </c>
      <c r="G130" s="346">
        <v>3</v>
      </c>
      <c r="H130" s="855">
        <v>6</v>
      </c>
      <c r="I130" s="603">
        <f t="shared" si="42"/>
        <v>0</v>
      </c>
    </row>
    <row r="131" spans="1:12" x14ac:dyDescent="0.2">
      <c r="A131" s="1329"/>
      <c r="C131" s="346" t="s">
        <v>406</v>
      </c>
      <c r="D131" s="346" t="s">
        <v>404</v>
      </c>
      <c r="E131" s="854" t="s">
        <v>1668</v>
      </c>
      <c r="F131" s="346">
        <v>4</v>
      </c>
      <c r="G131" s="346">
        <v>3</v>
      </c>
      <c r="H131" s="855">
        <v>5</v>
      </c>
      <c r="I131" s="781">
        <v>0.7</v>
      </c>
      <c r="J131" t="s">
        <v>2174</v>
      </c>
    </row>
    <row r="132" spans="1:12" x14ac:dyDescent="0.2">
      <c r="A132" s="1329"/>
      <c r="C132" s="346" t="s">
        <v>406</v>
      </c>
      <c r="D132" s="346" t="s">
        <v>404</v>
      </c>
      <c r="E132" s="854" t="s">
        <v>1669</v>
      </c>
      <c r="F132" s="346">
        <v>4</v>
      </c>
      <c r="G132" s="346">
        <v>3</v>
      </c>
      <c r="H132" s="855">
        <v>4</v>
      </c>
      <c r="I132" s="781">
        <v>6.4000000000000001E-2</v>
      </c>
      <c r="J132" t="s">
        <v>2177</v>
      </c>
    </row>
    <row r="133" spans="1:12" x14ac:dyDescent="0.2">
      <c r="A133" s="1329"/>
      <c r="C133" s="346" t="s">
        <v>406</v>
      </c>
      <c r="D133" s="346" t="s">
        <v>404</v>
      </c>
      <c r="E133" s="346" t="s">
        <v>47</v>
      </c>
      <c r="F133" s="346">
        <v>4</v>
      </c>
      <c r="G133" s="346">
        <v>3</v>
      </c>
      <c r="H133" s="346">
        <v>3</v>
      </c>
      <c r="I133" s="603">
        <f t="shared" si="42"/>
        <v>0.7</v>
      </c>
    </row>
    <row r="134" spans="1:12" x14ac:dyDescent="0.2">
      <c r="A134" s="1329"/>
      <c r="C134" s="346" t="s">
        <v>406</v>
      </c>
      <c r="D134" s="346" t="s">
        <v>404</v>
      </c>
      <c r="E134" s="346" t="s">
        <v>48</v>
      </c>
      <c r="F134" s="346">
        <v>4</v>
      </c>
      <c r="G134" s="346">
        <v>3</v>
      </c>
      <c r="H134" s="346">
        <v>2</v>
      </c>
      <c r="I134" s="781">
        <v>0.7</v>
      </c>
      <c r="J134" t="s">
        <v>2173</v>
      </c>
    </row>
    <row r="135" spans="1:12" x14ac:dyDescent="0.2">
      <c r="A135" s="1329"/>
      <c r="C135" s="346" t="s">
        <v>406</v>
      </c>
      <c r="D135" s="346" t="s">
        <v>404</v>
      </c>
      <c r="E135" s="346" t="s">
        <v>49</v>
      </c>
      <c r="F135" s="346">
        <v>4</v>
      </c>
      <c r="G135" s="346">
        <v>3</v>
      </c>
      <c r="H135" s="346">
        <v>1</v>
      </c>
      <c r="I135" s="781">
        <v>6.4000000000000001E-2</v>
      </c>
      <c r="J135" t="s">
        <v>2177</v>
      </c>
    </row>
    <row r="136" spans="1:12" x14ac:dyDescent="0.2">
      <c r="A136" s="1329"/>
      <c r="C136" s="346" t="s">
        <v>406</v>
      </c>
      <c r="D136" s="346" t="s">
        <v>40</v>
      </c>
      <c r="E136" s="854" t="s">
        <v>740</v>
      </c>
      <c r="F136" s="346">
        <v>4</v>
      </c>
      <c r="G136" s="346">
        <v>2</v>
      </c>
      <c r="H136" s="855">
        <v>7</v>
      </c>
      <c r="I136" s="781">
        <v>0</v>
      </c>
    </row>
    <row r="137" spans="1:12" x14ac:dyDescent="0.2">
      <c r="A137" s="1329"/>
      <c r="C137" s="346" t="s">
        <v>406</v>
      </c>
      <c r="D137" s="346" t="s">
        <v>40</v>
      </c>
      <c r="E137" s="854" t="s">
        <v>1667</v>
      </c>
      <c r="F137" s="346">
        <v>4</v>
      </c>
      <c r="G137" s="346">
        <v>2</v>
      </c>
      <c r="H137" s="855">
        <v>6</v>
      </c>
      <c r="I137" s="781">
        <v>0</v>
      </c>
    </row>
    <row r="138" spans="1:12" x14ac:dyDescent="0.2">
      <c r="A138" s="1329"/>
      <c r="C138" s="346" t="s">
        <v>406</v>
      </c>
      <c r="D138" s="346" t="s">
        <v>40</v>
      </c>
      <c r="E138" s="854" t="s">
        <v>1668</v>
      </c>
      <c r="F138" s="346">
        <v>4</v>
      </c>
      <c r="G138" s="346">
        <v>2</v>
      </c>
      <c r="H138" s="855">
        <v>5</v>
      </c>
      <c r="I138" s="781">
        <v>2.0549999999999999E-2</v>
      </c>
      <c r="J138" t="s">
        <v>2174</v>
      </c>
    </row>
    <row r="139" spans="1:12" x14ac:dyDescent="0.2">
      <c r="A139" s="1329"/>
      <c r="C139" s="346" t="s">
        <v>406</v>
      </c>
      <c r="D139" s="346" t="s">
        <v>40</v>
      </c>
      <c r="E139" s="854" t="s">
        <v>1669</v>
      </c>
      <c r="F139" s="346">
        <v>4</v>
      </c>
      <c r="G139" s="346">
        <v>2</v>
      </c>
      <c r="H139" s="855">
        <v>4</v>
      </c>
      <c r="I139" s="781">
        <v>0.12</v>
      </c>
      <c r="L139" s="392"/>
    </row>
    <row r="140" spans="1:12" x14ac:dyDescent="0.2">
      <c r="A140" s="1329"/>
      <c r="C140" s="346" t="s">
        <v>406</v>
      </c>
      <c r="D140" s="346" t="s">
        <v>40</v>
      </c>
      <c r="E140" s="346" t="s">
        <v>47</v>
      </c>
      <c r="F140" s="346">
        <v>4</v>
      </c>
      <c r="G140" s="346">
        <v>2</v>
      </c>
      <c r="H140" s="346">
        <v>3</v>
      </c>
      <c r="I140" s="669">
        <v>2.0549999999999999E-2</v>
      </c>
      <c r="L140" s="392"/>
    </row>
    <row r="141" spans="1:12" x14ac:dyDescent="0.2">
      <c r="A141" s="1329"/>
      <c r="C141" s="346" t="s">
        <v>406</v>
      </c>
      <c r="D141" s="346" t="s">
        <v>40</v>
      </c>
      <c r="E141" s="346" t="s">
        <v>48</v>
      </c>
      <c r="F141" s="346">
        <v>4</v>
      </c>
      <c r="G141" s="346">
        <v>2</v>
      </c>
      <c r="H141" s="346">
        <v>2</v>
      </c>
      <c r="I141" s="781">
        <v>2.0549999999999999E-2</v>
      </c>
      <c r="J141" t="s">
        <v>2173</v>
      </c>
      <c r="L141" s="392"/>
    </row>
    <row r="142" spans="1:12" x14ac:dyDescent="0.2">
      <c r="A142" s="1329"/>
      <c r="C142" s="346" t="s">
        <v>406</v>
      </c>
      <c r="D142" s="346" t="s">
        <v>40</v>
      </c>
      <c r="E142" s="346" t="s">
        <v>49</v>
      </c>
      <c r="F142" s="346">
        <v>4</v>
      </c>
      <c r="G142" s="346">
        <v>2</v>
      </c>
      <c r="H142" s="346">
        <v>1</v>
      </c>
      <c r="I142" s="781">
        <v>0.12</v>
      </c>
      <c r="J142" t="s">
        <v>2176</v>
      </c>
      <c r="L142" s="392"/>
    </row>
    <row r="143" spans="1:12" x14ac:dyDescent="0.2">
      <c r="A143" s="1329"/>
      <c r="C143" s="346" t="s">
        <v>1198</v>
      </c>
      <c r="D143" s="346" t="s">
        <v>40</v>
      </c>
      <c r="E143" s="854" t="s">
        <v>740</v>
      </c>
      <c r="F143" s="346">
        <v>5</v>
      </c>
      <c r="G143" s="346">
        <v>2</v>
      </c>
      <c r="H143" s="855">
        <v>7</v>
      </c>
      <c r="I143" s="781">
        <v>0</v>
      </c>
    </row>
    <row r="144" spans="1:12" x14ac:dyDescent="0.2">
      <c r="A144" s="1329"/>
      <c r="C144" s="346" t="s">
        <v>1198</v>
      </c>
      <c r="D144" s="346" t="s">
        <v>40</v>
      </c>
      <c r="E144" s="854" t="s">
        <v>1667</v>
      </c>
      <c r="F144" s="346">
        <v>5</v>
      </c>
      <c r="G144" s="346">
        <v>2</v>
      </c>
      <c r="H144" s="855">
        <v>6</v>
      </c>
      <c r="I144" s="781">
        <v>0</v>
      </c>
    </row>
    <row r="145" spans="1:11" x14ac:dyDescent="0.2">
      <c r="A145" s="1329"/>
      <c r="C145" s="346" t="s">
        <v>1198</v>
      </c>
      <c r="D145" s="346" t="s">
        <v>40</v>
      </c>
      <c r="E145" s="854" t="s">
        <v>1668</v>
      </c>
      <c r="F145" s="346">
        <v>5</v>
      </c>
      <c r="G145" s="346">
        <v>2</v>
      </c>
      <c r="H145" s="855">
        <v>5</v>
      </c>
      <c r="I145" s="781">
        <v>0</v>
      </c>
    </row>
    <row r="146" spans="1:11" x14ac:dyDescent="0.2">
      <c r="A146" s="1329"/>
      <c r="C146" s="346" t="s">
        <v>1198</v>
      </c>
      <c r="D146" s="346" t="s">
        <v>40</v>
      </c>
      <c r="E146" s="854" t="s">
        <v>1669</v>
      </c>
      <c r="F146" s="346">
        <v>5</v>
      </c>
      <c r="G146" s="346">
        <v>2</v>
      </c>
      <c r="H146" s="855">
        <v>4</v>
      </c>
      <c r="I146" s="781">
        <v>0</v>
      </c>
    </row>
    <row r="147" spans="1:11" x14ac:dyDescent="0.2">
      <c r="A147" s="1329"/>
      <c r="C147" s="346" t="s">
        <v>1198</v>
      </c>
      <c r="D147" s="346" t="s">
        <v>40</v>
      </c>
      <c r="E147" s="346" t="s">
        <v>47</v>
      </c>
      <c r="F147" s="346">
        <v>5</v>
      </c>
      <c r="G147" s="346">
        <v>2</v>
      </c>
      <c r="H147" s="346">
        <v>3</v>
      </c>
      <c r="I147" s="669">
        <v>2.0549999999999999E-2</v>
      </c>
      <c r="J147" s="617"/>
      <c r="K147" s="340"/>
    </row>
    <row r="148" spans="1:11" x14ac:dyDescent="0.2">
      <c r="A148" s="1329"/>
      <c r="C148" s="346" t="s">
        <v>1198</v>
      </c>
      <c r="D148" s="346" t="s">
        <v>40</v>
      </c>
      <c r="E148" s="346" t="s">
        <v>48</v>
      </c>
      <c r="F148" s="346">
        <v>5</v>
      </c>
      <c r="G148" s="346">
        <v>2</v>
      </c>
      <c r="H148" s="346">
        <v>2</v>
      </c>
      <c r="I148" s="781">
        <v>0</v>
      </c>
    </row>
    <row r="149" spans="1:11" x14ac:dyDescent="0.2">
      <c r="A149" s="1329"/>
      <c r="C149" s="346" t="s">
        <v>1198</v>
      </c>
      <c r="D149" s="346" t="s">
        <v>40</v>
      </c>
      <c r="E149" s="346" t="s">
        <v>49</v>
      </c>
      <c r="F149" s="346">
        <v>5</v>
      </c>
      <c r="G149" s="346">
        <v>2</v>
      </c>
      <c r="H149" s="346">
        <v>1</v>
      </c>
      <c r="I149" s="781">
        <v>0</v>
      </c>
    </row>
    <row r="150" spans="1:11" x14ac:dyDescent="0.2">
      <c r="A150" s="1329"/>
      <c r="C150" s="346" t="s">
        <v>392</v>
      </c>
      <c r="D150" s="346" t="s">
        <v>40</v>
      </c>
      <c r="E150" s="854" t="s">
        <v>740</v>
      </c>
      <c r="F150" s="346">
        <v>1</v>
      </c>
      <c r="G150" s="346">
        <v>2</v>
      </c>
      <c r="H150" s="855">
        <v>7</v>
      </c>
      <c r="I150" s="603">
        <f>I106</f>
        <v>0</v>
      </c>
    </row>
    <row r="151" spans="1:11" x14ac:dyDescent="0.2">
      <c r="A151" s="1329"/>
      <c r="C151" s="346" t="s">
        <v>392</v>
      </c>
      <c r="D151" s="346" t="s">
        <v>40</v>
      </c>
      <c r="E151" s="854" t="s">
        <v>1667</v>
      </c>
      <c r="F151" s="346">
        <v>1</v>
      </c>
      <c r="G151" s="346">
        <v>2</v>
      </c>
      <c r="H151" s="855">
        <v>6</v>
      </c>
      <c r="I151" s="603">
        <f t="shared" ref="I151:I156" si="43">I107</f>
        <v>0</v>
      </c>
    </row>
    <row r="152" spans="1:11" ht="16" customHeight="1" x14ac:dyDescent="0.2">
      <c r="A152" s="1329"/>
      <c r="C152" s="346" t="s">
        <v>392</v>
      </c>
      <c r="D152" s="346" t="s">
        <v>40</v>
      </c>
      <c r="E152" s="854" t="s">
        <v>1668</v>
      </c>
      <c r="F152" s="346">
        <v>1</v>
      </c>
      <c r="G152" s="346">
        <v>2</v>
      </c>
      <c r="H152" s="855">
        <v>5</v>
      </c>
      <c r="I152" s="781">
        <v>1</v>
      </c>
      <c r="J152" s="1119" t="s">
        <v>2175</v>
      </c>
    </row>
    <row r="153" spans="1:11" x14ac:dyDescent="0.2">
      <c r="A153" s="1329"/>
      <c r="C153" s="346" t="s">
        <v>392</v>
      </c>
      <c r="D153" s="346" t="s">
        <v>40</v>
      </c>
      <c r="E153" s="854" t="s">
        <v>1669</v>
      </c>
      <c r="F153" s="346">
        <v>1</v>
      </c>
      <c r="G153" s="346">
        <v>2</v>
      </c>
      <c r="H153" s="855">
        <v>4</v>
      </c>
      <c r="I153" s="603">
        <f t="shared" si="43"/>
        <v>1</v>
      </c>
    </row>
    <row r="154" spans="1:11" x14ac:dyDescent="0.2">
      <c r="A154" s="1329"/>
      <c r="C154" s="346" t="s">
        <v>392</v>
      </c>
      <c r="D154" s="346" t="s">
        <v>40</v>
      </c>
      <c r="E154" s="346" t="s">
        <v>47</v>
      </c>
      <c r="F154" s="346">
        <v>1</v>
      </c>
      <c r="G154" s="346">
        <v>2</v>
      </c>
      <c r="H154" s="346">
        <v>3</v>
      </c>
      <c r="I154" s="603">
        <f t="shared" si="43"/>
        <v>1</v>
      </c>
    </row>
    <row r="155" spans="1:11" x14ac:dyDescent="0.2">
      <c r="A155" s="1329"/>
      <c r="C155" s="346" t="s">
        <v>392</v>
      </c>
      <c r="D155" s="346" t="s">
        <v>40</v>
      </c>
      <c r="E155" s="346" t="s">
        <v>48</v>
      </c>
      <c r="F155" s="346">
        <v>1</v>
      </c>
      <c r="G155" s="346">
        <v>2</v>
      </c>
      <c r="H155" s="346">
        <v>2</v>
      </c>
      <c r="I155" s="603">
        <f t="shared" si="43"/>
        <v>1</v>
      </c>
    </row>
    <row r="156" spans="1:11" x14ac:dyDescent="0.2">
      <c r="A156" s="1329"/>
      <c r="C156" s="346" t="s">
        <v>392</v>
      </c>
      <c r="D156" s="346" t="s">
        <v>40</v>
      </c>
      <c r="E156" s="346" t="s">
        <v>49</v>
      </c>
      <c r="F156" s="346">
        <v>1</v>
      </c>
      <c r="G156" s="346">
        <v>2</v>
      </c>
      <c r="H156" s="346">
        <v>1</v>
      </c>
      <c r="I156" s="603">
        <f t="shared" si="43"/>
        <v>1</v>
      </c>
    </row>
    <row r="160" spans="1:11" x14ac:dyDescent="0.2">
      <c r="C160" s="341" t="s">
        <v>1174</v>
      </c>
      <c r="D160" s="341" t="s">
        <v>1175</v>
      </c>
      <c r="E160" s="341" t="s">
        <v>1176</v>
      </c>
      <c r="F160" s="341" t="s">
        <v>1171</v>
      </c>
      <c r="G160" s="341" t="s">
        <v>1172</v>
      </c>
      <c r="H160" s="341" t="s">
        <v>1173</v>
      </c>
      <c r="I160" s="341" t="s">
        <v>1406</v>
      </c>
    </row>
    <row r="161" spans="1:9" ht="16" customHeight="1" x14ac:dyDescent="0.2">
      <c r="A161" s="1329" t="s">
        <v>1407</v>
      </c>
      <c r="C161" s="346" t="s">
        <v>404</v>
      </c>
      <c r="D161" s="346" t="s">
        <v>40</v>
      </c>
      <c r="E161" s="346" t="s">
        <v>47</v>
      </c>
      <c r="F161" s="346"/>
      <c r="G161" s="346"/>
      <c r="H161" s="346"/>
      <c r="I161" s="346">
        <v>9.7000000000000003E-3</v>
      </c>
    </row>
    <row r="162" spans="1:9" x14ac:dyDescent="0.2">
      <c r="A162" s="1329"/>
      <c r="C162" s="346" t="s">
        <v>404</v>
      </c>
      <c r="D162" s="346" t="s">
        <v>1198</v>
      </c>
      <c r="E162" s="346" t="s">
        <v>47</v>
      </c>
      <c r="F162" s="346"/>
      <c r="G162" s="346"/>
      <c r="H162" s="346"/>
      <c r="I162" s="346">
        <v>0.7</v>
      </c>
    </row>
    <row r="163" spans="1:9" x14ac:dyDescent="0.2">
      <c r="A163" s="1329"/>
      <c r="C163" s="346" t="s">
        <v>406</v>
      </c>
      <c r="D163" s="346" t="s">
        <v>404</v>
      </c>
      <c r="E163" s="346" t="s">
        <v>47</v>
      </c>
      <c r="F163" s="346"/>
      <c r="G163" s="346"/>
      <c r="H163" s="346"/>
      <c r="I163" s="346">
        <v>0.7</v>
      </c>
    </row>
    <row r="164" spans="1:9" x14ac:dyDescent="0.2">
      <c r="A164" s="1329"/>
      <c r="C164" s="346" t="s">
        <v>406</v>
      </c>
      <c r="D164" s="346" t="s">
        <v>1198</v>
      </c>
      <c r="E164" s="346" t="s">
        <v>47</v>
      </c>
      <c r="F164" s="346"/>
      <c r="G164" s="346"/>
      <c r="H164" s="346"/>
      <c r="I164" s="346">
        <v>9.7000000000000003E-3</v>
      </c>
    </row>
    <row r="165" spans="1:9" x14ac:dyDescent="0.2">
      <c r="A165" s="1329"/>
      <c r="C165" s="597" t="s">
        <v>1198</v>
      </c>
      <c r="D165" s="597" t="s">
        <v>40</v>
      </c>
      <c r="E165" s="346" t="s">
        <v>47</v>
      </c>
      <c r="F165" s="346"/>
      <c r="G165" s="346"/>
      <c r="H165" s="346"/>
      <c r="I165" s="597">
        <v>9.7000000000000003E-3</v>
      </c>
    </row>
  </sheetData>
  <mergeCells count="8">
    <mergeCell ref="A161:A165"/>
    <mergeCell ref="A17:A21"/>
    <mergeCell ref="A8:A12"/>
    <mergeCell ref="A90:A98"/>
    <mergeCell ref="A47:A51"/>
    <mergeCell ref="A28:A32"/>
    <mergeCell ref="A37:A41"/>
    <mergeCell ref="A115:A156"/>
  </mergeCells>
  <phoneticPr fontId="14" type="noConversion"/>
  <pageMargins left="0.7" right="0.7" top="0.75" bottom="0.75" header="0.3" footer="0.3"/>
  <pageSetup paperSize="9" scale="17" orientation="landscape" horizontalDpi="4294967292" verticalDpi="4294967292"/>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O180"/>
  <sheetViews>
    <sheetView showGridLines="0" topLeftCell="M29" zoomScale="190" zoomScaleNormal="190" zoomScalePageLayoutView="190" workbookViewId="0">
      <selection activeCell="X56" sqref="X56"/>
    </sheetView>
  </sheetViews>
  <sheetFormatPr baseColWidth="10" defaultColWidth="11" defaultRowHeight="16" x14ac:dyDescent="0.2"/>
  <cols>
    <col min="1" max="1" width="7.1640625" customWidth="1"/>
    <col min="3" max="3" width="17.6640625" customWidth="1"/>
    <col min="4" max="4" width="15.6640625" customWidth="1"/>
    <col min="5" max="5" width="17" customWidth="1"/>
    <col min="6" max="6" width="17.33203125" customWidth="1"/>
    <col min="7" max="7" width="23.1640625" customWidth="1"/>
    <col min="8" max="8" width="15.5" customWidth="1"/>
    <col min="9" max="9" width="16.6640625" customWidth="1"/>
    <col min="10" max="10" width="16.83203125" customWidth="1"/>
    <col min="11" max="11" width="12.33203125" customWidth="1"/>
    <col min="12" max="13" width="12.6640625" customWidth="1"/>
    <col min="14" max="14" width="12.33203125" customWidth="1"/>
    <col min="16" max="16" width="13.1640625" customWidth="1"/>
    <col min="17" max="17" width="12.1640625" customWidth="1"/>
    <col min="18" max="18" width="4.5" customWidth="1"/>
    <col min="19" max="19" width="12.83203125" customWidth="1"/>
    <col min="20" max="20" width="13.1640625" customWidth="1"/>
    <col min="21" max="21" width="14" customWidth="1"/>
    <col min="25" max="25" width="13.33203125" customWidth="1"/>
    <col min="34" max="34" width="12.6640625" customWidth="1"/>
    <col min="35" max="35" width="13.1640625" customWidth="1"/>
  </cols>
  <sheetData>
    <row r="2" spans="2:40" ht="24" x14ac:dyDescent="0.3">
      <c r="B2" s="736" t="s">
        <v>1557</v>
      </c>
      <c r="G2" s="774">
        <f>G3/(C12*1000000*(10^-12))</f>
        <v>10810810.81081081</v>
      </c>
    </row>
    <row r="3" spans="2:40" ht="16" customHeight="1" x14ac:dyDescent="0.25">
      <c r="B3" s="596"/>
      <c r="G3">
        <v>300</v>
      </c>
    </row>
    <row r="4" spans="2:40" x14ac:dyDescent="0.2">
      <c r="B4" s="459" t="s">
        <v>1556</v>
      </c>
      <c r="C4" s="688"/>
      <c r="D4" s="688" t="s">
        <v>2035</v>
      </c>
      <c r="E4" s="688"/>
      <c r="F4" s="688"/>
      <c r="G4" s="688"/>
      <c r="H4" s="688"/>
      <c r="L4" s="688"/>
      <c r="M4" s="688"/>
      <c r="N4" s="688"/>
      <c r="O4" s="688"/>
      <c r="P4" s="688"/>
      <c r="Q4" s="688"/>
      <c r="S4" s="340"/>
      <c r="T4" s="340"/>
      <c r="U4" s="340"/>
      <c r="AH4" s="1330" t="s">
        <v>1684</v>
      </c>
      <c r="AI4" s="1330"/>
      <c r="AJ4" s="1330"/>
      <c r="AK4" s="1330"/>
    </row>
    <row r="5" spans="2:40" ht="16" customHeight="1" x14ac:dyDescent="0.2">
      <c r="D5" s="341" t="s">
        <v>1553</v>
      </c>
      <c r="E5" s="773">
        <v>26400000</v>
      </c>
      <c r="F5" t="s">
        <v>1554</v>
      </c>
      <c r="G5" t="s">
        <v>1646</v>
      </c>
      <c r="H5">
        <v>1000000</v>
      </c>
      <c r="T5" s="341" t="s">
        <v>1687</v>
      </c>
      <c r="AH5" s="1330"/>
      <c r="AI5" s="1330"/>
      <c r="AJ5" s="1330"/>
      <c r="AK5" s="1330"/>
    </row>
    <row r="6" spans="2:40" x14ac:dyDescent="0.2">
      <c r="B6" s="341"/>
      <c r="I6" s="459"/>
      <c r="J6" s="459"/>
      <c r="K6" s="459"/>
      <c r="L6" s="340"/>
      <c r="M6" s="340"/>
      <c r="N6" s="340"/>
      <c r="O6" s="340"/>
      <c r="P6" s="340"/>
      <c r="AH6" s="1330"/>
      <c r="AI6" s="1330"/>
      <c r="AJ6" s="1330"/>
      <c r="AK6" s="1330"/>
    </row>
    <row r="7" spans="2:40" x14ac:dyDescent="0.2">
      <c r="C7" s="1131" t="s">
        <v>1552</v>
      </c>
      <c r="D7" s="1131"/>
      <c r="E7" s="1131" t="s">
        <v>1645</v>
      </c>
      <c r="F7" s="1131"/>
      <c r="G7" s="1131" t="s">
        <v>1555</v>
      </c>
      <c r="H7" s="1131"/>
      <c r="I7" s="1131"/>
      <c r="J7" s="1131"/>
      <c r="K7" s="340"/>
      <c r="L7" s="689"/>
      <c r="M7" s="689"/>
      <c r="N7" s="1131" t="s">
        <v>1549</v>
      </c>
      <c r="O7" s="1131"/>
      <c r="P7" s="1131"/>
      <c r="Q7" s="1131"/>
      <c r="T7" s="1131" t="s">
        <v>1678</v>
      </c>
      <c r="U7" s="1131"/>
      <c r="V7" s="1131"/>
      <c r="W7" s="1131"/>
      <c r="X7" s="1131"/>
      <c r="Y7" s="1131"/>
      <c r="AA7" s="1131" t="s">
        <v>1679</v>
      </c>
      <c r="AB7" s="1131"/>
      <c r="AC7" s="1131"/>
      <c r="AD7" s="1131"/>
      <c r="AE7" s="1131"/>
      <c r="AF7" s="1131"/>
      <c r="AG7" s="340"/>
      <c r="AH7" s="340"/>
      <c r="AI7" s="340"/>
      <c r="AJ7" s="340"/>
    </row>
    <row r="8" spans="2:40" ht="80" x14ac:dyDescent="0.2">
      <c r="B8" s="726" t="s">
        <v>1</v>
      </c>
      <c r="C8" s="726" t="s">
        <v>781</v>
      </c>
      <c r="D8" s="726" t="s">
        <v>1551</v>
      </c>
      <c r="E8" s="815" t="s">
        <v>1644</v>
      </c>
      <c r="F8" s="815" t="s">
        <v>1643</v>
      </c>
      <c r="G8" s="726" t="s">
        <v>1794</v>
      </c>
      <c r="H8" s="770" t="s">
        <v>1551</v>
      </c>
      <c r="I8" s="815" t="s">
        <v>1644</v>
      </c>
      <c r="J8" s="815" t="s">
        <v>1643</v>
      </c>
      <c r="K8" s="687"/>
      <c r="L8" s="687"/>
      <c r="M8" s="685" t="s">
        <v>1</v>
      </c>
      <c r="N8" s="685" t="s">
        <v>1422</v>
      </c>
      <c r="O8" s="685" t="s">
        <v>1423</v>
      </c>
      <c r="P8" s="685" t="s">
        <v>1424</v>
      </c>
      <c r="Q8" s="771" t="s">
        <v>1550</v>
      </c>
      <c r="T8" s="771" t="s">
        <v>1</v>
      </c>
      <c r="U8" s="861" t="s">
        <v>1686</v>
      </c>
      <c r="V8" s="861" t="s">
        <v>1682</v>
      </c>
      <c r="W8" s="861" t="s">
        <v>1677</v>
      </c>
      <c r="X8" s="861" t="s">
        <v>1676</v>
      </c>
      <c r="Y8" s="861" t="s">
        <v>1680</v>
      </c>
      <c r="Z8" s="340"/>
      <c r="AA8" s="771" t="s">
        <v>1</v>
      </c>
      <c r="AB8" s="861" t="s">
        <v>1686</v>
      </c>
      <c r="AC8" s="861" t="s">
        <v>1682</v>
      </c>
      <c r="AD8" s="861" t="s">
        <v>1677</v>
      </c>
      <c r="AE8" s="861" t="s">
        <v>1676</v>
      </c>
      <c r="AF8" s="861" t="s">
        <v>1680</v>
      </c>
      <c r="AG8" s="340"/>
      <c r="AH8" s="771" t="s">
        <v>1</v>
      </c>
      <c r="AI8" s="861" t="s">
        <v>1681</v>
      </c>
      <c r="AJ8" s="861" t="s">
        <v>1683</v>
      </c>
      <c r="AK8" s="861" t="s">
        <v>1685</v>
      </c>
    </row>
    <row r="9" spans="2:40" x14ac:dyDescent="0.2">
      <c r="B9" s="726">
        <v>1995</v>
      </c>
      <c r="C9" s="772"/>
      <c r="D9" s="772"/>
      <c r="E9" s="346">
        <v>146</v>
      </c>
      <c r="F9" s="346">
        <v>197</v>
      </c>
      <c r="G9" s="774"/>
      <c r="H9" s="774">
        <f t="shared" ref="H9:H21" si="0">D9*1000000*(10^-12)*$E$5</f>
        <v>0</v>
      </c>
      <c r="I9" s="816">
        <f>E9/1000000000000000000*$H$5*$E$5</f>
        <v>3.8544000000000004E-3</v>
      </c>
      <c r="J9" s="816">
        <f>F9/1000000000000000000*$H$5*$E$5</f>
        <v>5.2008000000000002E-3</v>
      </c>
      <c r="K9" s="459"/>
      <c r="L9" s="688"/>
      <c r="M9" s="686">
        <v>2004</v>
      </c>
      <c r="N9" s="346">
        <v>11</v>
      </c>
      <c r="O9" s="346">
        <v>58</v>
      </c>
      <c r="P9" s="346">
        <v>23</v>
      </c>
      <c r="Q9" s="346"/>
      <c r="T9" s="346">
        <v>1995</v>
      </c>
      <c r="U9" s="346">
        <v>7.0556999999999995E-2</v>
      </c>
      <c r="V9" s="346">
        <v>5.6114110000000004</v>
      </c>
      <c r="W9" s="346">
        <v>335.21234600000003</v>
      </c>
      <c r="X9" s="346">
        <v>347.36942599999998</v>
      </c>
      <c r="Y9" s="718">
        <f>W9/X9</f>
        <v>0.96500244670352786</v>
      </c>
      <c r="Z9" s="340"/>
      <c r="AA9" s="346">
        <v>1995</v>
      </c>
      <c r="AB9" s="346">
        <v>0.13212599999999999</v>
      </c>
      <c r="AC9" s="346">
        <v>6.8569880000000003</v>
      </c>
      <c r="AD9" s="346">
        <v>660.842085</v>
      </c>
      <c r="AE9" s="346">
        <v>675.13114099999996</v>
      </c>
      <c r="AF9" s="718">
        <f>AD9/AE9</f>
        <v>0.97883514011983641</v>
      </c>
      <c r="AG9" s="340"/>
      <c r="AH9" s="346">
        <v>1995</v>
      </c>
      <c r="AI9" s="346">
        <v>2.886E-2</v>
      </c>
      <c r="AJ9" s="346">
        <v>28.325462000000002</v>
      </c>
      <c r="AK9" s="346">
        <v>25.895261999999999</v>
      </c>
    </row>
    <row r="10" spans="2:40" x14ac:dyDescent="0.2">
      <c r="B10" s="726">
        <v>1996</v>
      </c>
      <c r="C10" s="772">
        <v>10.1</v>
      </c>
      <c r="D10" s="772">
        <v>2.62</v>
      </c>
      <c r="E10" s="346">
        <v>102</v>
      </c>
      <c r="F10" s="346">
        <v>148</v>
      </c>
      <c r="G10" s="774">
        <f t="shared" ref="G10:G19" si="1">C10*1000000*(10^-12)*$E$5</f>
        <v>266.64</v>
      </c>
      <c r="H10" s="774">
        <f t="shared" si="0"/>
        <v>69.167999999999992</v>
      </c>
      <c r="I10" s="816">
        <f t="shared" ref="I10:J18" si="2">E10/1000000000000000000*$H$5*$E$5</f>
        <v>2.6928000000000004E-3</v>
      </c>
      <c r="J10" s="816">
        <f t="shared" si="2"/>
        <v>3.9071999999999996E-3</v>
      </c>
      <c r="K10" s="459"/>
      <c r="L10" s="688"/>
      <c r="M10" s="686">
        <v>2005</v>
      </c>
      <c r="N10" s="346">
        <v>18</v>
      </c>
      <c r="O10" s="346">
        <v>48</v>
      </c>
      <c r="P10" s="346">
        <v>44</v>
      </c>
      <c r="Q10" s="597">
        <v>23</v>
      </c>
      <c r="T10" s="346">
        <v>1996</v>
      </c>
      <c r="U10" s="346">
        <v>7.5885999999999995E-2</v>
      </c>
      <c r="V10" s="346">
        <v>6.3881629999999996</v>
      </c>
      <c r="W10" s="346">
        <v>368.686823</v>
      </c>
      <c r="X10" s="346">
        <v>382.48482100000001</v>
      </c>
      <c r="Y10" s="718">
        <f t="shared" ref="Y10:Y20" si="3">W10/X10</f>
        <v>0.96392537104106413</v>
      </c>
      <c r="Z10" s="340"/>
      <c r="AA10" s="346">
        <v>1996</v>
      </c>
      <c r="AB10" s="346">
        <v>0.143398</v>
      </c>
      <c r="AC10" s="346">
        <v>7.8026020000000003</v>
      </c>
      <c r="AD10" s="346">
        <v>723.99924299999998</v>
      </c>
      <c r="AE10" s="346">
        <v>739.76960899999995</v>
      </c>
      <c r="AF10" s="718">
        <f t="shared" ref="AF10:AF20" si="4">AD10/AE10</f>
        <v>0.97868205748365644</v>
      </c>
      <c r="AG10" s="340"/>
      <c r="AH10" s="346">
        <v>1996</v>
      </c>
      <c r="AI10" s="346">
        <v>3.1477999999999999E-2</v>
      </c>
      <c r="AJ10" s="346">
        <v>30.053564999999999</v>
      </c>
      <c r="AK10" s="346">
        <v>27.479671</v>
      </c>
    </row>
    <row r="11" spans="2:40" x14ac:dyDescent="0.2">
      <c r="B11" s="726">
        <v>1997</v>
      </c>
      <c r="C11" s="772">
        <v>18.149999999999999</v>
      </c>
      <c r="D11" s="772">
        <v>2.91</v>
      </c>
      <c r="E11" s="346">
        <v>465</v>
      </c>
      <c r="F11" s="346">
        <v>230</v>
      </c>
      <c r="G11" s="774">
        <f t="shared" si="1"/>
        <v>479.16</v>
      </c>
      <c r="H11" s="774">
        <f t="shared" si="0"/>
        <v>76.823999999999998</v>
      </c>
      <c r="I11" s="816">
        <f t="shared" si="2"/>
        <v>1.2275999999999999E-2</v>
      </c>
      <c r="J11" s="816">
        <f t="shared" si="2"/>
        <v>6.0719999999999993E-3</v>
      </c>
      <c r="T11" s="346">
        <v>1997</v>
      </c>
      <c r="U11" s="346">
        <v>8.1212999999999994E-2</v>
      </c>
      <c r="V11" s="346">
        <v>6.5694910000000002</v>
      </c>
      <c r="W11" s="346">
        <v>379.23979700000001</v>
      </c>
      <c r="X11" s="346">
        <v>393.426042</v>
      </c>
      <c r="Y11" s="718">
        <f t="shared" si="3"/>
        <v>0.96394177434751516</v>
      </c>
      <c r="Z11" s="340"/>
      <c r="AA11" s="346">
        <v>1997</v>
      </c>
      <c r="AB11" s="346">
        <v>0.15499499999999999</v>
      </c>
      <c r="AC11" s="346">
        <v>8.0659530000000004</v>
      </c>
      <c r="AD11" s="346">
        <v>757.18608300000005</v>
      </c>
      <c r="AE11" s="346">
        <v>773.88834699999995</v>
      </c>
      <c r="AF11" s="718">
        <f t="shared" si="4"/>
        <v>0.97841773420578471</v>
      </c>
      <c r="AG11" s="340"/>
      <c r="AH11" s="346">
        <v>1997</v>
      </c>
      <c r="AI11" s="346">
        <v>3.4172000000000001E-2</v>
      </c>
      <c r="AJ11" s="346">
        <v>30.493331999999999</v>
      </c>
      <c r="AK11" s="346">
        <v>28.52628</v>
      </c>
    </row>
    <row r="12" spans="2:40" x14ac:dyDescent="0.2">
      <c r="B12" s="726">
        <v>1998</v>
      </c>
      <c r="C12" s="772">
        <v>27.75</v>
      </c>
      <c r="D12" s="772">
        <v>3.75</v>
      </c>
      <c r="E12" s="346">
        <v>162</v>
      </c>
      <c r="F12" s="346">
        <v>220</v>
      </c>
      <c r="G12" s="774">
        <f t="shared" si="1"/>
        <v>732.6</v>
      </c>
      <c r="H12" s="774">
        <f t="shared" si="0"/>
        <v>99</v>
      </c>
      <c r="I12" s="816">
        <f t="shared" si="2"/>
        <v>4.2767999999999999E-3</v>
      </c>
      <c r="J12" s="816">
        <f t="shared" si="2"/>
        <v>5.8079999999999998E-3</v>
      </c>
      <c r="T12" s="346">
        <v>1998</v>
      </c>
      <c r="U12" s="346">
        <v>8.3618999999999999E-2</v>
      </c>
      <c r="V12" s="346">
        <v>6.6125429999999996</v>
      </c>
      <c r="W12" s="346">
        <v>224.56907000000001</v>
      </c>
      <c r="X12" s="346">
        <v>238.880122</v>
      </c>
      <c r="Y12" s="718">
        <f t="shared" si="3"/>
        <v>0.9400910721236152</v>
      </c>
      <c r="Z12" s="340"/>
      <c r="AA12" s="346">
        <v>1998</v>
      </c>
      <c r="AB12" s="346">
        <v>0.16350400000000001</v>
      </c>
      <c r="AC12" s="346">
        <v>8.1286290000000001</v>
      </c>
      <c r="AD12" s="346">
        <v>583.88480500000003</v>
      </c>
      <c r="AE12" s="346">
        <v>600.51972000000001</v>
      </c>
      <c r="AF12" s="718">
        <f t="shared" si="4"/>
        <v>0.97229913615492936</v>
      </c>
      <c r="AG12" s="340"/>
      <c r="AH12" s="346">
        <v>1998</v>
      </c>
      <c r="AI12" s="346">
        <v>3.6854999999999999E-2</v>
      </c>
      <c r="AJ12" s="346">
        <v>27.238156</v>
      </c>
      <c r="AK12" s="346">
        <v>26.009436000000001</v>
      </c>
    </row>
    <row r="13" spans="2:40" x14ac:dyDescent="0.2">
      <c r="B13" s="726">
        <v>1999</v>
      </c>
      <c r="C13" s="772">
        <v>11.25</v>
      </c>
      <c r="D13" s="772">
        <v>3.92</v>
      </c>
      <c r="E13" s="346">
        <v>158</v>
      </c>
      <c r="F13" s="346">
        <v>260</v>
      </c>
      <c r="G13" s="774">
        <f t="shared" si="1"/>
        <v>297</v>
      </c>
      <c r="H13" s="774">
        <f t="shared" si="0"/>
        <v>103.488</v>
      </c>
      <c r="I13" s="816">
        <f t="shared" si="2"/>
        <v>4.1711999999999999E-3</v>
      </c>
      <c r="J13" s="816">
        <f t="shared" si="2"/>
        <v>6.8639999999999994E-3</v>
      </c>
      <c r="T13" s="346">
        <v>1999</v>
      </c>
      <c r="U13" s="346">
        <v>8.3935999999999997E-2</v>
      </c>
      <c r="V13" s="346">
        <v>6.6334549999999997</v>
      </c>
      <c r="W13" s="346">
        <v>111.65749099999999</v>
      </c>
      <c r="X13" s="346">
        <v>125.94387</v>
      </c>
      <c r="Y13" s="718">
        <f t="shared" si="3"/>
        <v>0.88656550731687056</v>
      </c>
      <c r="Z13" s="340"/>
      <c r="AA13" s="346">
        <v>1999</v>
      </c>
      <c r="AB13" s="346">
        <v>0.17005000000000001</v>
      </c>
      <c r="AC13" s="346">
        <v>8.1618089999999999</v>
      </c>
      <c r="AD13" s="346">
        <v>387.39756199999999</v>
      </c>
      <c r="AE13" s="346">
        <v>404.12249600000001</v>
      </c>
      <c r="AF13" s="718">
        <f t="shared" si="4"/>
        <v>0.95861419701812389</v>
      </c>
      <c r="AG13" s="340"/>
      <c r="AH13" s="346">
        <v>1999</v>
      </c>
      <c r="AI13" s="346">
        <v>3.9505999999999999E-2</v>
      </c>
      <c r="AJ13" s="346">
        <v>26.159122</v>
      </c>
      <c r="AK13" s="346">
        <v>25.735766999999999</v>
      </c>
      <c r="AN13" s="341"/>
    </row>
    <row r="14" spans="2:40" x14ac:dyDescent="0.2">
      <c r="B14" s="726">
        <v>2000</v>
      </c>
      <c r="C14" s="772">
        <v>6</v>
      </c>
      <c r="D14" s="772">
        <v>1.34</v>
      </c>
      <c r="E14" s="346">
        <v>132</v>
      </c>
      <c r="F14" s="346">
        <v>161</v>
      </c>
      <c r="G14" s="774">
        <f t="shared" si="1"/>
        <v>158.4</v>
      </c>
      <c r="H14" s="774">
        <f t="shared" si="0"/>
        <v>35.375999999999998</v>
      </c>
      <c r="I14" s="816">
        <f t="shared" si="2"/>
        <v>3.4848000000000001E-3</v>
      </c>
      <c r="J14" s="816">
        <f t="shared" si="2"/>
        <v>4.2504000000000005E-3</v>
      </c>
      <c r="T14" s="346">
        <v>2000</v>
      </c>
      <c r="U14" s="346">
        <v>8.4995000000000001E-2</v>
      </c>
      <c r="V14" s="346">
        <v>7.1413549999999999</v>
      </c>
      <c r="W14" s="346">
        <v>81.173384999999996</v>
      </c>
      <c r="X14" s="346">
        <v>96.638610999999997</v>
      </c>
      <c r="Y14" s="718">
        <f t="shared" si="3"/>
        <v>0.83996845732809633</v>
      </c>
      <c r="Z14" s="340"/>
      <c r="AA14" s="346">
        <v>2000</v>
      </c>
      <c r="AB14" s="346">
        <v>0.17777000000000001</v>
      </c>
      <c r="AC14" s="346">
        <v>8.7532689999999995</v>
      </c>
      <c r="AD14" s="346">
        <v>293.66045700000001</v>
      </c>
      <c r="AE14" s="346">
        <v>311.48207300000001</v>
      </c>
      <c r="AF14" s="718">
        <f t="shared" si="4"/>
        <v>0.9427844568120618</v>
      </c>
      <c r="AG14" s="340"/>
      <c r="AH14" s="346">
        <v>2000</v>
      </c>
      <c r="AI14" s="346">
        <v>4.2318000000000001E-2</v>
      </c>
      <c r="AJ14" s="346">
        <v>29.400690999999998</v>
      </c>
      <c r="AK14" s="346">
        <v>27.304570999999999</v>
      </c>
      <c r="AN14" s="341"/>
    </row>
    <row r="15" spans="2:40" x14ac:dyDescent="0.2">
      <c r="B15" s="726">
        <v>2001</v>
      </c>
      <c r="C15" s="772">
        <v>3.93</v>
      </c>
      <c r="D15" s="772">
        <v>3.62</v>
      </c>
      <c r="E15" s="346">
        <v>90</v>
      </c>
      <c r="F15" s="346">
        <v>100</v>
      </c>
      <c r="G15" s="774">
        <f t="shared" si="1"/>
        <v>103.752</v>
      </c>
      <c r="H15" s="774">
        <f t="shared" si="0"/>
        <v>95.567999999999998</v>
      </c>
      <c r="I15" s="816">
        <f t="shared" si="2"/>
        <v>2.3760000000000001E-3</v>
      </c>
      <c r="J15" s="816">
        <f t="shared" si="2"/>
        <v>2.64E-3</v>
      </c>
      <c r="T15" s="346">
        <v>2001</v>
      </c>
      <c r="U15" s="346">
        <v>8.6157999999999998E-2</v>
      </c>
      <c r="V15" s="346">
        <v>4.8662219999999996</v>
      </c>
      <c r="W15" s="346">
        <v>42.248488999999999</v>
      </c>
      <c r="X15" s="346">
        <v>52.308666000000002</v>
      </c>
      <c r="Y15" s="718">
        <f t="shared" si="3"/>
        <v>0.80767666680698758</v>
      </c>
      <c r="Z15" s="340"/>
      <c r="AA15" s="346">
        <v>2001</v>
      </c>
      <c r="AB15" s="346">
        <v>0.185858</v>
      </c>
      <c r="AC15" s="346">
        <v>6.1600109999999999</v>
      </c>
      <c r="AD15" s="346">
        <v>203.29726400000001</v>
      </c>
      <c r="AE15" s="346">
        <v>215.38919200000001</v>
      </c>
      <c r="AF15" s="718">
        <f t="shared" si="4"/>
        <v>0.94386009860699049</v>
      </c>
      <c r="AG15" s="340"/>
      <c r="AH15" s="346">
        <v>2001</v>
      </c>
      <c r="AI15" s="346">
        <v>4.4610999999999998E-2</v>
      </c>
      <c r="AJ15" s="346">
        <v>10.997308</v>
      </c>
      <c r="AK15" s="346">
        <v>19.619451000000002</v>
      </c>
      <c r="AN15" s="341"/>
    </row>
    <row r="16" spans="2:40" x14ac:dyDescent="0.2">
      <c r="B16" s="726">
        <v>2002</v>
      </c>
      <c r="C16" s="772">
        <v>1.1299999999999999</v>
      </c>
      <c r="D16" s="772">
        <v>2.09</v>
      </c>
      <c r="E16" s="346">
        <v>90</v>
      </c>
      <c r="F16" s="346">
        <v>131</v>
      </c>
      <c r="G16" s="774">
        <f t="shared" si="1"/>
        <v>29.832000000000001</v>
      </c>
      <c r="H16" s="774">
        <f t="shared" si="0"/>
        <v>55.175999999999995</v>
      </c>
      <c r="I16" s="816">
        <f t="shared" si="2"/>
        <v>2.3760000000000001E-3</v>
      </c>
      <c r="J16" s="816">
        <f t="shared" si="2"/>
        <v>3.4584000000000004E-3</v>
      </c>
      <c r="T16" s="346">
        <v>2002</v>
      </c>
      <c r="U16" s="346">
        <v>8.6654999999999996E-2</v>
      </c>
      <c r="V16" s="346">
        <v>1.356792</v>
      </c>
      <c r="W16" s="346">
        <v>18.006578999999999</v>
      </c>
      <c r="X16" s="346">
        <v>20.299811999999999</v>
      </c>
      <c r="Y16" s="718">
        <f t="shared" si="3"/>
        <v>0.88703181093499783</v>
      </c>
      <c r="Z16" s="340"/>
      <c r="AA16" s="346">
        <v>2002</v>
      </c>
      <c r="AB16" s="346">
        <v>0.193411</v>
      </c>
      <c r="AC16" s="346">
        <v>1.9558070000000001</v>
      </c>
      <c r="AD16" s="346">
        <v>129.817125</v>
      </c>
      <c r="AE16" s="346">
        <v>132.99716599999999</v>
      </c>
      <c r="AF16" s="718">
        <f t="shared" si="4"/>
        <v>0.97608940779986253</v>
      </c>
      <c r="AG16" s="340"/>
      <c r="AH16" s="346">
        <v>2002</v>
      </c>
      <c r="AI16" s="346">
        <v>4.614E-2</v>
      </c>
      <c r="AJ16" s="346">
        <v>4.5012790000000003</v>
      </c>
      <c r="AK16" s="346">
        <v>14.607144999999999</v>
      </c>
      <c r="AN16" s="341"/>
    </row>
    <row r="17" spans="1:41" x14ac:dyDescent="0.2">
      <c r="B17" s="726">
        <v>2003</v>
      </c>
      <c r="C17" s="772">
        <v>3.34</v>
      </c>
      <c r="D17" s="772">
        <v>2.77</v>
      </c>
      <c r="E17" s="346">
        <v>161</v>
      </c>
      <c r="F17" s="346">
        <v>65</v>
      </c>
      <c r="G17" s="774">
        <f t="shared" si="1"/>
        <v>88.175999999999988</v>
      </c>
      <c r="H17" s="774">
        <f t="shared" si="0"/>
        <v>73.128</v>
      </c>
      <c r="I17" s="816">
        <f t="shared" si="2"/>
        <v>4.2504000000000005E-3</v>
      </c>
      <c r="J17" s="816">
        <f t="shared" si="2"/>
        <v>1.7159999999999999E-3</v>
      </c>
      <c r="T17" s="346">
        <v>2003</v>
      </c>
      <c r="U17" s="346">
        <v>8.6570999999999995E-2</v>
      </c>
      <c r="V17" s="346">
        <v>0.51182399999999995</v>
      </c>
      <c r="W17" s="346">
        <v>10.657704000000001</v>
      </c>
      <c r="X17" s="346">
        <v>11.556855000000001</v>
      </c>
      <c r="Y17" s="718">
        <f t="shared" si="3"/>
        <v>0.92219760479819124</v>
      </c>
      <c r="Z17" s="340"/>
      <c r="AA17" s="346">
        <v>2003</v>
      </c>
      <c r="AB17" s="346">
        <v>0.200374</v>
      </c>
      <c r="AC17" s="346">
        <v>0.74304999999999999</v>
      </c>
      <c r="AD17" s="346">
        <v>88.020156999999998</v>
      </c>
      <c r="AE17" s="346">
        <v>89.315721999999994</v>
      </c>
      <c r="AF17" s="718">
        <f t="shared" si="4"/>
        <v>0.98549454708545048</v>
      </c>
      <c r="AG17" s="340"/>
      <c r="AH17" s="346">
        <v>2003</v>
      </c>
      <c r="AI17" s="346">
        <v>4.7806000000000001E-2</v>
      </c>
      <c r="AJ17" s="346">
        <v>2.4249670000000001</v>
      </c>
      <c r="AK17" s="346">
        <v>10.744102</v>
      </c>
      <c r="AN17" s="341"/>
    </row>
    <row r="18" spans="1:41" x14ac:dyDescent="0.2">
      <c r="B18" s="726">
        <v>2004</v>
      </c>
      <c r="C18" s="772">
        <v>5.15</v>
      </c>
      <c r="D18" s="772">
        <v>2.4300000000000002</v>
      </c>
      <c r="E18" s="346">
        <v>162</v>
      </c>
      <c r="F18" s="346">
        <v>66</v>
      </c>
      <c r="G18" s="774">
        <f t="shared" si="1"/>
        <v>135.96</v>
      </c>
      <c r="H18" s="774">
        <f t="shared" si="0"/>
        <v>64.152000000000001</v>
      </c>
      <c r="I18" s="816">
        <f t="shared" si="2"/>
        <v>4.2767999999999999E-3</v>
      </c>
      <c r="J18" s="816">
        <f t="shared" si="2"/>
        <v>1.7424000000000001E-3</v>
      </c>
      <c r="T18" s="346">
        <v>2004</v>
      </c>
      <c r="U18" s="346">
        <v>8.6091000000000001E-2</v>
      </c>
      <c r="V18" s="346">
        <v>0.388853</v>
      </c>
      <c r="W18" s="346">
        <v>10.459576</v>
      </c>
      <c r="X18" s="346">
        <v>11.147186</v>
      </c>
      <c r="Y18" s="718">
        <f t="shared" si="3"/>
        <v>0.93831537394280495</v>
      </c>
      <c r="Z18" s="340"/>
      <c r="AA18" s="346">
        <v>2004</v>
      </c>
      <c r="AB18" s="346">
        <v>0.20693700000000001</v>
      </c>
      <c r="AC18" s="346">
        <v>0.53821399999999997</v>
      </c>
      <c r="AD18" s="346">
        <v>64.584871000000007</v>
      </c>
      <c r="AE18" s="346">
        <v>65.626788000000005</v>
      </c>
      <c r="AF18" s="718">
        <f t="shared" si="4"/>
        <v>0.98412360208761096</v>
      </c>
      <c r="AG18" s="340"/>
      <c r="AH18" s="346">
        <v>2004</v>
      </c>
      <c r="AI18" s="346">
        <v>4.9761E-2</v>
      </c>
      <c r="AJ18" s="346">
        <v>1.6822109999999999</v>
      </c>
      <c r="AK18" s="346">
        <v>7.2119710000000001</v>
      </c>
      <c r="AN18" s="341"/>
    </row>
    <row r="19" spans="1:41" x14ac:dyDescent="0.2">
      <c r="B19" s="726">
        <v>2005</v>
      </c>
      <c r="C19" s="772">
        <v>4.03</v>
      </c>
      <c r="D19" s="772">
        <v>2.92</v>
      </c>
      <c r="E19" s="346"/>
      <c r="F19" s="346"/>
      <c r="G19" s="774">
        <f t="shared" si="1"/>
        <v>106.39200000000001</v>
      </c>
      <c r="H19" s="774">
        <f t="shared" si="0"/>
        <v>77.087999999999994</v>
      </c>
      <c r="I19" s="346"/>
      <c r="J19" s="346"/>
      <c r="T19" s="346">
        <v>2005</v>
      </c>
      <c r="U19" s="346">
        <v>8.5491999999999999E-2</v>
      </c>
      <c r="V19" s="346">
        <v>0.38217400000000001</v>
      </c>
      <c r="W19" s="346">
        <v>14.825360999999999</v>
      </c>
      <c r="X19" s="346">
        <v>15.507547000000001</v>
      </c>
      <c r="Y19" s="718">
        <f t="shared" si="3"/>
        <v>0.95600941915571813</v>
      </c>
      <c r="Z19" s="340"/>
      <c r="AA19" s="346">
        <v>2005</v>
      </c>
      <c r="AB19" s="346">
        <v>0.21309600000000001</v>
      </c>
      <c r="AC19" s="346">
        <v>0.517675</v>
      </c>
      <c r="AD19" s="346">
        <v>55.258308</v>
      </c>
      <c r="AE19" s="346">
        <v>56.228772999999997</v>
      </c>
      <c r="AF19" s="718">
        <f t="shared" si="4"/>
        <v>0.98274077579462749</v>
      </c>
      <c r="AG19" s="340"/>
      <c r="AH19" s="346">
        <v>2005</v>
      </c>
      <c r="AI19" s="346">
        <v>5.1843E-2</v>
      </c>
      <c r="AJ19" s="346">
        <v>1.4427410000000001</v>
      </c>
      <c r="AK19" s="346">
        <v>3.3255789999999998</v>
      </c>
      <c r="AN19" s="341"/>
    </row>
    <row r="20" spans="1:41" x14ac:dyDescent="0.2">
      <c r="B20" s="726">
        <v>2006</v>
      </c>
      <c r="C20" s="772"/>
      <c r="D20" s="772">
        <v>3.53</v>
      </c>
      <c r="E20" s="346"/>
      <c r="F20" s="346"/>
      <c r="G20" s="774"/>
      <c r="H20" s="774">
        <f t="shared" si="0"/>
        <v>93.192000000000007</v>
      </c>
      <c r="I20" s="346"/>
      <c r="J20" s="346"/>
      <c r="T20" s="346">
        <v>2006</v>
      </c>
      <c r="U20" s="346">
        <v>8.5112999999999994E-2</v>
      </c>
      <c r="V20" s="346">
        <v>0.409252</v>
      </c>
      <c r="W20" s="346">
        <v>21.408249999999999</v>
      </c>
      <c r="X20" s="346">
        <v>22.122022999999999</v>
      </c>
      <c r="Y20" s="718">
        <f t="shared" si="3"/>
        <v>0.96773473203603488</v>
      </c>
      <c r="Z20" s="340"/>
      <c r="AA20" s="346">
        <v>2006</v>
      </c>
      <c r="AB20" s="346">
        <v>0.21907099999999999</v>
      </c>
      <c r="AC20" s="346">
        <v>0.54751000000000005</v>
      </c>
      <c r="AD20" s="346">
        <v>55.283602000000002</v>
      </c>
      <c r="AE20" s="346">
        <v>56.355871999999998</v>
      </c>
      <c r="AF20" s="718">
        <f t="shared" si="4"/>
        <v>0.980973233809602</v>
      </c>
      <c r="AG20" s="340"/>
      <c r="AH20" s="346">
        <v>2006</v>
      </c>
      <c r="AI20" s="346">
        <v>5.3982000000000002E-2</v>
      </c>
      <c r="AJ20" s="346">
        <v>1.2687759999999999</v>
      </c>
      <c r="AK20" s="346">
        <v>1.957527</v>
      </c>
      <c r="AN20" s="341"/>
    </row>
    <row r="21" spans="1:41" x14ac:dyDescent="0.2">
      <c r="B21" s="726">
        <v>2007</v>
      </c>
      <c r="C21" s="772"/>
      <c r="D21" s="772">
        <v>1.39</v>
      </c>
      <c r="E21" s="346"/>
      <c r="F21" s="346"/>
      <c r="G21" s="774"/>
      <c r="H21" s="774">
        <f t="shared" si="0"/>
        <v>36.695999999999998</v>
      </c>
      <c r="I21" s="346"/>
      <c r="J21" s="346"/>
      <c r="AN21" s="341"/>
    </row>
    <row r="22" spans="1:41" x14ac:dyDescent="0.2">
      <c r="AN22" s="341"/>
    </row>
    <row r="23" spans="1:41" x14ac:dyDescent="0.2">
      <c r="AN23" s="341"/>
    </row>
    <row r="24" spans="1:41" x14ac:dyDescent="0.2">
      <c r="AN24" s="341"/>
    </row>
    <row r="25" spans="1:41" x14ac:dyDescent="0.2">
      <c r="AN25" s="341"/>
      <c r="AO25" s="341"/>
    </row>
    <row r="26" spans="1:41" x14ac:dyDescent="0.2">
      <c r="AN26" s="341"/>
      <c r="AO26" s="341"/>
    </row>
    <row r="27" spans="1:41" x14ac:dyDescent="0.2">
      <c r="AN27" s="341"/>
      <c r="AO27" s="341"/>
    </row>
    <row r="28" spans="1:41" x14ac:dyDescent="0.2">
      <c r="B28" s="341" t="s">
        <v>1793</v>
      </c>
      <c r="AM28" s="341"/>
    </row>
    <row r="29" spans="1:41" x14ac:dyDescent="0.2">
      <c r="B29" t="s">
        <v>2182</v>
      </c>
      <c r="J29" s="807" t="s">
        <v>1791</v>
      </c>
      <c r="AM29" s="341"/>
    </row>
    <row r="30" spans="1:41" x14ac:dyDescent="0.2">
      <c r="B30" s="589" t="s">
        <v>2183</v>
      </c>
      <c r="C30" s="589" t="s">
        <v>2184</v>
      </c>
      <c r="D30" s="589" t="s">
        <v>2185</v>
      </c>
      <c r="E30" s="589" t="s">
        <v>2186</v>
      </c>
      <c r="F30" s="589" t="s">
        <v>2187</v>
      </c>
      <c r="G30" s="589" t="s">
        <v>2188</v>
      </c>
      <c r="H30" s="589" t="s">
        <v>1772</v>
      </c>
      <c r="I30" s="589" t="s">
        <v>1559</v>
      </c>
      <c r="J30" s="589" t="s">
        <v>1558</v>
      </c>
      <c r="AM30" s="341"/>
    </row>
    <row r="31" spans="1:41" x14ac:dyDescent="0.2">
      <c r="A31">
        <v>0</v>
      </c>
      <c r="B31" s="602">
        <v>678.199119</v>
      </c>
      <c r="C31" s="602">
        <v>1222.254529</v>
      </c>
      <c r="D31" s="602">
        <v>865.39606200000003</v>
      </c>
      <c r="E31" s="602">
        <v>187.196943</v>
      </c>
      <c r="F31" s="602">
        <v>1650.6838929999999</v>
      </c>
      <c r="G31" s="602" t="s">
        <v>1785</v>
      </c>
      <c r="H31" s="862">
        <v>1995</v>
      </c>
      <c r="I31" s="592">
        <f>$G$9</f>
        <v>0</v>
      </c>
      <c r="J31" s="592">
        <f>$H$9</f>
        <v>0</v>
      </c>
      <c r="AM31" s="341"/>
    </row>
    <row r="32" spans="1:41" x14ac:dyDescent="0.2">
      <c r="A32">
        <v>1</v>
      </c>
      <c r="B32" s="602">
        <v>736.55369099999996</v>
      </c>
      <c r="C32" s="602">
        <v>1331.8297849999999</v>
      </c>
      <c r="D32" s="602">
        <v>940.49390800000003</v>
      </c>
      <c r="E32" s="602">
        <v>203.94021799999999</v>
      </c>
      <c r="F32" s="602">
        <v>1806.3389729999999</v>
      </c>
      <c r="G32" s="602" t="s">
        <v>1785</v>
      </c>
      <c r="H32" s="862">
        <v>1996</v>
      </c>
      <c r="I32" s="592">
        <f>$G$10</f>
        <v>266.64</v>
      </c>
      <c r="J32" s="592">
        <f>$H$10</f>
        <v>69.167999999999992</v>
      </c>
      <c r="AM32" s="341"/>
    </row>
    <row r="33" spans="1:39" x14ac:dyDescent="0.2">
      <c r="A33">
        <v>2</v>
      </c>
      <c r="B33" s="602">
        <v>745.48912900000005</v>
      </c>
      <c r="C33" s="602">
        <v>1348.6379059999999</v>
      </c>
      <c r="D33" s="602">
        <v>951.88396299999999</v>
      </c>
      <c r="E33" s="602">
        <v>206.39483300000001</v>
      </c>
      <c r="F33" s="602">
        <v>1830.4481989999999</v>
      </c>
      <c r="G33" s="602" t="s">
        <v>1785</v>
      </c>
      <c r="H33" s="862">
        <v>1997</v>
      </c>
      <c r="I33" s="592">
        <f>$G$11</f>
        <v>479.16</v>
      </c>
      <c r="J33" s="592">
        <f>$H$11</f>
        <v>76.823999999999998</v>
      </c>
      <c r="AM33" s="341"/>
    </row>
    <row r="34" spans="1:39" x14ac:dyDescent="0.2">
      <c r="A34">
        <v>3</v>
      </c>
      <c r="B34" s="602">
        <v>466.64599299999998</v>
      </c>
      <c r="C34" s="602">
        <v>868.75771299999997</v>
      </c>
      <c r="D34" s="602">
        <v>599.51913400000001</v>
      </c>
      <c r="E34" s="602">
        <v>132.873142</v>
      </c>
      <c r="F34" s="602">
        <v>1219.0645870000001</v>
      </c>
      <c r="G34" s="602" t="s">
        <v>1785</v>
      </c>
      <c r="H34" s="862">
        <v>1998</v>
      </c>
      <c r="I34" s="592">
        <f>$G$12</f>
        <v>732.6</v>
      </c>
      <c r="J34" s="592">
        <f>$H$12</f>
        <v>99</v>
      </c>
      <c r="AM34" s="341"/>
    </row>
    <row r="35" spans="1:39" x14ac:dyDescent="0.2">
      <c r="A35">
        <v>4</v>
      </c>
      <c r="B35" s="602">
        <v>377.31068900000002</v>
      </c>
      <c r="C35" s="602">
        <v>700.71575199999995</v>
      </c>
      <c r="D35" s="602">
        <v>484.34699899999998</v>
      </c>
      <c r="E35" s="602">
        <v>107.03631</v>
      </c>
      <c r="F35" s="602">
        <v>980.24039400000004</v>
      </c>
      <c r="G35" s="602" t="s">
        <v>1785</v>
      </c>
      <c r="H35" s="862">
        <v>1999</v>
      </c>
      <c r="I35" s="592">
        <f>$G$13</f>
        <v>297</v>
      </c>
      <c r="J35" s="592">
        <f>$H$13</f>
        <v>103.488</v>
      </c>
      <c r="AM35" s="341"/>
    </row>
    <row r="36" spans="1:39" x14ac:dyDescent="0.2">
      <c r="A36">
        <v>5</v>
      </c>
      <c r="B36" s="602">
        <v>402.53847400000001</v>
      </c>
      <c r="C36" s="602">
        <v>745.98759099999995</v>
      </c>
      <c r="D36" s="602">
        <v>516.36239999999998</v>
      </c>
      <c r="E36" s="602">
        <v>113.823926</v>
      </c>
      <c r="F36" s="602">
        <v>1041.5313920000001</v>
      </c>
      <c r="G36" s="602" t="s">
        <v>1785</v>
      </c>
      <c r="H36" s="862">
        <v>2000</v>
      </c>
      <c r="I36" s="592">
        <f>$G$14</f>
        <v>158.4</v>
      </c>
      <c r="J36" s="592">
        <f>$H$14</f>
        <v>35.375999999999998</v>
      </c>
      <c r="AM36" s="341"/>
    </row>
    <row r="37" spans="1:39" x14ac:dyDescent="0.2">
      <c r="A37">
        <v>6</v>
      </c>
      <c r="B37" s="602">
        <v>256.49930699999999</v>
      </c>
      <c r="C37" s="602">
        <v>481.76698499999998</v>
      </c>
      <c r="D37" s="602">
        <v>330.15291999999999</v>
      </c>
      <c r="E37" s="602">
        <v>73.653613000000007</v>
      </c>
      <c r="F37" s="602">
        <v>682.29425100000003</v>
      </c>
      <c r="G37" s="602" t="s">
        <v>1785</v>
      </c>
      <c r="H37" s="862">
        <v>2001</v>
      </c>
      <c r="I37" s="592">
        <f>$G$15</f>
        <v>103.752</v>
      </c>
      <c r="J37" s="592">
        <f>$H$15</f>
        <v>95.567999999999998</v>
      </c>
      <c r="AM37" s="341"/>
    </row>
    <row r="38" spans="1:39" x14ac:dyDescent="0.2">
      <c r="A38">
        <v>7</v>
      </c>
      <c r="B38" s="602">
        <v>107.702744</v>
      </c>
      <c r="C38" s="602">
        <v>202.68330599999999</v>
      </c>
      <c r="D38" s="602">
        <v>138.88839899999999</v>
      </c>
      <c r="E38" s="602">
        <v>31.185655000000001</v>
      </c>
      <c r="F38" s="602">
        <v>286.888981</v>
      </c>
      <c r="G38" s="602" t="s">
        <v>1785</v>
      </c>
      <c r="H38" s="862">
        <v>2002</v>
      </c>
      <c r="I38" s="592">
        <f>$G$16</f>
        <v>29.832000000000001</v>
      </c>
      <c r="J38" s="592">
        <f>$H$16</f>
        <v>55.175999999999995</v>
      </c>
      <c r="AM38" s="341"/>
    </row>
    <row r="39" spans="1:39" x14ac:dyDescent="0.2">
      <c r="A39">
        <v>8</v>
      </c>
      <c r="B39" s="602">
        <v>77.174285999999995</v>
      </c>
      <c r="C39" s="602">
        <v>143.74277000000001</v>
      </c>
      <c r="D39" s="602">
        <v>99.230519000000001</v>
      </c>
      <c r="E39" s="602">
        <v>22.056232999999999</v>
      </c>
      <c r="F39" s="602">
        <v>201.39732599999999</v>
      </c>
      <c r="G39" s="602" t="s">
        <v>1785</v>
      </c>
      <c r="H39" s="862">
        <v>2003</v>
      </c>
      <c r="I39" s="592">
        <f>$G$17</f>
        <v>88.175999999999988</v>
      </c>
      <c r="J39" s="592">
        <f>$H$17</f>
        <v>73.128</v>
      </c>
      <c r="AM39" s="341"/>
    </row>
    <row r="40" spans="1:39" x14ac:dyDescent="0.2">
      <c r="A40">
        <v>9</v>
      </c>
      <c r="B40" s="602">
        <v>66.208696000000003</v>
      </c>
      <c r="C40" s="602">
        <v>122.571826</v>
      </c>
      <c r="D40" s="602">
        <v>84.989270000000005</v>
      </c>
      <c r="E40" s="602">
        <v>18.780574999999999</v>
      </c>
      <c r="F40" s="602">
        <v>170.81267700000001</v>
      </c>
      <c r="G40" s="602" t="s">
        <v>1785</v>
      </c>
      <c r="H40" s="862">
        <v>2004</v>
      </c>
      <c r="I40" s="592">
        <f>$G$18</f>
        <v>135.96</v>
      </c>
      <c r="J40" s="592">
        <f>$H$18</f>
        <v>64.152000000000001</v>
      </c>
      <c r="AM40" s="341"/>
    </row>
    <row r="41" spans="1:39" x14ac:dyDescent="0.2">
      <c r="A41">
        <v>10</v>
      </c>
      <c r="B41" s="602">
        <v>66.208828999999994</v>
      </c>
      <c r="C41" s="602">
        <v>121.652682</v>
      </c>
      <c r="D41" s="602">
        <v>84.834575999999998</v>
      </c>
      <c r="E41" s="602">
        <v>18.625745999999999</v>
      </c>
      <c r="F41" s="602">
        <v>168.22138699999999</v>
      </c>
      <c r="G41" s="602" t="s">
        <v>1785</v>
      </c>
      <c r="H41" s="862">
        <v>2005</v>
      </c>
      <c r="I41" s="592">
        <f>$G$19</f>
        <v>106.39200000000001</v>
      </c>
      <c r="J41" s="592">
        <f>$H$19</f>
        <v>77.087999999999994</v>
      </c>
      <c r="AM41" s="341"/>
    </row>
    <row r="42" spans="1:39" x14ac:dyDescent="0.2">
      <c r="A42">
        <v>11</v>
      </c>
      <c r="B42" s="602">
        <v>68.471637000000001</v>
      </c>
      <c r="C42" s="602">
        <v>125.082643</v>
      </c>
      <c r="D42" s="602">
        <v>87.619515000000007</v>
      </c>
      <c r="E42" s="602">
        <v>19.147877000000001</v>
      </c>
      <c r="F42" s="602">
        <v>171.87798799999999</v>
      </c>
      <c r="G42" s="602" t="s">
        <v>1785</v>
      </c>
      <c r="H42" s="862">
        <v>2006</v>
      </c>
      <c r="I42" s="592">
        <f>$G$20</f>
        <v>0</v>
      </c>
      <c r="J42" s="592">
        <f>$H$20</f>
        <v>93.192000000000007</v>
      </c>
      <c r="AM42" s="341"/>
    </row>
    <row r="43" spans="1:39" x14ac:dyDescent="0.2">
      <c r="A43">
        <v>12</v>
      </c>
      <c r="B43" s="602">
        <v>148.510233</v>
      </c>
      <c r="C43" s="602">
        <v>266.24028299999998</v>
      </c>
      <c r="D43" s="602">
        <v>189.347207</v>
      </c>
      <c r="E43" s="602">
        <v>40.836973999999998</v>
      </c>
      <c r="F43" s="602">
        <v>356.53107799999998</v>
      </c>
      <c r="G43" s="602" t="s">
        <v>1786</v>
      </c>
      <c r="H43" s="862">
        <v>1995</v>
      </c>
      <c r="I43" s="592">
        <f>$G$9</f>
        <v>0</v>
      </c>
      <c r="J43" s="592">
        <f>$H$9</f>
        <v>0</v>
      </c>
      <c r="AM43" s="341"/>
    </row>
    <row r="44" spans="1:39" x14ac:dyDescent="0.2">
      <c r="A44">
        <v>13</v>
      </c>
      <c r="B44" s="602">
        <v>164.03235900000001</v>
      </c>
      <c r="C44" s="602">
        <v>294.41632700000002</v>
      </c>
      <c r="D44" s="602">
        <v>209.19521</v>
      </c>
      <c r="E44" s="602">
        <v>45.162852000000001</v>
      </c>
      <c r="F44" s="602">
        <v>395.06142399999999</v>
      </c>
      <c r="G44" s="602" t="s">
        <v>1786</v>
      </c>
      <c r="H44" s="862">
        <v>1996</v>
      </c>
      <c r="I44" s="592">
        <f>$G$10</f>
        <v>266.64</v>
      </c>
      <c r="J44" s="592">
        <f>$H$10</f>
        <v>69.167999999999992</v>
      </c>
    </row>
    <row r="45" spans="1:39" x14ac:dyDescent="0.2">
      <c r="A45">
        <v>14</v>
      </c>
      <c r="B45" s="602">
        <v>169.102789</v>
      </c>
      <c r="C45" s="602">
        <v>303.73611</v>
      </c>
      <c r="D45" s="602">
        <v>215.72967199999999</v>
      </c>
      <c r="E45" s="602">
        <v>46.626882999999999</v>
      </c>
      <c r="F45" s="602">
        <v>407.69652000000002</v>
      </c>
      <c r="G45" s="602" t="s">
        <v>1786</v>
      </c>
      <c r="H45" s="862">
        <v>1997</v>
      </c>
      <c r="I45" s="592">
        <f>$G$11</f>
        <v>479.16</v>
      </c>
      <c r="J45" s="592">
        <f>$H$11</f>
        <v>76.823999999999998</v>
      </c>
    </row>
    <row r="46" spans="1:39" x14ac:dyDescent="0.2">
      <c r="A46">
        <v>15</v>
      </c>
      <c r="B46" s="602">
        <v>131.38429099999999</v>
      </c>
      <c r="C46" s="602">
        <v>239.17682199999999</v>
      </c>
      <c r="D46" s="602">
        <v>168.05902900000001</v>
      </c>
      <c r="E46" s="602">
        <v>36.674737999999998</v>
      </c>
      <c r="F46" s="602">
        <v>326.69456700000001</v>
      </c>
      <c r="G46" s="602" t="s">
        <v>1786</v>
      </c>
      <c r="H46" s="862">
        <v>1998</v>
      </c>
      <c r="I46" s="592">
        <f>$G$12</f>
        <v>732.6</v>
      </c>
      <c r="J46" s="592">
        <f>$H$12</f>
        <v>99</v>
      </c>
    </row>
    <row r="47" spans="1:39" x14ac:dyDescent="0.2">
      <c r="A47">
        <v>16</v>
      </c>
      <c r="B47" s="602">
        <v>102.63963200000001</v>
      </c>
      <c r="C47" s="602">
        <v>187.852678</v>
      </c>
      <c r="D47" s="602">
        <v>131.442635</v>
      </c>
      <c r="E47" s="602">
        <v>28.803003</v>
      </c>
      <c r="F47" s="602">
        <v>258.17292400000002</v>
      </c>
      <c r="G47" s="602" t="s">
        <v>1786</v>
      </c>
      <c r="H47" s="862">
        <v>1999</v>
      </c>
      <c r="I47" s="592">
        <f>$G$13</f>
        <v>297</v>
      </c>
      <c r="J47" s="592">
        <f>$H$13</f>
        <v>103.488</v>
      </c>
    </row>
    <row r="48" spans="1:39" x14ac:dyDescent="0.2">
      <c r="A48">
        <v>17</v>
      </c>
      <c r="B48" s="602">
        <v>96.823447000000002</v>
      </c>
      <c r="C48" s="602">
        <v>177.688131</v>
      </c>
      <c r="D48" s="602">
        <v>124.01031399999999</v>
      </c>
      <c r="E48" s="602">
        <v>27.186866999999999</v>
      </c>
      <c r="F48" s="602">
        <v>245.06358900000001</v>
      </c>
      <c r="G48" s="602" t="s">
        <v>1786</v>
      </c>
      <c r="H48" s="862">
        <v>2000</v>
      </c>
      <c r="I48" s="592">
        <f>$G$14</f>
        <v>158.4</v>
      </c>
      <c r="J48" s="592">
        <f>$H$14</f>
        <v>35.375999999999998</v>
      </c>
    </row>
    <row r="49" spans="1:26" x14ac:dyDescent="0.2">
      <c r="A49">
        <v>18</v>
      </c>
      <c r="B49" s="602">
        <v>65.164742000000004</v>
      </c>
      <c r="C49" s="602">
        <v>120.390404</v>
      </c>
      <c r="D49" s="602">
        <v>83.626784999999998</v>
      </c>
      <c r="E49" s="602">
        <v>18.462043000000001</v>
      </c>
      <c r="F49" s="602">
        <v>167.33021400000001</v>
      </c>
      <c r="G49" s="602" t="s">
        <v>1786</v>
      </c>
      <c r="H49" s="862">
        <v>2001</v>
      </c>
      <c r="I49" s="592">
        <f>$G$15</f>
        <v>103.752</v>
      </c>
      <c r="J49" s="592">
        <f>$H$15</f>
        <v>95.567999999999998</v>
      </c>
    </row>
    <row r="50" spans="1:26" x14ac:dyDescent="0.2">
      <c r="A50">
        <v>19</v>
      </c>
      <c r="B50" s="602">
        <v>29.669526999999999</v>
      </c>
      <c r="C50" s="602">
        <v>54.818339999999999</v>
      </c>
      <c r="D50" s="602">
        <v>38.133673000000002</v>
      </c>
      <c r="E50" s="602">
        <v>8.4641450000000003</v>
      </c>
      <c r="F50" s="602">
        <v>76.080461999999997</v>
      </c>
      <c r="G50" s="602" t="s">
        <v>1786</v>
      </c>
      <c r="H50" s="862">
        <v>2002</v>
      </c>
      <c r="I50" s="592">
        <f>$G$16</f>
        <v>29.832000000000001</v>
      </c>
      <c r="J50" s="592">
        <f>$H$16</f>
        <v>55.175999999999995</v>
      </c>
    </row>
    <row r="51" spans="1:26" x14ac:dyDescent="0.2">
      <c r="A51">
        <v>20</v>
      </c>
      <c r="B51" s="602">
        <v>19.744681</v>
      </c>
      <c r="C51" s="602">
        <v>36.271987000000003</v>
      </c>
      <c r="D51" s="602">
        <v>25.337045</v>
      </c>
      <c r="E51" s="602">
        <v>5.5923639999999999</v>
      </c>
      <c r="F51" s="602">
        <v>50.118777999999999</v>
      </c>
      <c r="G51" s="602" t="s">
        <v>1786</v>
      </c>
      <c r="H51" s="862">
        <v>2003</v>
      </c>
      <c r="I51" s="592">
        <f>$G$17</f>
        <v>88.175999999999988</v>
      </c>
      <c r="J51" s="592">
        <f>$H$17</f>
        <v>73.128</v>
      </c>
    </row>
    <row r="52" spans="1:26" x14ac:dyDescent="0.2">
      <c r="A52">
        <v>21</v>
      </c>
      <c r="B52" s="602">
        <v>15.634344</v>
      </c>
      <c r="C52" s="602">
        <v>28.640651999999999</v>
      </c>
      <c r="D52" s="602">
        <v>20.047635</v>
      </c>
      <c r="E52" s="602">
        <v>4.4132920000000002</v>
      </c>
      <c r="F52" s="602">
        <v>39.507561000000003</v>
      </c>
      <c r="G52" s="602" t="s">
        <v>1786</v>
      </c>
      <c r="H52" s="862">
        <v>2004</v>
      </c>
      <c r="I52" s="592">
        <f>$G$18</f>
        <v>135.96</v>
      </c>
      <c r="J52" s="592">
        <f>$H$18</f>
        <v>64.152000000000001</v>
      </c>
    </row>
    <row r="53" spans="1:26" x14ac:dyDescent="0.2">
      <c r="A53">
        <v>22</v>
      </c>
      <c r="B53" s="602">
        <v>14.701428999999999</v>
      </c>
      <c r="C53" s="602">
        <v>26.765494</v>
      </c>
      <c r="D53" s="602">
        <v>18.822977999999999</v>
      </c>
      <c r="E53" s="602">
        <v>4.1215489999999999</v>
      </c>
      <c r="F53" s="602">
        <v>36.729987000000001</v>
      </c>
      <c r="G53" s="602" t="s">
        <v>1786</v>
      </c>
      <c r="H53" s="862">
        <v>2005</v>
      </c>
      <c r="I53" s="592">
        <f>$G$19</f>
        <v>106.39200000000001</v>
      </c>
      <c r="J53" s="592">
        <f>$H$19</f>
        <v>77.087999999999994</v>
      </c>
      <c r="Y53" s="341" t="s">
        <v>1561</v>
      </c>
    </row>
    <row r="54" spans="1:26" x14ac:dyDescent="0.2">
      <c r="A54">
        <v>23</v>
      </c>
      <c r="B54" s="602">
        <v>14.860804</v>
      </c>
      <c r="C54" s="602">
        <v>26.901827999999998</v>
      </c>
      <c r="D54" s="602">
        <v>19.003537999999999</v>
      </c>
      <c r="E54" s="602">
        <v>4.1427329999999998</v>
      </c>
      <c r="F54" s="602">
        <v>36.677312999999998</v>
      </c>
      <c r="G54" s="602" t="s">
        <v>1786</v>
      </c>
      <c r="H54" s="862">
        <v>2006</v>
      </c>
      <c r="I54" s="592">
        <f>$G$20</f>
        <v>0</v>
      </c>
      <c r="J54" s="592">
        <f>$H$20</f>
        <v>93.192000000000007</v>
      </c>
      <c r="Y54" s="775"/>
    </row>
    <row r="55" spans="1:26" x14ac:dyDescent="0.2">
      <c r="A55">
        <v>24</v>
      </c>
      <c r="B55" s="602">
        <v>451.82831499999998</v>
      </c>
      <c r="C55" s="602">
        <v>798.50245299999995</v>
      </c>
      <c r="D55" s="602">
        <v>574.50809600000002</v>
      </c>
      <c r="E55" s="602">
        <v>122.67978100000001</v>
      </c>
      <c r="F55" s="602">
        <v>1052.160605</v>
      </c>
      <c r="G55" s="602" t="s">
        <v>1787</v>
      </c>
      <c r="H55" s="862">
        <v>1995</v>
      </c>
      <c r="I55" s="592">
        <f>$G$9</f>
        <v>0</v>
      </c>
      <c r="J55" s="592">
        <f>$H$9</f>
        <v>0</v>
      </c>
      <c r="Y55" s="589" t="s">
        <v>695</v>
      </c>
      <c r="Z55" s="589" t="s">
        <v>1560</v>
      </c>
    </row>
    <row r="56" spans="1:26" x14ac:dyDescent="0.2">
      <c r="A56">
        <v>25</v>
      </c>
      <c r="B56" s="602">
        <v>483.54635300000001</v>
      </c>
      <c r="C56" s="602">
        <v>858.15094999999997</v>
      </c>
      <c r="D56" s="602">
        <v>615.36924899999997</v>
      </c>
      <c r="E56" s="602">
        <v>131.82289700000001</v>
      </c>
      <c r="F56" s="602">
        <v>1136.7692910000001</v>
      </c>
      <c r="G56" s="602" t="s">
        <v>1787</v>
      </c>
      <c r="H56" s="862">
        <v>1996</v>
      </c>
      <c r="I56" s="592">
        <f>$G$10</f>
        <v>266.64</v>
      </c>
      <c r="J56" s="592">
        <f>$H$10</f>
        <v>69.167999999999992</v>
      </c>
      <c r="Y56" s="725">
        <v>1</v>
      </c>
      <c r="Z56" s="725">
        <v>1</v>
      </c>
    </row>
    <row r="57" spans="1:26" x14ac:dyDescent="0.2">
      <c r="A57">
        <v>26</v>
      </c>
      <c r="B57" s="602">
        <v>486.937656</v>
      </c>
      <c r="C57" s="602">
        <v>864.44274700000005</v>
      </c>
      <c r="D57" s="602">
        <v>619.72449800000004</v>
      </c>
      <c r="E57" s="602">
        <v>132.78684200000001</v>
      </c>
      <c r="F57" s="602">
        <v>1145.7135020000001</v>
      </c>
      <c r="G57" s="602" t="s">
        <v>1787</v>
      </c>
      <c r="H57" s="862">
        <v>1997</v>
      </c>
      <c r="I57" s="592">
        <f>$G$11</f>
        <v>479.16</v>
      </c>
      <c r="J57" s="592">
        <f>$H$11</f>
        <v>76.823999999999998</v>
      </c>
      <c r="Y57" s="725">
        <v>500</v>
      </c>
      <c r="Z57" s="725">
        <v>500</v>
      </c>
    </row>
    <row r="58" spans="1:26" x14ac:dyDescent="0.2">
      <c r="A58">
        <v>27</v>
      </c>
      <c r="B58" s="602">
        <v>205.303808</v>
      </c>
      <c r="C58" s="602">
        <v>378.89994200000001</v>
      </c>
      <c r="D58" s="602">
        <v>263.56346000000002</v>
      </c>
      <c r="E58" s="602">
        <v>58.259652000000003</v>
      </c>
      <c r="F58" s="602">
        <v>526.17336299999999</v>
      </c>
      <c r="G58" s="602" t="s">
        <v>1787</v>
      </c>
      <c r="H58" s="862">
        <v>1998</v>
      </c>
      <c r="I58" s="592">
        <f>$G$12</f>
        <v>732.6</v>
      </c>
      <c r="J58" s="592">
        <f>$H$12</f>
        <v>99</v>
      </c>
    </row>
    <row r="59" spans="1:26" x14ac:dyDescent="0.2">
      <c r="A59">
        <v>28</v>
      </c>
      <c r="B59" s="602">
        <v>112.23840800000001</v>
      </c>
      <c r="C59" s="602">
        <v>204.163343</v>
      </c>
      <c r="D59" s="602">
        <v>143.69766899999999</v>
      </c>
      <c r="E59" s="602">
        <v>31.459261000000001</v>
      </c>
      <c r="F59" s="602">
        <v>277.99018999999998</v>
      </c>
      <c r="G59" s="602" t="s">
        <v>1787</v>
      </c>
      <c r="H59" s="862">
        <v>1999</v>
      </c>
      <c r="I59" s="592">
        <f>$G$13</f>
        <v>297</v>
      </c>
      <c r="J59" s="592">
        <f>$H$13</f>
        <v>103.488</v>
      </c>
      <c r="Y59" s="589" t="s">
        <v>695</v>
      </c>
      <c r="Z59" s="589" t="s">
        <v>1560</v>
      </c>
    </row>
    <row r="60" spans="1:26" x14ac:dyDescent="0.2">
      <c r="A60">
        <v>29</v>
      </c>
      <c r="B60" s="602">
        <v>116.212833</v>
      </c>
      <c r="C60" s="602">
        <v>209.856055</v>
      </c>
      <c r="D60" s="602">
        <v>148.43367000000001</v>
      </c>
      <c r="E60" s="602">
        <v>32.220837000000003</v>
      </c>
      <c r="F60" s="602">
        <v>283.73016100000001</v>
      </c>
      <c r="G60" s="602" t="s">
        <v>1787</v>
      </c>
      <c r="H60" s="862">
        <v>2000</v>
      </c>
      <c r="I60" s="592">
        <f>$G$14</f>
        <v>158.4</v>
      </c>
      <c r="J60" s="592">
        <f>$H$14</f>
        <v>35.375999999999998</v>
      </c>
      <c r="Y60" s="725">
        <v>0</v>
      </c>
      <c r="Z60" s="725">
        <v>100</v>
      </c>
    </row>
    <row r="61" spans="1:26" x14ac:dyDescent="0.2">
      <c r="A61">
        <v>30</v>
      </c>
      <c r="B61" s="602">
        <v>50.657566000000003</v>
      </c>
      <c r="C61" s="602">
        <v>94.969593000000003</v>
      </c>
      <c r="D61" s="602">
        <v>65.263372000000004</v>
      </c>
      <c r="E61" s="602">
        <v>14.605805999999999</v>
      </c>
      <c r="F61" s="602">
        <v>134.13817499999999</v>
      </c>
      <c r="G61" s="602" t="s">
        <v>1787</v>
      </c>
      <c r="H61" s="862">
        <v>2001</v>
      </c>
      <c r="I61" s="592">
        <f>$G$15</f>
        <v>103.752</v>
      </c>
      <c r="J61" s="592">
        <f>$H$15</f>
        <v>95.567999999999998</v>
      </c>
      <c r="Y61" s="725">
        <v>500</v>
      </c>
      <c r="Z61" s="725">
        <v>600</v>
      </c>
    </row>
    <row r="62" spans="1:26" x14ac:dyDescent="0.2">
      <c r="A62">
        <v>31</v>
      </c>
      <c r="B62" s="602">
        <v>14.555493999999999</v>
      </c>
      <c r="C62" s="602">
        <v>26.975698999999999</v>
      </c>
      <c r="D62" s="602">
        <v>18.77637</v>
      </c>
      <c r="E62" s="602">
        <v>4.2208750000000004</v>
      </c>
      <c r="F62" s="602">
        <v>37.341560999999999</v>
      </c>
      <c r="G62" s="602" t="s">
        <v>1787</v>
      </c>
      <c r="H62" s="862">
        <v>2002</v>
      </c>
      <c r="I62" s="592">
        <f>$G$16</f>
        <v>29.832000000000001</v>
      </c>
      <c r="J62" s="592">
        <f>$H$16</f>
        <v>55.175999999999995</v>
      </c>
    </row>
    <row r="63" spans="1:26" x14ac:dyDescent="0.2">
      <c r="A63">
        <v>32</v>
      </c>
      <c r="B63" s="602">
        <v>9.7807519999999997</v>
      </c>
      <c r="C63" s="602">
        <v>17.641732999999999</v>
      </c>
      <c r="D63" s="602">
        <v>12.533552</v>
      </c>
      <c r="E63" s="602">
        <v>2.7528000000000001</v>
      </c>
      <c r="F63" s="602">
        <v>23.767310999999999</v>
      </c>
      <c r="G63" s="602" t="s">
        <v>1787</v>
      </c>
      <c r="H63" s="862">
        <v>2003</v>
      </c>
      <c r="I63" s="592">
        <f>$G$17</f>
        <v>88.175999999999988</v>
      </c>
      <c r="J63" s="592">
        <f>$H$17</f>
        <v>73.128</v>
      </c>
      <c r="Y63" s="589" t="s">
        <v>695</v>
      </c>
      <c r="Z63" s="589" t="s">
        <v>1560</v>
      </c>
    </row>
    <row r="64" spans="1:26" x14ac:dyDescent="0.2">
      <c r="A64">
        <v>33</v>
      </c>
      <c r="B64" s="602">
        <v>12.396929999999999</v>
      </c>
      <c r="C64" s="602">
        <v>21.883568</v>
      </c>
      <c r="D64" s="602">
        <v>15.785135</v>
      </c>
      <c r="E64" s="602">
        <v>3.3882050000000001</v>
      </c>
      <c r="F64" s="602">
        <v>28.819524999999999</v>
      </c>
      <c r="G64" s="602" t="s">
        <v>1787</v>
      </c>
      <c r="H64" s="862">
        <v>2004</v>
      </c>
      <c r="I64" s="592">
        <f>$G$18</f>
        <v>135.96</v>
      </c>
      <c r="J64" s="592">
        <f>$H$18</f>
        <v>64.152000000000001</v>
      </c>
      <c r="Y64" s="725">
        <v>100</v>
      </c>
      <c r="Z64" s="725">
        <v>0</v>
      </c>
    </row>
    <row r="65" spans="1:26" x14ac:dyDescent="0.2">
      <c r="A65">
        <v>34</v>
      </c>
      <c r="B65" s="602">
        <v>20.042465</v>
      </c>
      <c r="C65" s="602">
        <v>35.26294</v>
      </c>
      <c r="D65" s="602">
        <v>25.476337000000001</v>
      </c>
      <c r="E65" s="602">
        <v>5.433872</v>
      </c>
      <c r="F65" s="602">
        <v>46.298307000000001</v>
      </c>
      <c r="G65" s="602" t="s">
        <v>1787</v>
      </c>
      <c r="H65" s="862">
        <v>2005</v>
      </c>
      <c r="I65" s="592">
        <f>$G$19</f>
        <v>106.39200000000001</v>
      </c>
      <c r="J65" s="592">
        <f>$H$19</f>
        <v>77.087999999999994</v>
      </c>
      <c r="Y65" s="725">
        <v>500</v>
      </c>
      <c r="Z65" s="725">
        <v>400</v>
      </c>
    </row>
    <row r="66" spans="1:26" x14ac:dyDescent="0.2">
      <c r="A66">
        <v>35</v>
      </c>
      <c r="B66" s="602">
        <v>29.050657000000001</v>
      </c>
      <c r="C66" s="602">
        <v>51.199866999999998</v>
      </c>
      <c r="D66" s="602">
        <v>36.926257999999997</v>
      </c>
      <c r="E66" s="602">
        <v>7.8756009999999996</v>
      </c>
      <c r="F66" s="602">
        <v>67.361456000000004</v>
      </c>
      <c r="G66" s="602" t="s">
        <v>1787</v>
      </c>
      <c r="H66" s="862">
        <v>2006</v>
      </c>
      <c r="I66" s="592">
        <f>$G$20</f>
        <v>0</v>
      </c>
      <c r="J66" s="592">
        <f>$H$20</f>
        <v>93.192000000000007</v>
      </c>
    </row>
    <row r="67" spans="1:26" x14ac:dyDescent="0.2">
      <c r="A67">
        <v>36</v>
      </c>
      <c r="B67" s="602">
        <v>101.19334600000001</v>
      </c>
      <c r="C67" s="602">
        <v>178.01938100000001</v>
      </c>
      <c r="D67" s="602">
        <v>128.59358599999999</v>
      </c>
      <c r="E67" s="602">
        <v>27.40024</v>
      </c>
      <c r="F67" s="602">
        <v>232.58736400000001</v>
      </c>
      <c r="G67" s="602" t="s">
        <v>1788</v>
      </c>
      <c r="H67" s="862">
        <v>1995</v>
      </c>
      <c r="I67" s="592">
        <f>$G$9</f>
        <v>0</v>
      </c>
      <c r="J67" s="592">
        <f>$H$9</f>
        <v>0</v>
      </c>
      <c r="Y67" s="589" t="s">
        <v>695</v>
      </c>
      <c r="Z67" s="589" t="s">
        <v>1560</v>
      </c>
    </row>
    <row r="68" spans="1:26" x14ac:dyDescent="0.2">
      <c r="A68">
        <v>37</v>
      </c>
      <c r="B68" s="602">
        <v>111.056827</v>
      </c>
      <c r="C68" s="602">
        <v>195.75988100000001</v>
      </c>
      <c r="D68" s="602">
        <v>141.18990099999999</v>
      </c>
      <c r="E68" s="602">
        <v>30.133074000000001</v>
      </c>
      <c r="F68" s="602">
        <v>256.45738899999998</v>
      </c>
      <c r="G68" s="602" t="s">
        <v>1788</v>
      </c>
      <c r="H68" s="862">
        <v>1996</v>
      </c>
      <c r="I68" s="592">
        <f>$G$10</f>
        <v>266.64</v>
      </c>
      <c r="J68" s="592">
        <f>$H$10</f>
        <v>69.167999999999992</v>
      </c>
      <c r="Y68" s="807">
        <v>0</v>
      </c>
      <c r="Z68" s="807">
        <v>10</v>
      </c>
    </row>
    <row r="69" spans="1:26" x14ac:dyDescent="0.2">
      <c r="A69">
        <v>38</v>
      </c>
      <c r="B69" s="602">
        <v>114.89183</v>
      </c>
      <c r="C69" s="602">
        <v>202.655045</v>
      </c>
      <c r="D69" s="602">
        <v>146.09271899999999</v>
      </c>
      <c r="E69" s="602">
        <v>31.200890000000001</v>
      </c>
      <c r="F69" s="602">
        <v>265.69032499999997</v>
      </c>
      <c r="G69" s="602" t="s">
        <v>1788</v>
      </c>
      <c r="H69" s="862">
        <v>1997</v>
      </c>
      <c r="I69" s="592">
        <f>$G$11</f>
        <v>479.16</v>
      </c>
      <c r="J69" s="592">
        <f>$H$11</f>
        <v>76.823999999999998</v>
      </c>
      <c r="Y69" s="807">
        <v>50</v>
      </c>
      <c r="Z69" s="807">
        <v>60</v>
      </c>
    </row>
    <row r="70" spans="1:26" x14ac:dyDescent="0.2">
      <c r="A70">
        <v>39</v>
      </c>
      <c r="B70" s="602">
        <v>76.369207000000003</v>
      </c>
      <c r="C70" s="602">
        <v>136.685598</v>
      </c>
      <c r="D70" s="602">
        <v>97.396889999999999</v>
      </c>
      <c r="E70" s="602">
        <v>21.027683</v>
      </c>
      <c r="F70" s="602">
        <v>182.709</v>
      </c>
      <c r="G70" s="602" t="s">
        <v>1788</v>
      </c>
      <c r="H70" s="862">
        <v>1998</v>
      </c>
      <c r="I70" s="592">
        <f>$G$12</f>
        <v>732.6</v>
      </c>
      <c r="J70" s="592">
        <f>$H$12</f>
        <v>99</v>
      </c>
    </row>
    <row r="71" spans="1:26" x14ac:dyDescent="0.2">
      <c r="A71">
        <v>40</v>
      </c>
      <c r="B71" s="602">
        <v>46.918447999999998</v>
      </c>
      <c r="C71" s="602">
        <v>84.037397999999996</v>
      </c>
      <c r="D71" s="602">
        <v>59.873382999999997</v>
      </c>
      <c r="E71" s="602">
        <v>12.954935000000001</v>
      </c>
      <c r="F71" s="602">
        <v>112.294156</v>
      </c>
      <c r="G71" s="602" t="s">
        <v>1788</v>
      </c>
      <c r="H71" s="862">
        <v>1999</v>
      </c>
      <c r="I71" s="592">
        <f>$G$13</f>
        <v>297</v>
      </c>
      <c r="J71" s="592">
        <f>$H$13</f>
        <v>103.488</v>
      </c>
      <c r="Y71" s="589" t="s">
        <v>695</v>
      </c>
      <c r="Z71" s="589" t="s">
        <v>1560</v>
      </c>
    </row>
    <row r="72" spans="1:26" x14ac:dyDescent="0.2">
      <c r="A72">
        <v>41</v>
      </c>
      <c r="B72" s="602">
        <v>36.703501000000003</v>
      </c>
      <c r="C72" s="602">
        <v>65.751424999999998</v>
      </c>
      <c r="D72" s="602">
        <v>46.840857999999997</v>
      </c>
      <c r="E72" s="602">
        <v>10.137357</v>
      </c>
      <c r="F72" s="602">
        <v>87.866400999999996</v>
      </c>
      <c r="G72" s="602" t="s">
        <v>1788</v>
      </c>
      <c r="H72" s="862">
        <v>2000</v>
      </c>
      <c r="I72" s="592">
        <f>$G$14</f>
        <v>158.4</v>
      </c>
      <c r="J72" s="592">
        <f>$H$14</f>
        <v>35.375999999999998</v>
      </c>
      <c r="Y72" s="807">
        <v>10</v>
      </c>
      <c r="Z72" s="807">
        <v>0</v>
      </c>
    </row>
    <row r="73" spans="1:26" x14ac:dyDescent="0.2">
      <c r="A73">
        <v>42</v>
      </c>
      <c r="B73" s="602">
        <v>21.594940000000001</v>
      </c>
      <c r="C73" s="602">
        <v>39.054367999999997</v>
      </c>
      <c r="D73" s="602">
        <v>27.624638999999998</v>
      </c>
      <c r="E73" s="602">
        <v>6.0297000000000001</v>
      </c>
      <c r="F73" s="602">
        <v>52.869211999999997</v>
      </c>
      <c r="G73" s="602" t="s">
        <v>1788</v>
      </c>
      <c r="H73" s="862">
        <v>2001</v>
      </c>
      <c r="I73" s="592">
        <f>$G$15</f>
        <v>103.752</v>
      </c>
      <c r="J73" s="592">
        <f>$H$15</f>
        <v>95.567999999999998</v>
      </c>
      <c r="Y73" s="807">
        <v>50</v>
      </c>
      <c r="Z73" s="807">
        <v>40</v>
      </c>
    </row>
    <row r="74" spans="1:26" x14ac:dyDescent="0.2">
      <c r="A74">
        <v>43</v>
      </c>
      <c r="B74" s="602">
        <v>9.6633720000000007</v>
      </c>
      <c r="C74" s="602">
        <v>17.360963000000002</v>
      </c>
      <c r="D74" s="602">
        <v>12.360196999999999</v>
      </c>
      <c r="E74" s="602">
        <v>2.6968260000000002</v>
      </c>
      <c r="F74" s="602">
        <v>23.310331999999999</v>
      </c>
      <c r="G74" s="602" t="s">
        <v>1788</v>
      </c>
      <c r="H74" s="862">
        <v>2002</v>
      </c>
      <c r="I74" s="592">
        <f>$G$16</f>
        <v>29.832000000000001</v>
      </c>
      <c r="J74" s="592">
        <f>$H$16</f>
        <v>55.175999999999995</v>
      </c>
    </row>
    <row r="75" spans="1:26" x14ac:dyDescent="0.2">
      <c r="A75">
        <v>44</v>
      </c>
      <c r="B75" s="602">
        <v>5.5156919999999996</v>
      </c>
      <c r="C75" s="602">
        <v>9.8291079999999997</v>
      </c>
      <c r="D75" s="602">
        <v>7.0490110000000001</v>
      </c>
      <c r="E75" s="602">
        <v>1.533318</v>
      </c>
      <c r="F75" s="602">
        <v>13.104597999999999</v>
      </c>
      <c r="G75" s="602" t="s">
        <v>1788</v>
      </c>
      <c r="H75" s="862">
        <v>2003</v>
      </c>
      <c r="I75" s="592">
        <f>$G$17</f>
        <v>88.175999999999988</v>
      </c>
      <c r="J75" s="592">
        <f>$H$17</f>
        <v>73.128</v>
      </c>
    </row>
    <row r="76" spans="1:26" x14ac:dyDescent="0.2">
      <c r="A76">
        <v>45</v>
      </c>
      <c r="B76" s="602">
        <v>4.2698739999999997</v>
      </c>
      <c r="C76" s="602">
        <v>7.5191059999999998</v>
      </c>
      <c r="D76" s="602">
        <v>5.4432910000000003</v>
      </c>
      <c r="E76" s="602">
        <v>1.1734180000000001</v>
      </c>
      <c r="F76" s="602">
        <v>9.9204679999999996</v>
      </c>
      <c r="G76" s="602" t="s">
        <v>1788</v>
      </c>
      <c r="H76" s="862">
        <v>2004</v>
      </c>
      <c r="I76" s="592">
        <f>$G$18</f>
        <v>135.96</v>
      </c>
      <c r="J76" s="592">
        <f>$H$18</f>
        <v>64.152000000000001</v>
      </c>
    </row>
    <row r="77" spans="1:26" x14ac:dyDescent="0.2">
      <c r="A77">
        <v>46</v>
      </c>
      <c r="B77" s="602">
        <v>4.8943820000000002</v>
      </c>
      <c r="C77" s="602">
        <v>8.5594439999999992</v>
      </c>
      <c r="D77" s="602">
        <v>6.2246860000000002</v>
      </c>
      <c r="E77" s="602">
        <v>1.3303039999999999</v>
      </c>
      <c r="F77" s="602">
        <v>11.204321999999999</v>
      </c>
      <c r="G77" s="602" t="s">
        <v>1788</v>
      </c>
      <c r="H77" s="862">
        <v>2005</v>
      </c>
      <c r="I77" s="592">
        <f>$G$19</f>
        <v>106.39200000000001</v>
      </c>
      <c r="J77" s="592">
        <f>$H$19</f>
        <v>77.087999999999994</v>
      </c>
    </row>
    <row r="78" spans="1:26" x14ac:dyDescent="0.2">
      <c r="A78">
        <v>47</v>
      </c>
      <c r="B78" s="602">
        <v>6.4124249999999998</v>
      </c>
      <c r="C78" s="602">
        <v>11.207072999999999</v>
      </c>
      <c r="D78" s="602">
        <v>8.1478950000000001</v>
      </c>
      <c r="E78" s="602">
        <v>1.735471</v>
      </c>
      <c r="F78" s="602">
        <v>14.63725</v>
      </c>
      <c r="G78" s="602" t="s">
        <v>1788</v>
      </c>
      <c r="H78" s="862">
        <v>2006</v>
      </c>
      <c r="I78" s="592">
        <f>$G$20</f>
        <v>0</v>
      </c>
      <c r="J78" s="592">
        <f>$H$20</f>
        <v>93.192000000000007</v>
      </c>
    </row>
    <row r="79" spans="1:26" x14ac:dyDescent="0.2">
      <c r="A79">
        <v>48</v>
      </c>
      <c r="B79" s="602">
        <v>425.82169499999998</v>
      </c>
      <c r="C79" s="602">
        <v>749.97653600000001</v>
      </c>
      <c r="D79" s="602">
        <v>541.18741399999999</v>
      </c>
      <c r="E79" s="602">
        <v>115.365719</v>
      </c>
      <c r="F79" s="602">
        <v>983.653638</v>
      </c>
      <c r="G79" s="602" t="s">
        <v>1789</v>
      </c>
      <c r="H79" s="602">
        <v>1995</v>
      </c>
    </row>
    <row r="80" spans="1:26" x14ac:dyDescent="0.2">
      <c r="A80">
        <v>49</v>
      </c>
      <c r="B80" s="602">
        <v>453.99935499999998</v>
      </c>
      <c r="C80" s="602">
        <v>802.84237900000005</v>
      </c>
      <c r="D80" s="602">
        <v>577.38221499999997</v>
      </c>
      <c r="E80" s="602">
        <v>123.38285999999999</v>
      </c>
      <c r="F80" s="602">
        <v>1058.598375</v>
      </c>
      <c r="G80" s="602" t="s">
        <v>1789</v>
      </c>
      <c r="H80" s="602">
        <v>1996</v>
      </c>
    </row>
    <row r="81" spans="1:8" x14ac:dyDescent="0.2">
      <c r="A81">
        <v>50</v>
      </c>
      <c r="B81" s="602">
        <v>456.84389299999998</v>
      </c>
      <c r="C81" s="602">
        <v>808.15302699999995</v>
      </c>
      <c r="D81" s="602">
        <v>581.107215</v>
      </c>
      <c r="E81" s="602">
        <v>124.263322</v>
      </c>
      <c r="F81" s="602">
        <v>1066.1939319999999</v>
      </c>
      <c r="G81" s="602" t="s">
        <v>1789</v>
      </c>
      <c r="H81" s="602">
        <v>1997</v>
      </c>
    </row>
    <row r="82" spans="1:8" x14ac:dyDescent="0.2">
      <c r="A82">
        <v>51</v>
      </c>
      <c r="B82" s="602">
        <v>175.10621900000001</v>
      </c>
      <c r="C82" s="602">
        <v>322.34650799999997</v>
      </c>
      <c r="D82" s="602">
        <v>224.74220199999999</v>
      </c>
      <c r="E82" s="602">
        <v>49.635983000000003</v>
      </c>
      <c r="F82" s="602">
        <v>446.21812399999999</v>
      </c>
      <c r="G82" s="602" t="s">
        <v>1789</v>
      </c>
      <c r="H82" s="602">
        <v>1998</v>
      </c>
    </row>
    <row r="83" spans="1:8" x14ac:dyDescent="0.2">
      <c r="A83">
        <v>52</v>
      </c>
      <c r="B83" s="602">
        <v>81.841700000000003</v>
      </c>
      <c r="C83" s="602">
        <v>147.28606600000001</v>
      </c>
      <c r="D83" s="602">
        <v>104.64236699999999</v>
      </c>
      <c r="E83" s="602">
        <v>22.800666</v>
      </c>
      <c r="F83" s="602">
        <v>197.514906</v>
      </c>
      <c r="G83" s="602" t="s">
        <v>1789</v>
      </c>
      <c r="H83" s="602">
        <v>1999</v>
      </c>
    </row>
    <row r="84" spans="1:8" x14ac:dyDescent="0.2">
      <c r="A84">
        <v>53</v>
      </c>
      <c r="B84" s="602">
        <v>83.233054999999993</v>
      </c>
      <c r="C84" s="602">
        <v>148.12322900000001</v>
      </c>
      <c r="D84" s="602">
        <v>106.080432</v>
      </c>
      <c r="E84" s="602">
        <v>22.847376000000001</v>
      </c>
      <c r="F84" s="602">
        <v>196.378761</v>
      </c>
      <c r="G84" s="602" t="s">
        <v>1789</v>
      </c>
      <c r="H84" s="602">
        <v>2000</v>
      </c>
    </row>
    <row r="85" spans="1:8" x14ac:dyDescent="0.2">
      <c r="A85">
        <v>54</v>
      </c>
      <c r="B85" s="602">
        <v>28.993231000000002</v>
      </c>
      <c r="C85" s="602">
        <v>54.271633999999999</v>
      </c>
      <c r="D85" s="602">
        <v>37.385402999999997</v>
      </c>
      <c r="E85" s="602">
        <v>8.3921720000000004</v>
      </c>
      <c r="F85" s="602">
        <v>76.405950000000004</v>
      </c>
      <c r="G85" s="602" t="s">
        <v>1789</v>
      </c>
      <c r="H85" s="602">
        <v>2001</v>
      </c>
    </row>
    <row r="86" spans="1:8" x14ac:dyDescent="0.2">
      <c r="A86">
        <v>55</v>
      </c>
      <c r="B86" s="602">
        <v>9.0519610000000004</v>
      </c>
      <c r="C86" s="602">
        <v>16.516776</v>
      </c>
      <c r="D86" s="602">
        <v>11.643742</v>
      </c>
      <c r="E86" s="602">
        <v>2.5917810000000001</v>
      </c>
      <c r="F86" s="602">
        <v>22.381609999999998</v>
      </c>
      <c r="G86" s="602" t="s">
        <v>1789</v>
      </c>
      <c r="H86" s="602">
        <v>2002</v>
      </c>
    </row>
    <row r="87" spans="1:8" x14ac:dyDescent="0.2">
      <c r="A87">
        <v>56</v>
      </c>
      <c r="B87" s="602">
        <v>7.5441510000000003</v>
      </c>
      <c r="C87" s="602">
        <v>13.489352999999999</v>
      </c>
      <c r="D87" s="602">
        <v>9.6437249999999999</v>
      </c>
      <c r="E87" s="602">
        <v>2.0995729999999999</v>
      </c>
      <c r="F87" s="602">
        <v>17.948650000000001</v>
      </c>
      <c r="G87" s="602" t="s">
        <v>1789</v>
      </c>
      <c r="H87" s="602">
        <v>2003</v>
      </c>
    </row>
    <row r="88" spans="1:8" x14ac:dyDescent="0.2">
      <c r="A88">
        <v>57</v>
      </c>
      <c r="B88" s="602">
        <v>11.496478</v>
      </c>
      <c r="C88" s="602">
        <v>20.215896000000001</v>
      </c>
      <c r="D88" s="602">
        <v>14.618527</v>
      </c>
      <c r="E88" s="602">
        <v>3.1220490000000001</v>
      </c>
      <c r="F88" s="602">
        <v>26.460913999999999</v>
      </c>
      <c r="G88" s="602" t="s">
        <v>1789</v>
      </c>
      <c r="H88" s="602">
        <v>2004</v>
      </c>
    </row>
    <row r="89" spans="1:8" x14ac:dyDescent="0.2">
      <c r="A89">
        <v>58</v>
      </c>
      <c r="B89" s="602">
        <v>19.243234000000001</v>
      </c>
      <c r="C89" s="602">
        <v>33.790171000000001</v>
      </c>
      <c r="D89" s="602">
        <v>24.443459000000001</v>
      </c>
      <c r="E89" s="602">
        <v>5.2002249999999997</v>
      </c>
      <c r="F89" s="602">
        <v>44.193995999999999</v>
      </c>
      <c r="G89" s="602" t="s">
        <v>1789</v>
      </c>
      <c r="H89" s="602">
        <v>2005</v>
      </c>
    </row>
    <row r="90" spans="1:8" x14ac:dyDescent="0.2">
      <c r="A90">
        <v>59</v>
      </c>
      <c r="B90" s="602">
        <v>28.171346</v>
      </c>
      <c r="C90" s="602">
        <v>49.554414000000001</v>
      </c>
      <c r="D90" s="602">
        <v>35.790579000000001</v>
      </c>
      <c r="E90" s="602">
        <v>7.6192330000000004</v>
      </c>
      <c r="F90" s="602">
        <v>64.983138999999994</v>
      </c>
      <c r="G90" s="602" t="s">
        <v>1789</v>
      </c>
      <c r="H90" s="602">
        <v>2006</v>
      </c>
    </row>
    <row r="91" spans="1:8" x14ac:dyDescent="0.2">
      <c r="A91">
        <v>60</v>
      </c>
      <c r="B91" s="602">
        <v>95.697094000000007</v>
      </c>
      <c r="C91" s="602">
        <v>167.85772299999999</v>
      </c>
      <c r="D91" s="602">
        <v>121.55110999999999</v>
      </c>
      <c r="E91" s="602">
        <v>25.854016000000001</v>
      </c>
      <c r="F91" s="602">
        <v>218.35218599999999</v>
      </c>
      <c r="G91" s="602" t="s">
        <v>1790</v>
      </c>
      <c r="H91" s="602">
        <v>1995</v>
      </c>
    </row>
    <row r="92" spans="1:8" x14ac:dyDescent="0.2">
      <c r="A92">
        <v>61</v>
      </c>
      <c r="B92" s="602">
        <v>104.830611</v>
      </c>
      <c r="C92" s="602">
        <v>184.21521899999999</v>
      </c>
      <c r="D92" s="602">
        <v>133.20658800000001</v>
      </c>
      <c r="E92" s="602">
        <v>28.375976999999999</v>
      </c>
      <c r="F92" s="602">
        <v>240.22877299999999</v>
      </c>
      <c r="G92" s="602" t="s">
        <v>1790</v>
      </c>
      <c r="H92" s="602">
        <v>1996</v>
      </c>
    </row>
    <row r="93" spans="1:8" x14ac:dyDescent="0.2">
      <c r="A93">
        <v>62</v>
      </c>
      <c r="B93" s="602">
        <v>108.621285</v>
      </c>
      <c r="C93" s="602">
        <v>190.95679799999999</v>
      </c>
      <c r="D93" s="602">
        <v>138.023437</v>
      </c>
      <c r="E93" s="602">
        <v>29.402152000000001</v>
      </c>
      <c r="F93" s="602">
        <v>249.21104600000001</v>
      </c>
      <c r="G93" s="602" t="s">
        <v>1790</v>
      </c>
      <c r="H93" s="602">
        <v>1997</v>
      </c>
    </row>
    <row r="94" spans="1:8" x14ac:dyDescent="0.2">
      <c r="A94">
        <v>63</v>
      </c>
      <c r="B94" s="602">
        <v>70.001902000000001</v>
      </c>
      <c r="C94" s="602">
        <v>124.86508499999999</v>
      </c>
      <c r="D94" s="602">
        <v>89.237998000000005</v>
      </c>
      <c r="E94" s="602">
        <v>19.236096</v>
      </c>
      <c r="F94" s="602">
        <v>166.08293800000001</v>
      </c>
      <c r="G94" s="602" t="s">
        <v>1790</v>
      </c>
      <c r="H94" s="602">
        <v>1998</v>
      </c>
    </row>
    <row r="95" spans="1:8" x14ac:dyDescent="0.2">
      <c r="A95">
        <v>64</v>
      </c>
      <c r="B95" s="602">
        <v>40.567698999999998</v>
      </c>
      <c r="C95" s="602">
        <v>72.194024999999996</v>
      </c>
      <c r="D95" s="602">
        <v>51.705604000000001</v>
      </c>
      <c r="E95" s="602">
        <v>11.137905</v>
      </c>
      <c r="F95" s="602">
        <v>95.620147000000003</v>
      </c>
      <c r="G95" s="602" t="s">
        <v>1790</v>
      </c>
      <c r="H95" s="602">
        <v>1999</v>
      </c>
    </row>
    <row r="96" spans="1:8" x14ac:dyDescent="0.2">
      <c r="A96">
        <v>65</v>
      </c>
      <c r="B96" s="602">
        <v>29.796278000000001</v>
      </c>
      <c r="C96" s="602">
        <v>52.873640000000002</v>
      </c>
      <c r="D96" s="602">
        <v>37.958216999999998</v>
      </c>
      <c r="E96" s="602">
        <v>8.1619390000000003</v>
      </c>
      <c r="F96" s="602">
        <v>69.748688000000001</v>
      </c>
      <c r="G96" s="602" t="s">
        <v>1790</v>
      </c>
      <c r="H96" s="602">
        <v>2000</v>
      </c>
    </row>
    <row r="97" spans="1:8" x14ac:dyDescent="0.2">
      <c r="A97">
        <v>66</v>
      </c>
      <c r="B97" s="602">
        <v>17.001189</v>
      </c>
      <c r="C97" s="602">
        <v>30.495608000000001</v>
      </c>
      <c r="D97" s="602">
        <v>21.714970999999998</v>
      </c>
      <c r="E97" s="602">
        <v>4.7137820000000001</v>
      </c>
      <c r="F97" s="602">
        <v>40.798457999999997</v>
      </c>
      <c r="G97" s="602" t="s">
        <v>1790</v>
      </c>
      <c r="H97" s="602">
        <v>2001</v>
      </c>
    </row>
    <row r="98" spans="1:8" x14ac:dyDescent="0.2">
      <c r="A98">
        <v>67</v>
      </c>
      <c r="B98" s="602">
        <v>8.4284459999999992</v>
      </c>
      <c r="C98" s="602">
        <v>15.067238</v>
      </c>
      <c r="D98" s="602">
        <v>10.765180000000001</v>
      </c>
      <c r="E98" s="602">
        <v>2.3367339999999999</v>
      </c>
      <c r="F98" s="602">
        <v>20.053664000000001</v>
      </c>
      <c r="G98" s="602" t="s">
        <v>1790</v>
      </c>
      <c r="H98" s="602">
        <v>2002</v>
      </c>
    </row>
    <row r="99" spans="1:8" x14ac:dyDescent="0.2">
      <c r="A99">
        <v>68</v>
      </c>
      <c r="B99" s="602">
        <v>5.019139</v>
      </c>
      <c r="C99" s="602">
        <v>8.9344040000000007</v>
      </c>
      <c r="D99" s="602">
        <v>6.4075620000000004</v>
      </c>
      <c r="E99" s="602">
        <v>1.388423</v>
      </c>
      <c r="F99" s="602">
        <v>11.844435000000001</v>
      </c>
      <c r="G99" s="602" t="s">
        <v>1790</v>
      </c>
      <c r="H99" s="602">
        <v>2003</v>
      </c>
    </row>
    <row r="100" spans="1:8" x14ac:dyDescent="0.2">
      <c r="A100">
        <v>69</v>
      </c>
      <c r="B100" s="602">
        <v>4.0582469999999997</v>
      </c>
      <c r="C100" s="602">
        <v>7.1555289999999996</v>
      </c>
      <c r="D100" s="602">
        <v>5.1687890000000003</v>
      </c>
      <c r="E100" s="602">
        <v>1.1105430000000001</v>
      </c>
      <c r="F100" s="602">
        <v>9.3955110000000008</v>
      </c>
      <c r="G100" s="602" t="s">
        <v>1790</v>
      </c>
      <c r="H100" s="602">
        <v>2004</v>
      </c>
    </row>
    <row r="101" spans="1:8" x14ac:dyDescent="0.2">
      <c r="A101">
        <v>70</v>
      </c>
      <c r="B101" s="602">
        <v>4.7083979999999999</v>
      </c>
      <c r="C101" s="602">
        <v>8.2456560000000003</v>
      </c>
      <c r="D101" s="602">
        <v>5.9841430000000004</v>
      </c>
      <c r="E101" s="602">
        <v>1.2757449999999999</v>
      </c>
      <c r="F101" s="602">
        <v>10.744464000000001</v>
      </c>
      <c r="G101" s="602" t="s">
        <v>1790</v>
      </c>
      <c r="H101" s="602">
        <v>2005</v>
      </c>
    </row>
    <row r="102" spans="1:8" x14ac:dyDescent="0.2">
      <c r="A102">
        <v>71</v>
      </c>
      <c r="B102" s="602">
        <v>6.2113240000000003</v>
      </c>
      <c r="C102" s="602">
        <v>10.860992</v>
      </c>
      <c r="D102" s="602">
        <v>7.8875419999999998</v>
      </c>
      <c r="E102" s="602">
        <v>1.676218</v>
      </c>
      <c r="F102" s="602">
        <v>14.123809</v>
      </c>
      <c r="G102" s="602" t="s">
        <v>1790</v>
      </c>
      <c r="H102" s="602">
        <v>2006</v>
      </c>
    </row>
    <row r="104" spans="1:8" x14ac:dyDescent="0.2">
      <c r="B104" s="341"/>
    </row>
    <row r="105" spans="1:8" x14ac:dyDescent="0.2">
      <c r="B105" s="341"/>
    </row>
    <row r="106" spans="1:8" x14ac:dyDescent="0.2">
      <c r="B106" s="341" t="s">
        <v>1792</v>
      </c>
    </row>
    <row r="107" spans="1:8" x14ac:dyDescent="0.2">
      <c r="B107" t="s">
        <v>2189</v>
      </c>
    </row>
    <row r="108" spans="1:8" x14ac:dyDescent="0.2">
      <c r="B108" s="589" t="s">
        <v>2183</v>
      </c>
      <c r="C108" s="589" t="s">
        <v>2184</v>
      </c>
      <c r="D108" s="589" t="s">
        <v>2185</v>
      </c>
      <c r="E108" s="589" t="s">
        <v>2186</v>
      </c>
      <c r="F108" s="589" t="s">
        <v>2187</v>
      </c>
      <c r="G108" s="589" t="s">
        <v>2188</v>
      </c>
      <c r="H108" s="589" t="s">
        <v>1772</v>
      </c>
    </row>
    <row r="109" spans="1:8" x14ac:dyDescent="0.2">
      <c r="A109">
        <v>0</v>
      </c>
      <c r="B109" s="602">
        <v>258.113674</v>
      </c>
      <c r="C109" s="602">
        <v>483.15820100000002</v>
      </c>
      <c r="D109" s="602">
        <v>331.634592</v>
      </c>
      <c r="E109" s="602">
        <v>73.520919000000006</v>
      </c>
      <c r="F109" s="602">
        <v>682.72742900000003</v>
      </c>
      <c r="G109" s="602" t="s">
        <v>1785</v>
      </c>
      <c r="H109" s="862">
        <v>1995</v>
      </c>
    </row>
    <row r="110" spans="1:8" x14ac:dyDescent="0.2">
      <c r="A110">
        <v>1</v>
      </c>
      <c r="B110" s="602">
        <v>289.19816700000001</v>
      </c>
      <c r="C110" s="602">
        <v>541.51851299999998</v>
      </c>
      <c r="D110" s="602">
        <v>371.582266</v>
      </c>
      <c r="E110" s="602">
        <v>82.384099000000006</v>
      </c>
      <c r="F110" s="602">
        <v>765.55102999999997</v>
      </c>
      <c r="G110" s="602" t="s">
        <v>1785</v>
      </c>
      <c r="H110" s="862">
        <v>1996</v>
      </c>
    </row>
    <row r="111" spans="1:8" x14ac:dyDescent="0.2">
      <c r="A111">
        <v>2</v>
      </c>
      <c r="B111" s="602">
        <v>295.48084399999999</v>
      </c>
      <c r="C111" s="602">
        <v>553.40684299999998</v>
      </c>
      <c r="D111" s="602">
        <v>379.70232399999998</v>
      </c>
      <c r="E111" s="602">
        <v>84.221479000000002</v>
      </c>
      <c r="F111" s="602">
        <v>782.673766</v>
      </c>
      <c r="G111" s="602" t="s">
        <v>1785</v>
      </c>
      <c r="H111" s="862">
        <v>1997</v>
      </c>
    </row>
    <row r="112" spans="1:8" x14ac:dyDescent="0.2">
      <c r="A112">
        <v>3</v>
      </c>
      <c r="B112" s="602">
        <v>299.19359100000003</v>
      </c>
      <c r="C112" s="602">
        <v>560.70320500000003</v>
      </c>
      <c r="D112" s="602">
        <v>384.633599</v>
      </c>
      <c r="E112" s="602">
        <v>85.440008000000006</v>
      </c>
      <c r="F112" s="602">
        <v>793.04179299999998</v>
      </c>
      <c r="G112" s="602" t="s">
        <v>1785</v>
      </c>
      <c r="H112" s="862">
        <v>1998</v>
      </c>
    </row>
    <row r="113" spans="1:8" x14ac:dyDescent="0.2">
      <c r="A113">
        <v>4</v>
      </c>
      <c r="B113" s="602">
        <v>303.29095599999999</v>
      </c>
      <c r="C113" s="602">
        <v>568.03008299999999</v>
      </c>
      <c r="D113" s="602">
        <v>389.74589500000002</v>
      </c>
      <c r="E113" s="602">
        <v>86.454937999999999</v>
      </c>
      <c r="F113" s="602">
        <v>803.29510300000004</v>
      </c>
      <c r="G113" s="602" t="s">
        <v>1785</v>
      </c>
      <c r="H113" s="862">
        <v>1999</v>
      </c>
    </row>
    <row r="114" spans="1:8" x14ac:dyDescent="0.2">
      <c r="A114">
        <v>5</v>
      </c>
      <c r="B114" s="602">
        <v>327.82255700000002</v>
      </c>
      <c r="C114" s="602">
        <v>613.72973500000001</v>
      </c>
      <c r="D114" s="602">
        <v>421.19300800000002</v>
      </c>
      <c r="E114" s="602">
        <v>93.370451000000003</v>
      </c>
      <c r="F114" s="602">
        <v>867.55402200000003</v>
      </c>
      <c r="G114" s="602" t="s">
        <v>1785</v>
      </c>
      <c r="H114" s="862">
        <v>2000</v>
      </c>
    </row>
    <row r="115" spans="1:8" x14ac:dyDescent="0.2">
      <c r="A115">
        <v>6</v>
      </c>
      <c r="B115" s="602">
        <v>233.103005</v>
      </c>
      <c r="C115" s="602">
        <v>437.867504</v>
      </c>
      <c r="D115" s="602">
        <v>299.929258</v>
      </c>
      <c r="E115" s="602">
        <v>66.826252999999994</v>
      </c>
      <c r="F115" s="602">
        <v>620.69725400000004</v>
      </c>
      <c r="G115" s="602" t="s">
        <v>1785</v>
      </c>
      <c r="H115" s="862">
        <v>2001</v>
      </c>
    </row>
    <row r="116" spans="1:8" x14ac:dyDescent="0.2">
      <c r="A116">
        <v>7</v>
      </c>
      <c r="B116" s="602">
        <v>100.109386</v>
      </c>
      <c r="C116" s="602">
        <v>188.98356799999999</v>
      </c>
      <c r="D116" s="602">
        <v>129.15464900000001</v>
      </c>
      <c r="E116" s="602">
        <v>29.045262999999998</v>
      </c>
      <c r="F116" s="602">
        <v>268.54157199999997</v>
      </c>
      <c r="G116" s="602" t="s">
        <v>1785</v>
      </c>
      <c r="H116" s="862">
        <v>2002</v>
      </c>
    </row>
    <row r="117" spans="1:8" x14ac:dyDescent="0.2">
      <c r="A117">
        <v>8</v>
      </c>
      <c r="B117" s="602">
        <v>68.909869999999998</v>
      </c>
      <c r="C117" s="602">
        <v>129.05111299999999</v>
      </c>
      <c r="D117" s="602">
        <v>88.673734999999994</v>
      </c>
      <c r="E117" s="602">
        <v>19.763864999999999</v>
      </c>
      <c r="F117" s="602">
        <v>182.040798</v>
      </c>
      <c r="G117" s="602" t="s">
        <v>1785</v>
      </c>
      <c r="H117" s="862">
        <v>2003</v>
      </c>
    </row>
    <row r="118" spans="1:8" x14ac:dyDescent="0.2">
      <c r="A118">
        <v>9</v>
      </c>
      <c r="B118" s="602">
        <v>53.118709000000003</v>
      </c>
      <c r="C118" s="602">
        <v>99.552724999999995</v>
      </c>
      <c r="D118" s="602">
        <v>68.353707</v>
      </c>
      <c r="E118" s="602">
        <v>15.234997999999999</v>
      </c>
      <c r="F118" s="602">
        <v>140.73319799999999</v>
      </c>
      <c r="G118" s="602" t="s">
        <v>1785</v>
      </c>
      <c r="H118" s="862">
        <v>2004</v>
      </c>
    </row>
    <row r="119" spans="1:8" x14ac:dyDescent="0.2">
      <c r="A119">
        <v>10</v>
      </c>
      <c r="B119" s="602">
        <v>45.531838</v>
      </c>
      <c r="C119" s="602">
        <v>85.346497999999997</v>
      </c>
      <c r="D119" s="602">
        <v>58.579664999999999</v>
      </c>
      <c r="E119" s="602">
        <v>13.047827</v>
      </c>
      <c r="F119" s="602">
        <v>120.78635199999999</v>
      </c>
      <c r="G119" s="602" t="s">
        <v>1785</v>
      </c>
      <c r="H119" s="862">
        <v>2005</v>
      </c>
    </row>
    <row r="120" spans="1:8" x14ac:dyDescent="0.2">
      <c r="A120">
        <v>11</v>
      </c>
      <c r="B120" s="602">
        <v>39.475965000000002</v>
      </c>
      <c r="C120" s="602">
        <v>74.069346999999993</v>
      </c>
      <c r="D120" s="602">
        <v>50.792012999999997</v>
      </c>
      <c r="E120" s="602">
        <v>11.316049</v>
      </c>
      <c r="F120" s="602">
        <v>105.014476</v>
      </c>
      <c r="G120" s="602" t="s">
        <v>1785</v>
      </c>
      <c r="H120" s="862">
        <v>2006</v>
      </c>
    </row>
    <row r="121" spans="1:8" x14ac:dyDescent="0.2">
      <c r="A121">
        <v>12</v>
      </c>
      <c r="B121" s="602">
        <v>54.124763999999999</v>
      </c>
      <c r="C121" s="602">
        <v>100.807329</v>
      </c>
      <c r="D121" s="602">
        <v>69.503381000000005</v>
      </c>
      <c r="E121" s="602">
        <v>15.378617</v>
      </c>
      <c r="F121" s="602">
        <v>141.59929</v>
      </c>
      <c r="G121" s="602" t="s">
        <v>1786</v>
      </c>
      <c r="H121" s="862">
        <v>1995</v>
      </c>
    </row>
    <row r="122" spans="1:8" x14ac:dyDescent="0.2">
      <c r="A122">
        <v>13</v>
      </c>
      <c r="B122" s="602">
        <v>60.720894999999999</v>
      </c>
      <c r="C122" s="602">
        <v>113.057655</v>
      </c>
      <c r="D122" s="602">
        <v>77.958224000000001</v>
      </c>
      <c r="E122" s="602">
        <v>17.237328999999999</v>
      </c>
      <c r="F122" s="602">
        <v>158.83320599999999</v>
      </c>
      <c r="G122" s="602" t="s">
        <v>1786</v>
      </c>
      <c r="H122" s="862">
        <v>1996</v>
      </c>
    </row>
    <row r="123" spans="1:8" x14ac:dyDescent="0.2">
      <c r="A123">
        <v>14</v>
      </c>
      <c r="B123" s="602">
        <v>62.081988000000003</v>
      </c>
      <c r="C123" s="602">
        <v>115.659122</v>
      </c>
      <c r="D123" s="602">
        <v>79.730915999999993</v>
      </c>
      <c r="E123" s="602">
        <v>17.648928000000002</v>
      </c>
      <c r="F123" s="602">
        <v>162.56259900000001</v>
      </c>
      <c r="G123" s="602" t="s">
        <v>1786</v>
      </c>
      <c r="H123" s="862">
        <v>1997</v>
      </c>
    </row>
    <row r="124" spans="1:8" x14ac:dyDescent="0.2">
      <c r="A124">
        <v>15</v>
      </c>
      <c r="B124" s="602">
        <v>62.901319999999998</v>
      </c>
      <c r="C124" s="602">
        <v>117.192882</v>
      </c>
      <c r="D124" s="602">
        <v>80.791145999999998</v>
      </c>
      <c r="E124" s="602">
        <v>17.889827</v>
      </c>
      <c r="F124" s="602">
        <v>164.70352199999999</v>
      </c>
      <c r="G124" s="602" t="s">
        <v>1786</v>
      </c>
      <c r="H124" s="862">
        <v>1998</v>
      </c>
    </row>
    <row r="125" spans="1:8" x14ac:dyDescent="0.2">
      <c r="A125">
        <v>16</v>
      </c>
      <c r="B125" s="602">
        <v>63.731330999999997</v>
      </c>
      <c r="C125" s="602">
        <v>118.70848700000001</v>
      </c>
      <c r="D125" s="602">
        <v>81.842837000000003</v>
      </c>
      <c r="E125" s="602">
        <v>18.111505999999999</v>
      </c>
      <c r="F125" s="602">
        <v>166.813163</v>
      </c>
      <c r="G125" s="602" t="s">
        <v>1786</v>
      </c>
      <c r="H125" s="862">
        <v>1999</v>
      </c>
    </row>
    <row r="126" spans="1:8" x14ac:dyDescent="0.2">
      <c r="A126">
        <v>17</v>
      </c>
      <c r="B126" s="602">
        <v>68.780495999999999</v>
      </c>
      <c r="C126" s="602">
        <v>128.07559800000001</v>
      </c>
      <c r="D126" s="602">
        <v>88.318062999999995</v>
      </c>
      <c r="E126" s="602">
        <v>19.537566999999999</v>
      </c>
      <c r="F126" s="602">
        <v>179.92388</v>
      </c>
      <c r="G126" s="602" t="s">
        <v>1786</v>
      </c>
      <c r="H126" s="862">
        <v>2000</v>
      </c>
    </row>
    <row r="127" spans="1:8" x14ac:dyDescent="0.2">
      <c r="A127">
        <v>18</v>
      </c>
      <c r="B127" s="602">
        <v>49.327067999999997</v>
      </c>
      <c r="C127" s="602">
        <v>92.087981999999997</v>
      </c>
      <c r="D127" s="602">
        <v>63.421250000000001</v>
      </c>
      <c r="E127" s="602">
        <v>14.094182</v>
      </c>
      <c r="F127" s="602">
        <v>129.643944</v>
      </c>
      <c r="G127" s="602" t="s">
        <v>1786</v>
      </c>
      <c r="H127" s="862">
        <v>2001</v>
      </c>
    </row>
    <row r="128" spans="1:8" x14ac:dyDescent="0.2">
      <c r="A128">
        <v>19</v>
      </c>
      <c r="B128" s="602">
        <v>21.601292999999998</v>
      </c>
      <c r="C128" s="602">
        <v>40.401772000000001</v>
      </c>
      <c r="D128" s="602">
        <v>27.834085000000002</v>
      </c>
      <c r="E128" s="602">
        <v>6.2327919999999999</v>
      </c>
      <c r="F128" s="602">
        <v>56.963003</v>
      </c>
      <c r="G128" s="602" t="s">
        <v>1786</v>
      </c>
      <c r="H128" s="862">
        <v>2002</v>
      </c>
    </row>
    <row r="129" spans="1:8" x14ac:dyDescent="0.2">
      <c r="A129">
        <v>20</v>
      </c>
      <c r="B129" s="602">
        <v>14.696980999999999</v>
      </c>
      <c r="C129" s="602">
        <v>27.299880000000002</v>
      </c>
      <c r="D129" s="602">
        <v>18.900845</v>
      </c>
      <c r="E129" s="602">
        <v>4.2038640000000003</v>
      </c>
      <c r="F129" s="602">
        <v>38.282758999999999</v>
      </c>
      <c r="G129" s="602" t="s">
        <v>1786</v>
      </c>
      <c r="H129" s="862">
        <v>2003</v>
      </c>
    </row>
    <row r="130" spans="1:8" x14ac:dyDescent="0.2">
      <c r="A130">
        <v>21</v>
      </c>
      <c r="B130" s="602">
        <v>11.333676000000001</v>
      </c>
      <c r="C130" s="602">
        <v>21.044359</v>
      </c>
      <c r="D130" s="602">
        <v>14.576816000000001</v>
      </c>
      <c r="E130" s="602">
        <v>3.2431399999999999</v>
      </c>
      <c r="F130" s="602">
        <v>29.576084999999999</v>
      </c>
      <c r="G130" s="602" t="s">
        <v>1786</v>
      </c>
      <c r="H130" s="862">
        <v>2004</v>
      </c>
    </row>
    <row r="131" spans="1:8" x14ac:dyDescent="0.2">
      <c r="A131">
        <v>22</v>
      </c>
      <c r="B131" s="602">
        <v>9.7119870000000006</v>
      </c>
      <c r="C131" s="602">
        <v>18.014672999999998</v>
      </c>
      <c r="D131" s="602">
        <v>12.48404</v>
      </c>
      <c r="E131" s="602">
        <v>2.7720530000000001</v>
      </c>
      <c r="F131" s="602">
        <v>25.353096000000001</v>
      </c>
      <c r="G131" s="602" t="s">
        <v>1786</v>
      </c>
      <c r="H131" s="862">
        <v>2005</v>
      </c>
    </row>
    <row r="132" spans="1:8" x14ac:dyDescent="0.2">
      <c r="A132">
        <v>23</v>
      </c>
      <c r="B132" s="602">
        <v>8.4508270000000003</v>
      </c>
      <c r="C132" s="602">
        <v>15.668494000000001</v>
      </c>
      <c r="D132" s="602">
        <v>10.862992</v>
      </c>
      <c r="E132" s="602">
        <v>2.412166</v>
      </c>
      <c r="F132" s="602">
        <v>22.092676000000001</v>
      </c>
      <c r="G132" s="602" t="s">
        <v>1786</v>
      </c>
      <c r="H132" s="862">
        <v>2006</v>
      </c>
    </row>
    <row r="133" spans="1:8" x14ac:dyDescent="0.2">
      <c r="A133">
        <v>24</v>
      </c>
      <c r="B133" s="602">
        <v>32.846186000000003</v>
      </c>
      <c r="C133" s="602">
        <v>61.413336999999999</v>
      </c>
      <c r="D133" s="602">
        <v>42.192743</v>
      </c>
      <c r="E133" s="602">
        <v>9.3465570000000007</v>
      </c>
      <c r="F133" s="602">
        <v>86.748199999999997</v>
      </c>
      <c r="G133" s="602" t="s">
        <v>1787</v>
      </c>
      <c r="H133" s="862">
        <v>1995</v>
      </c>
    </row>
    <row r="134" spans="1:8" x14ac:dyDescent="0.2">
      <c r="A134">
        <v>25</v>
      </c>
      <c r="B134" s="602">
        <v>37.403334999999998</v>
      </c>
      <c r="C134" s="602">
        <v>69.973663000000002</v>
      </c>
      <c r="D134" s="602">
        <v>48.056058999999998</v>
      </c>
      <c r="E134" s="602">
        <v>10.652723999999999</v>
      </c>
      <c r="F134" s="602">
        <v>98.895206999999999</v>
      </c>
      <c r="G134" s="602" t="s">
        <v>1787</v>
      </c>
      <c r="H134" s="862">
        <v>1996</v>
      </c>
    </row>
    <row r="135" spans="1:8" x14ac:dyDescent="0.2">
      <c r="A135">
        <v>26</v>
      </c>
      <c r="B135" s="602">
        <v>37.988900999999998</v>
      </c>
      <c r="C135" s="602">
        <v>71.133191999999994</v>
      </c>
      <c r="D135" s="602">
        <v>48.826698</v>
      </c>
      <c r="E135" s="602">
        <v>10.837797</v>
      </c>
      <c r="F135" s="602">
        <v>100.600461</v>
      </c>
      <c r="G135" s="602" t="s">
        <v>1787</v>
      </c>
      <c r="H135" s="862">
        <v>1997</v>
      </c>
    </row>
    <row r="136" spans="1:8" x14ac:dyDescent="0.2">
      <c r="A136">
        <v>27</v>
      </c>
      <c r="B136" s="602">
        <v>38.197732000000002</v>
      </c>
      <c r="C136" s="602">
        <v>71.477485999999999</v>
      </c>
      <c r="D136" s="602">
        <v>49.083559000000001</v>
      </c>
      <c r="E136" s="602">
        <v>10.885828</v>
      </c>
      <c r="F136" s="602">
        <v>101.059365</v>
      </c>
      <c r="G136" s="602" t="s">
        <v>1787</v>
      </c>
      <c r="H136" s="862">
        <v>1998</v>
      </c>
    </row>
    <row r="137" spans="1:8" x14ac:dyDescent="0.2">
      <c r="A137">
        <v>28</v>
      </c>
      <c r="B137" s="602">
        <v>38.330567000000002</v>
      </c>
      <c r="C137" s="602">
        <v>71.737459000000001</v>
      </c>
      <c r="D137" s="602">
        <v>49.258698000000003</v>
      </c>
      <c r="E137" s="602">
        <v>10.928131</v>
      </c>
      <c r="F137" s="602">
        <v>101.429512</v>
      </c>
      <c r="G137" s="602" t="s">
        <v>1787</v>
      </c>
      <c r="H137" s="862">
        <v>1999</v>
      </c>
    </row>
    <row r="138" spans="1:8" x14ac:dyDescent="0.2">
      <c r="A138">
        <v>29</v>
      </c>
      <c r="B138" s="602">
        <v>41.670391000000002</v>
      </c>
      <c r="C138" s="602">
        <v>77.943920000000006</v>
      </c>
      <c r="D138" s="602">
        <v>53.538361999999999</v>
      </c>
      <c r="E138" s="602">
        <v>11.867971000000001</v>
      </c>
      <c r="F138" s="602">
        <v>110.183751</v>
      </c>
      <c r="G138" s="602" t="s">
        <v>1787</v>
      </c>
      <c r="H138" s="862">
        <v>2000</v>
      </c>
    </row>
    <row r="139" spans="1:8" x14ac:dyDescent="0.2">
      <c r="A139">
        <v>30</v>
      </c>
      <c r="B139" s="602">
        <v>27.276418</v>
      </c>
      <c r="C139" s="602">
        <v>51.260696000000003</v>
      </c>
      <c r="D139" s="602">
        <v>35.117507000000003</v>
      </c>
      <c r="E139" s="602">
        <v>7.8410880000000001</v>
      </c>
      <c r="F139" s="602">
        <v>72.720061999999999</v>
      </c>
      <c r="G139" s="602" t="s">
        <v>1787</v>
      </c>
      <c r="H139" s="862">
        <v>2001</v>
      </c>
    </row>
    <row r="140" spans="1:8" x14ac:dyDescent="0.2">
      <c r="A140">
        <v>31</v>
      </c>
      <c r="B140" s="602">
        <v>7.0287699999999997</v>
      </c>
      <c r="C140" s="602">
        <v>13.336069</v>
      </c>
      <c r="D140" s="602">
        <v>9.1069340000000008</v>
      </c>
      <c r="E140" s="602">
        <v>2.078163</v>
      </c>
      <c r="F140" s="602">
        <v>19.067385000000002</v>
      </c>
      <c r="G140" s="602" t="s">
        <v>1787</v>
      </c>
      <c r="H140" s="862">
        <v>2002</v>
      </c>
    </row>
    <row r="141" spans="1:8" x14ac:dyDescent="0.2">
      <c r="A141">
        <v>32</v>
      </c>
      <c r="B141" s="602">
        <v>2.8937179999999998</v>
      </c>
      <c r="C141" s="602">
        <v>5.3623609999999999</v>
      </c>
      <c r="D141" s="602">
        <v>3.7353740000000002</v>
      </c>
      <c r="E141" s="602">
        <v>0.84165599999999996</v>
      </c>
      <c r="F141" s="602">
        <v>7.5248650000000001</v>
      </c>
      <c r="G141" s="602" t="s">
        <v>1787</v>
      </c>
      <c r="H141" s="862">
        <v>2003</v>
      </c>
    </row>
    <row r="142" spans="1:8" x14ac:dyDescent="0.2">
      <c r="A142">
        <v>33</v>
      </c>
      <c r="B142" s="602">
        <v>1.219034</v>
      </c>
      <c r="C142" s="602">
        <v>2.2389329999999998</v>
      </c>
      <c r="D142" s="602">
        <v>1.5782970000000001</v>
      </c>
      <c r="E142" s="602">
        <v>0.359263</v>
      </c>
      <c r="F142" s="602">
        <v>3.1724749999999999</v>
      </c>
      <c r="G142" s="602" t="s">
        <v>1787</v>
      </c>
      <c r="H142" s="862">
        <v>2004</v>
      </c>
    </row>
    <row r="143" spans="1:8" x14ac:dyDescent="0.2">
      <c r="A143">
        <v>34</v>
      </c>
      <c r="B143" s="602">
        <v>1.0892520000000001</v>
      </c>
      <c r="C143" s="602">
        <v>1.988103</v>
      </c>
      <c r="D143" s="602">
        <v>1.40533</v>
      </c>
      <c r="E143" s="602">
        <v>0.316077</v>
      </c>
      <c r="F143" s="602">
        <v>2.8354689999999998</v>
      </c>
      <c r="G143" s="602" t="s">
        <v>1787</v>
      </c>
      <c r="H143" s="862">
        <v>2005</v>
      </c>
    </row>
    <row r="144" spans="1:8" x14ac:dyDescent="0.2">
      <c r="A144">
        <v>35</v>
      </c>
      <c r="B144" s="602">
        <v>1.221382</v>
      </c>
      <c r="C144" s="602">
        <v>2.2466940000000002</v>
      </c>
      <c r="D144" s="602">
        <v>1.5754589999999999</v>
      </c>
      <c r="E144" s="602">
        <v>0.35407699999999998</v>
      </c>
      <c r="F144" s="602">
        <v>3.2331889999999999</v>
      </c>
      <c r="G144" s="602" t="s">
        <v>1787</v>
      </c>
      <c r="H144" s="862">
        <v>2006</v>
      </c>
    </row>
    <row r="145" spans="1:8" x14ac:dyDescent="0.2">
      <c r="A145">
        <v>36</v>
      </c>
      <c r="B145" s="602">
        <v>6.9419240000000002</v>
      </c>
      <c r="C145" s="602">
        <v>12.889737999999999</v>
      </c>
      <c r="D145" s="602">
        <v>8.9121919999999992</v>
      </c>
      <c r="E145" s="602">
        <v>1.9702679999999999</v>
      </c>
      <c r="F145" s="602">
        <v>18.103804</v>
      </c>
      <c r="G145" s="602" t="s">
        <v>1788</v>
      </c>
      <c r="H145" s="862">
        <v>1995</v>
      </c>
    </row>
    <row r="146" spans="1:8" x14ac:dyDescent="0.2">
      <c r="A146">
        <v>37</v>
      </c>
      <c r="B146" s="602">
        <v>7.9093369999999998</v>
      </c>
      <c r="C146" s="602">
        <v>14.690794</v>
      </c>
      <c r="D146" s="602">
        <v>10.154191000000001</v>
      </c>
      <c r="E146" s="602">
        <v>2.2448540000000001</v>
      </c>
      <c r="F146" s="602">
        <v>20.639559999999999</v>
      </c>
      <c r="G146" s="602" t="s">
        <v>1788</v>
      </c>
      <c r="H146" s="862">
        <v>1996</v>
      </c>
    </row>
    <row r="147" spans="1:8" x14ac:dyDescent="0.2">
      <c r="A147">
        <v>38</v>
      </c>
      <c r="B147" s="602">
        <v>8.0571199999999994</v>
      </c>
      <c r="C147" s="602">
        <v>14.973217999999999</v>
      </c>
      <c r="D147" s="602">
        <v>10.348722</v>
      </c>
      <c r="E147" s="602">
        <v>2.2916020000000001</v>
      </c>
      <c r="F147" s="602">
        <v>21.042930999999999</v>
      </c>
      <c r="G147" s="602" t="s">
        <v>1788</v>
      </c>
      <c r="H147" s="862">
        <v>1997</v>
      </c>
    </row>
    <row r="148" spans="1:8" x14ac:dyDescent="0.2">
      <c r="A148">
        <v>39</v>
      </c>
      <c r="B148" s="602">
        <v>8.0820310000000006</v>
      </c>
      <c r="C148" s="602">
        <v>15.022862</v>
      </c>
      <c r="D148" s="602">
        <v>10.380921000000001</v>
      </c>
      <c r="E148" s="602">
        <v>2.2988900000000001</v>
      </c>
      <c r="F148" s="602">
        <v>21.119797999999999</v>
      </c>
      <c r="G148" s="602" t="s">
        <v>1788</v>
      </c>
      <c r="H148" s="862">
        <v>1998</v>
      </c>
    </row>
    <row r="149" spans="1:8" x14ac:dyDescent="0.2">
      <c r="A149">
        <v>40</v>
      </c>
      <c r="B149" s="602">
        <v>8.114611</v>
      </c>
      <c r="C149" s="602">
        <v>15.080776</v>
      </c>
      <c r="D149" s="602">
        <v>10.423799000000001</v>
      </c>
      <c r="E149" s="602">
        <v>2.3091879999999998</v>
      </c>
      <c r="F149" s="602">
        <v>21.199639000000001</v>
      </c>
      <c r="G149" s="602" t="s">
        <v>1788</v>
      </c>
      <c r="H149" s="862">
        <v>1999</v>
      </c>
    </row>
    <row r="150" spans="1:8" x14ac:dyDescent="0.2">
      <c r="A150">
        <v>41</v>
      </c>
      <c r="B150" s="602">
        <v>8.8001470000000008</v>
      </c>
      <c r="C150" s="602">
        <v>16.345984999999999</v>
      </c>
      <c r="D150" s="602">
        <v>11.299796000000001</v>
      </c>
      <c r="E150" s="602">
        <v>2.4996499999999999</v>
      </c>
      <c r="F150" s="602">
        <v>22.97701</v>
      </c>
      <c r="G150" s="602" t="s">
        <v>1788</v>
      </c>
      <c r="H150" s="862">
        <v>2000</v>
      </c>
    </row>
    <row r="151" spans="1:8" x14ac:dyDescent="0.2">
      <c r="A151">
        <v>42</v>
      </c>
      <c r="B151" s="602">
        <v>5.8485060000000004</v>
      </c>
      <c r="C151" s="602">
        <v>10.882406</v>
      </c>
      <c r="D151" s="602">
        <v>7.5218959999999999</v>
      </c>
      <c r="E151" s="602">
        <v>1.6733899999999999</v>
      </c>
      <c r="F151" s="602">
        <v>15.340064</v>
      </c>
      <c r="G151" s="602" t="s">
        <v>1788</v>
      </c>
      <c r="H151" s="862">
        <v>2001</v>
      </c>
    </row>
    <row r="152" spans="1:8" x14ac:dyDescent="0.2">
      <c r="A152">
        <v>43</v>
      </c>
      <c r="B152" s="602">
        <v>1.6193409999999999</v>
      </c>
      <c r="C152" s="602">
        <v>2.9975149999999999</v>
      </c>
      <c r="D152" s="602">
        <v>2.093944</v>
      </c>
      <c r="E152" s="602">
        <v>0.474603</v>
      </c>
      <c r="F152" s="602">
        <v>4.2568510000000002</v>
      </c>
      <c r="G152" s="602" t="s">
        <v>1788</v>
      </c>
      <c r="H152" s="862">
        <v>2002</v>
      </c>
    </row>
    <row r="153" spans="1:8" x14ac:dyDescent="0.2">
      <c r="A153">
        <v>44</v>
      </c>
      <c r="B153" s="602">
        <v>0.69489900000000004</v>
      </c>
      <c r="C153" s="602">
        <v>1.2353259999999999</v>
      </c>
      <c r="D153" s="602">
        <v>0.89631300000000003</v>
      </c>
      <c r="E153" s="602">
        <v>0.20141400000000001</v>
      </c>
      <c r="F153" s="602">
        <v>1.7426360000000001</v>
      </c>
      <c r="G153" s="602" t="s">
        <v>1788</v>
      </c>
      <c r="H153" s="862">
        <v>2003</v>
      </c>
    </row>
    <row r="154" spans="1:8" x14ac:dyDescent="0.2">
      <c r="A154">
        <v>45</v>
      </c>
      <c r="B154" s="602">
        <v>0.33320899999999998</v>
      </c>
      <c r="C154" s="602">
        <v>0.56295099999999998</v>
      </c>
      <c r="D154" s="602">
        <v>0.43092999999999998</v>
      </c>
      <c r="E154" s="602">
        <v>9.7720000000000001E-2</v>
      </c>
      <c r="F154" s="602">
        <v>0.813222</v>
      </c>
      <c r="G154" s="602" t="s">
        <v>1788</v>
      </c>
      <c r="H154" s="862">
        <v>2004</v>
      </c>
    </row>
    <row r="155" spans="1:8" x14ac:dyDescent="0.2">
      <c r="A155">
        <v>46</v>
      </c>
      <c r="B155" s="602">
        <v>0.29980299999999999</v>
      </c>
      <c r="C155" s="602">
        <v>0.49775399999999997</v>
      </c>
      <c r="D155" s="602">
        <v>0.38683000000000001</v>
      </c>
      <c r="E155" s="602">
        <v>8.7026999999999993E-2</v>
      </c>
      <c r="F155" s="602">
        <v>0.72714199999999996</v>
      </c>
      <c r="G155" s="602" t="s">
        <v>1788</v>
      </c>
      <c r="H155" s="862">
        <v>2005</v>
      </c>
    </row>
    <row r="156" spans="1:8" x14ac:dyDescent="0.2">
      <c r="A156">
        <v>47</v>
      </c>
      <c r="B156" s="602">
        <v>0.32701200000000002</v>
      </c>
      <c r="C156" s="602">
        <v>0.54877900000000002</v>
      </c>
      <c r="D156" s="602">
        <v>0.42168699999999998</v>
      </c>
      <c r="E156" s="602">
        <v>9.4674999999999995E-2</v>
      </c>
      <c r="F156" s="602">
        <v>0.80585899999999999</v>
      </c>
      <c r="G156" s="602" t="s">
        <v>1788</v>
      </c>
      <c r="H156" s="862">
        <v>2006</v>
      </c>
    </row>
    <row r="157" spans="1:8" x14ac:dyDescent="0.2">
      <c r="A157">
        <v>48</v>
      </c>
      <c r="B157" s="602">
        <v>6.9217950000000004</v>
      </c>
      <c r="C157" s="602">
        <v>12.915595</v>
      </c>
      <c r="D157" s="602">
        <v>8.8901640000000004</v>
      </c>
      <c r="E157" s="602">
        <v>1.968369</v>
      </c>
      <c r="F157" s="602">
        <v>18.211862</v>
      </c>
      <c r="G157" s="602" t="s">
        <v>1789</v>
      </c>
      <c r="H157" s="602">
        <v>1995</v>
      </c>
    </row>
    <row r="158" spans="1:8" x14ac:dyDescent="0.2">
      <c r="A158">
        <v>49</v>
      </c>
      <c r="B158" s="602">
        <v>7.8737240000000002</v>
      </c>
      <c r="C158" s="602">
        <v>14.697906</v>
      </c>
      <c r="D158" s="602">
        <v>10.112945</v>
      </c>
      <c r="E158" s="602">
        <v>2.23922</v>
      </c>
      <c r="F158" s="602">
        <v>20.735049</v>
      </c>
      <c r="G158" s="602" t="s">
        <v>1789</v>
      </c>
      <c r="H158" s="602">
        <v>1996</v>
      </c>
    </row>
    <row r="159" spans="1:8" x14ac:dyDescent="0.2">
      <c r="A159">
        <v>50</v>
      </c>
      <c r="B159" s="602">
        <v>8.0119539999999994</v>
      </c>
      <c r="C159" s="602">
        <v>14.964953</v>
      </c>
      <c r="D159" s="602">
        <v>10.29214</v>
      </c>
      <c r="E159" s="602">
        <v>2.2801849999999999</v>
      </c>
      <c r="F159" s="602">
        <v>21.123100999999998</v>
      </c>
      <c r="G159" s="602" t="s">
        <v>1789</v>
      </c>
      <c r="H159" s="602">
        <v>1997</v>
      </c>
    </row>
    <row r="160" spans="1:8" x14ac:dyDescent="0.2">
      <c r="A160">
        <v>51</v>
      </c>
      <c r="B160" s="602">
        <v>7.9644909999999998</v>
      </c>
      <c r="C160" s="602">
        <v>14.884142000000001</v>
      </c>
      <c r="D160" s="602">
        <v>10.234249</v>
      </c>
      <c r="E160" s="602">
        <v>2.2697590000000001</v>
      </c>
      <c r="F160" s="602">
        <v>21.019687999999999</v>
      </c>
      <c r="G160" s="602" t="s">
        <v>1789</v>
      </c>
      <c r="H160" s="602">
        <v>1998</v>
      </c>
    </row>
    <row r="161" spans="1:8" x14ac:dyDescent="0.2">
      <c r="A161">
        <v>52</v>
      </c>
      <c r="B161" s="602">
        <v>7.9258249999999997</v>
      </c>
      <c r="C161" s="602">
        <v>14.814527999999999</v>
      </c>
      <c r="D161" s="602">
        <v>10.185003999999999</v>
      </c>
      <c r="E161" s="602">
        <v>2.2591800000000002</v>
      </c>
      <c r="F161" s="602">
        <v>20.929714000000001</v>
      </c>
      <c r="G161" s="602" t="s">
        <v>1789</v>
      </c>
      <c r="H161" s="602">
        <v>1999</v>
      </c>
    </row>
    <row r="162" spans="1:8" x14ac:dyDescent="0.2">
      <c r="A162">
        <v>53</v>
      </c>
      <c r="B162" s="602">
        <v>8.5801909999999992</v>
      </c>
      <c r="C162" s="602">
        <v>16.030844999999999</v>
      </c>
      <c r="D162" s="602">
        <v>11.024191</v>
      </c>
      <c r="E162" s="602">
        <v>2.444</v>
      </c>
      <c r="F162" s="602">
        <v>22.640436000000001</v>
      </c>
      <c r="G162" s="602" t="s">
        <v>1789</v>
      </c>
      <c r="H162" s="602">
        <v>2000</v>
      </c>
    </row>
    <row r="163" spans="1:8" x14ac:dyDescent="0.2">
      <c r="A163">
        <v>54</v>
      </c>
      <c r="B163" s="602">
        <v>5.6450389999999997</v>
      </c>
      <c r="C163" s="602">
        <v>10.585238</v>
      </c>
      <c r="D163" s="602">
        <v>7.2649850000000002</v>
      </c>
      <c r="E163" s="602">
        <v>1.619947</v>
      </c>
      <c r="F163" s="602">
        <v>15.003742000000001</v>
      </c>
      <c r="G163" s="602" t="s">
        <v>1789</v>
      </c>
      <c r="H163" s="602">
        <v>2001</v>
      </c>
    </row>
    <row r="164" spans="1:8" x14ac:dyDescent="0.2">
      <c r="A164">
        <v>55</v>
      </c>
      <c r="B164" s="602">
        <v>1.52539</v>
      </c>
      <c r="C164" s="602">
        <v>2.876096</v>
      </c>
      <c r="D164" s="602">
        <v>1.9753810000000001</v>
      </c>
      <c r="E164" s="602">
        <v>0.44999099999999997</v>
      </c>
      <c r="F164" s="602">
        <v>4.1053290000000002</v>
      </c>
      <c r="G164" s="602" t="s">
        <v>1789</v>
      </c>
      <c r="H164" s="602">
        <v>2002</v>
      </c>
    </row>
    <row r="165" spans="1:8" x14ac:dyDescent="0.2">
      <c r="A165">
        <v>56</v>
      </c>
      <c r="B165" s="602">
        <v>0.66700499999999996</v>
      </c>
      <c r="C165" s="602">
        <v>1.2230099999999999</v>
      </c>
      <c r="D165" s="602">
        <v>0.86049399999999998</v>
      </c>
      <c r="E165" s="602">
        <v>0.19348899999999999</v>
      </c>
      <c r="F165" s="602">
        <v>1.718629</v>
      </c>
      <c r="G165" s="602" t="s">
        <v>1789</v>
      </c>
      <c r="H165" s="602">
        <v>2003</v>
      </c>
    </row>
    <row r="166" spans="1:8" x14ac:dyDescent="0.2">
      <c r="A166">
        <v>57</v>
      </c>
      <c r="B166" s="602">
        <v>0.31830599999999998</v>
      </c>
      <c r="C166" s="602">
        <v>0.57328999999999997</v>
      </c>
      <c r="D166" s="602">
        <v>0.41153000000000001</v>
      </c>
      <c r="E166" s="602">
        <v>9.3223E-2</v>
      </c>
      <c r="F166" s="602">
        <v>0.81474999999999997</v>
      </c>
      <c r="G166" s="602" t="s">
        <v>1789</v>
      </c>
      <c r="H166" s="602">
        <v>2004</v>
      </c>
    </row>
    <row r="167" spans="1:8" x14ac:dyDescent="0.2">
      <c r="A167">
        <v>58</v>
      </c>
      <c r="B167" s="602">
        <v>0.28813499999999997</v>
      </c>
      <c r="C167" s="602">
        <v>0.515343</v>
      </c>
      <c r="D167" s="602">
        <v>0.37161699999999998</v>
      </c>
      <c r="E167" s="602">
        <v>8.3482000000000001E-2</v>
      </c>
      <c r="F167" s="602">
        <v>0.73774399999999996</v>
      </c>
      <c r="G167" s="602" t="s">
        <v>1789</v>
      </c>
      <c r="H167" s="602">
        <v>2005</v>
      </c>
    </row>
    <row r="168" spans="1:8" x14ac:dyDescent="0.2">
      <c r="A168">
        <v>59</v>
      </c>
      <c r="B168" s="602">
        <v>0.31630000000000003</v>
      </c>
      <c r="C168" s="602">
        <v>0.56966399999999995</v>
      </c>
      <c r="D168" s="602">
        <v>0.40771000000000002</v>
      </c>
      <c r="E168" s="602">
        <v>9.1409000000000004E-2</v>
      </c>
      <c r="F168" s="602">
        <v>0.82151600000000002</v>
      </c>
      <c r="G168" s="602" t="s">
        <v>1789</v>
      </c>
      <c r="H168" s="602">
        <v>2006</v>
      </c>
    </row>
    <row r="169" spans="1:8" x14ac:dyDescent="0.2">
      <c r="A169">
        <v>60</v>
      </c>
      <c r="B169" s="602">
        <v>1.507533</v>
      </c>
      <c r="C169" s="602">
        <v>2.7850809999999999</v>
      </c>
      <c r="D169" s="602">
        <v>1.9347129999999999</v>
      </c>
      <c r="E169" s="602">
        <v>0.42718</v>
      </c>
      <c r="F169" s="602">
        <v>3.8999470000000001</v>
      </c>
      <c r="G169" s="602" t="s">
        <v>1790</v>
      </c>
      <c r="H169" s="602">
        <v>1995</v>
      </c>
    </row>
    <row r="170" spans="1:8" x14ac:dyDescent="0.2">
      <c r="A170">
        <v>61</v>
      </c>
      <c r="B170" s="602">
        <v>1.712172</v>
      </c>
      <c r="C170" s="602">
        <v>3.1654260000000001</v>
      </c>
      <c r="D170" s="602">
        <v>2.1974670000000001</v>
      </c>
      <c r="E170" s="602">
        <v>0.48529499999999998</v>
      </c>
      <c r="F170" s="602">
        <v>4.4348609999999997</v>
      </c>
      <c r="G170" s="602" t="s">
        <v>1790</v>
      </c>
      <c r="H170" s="602">
        <v>1996</v>
      </c>
    </row>
    <row r="171" spans="1:8" x14ac:dyDescent="0.2">
      <c r="A171">
        <v>62</v>
      </c>
      <c r="B171" s="602">
        <v>1.7500329999999999</v>
      </c>
      <c r="C171" s="602">
        <v>3.2362320000000002</v>
      </c>
      <c r="D171" s="602">
        <v>2.2463899999999999</v>
      </c>
      <c r="E171" s="602">
        <v>0.49635699999999999</v>
      </c>
      <c r="F171" s="602">
        <v>4.5363889999999998</v>
      </c>
      <c r="G171" s="602" t="s">
        <v>1790</v>
      </c>
      <c r="H171" s="602">
        <v>1997</v>
      </c>
    </row>
    <row r="172" spans="1:8" x14ac:dyDescent="0.2">
      <c r="A172">
        <v>63</v>
      </c>
      <c r="B172" s="602">
        <v>1.7398229999999999</v>
      </c>
      <c r="C172" s="602">
        <v>3.217317</v>
      </c>
      <c r="D172" s="602">
        <v>2.2337850000000001</v>
      </c>
      <c r="E172" s="602">
        <v>0.49396200000000001</v>
      </c>
      <c r="F172" s="602">
        <v>4.5127079999999999</v>
      </c>
      <c r="G172" s="602" t="s">
        <v>1790</v>
      </c>
      <c r="H172" s="602">
        <v>1998</v>
      </c>
    </row>
    <row r="173" spans="1:8" x14ac:dyDescent="0.2">
      <c r="A173">
        <v>64</v>
      </c>
      <c r="B173" s="602">
        <v>1.726394</v>
      </c>
      <c r="C173" s="602">
        <v>3.1929020000000001</v>
      </c>
      <c r="D173" s="602">
        <v>2.2167880000000002</v>
      </c>
      <c r="E173" s="602">
        <v>0.49039500000000003</v>
      </c>
      <c r="F173" s="602">
        <v>4.4824729999999997</v>
      </c>
      <c r="G173" s="602" t="s">
        <v>1790</v>
      </c>
      <c r="H173" s="602">
        <v>1999</v>
      </c>
    </row>
    <row r="174" spans="1:8" x14ac:dyDescent="0.2">
      <c r="A174">
        <v>65</v>
      </c>
      <c r="B174" s="602">
        <v>1.8577710000000001</v>
      </c>
      <c r="C174" s="602">
        <v>3.4350200000000002</v>
      </c>
      <c r="D174" s="602">
        <v>2.384938</v>
      </c>
      <c r="E174" s="602">
        <v>0.52716700000000005</v>
      </c>
      <c r="F174" s="602">
        <v>4.822025</v>
      </c>
      <c r="G174" s="602" t="s">
        <v>1790</v>
      </c>
      <c r="H174" s="602">
        <v>2000</v>
      </c>
    </row>
    <row r="175" spans="1:8" x14ac:dyDescent="0.2">
      <c r="A175">
        <v>66</v>
      </c>
      <c r="B175" s="602">
        <v>1.2501530000000001</v>
      </c>
      <c r="C175" s="602">
        <v>2.3114330000000001</v>
      </c>
      <c r="D175" s="602">
        <v>1.6073539999999999</v>
      </c>
      <c r="E175" s="602">
        <v>0.35720200000000002</v>
      </c>
      <c r="F175" s="602">
        <v>3.2572299999999998</v>
      </c>
      <c r="G175" s="602" t="s">
        <v>1790</v>
      </c>
      <c r="H175" s="602">
        <v>2001</v>
      </c>
    </row>
    <row r="176" spans="1:8" x14ac:dyDescent="0.2">
      <c r="A176">
        <v>67</v>
      </c>
      <c r="B176" s="602">
        <v>0.38877499999999998</v>
      </c>
      <c r="C176" s="602">
        <v>0.70625800000000005</v>
      </c>
      <c r="D176" s="602">
        <v>0.50201799999999996</v>
      </c>
      <c r="E176" s="602">
        <v>0.113243</v>
      </c>
      <c r="F176" s="602">
        <v>1.0019910000000001</v>
      </c>
      <c r="G176" s="602" t="s">
        <v>1790</v>
      </c>
      <c r="H176" s="602">
        <v>2002</v>
      </c>
    </row>
    <row r="177" spans="1:8" x14ac:dyDescent="0.2">
      <c r="A177">
        <v>68</v>
      </c>
      <c r="B177" s="602">
        <v>0.19575500000000001</v>
      </c>
      <c r="C177" s="602">
        <v>0.33888499999999999</v>
      </c>
      <c r="D177" s="602">
        <v>0.25219399999999997</v>
      </c>
      <c r="E177" s="602">
        <v>5.6439000000000003E-2</v>
      </c>
      <c r="F177" s="602">
        <v>0.47963</v>
      </c>
      <c r="G177" s="602" t="s">
        <v>1790</v>
      </c>
      <c r="H177" s="602">
        <v>2003</v>
      </c>
    </row>
    <row r="178" spans="1:8" x14ac:dyDescent="0.2">
      <c r="A178">
        <v>69</v>
      </c>
      <c r="B178" s="602">
        <v>0.119681</v>
      </c>
      <c r="C178" s="602">
        <v>0.19736799999999999</v>
      </c>
      <c r="D178" s="602">
        <v>0.15436</v>
      </c>
      <c r="E178" s="602">
        <v>3.4679000000000001E-2</v>
      </c>
      <c r="F178" s="602">
        <v>0.28500399999999998</v>
      </c>
      <c r="G178" s="602" t="s">
        <v>1790</v>
      </c>
      <c r="H178" s="602">
        <v>2004</v>
      </c>
    </row>
    <row r="179" spans="1:8" x14ac:dyDescent="0.2">
      <c r="A179">
        <v>70</v>
      </c>
      <c r="B179" s="602">
        <v>0.11133</v>
      </c>
      <c r="C179" s="602">
        <v>0.18110799999999999</v>
      </c>
      <c r="D179" s="602">
        <v>0.14341300000000001</v>
      </c>
      <c r="E179" s="602">
        <v>3.2083E-2</v>
      </c>
      <c r="F179" s="602">
        <v>0.26428000000000001</v>
      </c>
      <c r="G179" s="602" t="s">
        <v>1790</v>
      </c>
      <c r="H179" s="602">
        <v>2005</v>
      </c>
    </row>
    <row r="180" spans="1:8" x14ac:dyDescent="0.2">
      <c r="A180">
        <v>71</v>
      </c>
      <c r="B180" s="602">
        <v>0.116525</v>
      </c>
      <c r="C180" s="602">
        <v>0.19056699999999999</v>
      </c>
      <c r="D180" s="602">
        <v>0.15013499999999999</v>
      </c>
      <c r="E180" s="602">
        <v>3.3610000000000001E-2</v>
      </c>
      <c r="F180" s="602">
        <v>0.279478</v>
      </c>
      <c r="G180" s="602" t="s">
        <v>1790</v>
      </c>
      <c r="H180" s="602">
        <v>2006</v>
      </c>
    </row>
  </sheetData>
  <mergeCells count="7">
    <mergeCell ref="T7:Y7"/>
    <mergeCell ref="AA7:AF7"/>
    <mergeCell ref="AH4:AK6"/>
    <mergeCell ref="N7:Q7"/>
    <mergeCell ref="C7:D7"/>
    <mergeCell ref="E7:F7"/>
    <mergeCell ref="G7:J7"/>
  </mergeCells>
  <pageMargins left="0.7" right="0.7" top="0.75" bottom="0.75" header="0.3" footer="0.3"/>
  <pageSetup paperSize="9" orientation="portrait" horizontalDpi="4294967292" verticalDpi="429496729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96"/>
  <sheetViews>
    <sheetView showGridLines="0" topLeftCell="A151" zoomScale="120" zoomScaleNormal="120" zoomScalePageLayoutView="120" workbookViewId="0">
      <selection activeCell="K194" sqref="K194"/>
    </sheetView>
  </sheetViews>
  <sheetFormatPr baseColWidth="10" defaultColWidth="11" defaultRowHeight="16" x14ac:dyDescent="0.2"/>
  <cols>
    <col min="2" max="2" width="18.83203125" customWidth="1"/>
    <col min="3" max="3" width="16.83203125" customWidth="1"/>
    <col min="4" max="4" width="17.1640625" customWidth="1"/>
    <col min="5" max="5" width="18.33203125" customWidth="1"/>
    <col min="6" max="6" width="16.6640625" customWidth="1"/>
    <col min="7" max="7" width="18.83203125" customWidth="1"/>
    <col min="8" max="8" width="17.5" customWidth="1"/>
    <col min="15" max="15" width="12.83203125" customWidth="1"/>
    <col min="18" max="18" width="12" customWidth="1"/>
    <col min="19" max="21" width="13.5" customWidth="1"/>
  </cols>
  <sheetData>
    <row r="2" spans="2:21" ht="21" x14ac:dyDescent="0.25">
      <c r="B2" s="596" t="s">
        <v>1688</v>
      </c>
    </row>
    <row r="6" spans="2:21" x14ac:dyDescent="0.2">
      <c r="B6" s="451" t="s">
        <v>1689</v>
      </c>
      <c r="C6" s="438"/>
      <c r="D6" s="438"/>
      <c r="P6" s="1330"/>
      <c r="Q6" s="1330"/>
      <c r="R6" s="1330"/>
      <c r="S6" s="870"/>
      <c r="T6" s="870"/>
      <c r="U6" s="870"/>
    </row>
    <row r="7" spans="2:21" x14ac:dyDescent="0.2">
      <c r="B7" s="341" t="s">
        <v>1687</v>
      </c>
      <c r="P7" s="1330"/>
      <c r="Q7" s="1330"/>
      <c r="R7" s="1330"/>
      <c r="S7" s="870"/>
      <c r="T7" s="870"/>
      <c r="U7" s="870"/>
    </row>
    <row r="8" spans="2:21" x14ac:dyDescent="0.2">
      <c r="P8" s="1330"/>
      <c r="Q8" s="1330"/>
      <c r="R8" s="1330"/>
      <c r="S8" s="870"/>
      <c r="T8" s="870"/>
      <c r="U8" s="870"/>
    </row>
    <row r="9" spans="2:21" x14ac:dyDescent="0.2">
      <c r="B9" s="1131" t="s">
        <v>1678</v>
      </c>
      <c r="C9" s="1131"/>
      <c r="D9" s="1131"/>
      <c r="E9" s="1131"/>
      <c r="F9" s="1131"/>
      <c r="G9" s="1131"/>
      <c r="I9" s="1131" t="s">
        <v>1679</v>
      </c>
      <c r="J9" s="1131"/>
      <c r="K9" s="1131"/>
      <c r="L9" s="1131"/>
      <c r="M9" s="1131"/>
      <c r="N9" s="1131"/>
      <c r="O9" s="340"/>
      <c r="P9" s="340"/>
      <c r="Q9" s="340"/>
    </row>
    <row r="10" spans="2:21" ht="80" x14ac:dyDescent="0.2">
      <c r="B10" s="771" t="s">
        <v>1</v>
      </c>
      <c r="C10" s="861" t="s">
        <v>1686</v>
      </c>
      <c r="D10" s="861" t="s">
        <v>1682</v>
      </c>
      <c r="E10" s="861" t="s">
        <v>1677</v>
      </c>
      <c r="F10" s="861" t="s">
        <v>1676</v>
      </c>
      <c r="G10" s="861" t="s">
        <v>1680</v>
      </c>
      <c r="H10" s="340"/>
      <c r="I10" s="771" t="s">
        <v>1</v>
      </c>
      <c r="J10" s="861" t="s">
        <v>1686</v>
      </c>
      <c r="K10" s="861" t="s">
        <v>1682</v>
      </c>
      <c r="L10" s="861" t="s">
        <v>1677</v>
      </c>
      <c r="M10" s="861" t="s">
        <v>1676</v>
      </c>
      <c r="N10" s="861" t="s">
        <v>1680</v>
      </c>
      <c r="O10" s="340"/>
      <c r="P10" s="861" t="s">
        <v>1681</v>
      </c>
      <c r="Q10" s="861" t="s">
        <v>1683</v>
      </c>
      <c r="R10" s="861" t="s">
        <v>1685</v>
      </c>
      <c r="S10" s="874"/>
      <c r="T10" s="874"/>
      <c r="U10" s="874"/>
    </row>
    <row r="11" spans="2:21" x14ac:dyDescent="0.2">
      <c r="B11" s="346">
        <v>1995</v>
      </c>
      <c r="C11" s="346">
        <v>7.0556999999999995E-2</v>
      </c>
      <c r="D11" s="346">
        <v>5.6114110000000004</v>
      </c>
      <c r="E11" s="346">
        <v>335.21234600000003</v>
      </c>
      <c r="F11" s="346">
        <v>347.36942599999998</v>
      </c>
      <c r="G11" s="718">
        <f>E11/F11</f>
        <v>0.96500244670352786</v>
      </c>
      <c r="H11" s="340"/>
      <c r="I11" s="346">
        <v>1995</v>
      </c>
      <c r="J11" s="346">
        <v>0.13212599999999999</v>
      </c>
      <c r="K11" s="346">
        <v>6.8569880000000003</v>
      </c>
      <c r="L11" s="346">
        <v>660.842085</v>
      </c>
      <c r="M11" s="346">
        <v>675.13114099999996</v>
      </c>
      <c r="N11" s="718">
        <f>L11/M11</f>
        <v>0.97883514011983641</v>
      </c>
      <c r="O11" s="340"/>
      <c r="P11" s="346">
        <v>2.886E-2</v>
      </c>
      <c r="Q11" s="346">
        <v>28.325462000000002</v>
      </c>
      <c r="R11" s="346">
        <v>25.895261999999999</v>
      </c>
      <c r="S11" s="340"/>
      <c r="T11" s="340"/>
      <c r="U11" s="340"/>
    </row>
    <row r="12" spans="2:21" x14ac:dyDescent="0.2">
      <c r="B12" s="346">
        <v>1996</v>
      </c>
      <c r="C12" s="346">
        <v>7.5885999999999995E-2</v>
      </c>
      <c r="D12" s="346">
        <v>6.3881629999999996</v>
      </c>
      <c r="E12" s="346">
        <v>368.686823</v>
      </c>
      <c r="F12" s="346">
        <v>382.48482100000001</v>
      </c>
      <c r="G12" s="718">
        <f t="shared" ref="G12:G22" si="0">E12/F12</f>
        <v>0.96392537104106413</v>
      </c>
      <c r="H12" s="340"/>
      <c r="I12" s="346">
        <v>1996</v>
      </c>
      <c r="J12" s="346">
        <v>0.143398</v>
      </c>
      <c r="K12" s="346">
        <v>7.8026020000000003</v>
      </c>
      <c r="L12" s="346">
        <v>723.99924299999998</v>
      </c>
      <c r="M12" s="346">
        <v>739.76960899999995</v>
      </c>
      <c r="N12" s="718">
        <f t="shared" ref="N12:N22" si="1">L12/M12</f>
        <v>0.97868205748365644</v>
      </c>
      <c r="O12" s="340"/>
      <c r="P12" s="346">
        <v>3.1477999999999999E-2</v>
      </c>
      <c r="Q12" s="346">
        <v>30.053564999999999</v>
      </c>
      <c r="R12" s="346">
        <v>27.479671</v>
      </c>
      <c r="S12" s="340"/>
      <c r="T12" s="340"/>
      <c r="U12" s="340"/>
    </row>
    <row r="13" spans="2:21" x14ac:dyDescent="0.2">
      <c r="B13" s="346">
        <v>1997</v>
      </c>
      <c r="C13" s="346">
        <v>8.1212999999999994E-2</v>
      </c>
      <c r="D13" s="346">
        <v>6.5694910000000002</v>
      </c>
      <c r="E13" s="346">
        <v>379.23979700000001</v>
      </c>
      <c r="F13" s="346">
        <v>393.426042</v>
      </c>
      <c r="G13" s="718">
        <f t="shared" si="0"/>
        <v>0.96394177434751516</v>
      </c>
      <c r="H13" s="340"/>
      <c r="I13" s="346">
        <v>1997</v>
      </c>
      <c r="J13" s="346">
        <v>0.15499499999999999</v>
      </c>
      <c r="K13" s="346">
        <v>8.0659530000000004</v>
      </c>
      <c r="L13" s="346">
        <v>757.18608300000005</v>
      </c>
      <c r="M13" s="346">
        <v>773.88834699999995</v>
      </c>
      <c r="N13" s="718">
        <f t="shared" si="1"/>
        <v>0.97841773420578471</v>
      </c>
      <c r="O13" s="340"/>
      <c r="P13" s="346">
        <v>3.4172000000000001E-2</v>
      </c>
      <c r="Q13" s="346">
        <v>30.493331999999999</v>
      </c>
      <c r="R13" s="346">
        <v>28.52628</v>
      </c>
      <c r="S13" s="340"/>
      <c r="T13" s="340"/>
      <c r="U13" s="340"/>
    </row>
    <row r="14" spans="2:21" x14ac:dyDescent="0.2">
      <c r="B14" s="346">
        <v>1998</v>
      </c>
      <c r="C14" s="346">
        <v>8.3618999999999999E-2</v>
      </c>
      <c r="D14" s="346">
        <v>6.6125429999999996</v>
      </c>
      <c r="E14" s="346">
        <v>224.56907000000001</v>
      </c>
      <c r="F14" s="346">
        <v>238.880122</v>
      </c>
      <c r="G14" s="718">
        <f t="shared" si="0"/>
        <v>0.9400910721236152</v>
      </c>
      <c r="H14" s="340"/>
      <c r="I14" s="346">
        <v>1998</v>
      </c>
      <c r="J14" s="346">
        <v>0.16350400000000001</v>
      </c>
      <c r="K14" s="346">
        <v>8.1286290000000001</v>
      </c>
      <c r="L14" s="346">
        <v>583.88480500000003</v>
      </c>
      <c r="M14" s="346">
        <v>600.51972000000001</v>
      </c>
      <c r="N14" s="718">
        <f t="shared" si="1"/>
        <v>0.97229913615492936</v>
      </c>
      <c r="O14" s="340"/>
      <c r="P14" s="346">
        <v>3.6854999999999999E-2</v>
      </c>
      <c r="Q14" s="346">
        <v>27.238156</v>
      </c>
      <c r="R14" s="346">
        <v>26.009436000000001</v>
      </c>
      <c r="S14" s="340"/>
      <c r="T14" s="340"/>
      <c r="U14" s="340"/>
    </row>
    <row r="15" spans="2:21" x14ac:dyDescent="0.2">
      <c r="B15" s="346">
        <v>1999</v>
      </c>
      <c r="C15" s="346">
        <v>8.3935999999999997E-2</v>
      </c>
      <c r="D15" s="346">
        <v>6.6334549999999997</v>
      </c>
      <c r="E15" s="346">
        <v>111.65749099999999</v>
      </c>
      <c r="F15" s="346">
        <v>125.94387</v>
      </c>
      <c r="G15" s="718">
        <f t="shared" si="0"/>
        <v>0.88656550731687056</v>
      </c>
      <c r="H15" s="340"/>
      <c r="I15" s="346">
        <v>1999</v>
      </c>
      <c r="J15" s="346">
        <v>0.17005000000000001</v>
      </c>
      <c r="K15" s="346">
        <v>8.1618089999999999</v>
      </c>
      <c r="L15" s="346">
        <v>387.39756199999999</v>
      </c>
      <c r="M15" s="346">
        <v>404.12249600000001</v>
      </c>
      <c r="N15" s="718">
        <f t="shared" si="1"/>
        <v>0.95861419701812389</v>
      </c>
      <c r="O15" s="340"/>
      <c r="P15" s="346">
        <v>3.9505999999999999E-2</v>
      </c>
      <c r="Q15" s="346">
        <v>26.159122</v>
      </c>
      <c r="R15" s="346">
        <v>25.735766999999999</v>
      </c>
      <c r="S15" s="340"/>
      <c r="T15" s="340"/>
      <c r="U15" s="340"/>
    </row>
    <row r="16" spans="2:21" x14ac:dyDescent="0.2">
      <c r="B16" s="346">
        <v>2000</v>
      </c>
      <c r="C16" s="346">
        <v>8.4995000000000001E-2</v>
      </c>
      <c r="D16" s="346">
        <v>7.1413549999999999</v>
      </c>
      <c r="E16" s="346">
        <v>81.173384999999996</v>
      </c>
      <c r="F16" s="346">
        <v>96.638610999999997</v>
      </c>
      <c r="G16" s="718">
        <f t="shared" si="0"/>
        <v>0.83996845732809633</v>
      </c>
      <c r="H16" s="340"/>
      <c r="I16" s="346">
        <v>2000</v>
      </c>
      <c r="J16" s="346">
        <v>0.17777000000000001</v>
      </c>
      <c r="K16" s="346">
        <v>8.7532689999999995</v>
      </c>
      <c r="L16" s="346">
        <v>293.66045700000001</v>
      </c>
      <c r="M16" s="346">
        <v>311.48207300000001</v>
      </c>
      <c r="N16" s="718">
        <f t="shared" si="1"/>
        <v>0.9427844568120618</v>
      </c>
      <c r="O16" s="340"/>
      <c r="P16" s="346">
        <v>4.2318000000000001E-2</v>
      </c>
      <c r="Q16" s="346">
        <v>29.400690999999998</v>
      </c>
      <c r="R16" s="346">
        <v>27.304570999999999</v>
      </c>
      <c r="S16" s="340"/>
      <c r="T16" s="340"/>
      <c r="U16" s="340"/>
    </row>
    <row r="17" spans="2:21" x14ac:dyDescent="0.2">
      <c r="B17" s="346">
        <v>2001</v>
      </c>
      <c r="C17" s="346">
        <v>8.6157999999999998E-2</v>
      </c>
      <c r="D17" s="346">
        <v>4.8662219999999996</v>
      </c>
      <c r="E17" s="346">
        <v>42.248488999999999</v>
      </c>
      <c r="F17" s="346">
        <v>52.308666000000002</v>
      </c>
      <c r="G17" s="718">
        <f t="shared" si="0"/>
        <v>0.80767666680698758</v>
      </c>
      <c r="H17" s="340"/>
      <c r="I17" s="346">
        <v>2001</v>
      </c>
      <c r="J17" s="346">
        <v>0.185858</v>
      </c>
      <c r="K17" s="346">
        <v>6.1600109999999999</v>
      </c>
      <c r="L17" s="346">
        <v>203.29726400000001</v>
      </c>
      <c r="M17" s="346">
        <v>215.38919200000001</v>
      </c>
      <c r="N17" s="718">
        <f t="shared" si="1"/>
        <v>0.94386009860699049</v>
      </c>
      <c r="O17" s="340"/>
      <c r="P17" s="346">
        <v>4.4610999999999998E-2</v>
      </c>
      <c r="Q17" s="346">
        <v>10.997308</v>
      </c>
      <c r="R17" s="346">
        <v>19.619451000000002</v>
      </c>
      <c r="S17" s="340"/>
      <c r="T17" s="340"/>
      <c r="U17" s="340"/>
    </row>
    <row r="18" spans="2:21" x14ac:dyDescent="0.2">
      <c r="B18" s="346">
        <v>2002</v>
      </c>
      <c r="C18" s="346">
        <v>8.6654999999999996E-2</v>
      </c>
      <c r="D18" s="346">
        <v>1.356792</v>
      </c>
      <c r="E18" s="346">
        <v>18.006578999999999</v>
      </c>
      <c r="F18" s="346">
        <v>20.299811999999999</v>
      </c>
      <c r="G18" s="718">
        <f t="shared" si="0"/>
        <v>0.88703181093499783</v>
      </c>
      <c r="H18" s="340"/>
      <c r="I18" s="346">
        <v>2002</v>
      </c>
      <c r="J18" s="346">
        <v>0.193411</v>
      </c>
      <c r="K18" s="346">
        <v>1.9558070000000001</v>
      </c>
      <c r="L18" s="346">
        <v>129.817125</v>
      </c>
      <c r="M18" s="346">
        <v>132.99716599999999</v>
      </c>
      <c r="N18" s="718">
        <f t="shared" si="1"/>
        <v>0.97608940779986253</v>
      </c>
      <c r="O18" s="340"/>
      <c r="P18" s="346">
        <v>4.614E-2</v>
      </c>
      <c r="Q18" s="346">
        <v>4.5012790000000003</v>
      </c>
      <c r="R18" s="346">
        <v>14.607144999999999</v>
      </c>
      <c r="S18" s="340"/>
      <c r="T18" s="340"/>
      <c r="U18" s="340"/>
    </row>
    <row r="19" spans="2:21" x14ac:dyDescent="0.2">
      <c r="B19" s="346">
        <v>2003</v>
      </c>
      <c r="C19" s="346">
        <v>8.6570999999999995E-2</v>
      </c>
      <c r="D19" s="346">
        <v>0.51182399999999995</v>
      </c>
      <c r="E19" s="346">
        <v>10.657704000000001</v>
      </c>
      <c r="F19" s="346">
        <v>11.556855000000001</v>
      </c>
      <c r="G19" s="718">
        <f t="shared" si="0"/>
        <v>0.92219760479819124</v>
      </c>
      <c r="H19" s="340"/>
      <c r="I19" s="346">
        <v>2003</v>
      </c>
      <c r="J19" s="346">
        <v>0.200374</v>
      </c>
      <c r="K19" s="346">
        <v>0.74304999999999999</v>
      </c>
      <c r="L19" s="346">
        <v>88.020156999999998</v>
      </c>
      <c r="M19" s="346">
        <v>89.315721999999994</v>
      </c>
      <c r="N19" s="718">
        <f t="shared" si="1"/>
        <v>0.98549454708545048</v>
      </c>
      <c r="O19" s="340"/>
      <c r="P19" s="346">
        <v>4.7806000000000001E-2</v>
      </c>
      <c r="Q19" s="346">
        <v>2.4249670000000001</v>
      </c>
      <c r="R19" s="346">
        <v>10.744102</v>
      </c>
      <c r="S19" s="340"/>
      <c r="T19" s="340"/>
      <c r="U19" s="340"/>
    </row>
    <row r="20" spans="2:21" x14ac:dyDescent="0.2">
      <c r="B20" s="346">
        <v>2004</v>
      </c>
      <c r="C20" s="346">
        <v>8.6091000000000001E-2</v>
      </c>
      <c r="D20" s="346">
        <v>0.388853</v>
      </c>
      <c r="E20" s="346">
        <v>10.459576</v>
      </c>
      <c r="F20" s="346">
        <v>11.147186</v>
      </c>
      <c r="G20" s="718">
        <f t="shared" si="0"/>
        <v>0.93831537394280495</v>
      </c>
      <c r="H20" s="340"/>
      <c r="I20" s="346">
        <v>2004</v>
      </c>
      <c r="J20" s="346">
        <v>0.20693700000000001</v>
      </c>
      <c r="K20" s="346">
        <v>0.53821399999999997</v>
      </c>
      <c r="L20" s="346">
        <v>64.584871000000007</v>
      </c>
      <c r="M20" s="346">
        <v>65.626788000000005</v>
      </c>
      <c r="N20" s="718">
        <f t="shared" si="1"/>
        <v>0.98412360208761096</v>
      </c>
      <c r="O20" s="340"/>
      <c r="P20" s="346">
        <v>4.9761E-2</v>
      </c>
      <c r="Q20" s="346">
        <v>1.6822109999999999</v>
      </c>
      <c r="R20" s="346">
        <v>7.2119710000000001</v>
      </c>
      <c r="S20" s="340"/>
      <c r="T20" s="340"/>
      <c r="U20" s="340"/>
    </row>
    <row r="21" spans="2:21" x14ac:dyDescent="0.2">
      <c r="B21" s="346">
        <v>2005</v>
      </c>
      <c r="C21" s="346">
        <v>8.5491999999999999E-2</v>
      </c>
      <c r="D21" s="346">
        <v>0.38217400000000001</v>
      </c>
      <c r="E21" s="346">
        <v>14.825360999999999</v>
      </c>
      <c r="F21" s="346">
        <v>15.507547000000001</v>
      </c>
      <c r="G21" s="718">
        <f t="shared" si="0"/>
        <v>0.95600941915571813</v>
      </c>
      <c r="H21" s="340"/>
      <c r="I21" s="346">
        <v>2005</v>
      </c>
      <c r="J21" s="346">
        <v>0.21309600000000001</v>
      </c>
      <c r="K21" s="346">
        <v>0.517675</v>
      </c>
      <c r="L21" s="346">
        <v>55.258308</v>
      </c>
      <c r="M21" s="346">
        <v>56.228772999999997</v>
      </c>
      <c r="N21" s="718">
        <f t="shared" si="1"/>
        <v>0.98274077579462749</v>
      </c>
      <c r="O21" s="340"/>
      <c r="P21" s="346">
        <v>5.1843E-2</v>
      </c>
      <c r="Q21" s="346">
        <v>1.4427410000000001</v>
      </c>
      <c r="R21" s="346">
        <v>3.3255789999999998</v>
      </c>
      <c r="S21" s="340"/>
      <c r="T21" s="340"/>
      <c r="U21" s="340"/>
    </row>
    <row r="22" spans="2:21" x14ac:dyDescent="0.2">
      <c r="B22" s="346">
        <v>2006</v>
      </c>
      <c r="C22" s="346">
        <v>8.5112999999999994E-2</v>
      </c>
      <c r="D22" s="346">
        <v>0.409252</v>
      </c>
      <c r="E22" s="346">
        <v>21.408249999999999</v>
      </c>
      <c r="F22" s="346">
        <v>22.122022999999999</v>
      </c>
      <c r="G22" s="718">
        <f t="shared" si="0"/>
        <v>0.96773473203603488</v>
      </c>
      <c r="H22" s="340"/>
      <c r="I22" s="346">
        <v>2006</v>
      </c>
      <c r="J22" s="346">
        <v>0.21907099999999999</v>
      </c>
      <c r="K22" s="346">
        <v>0.54751000000000005</v>
      </c>
      <c r="L22" s="346">
        <v>55.283602000000002</v>
      </c>
      <c r="M22" s="346">
        <v>56.355871999999998</v>
      </c>
      <c r="N22" s="718">
        <f t="shared" si="1"/>
        <v>0.980973233809602</v>
      </c>
      <c r="O22" s="340"/>
      <c r="P22" s="346">
        <v>5.3982000000000002E-2</v>
      </c>
      <c r="Q22" s="346">
        <v>1.2687759999999999</v>
      </c>
      <c r="R22" s="346">
        <v>1.957527</v>
      </c>
      <c r="S22" s="340"/>
      <c r="T22" s="340"/>
      <c r="U22" s="340"/>
    </row>
    <row r="28" spans="2:21" x14ac:dyDescent="0.2">
      <c r="B28" s="451" t="s">
        <v>1690</v>
      </c>
      <c r="C28" s="438"/>
      <c r="D28" s="438"/>
      <c r="E28" s="438"/>
    </row>
    <row r="29" spans="2:21" x14ac:dyDescent="0.2">
      <c r="B29" s="341" t="s">
        <v>1691</v>
      </c>
    </row>
    <row r="31" spans="2:21" x14ac:dyDescent="0.2">
      <c r="B31" s="1131" t="s">
        <v>1678</v>
      </c>
      <c r="C31" s="1131"/>
      <c r="D31" s="1131"/>
      <c r="E31" s="1131"/>
      <c r="F31" s="1131"/>
      <c r="G31" s="1131"/>
      <c r="I31" s="1131" t="s">
        <v>1679</v>
      </c>
      <c r="J31" s="1131"/>
      <c r="K31" s="1131"/>
      <c r="L31" s="1131"/>
      <c r="M31" s="1131"/>
      <c r="N31" s="1131"/>
    </row>
    <row r="32" spans="2:21" ht="80" x14ac:dyDescent="0.2">
      <c r="B32" s="771" t="s">
        <v>1</v>
      </c>
      <c r="C32" s="861" t="s">
        <v>1686</v>
      </c>
      <c r="D32" s="861" t="s">
        <v>1682</v>
      </c>
      <c r="E32" s="861" t="s">
        <v>1677</v>
      </c>
      <c r="F32" s="861" t="s">
        <v>1676</v>
      </c>
      <c r="G32" s="861" t="s">
        <v>1680</v>
      </c>
      <c r="H32" s="340"/>
      <c r="I32" s="771" t="s">
        <v>1</v>
      </c>
      <c r="J32" s="861" t="s">
        <v>1686</v>
      </c>
      <c r="K32" s="861" t="s">
        <v>1682</v>
      </c>
      <c r="L32" s="861" t="s">
        <v>1677</v>
      </c>
      <c r="M32" s="861" t="s">
        <v>1676</v>
      </c>
      <c r="N32" s="861" t="s">
        <v>1680</v>
      </c>
    </row>
    <row r="33" spans="2:14" x14ac:dyDescent="0.2">
      <c r="B33" s="346">
        <v>1995</v>
      </c>
      <c r="C33" s="346"/>
      <c r="D33" s="346"/>
      <c r="E33" s="346"/>
      <c r="F33" s="346"/>
      <c r="G33" s="718" t="e">
        <f>E33/F33</f>
        <v>#DIV/0!</v>
      </c>
      <c r="H33" s="340"/>
      <c r="I33" s="346">
        <v>1995</v>
      </c>
      <c r="J33" s="346"/>
      <c r="K33" s="346"/>
      <c r="L33" s="346"/>
      <c r="M33" s="346"/>
      <c r="N33" s="718" t="e">
        <f>L33/M33</f>
        <v>#DIV/0!</v>
      </c>
    </row>
    <row r="34" spans="2:14" x14ac:dyDescent="0.2">
      <c r="B34" s="346">
        <v>1996</v>
      </c>
      <c r="C34" s="346"/>
      <c r="D34" s="346"/>
      <c r="E34" s="346"/>
      <c r="F34" s="346"/>
      <c r="G34" s="718" t="e">
        <f t="shared" ref="G34:G44" si="2">E34/F34</f>
        <v>#DIV/0!</v>
      </c>
      <c r="H34" s="340"/>
      <c r="I34" s="346">
        <v>1996</v>
      </c>
      <c r="J34" s="346"/>
      <c r="K34" s="346"/>
      <c r="L34" s="346"/>
      <c r="M34" s="346"/>
      <c r="N34" s="718" t="e">
        <f t="shared" ref="N34:N44" si="3">L34/M34</f>
        <v>#DIV/0!</v>
      </c>
    </row>
    <row r="35" spans="2:14" x14ac:dyDescent="0.2">
      <c r="B35" s="346">
        <v>1997</v>
      </c>
      <c r="C35" s="346"/>
      <c r="D35" s="346"/>
      <c r="E35" s="346"/>
      <c r="F35" s="346"/>
      <c r="G35" s="718" t="e">
        <f t="shared" si="2"/>
        <v>#DIV/0!</v>
      </c>
      <c r="H35" s="340"/>
      <c r="I35" s="346">
        <v>1997</v>
      </c>
      <c r="J35" s="346"/>
      <c r="K35" s="346"/>
      <c r="L35" s="346"/>
      <c r="M35" s="346"/>
      <c r="N35" s="718" t="e">
        <f t="shared" si="3"/>
        <v>#DIV/0!</v>
      </c>
    </row>
    <row r="36" spans="2:14" x14ac:dyDescent="0.2">
      <c r="B36" s="346">
        <v>1998</v>
      </c>
      <c r="C36" s="346"/>
      <c r="D36" s="346"/>
      <c r="E36" s="346"/>
      <c r="F36" s="346"/>
      <c r="G36" s="718" t="e">
        <f t="shared" si="2"/>
        <v>#DIV/0!</v>
      </c>
      <c r="H36" s="340"/>
      <c r="I36" s="346">
        <v>1998</v>
      </c>
      <c r="J36" s="346"/>
      <c r="K36" s="346"/>
      <c r="L36" s="346"/>
      <c r="M36" s="346"/>
      <c r="N36" s="718" t="e">
        <f t="shared" si="3"/>
        <v>#DIV/0!</v>
      </c>
    </row>
    <row r="37" spans="2:14" x14ac:dyDescent="0.2">
      <c r="B37" s="346">
        <v>1999</v>
      </c>
      <c r="C37" s="346"/>
      <c r="D37" s="346"/>
      <c r="E37" s="346"/>
      <c r="F37" s="346"/>
      <c r="G37" s="718" t="e">
        <f t="shared" si="2"/>
        <v>#DIV/0!</v>
      </c>
      <c r="H37" s="340"/>
      <c r="I37" s="346">
        <v>1999</v>
      </c>
      <c r="J37" s="346"/>
      <c r="K37" s="346"/>
      <c r="L37" s="346"/>
      <c r="M37" s="346"/>
      <c r="N37" s="718" t="e">
        <f t="shared" si="3"/>
        <v>#DIV/0!</v>
      </c>
    </row>
    <row r="38" spans="2:14" x14ac:dyDescent="0.2">
      <c r="B38" s="346">
        <v>2000</v>
      </c>
      <c r="C38" s="346"/>
      <c r="D38" s="346"/>
      <c r="E38" s="346"/>
      <c r="F38" s="346"/>
      <c r="G38" s="718" t="e">
        <f t="shared" si="2"/>
        <v>#DIV/0!</v>
      </c>
      <c r="H38" s="340"/>
      <c r="I38" s="346">
        <v>2000</v>
      </c>
      <c r="J38" s="346"/>
      <c r="K38" s="346"/>
      <c r="L38" s="346"/>
      <c r="M38" s="346"/>
      <c r="N38" s="718" t="e">
        <f t="shared" si="3"/>
        <v>#DIV/0!</v>
      </c>
    </row>
    <row r="39" spans="2:14" x14ac:dyDescent="0.2">
      <c r="B39" s="346">
        <v>2001</v>
      </c>
      <c r="C39" s="346"/>
      <c r="D39" s="346"/>
      <c r="E39" s="346"/>
      <c r="F39" s="346"/>
      <c r="G39" s="718" t="e">
        <f t="shared" si="2"/>
        <v>#DIV/0!</v>
      </c>
      <c r="H39" s="340"/>
      <c r="I39" s="346">
        <v>2001</v>
      </c>
      <c r="J39" s="346"/>
      <c r="K39" s="346"/>
      <c r="L39" s="346"/>
      <c r="M39" s="346"/>
      <c r="N39" s="718" t="e">
        <f t="shared" si="3"/>
        <v>#DIV/0!</v>
      </c>
    </row>
    <row r="40" spans="2:14" x14ac:dyDescent="0.2">
      <c r="B40" s="346">
        <v>2002</v>
      </c>
      <c r="C40" s="346"/>
      <c r="D40" s="346"/>
      <c r="E40" s="346"/>
      <c r="F40" s="346"/>
      <c r="G40" s="718" t="e">
        <f t="shared" si="2"/>
        <v>#DIV/0!</v>
      </c>
      <c r="H40" s="340"/>
      <c r="I40" s="346">
        <v>2002</v>
      </c>
      <c r="J40" s="346"/>
      <c r="K40" s="346"/>
      <c r="L40" s="346"/>
      <c r="M40" s="346"/>
      <c r="N40" s="718" t="e">
        <f t="shared" si="3"/>
        <v>#DIV/0!</v>
      </c>
    </row>
    <row r="41" spans="2:14" x14ac:dyDescent="0.2">
      <c r="B41" s="346">
        <v>2003</v>
      </c>
      <c r="C41" s="346"/>
      <c r="D41" s="346"/>
      <c r="E41" s="346"/>
      <c r="F41" s="346"/>
      <c r="G41" s="718" t="e">
        <f t="shared" si="2"/>
        <v>#DIV/0!</v>
      </c>
      <c r="H41" s="340"/>
      <c r="I41" s="346">
        <v>2003</v>
      </c>
      <c r="J41" s="346"/>
      <c r="K41" s="346"/>
      <c r="L41" s="346"/>
      <c r="M41" s="346"/>
      <c r="N41" s="718" t="e">
        <f t="shared" si="3"/>
        <v>#DIV/0!</v>
      </c>
    </row>
    <row r="42" spans="2:14" x14ac:dyDescent="0.2">
      <c r="B42" s="346">
        <v>2004</v>
      </c>
      <c r="C42" s="346"/>
      <c r="D42" s="346"/>
      <c r="E42" s="346"/>
      <c r="F42" s="346"/>
      <c r="G42" s="718" t="e">
        <f t="shared" si="2"/>
        <v>#DIV/0!</v>
      </c>
      <c r="H42" s="340"/>
      <c r="I42" s="346">
        <v>2004</v>
      </c>
      <c r="J42" s="346"/>
      <c r="K42" s="346"/>
      <c r="L42" s="346"/>
      <c r="M42" s="346"/>
      <c r="N42" s="718" t="e">
        <f t="shared" si="3"/>
        <v>#DIV/0!</v>
      </c>
    </row>
    <row r="43" spans="2:14" x14ac:dyDescent="0.2">
      <c r="B43" s="346">
        <v>2005</v>
      </c>
      <c r="C43" s="346"/>
      <c r="D43" s="346"/>
      <c r="E43" s="346"/>
      <c r="F43" s="346"/>
      <c r="G43" s="718" t="e">
        <f t="shared" si="2"/>
        <v>#DIV/0!</v>
      </c>
      <c r="H43" s="340"/>
      <c r="I43" s="346">
        <v>2005</v>
      </c>
      <c r="J43" s="346"/>
      <c r="K43" s="346"/>
      <c r="L43" s="346"/>
      <c r="M43" s="346"/>
      <c r="N43" s="718" t="e">
        <f t="shared" si="3"/>
        <v>#DIV/0!</v>
      </c>
    </row>
    <row r="44" spans="2:14" x14ac:dyDescent="0.2">
      <c r="B44" s="346">
        <v>2006</v>
      </c>
      <c r="C44" s="346"/>
      <c r="D44" s="346"/>
      <c r="E44" s="346"/>
      <c r="F44" s="346"/>
      <c r="G44" s="718" t="e">
        <f t="shared" si="2"/>
        <v>#DIV/0!</v>
      </c>
      <c r="H44" s="340"/>
      <c r="I44" s="346">
        <v>2006</v>
      </c>
      <c r="J44" s="346"/>
      <c r="K44" s="346"/>
      <c r="L44" s="346"/>
      <c r="M44" s="346"/>
      <c r="N44" s="718" t="e">
        <f t="shared" si="3"/>
        <v>#DIV/0!</v>
      </c>
    </row>
    <row r="48" spans="2:14" x14ac:dyDescent="0.2">
      <c r="B48" s="451" t="s">
        <v>1707</v>
      </c>
      <c r="C48" s="438"/>
      <c r="D48" s="438"/>
    </row>
    <row r="49" spans="2:29" x14ac:dyDescent="0.2">
      <c r="B49" t="s">
        <v>1720</v>
      </c>
    </row>
    <row r="51" spans="2:29" ht="54" customHeight="1" x14ac:dyDescent="0.2">
      <c r="C51" s="876" t="s">
        <v>1722</v>
      </c>
      <c r="D51" s="876"/>
      <c r="E51" s="1333" t="s">
        <v>1721</v>
      </c>
      <c r="F51" s="1334"/>
      <c r="G51" s="1334"/>
      <c r="H51" s="1335"/>
      <c r="I51" s="1331" t="s">
        <v>1725</v>
      </c>
      <c r="J51" s="1332"/>
      <c r="K51" s="1332"/>
      <c r="N51" t="s">
        <v>1724</v>
      </c>
      <c r="W51" s="220"/>
      <c r="X51" s="220"/>
      <c r="Y51" s="220"/>
      <c r="Z51" s="220"/>
      <c r="AA51" s="220"/>
      <c r="AB51" s="220"/>
      <c r="AC51" s="220"/>
    </row>
    <row r="52" spans="2:29" ht="62" customHeight="1" x14ac:dyDescent="0.2">
      <c r="B52" s="877" t="s">
        <v>1740</v>
      </c>
      <c r="C52" s="861" t="s">
        <v>1692</v>
      </c>
      <c r="D52" s="861" t="s">
        <v>1693</v>
      </c>
      <c r="E52" s="861" t="s">
        <v>1700</v>
      </c>
      <c r="F52" s="861" t="s">
        <v>1701</v>
      </c>
      <c r="G52" s="861" t="s">
        <v>1705</v>
      </c>
      <c r="H52" s="861" t="s">
        <v>1702</v>
      </c>
      <c r="I52" s="861" t="s">
        <v>1698</v>
      </c>
      <c r="J52" s="861" t="s">
        <v>1699</v>
      </c>
      <c r="K52" s="861" t="s">
        <v>1704</v>
      </c>
      <c r="N52" s="864" t="s">
        <v>1708</v>
      </c>
      <c r="O52" s="864" t="s">
        <v>1709</v>
      </c>
      <c r="P52" s="864" t="s">
        <v>1738</v>
      </c>
      <c r="Q52" s="864" t="s">
        <v>1710</v>
      </c>
      <c r="R52" s="865" t="s">
        <v>1719</v>
      </c>
      <c r="W52" s="220"/>
      <c r="X52" s="220"/>
      <c r="Y52" s="879"/>
      <c r="Z52" s="879"/>
      <c r="AA52" s="879"/>
      <c r="AB52" s="879"/>
      <c r="AC52" s="220"/>
    </row>
    <row r="53" spans="2:29" x14ac:dyDescent="0.2">
      <c r="B53" s="686" t="s">
        <v>1695</v>
      </c>
      <c r="C53" s="866">
        <v>560786.34403802152</v>
      </c>
      <c r="D53" s="866">
        <v>855255.01786305849</v>
      </c>
      <c r="E53" s="866">
        <v>49047.26</v>
      </c>
      <c r="F53" s="866">
        <v>72130.649999999994</v>
      </c>
      <c r="G53" s="866">
        <v>106.79</v>
      </c>
      <c r="H53" s="866">
        <v>29960.83</v>
      </c>
      <c r="I53" s="866">
        <v>0.02</v>
      </c>
      <c r="J53" s="866">
        <v>5.9999999999999995E-4</v>
      </c>
      <c r="K53" s="866">
        <v>7036.2</v>
      </c>
      <c r="N53" s="866">
        <f>C53*$C$66+D53*$C$67</f>
        <v>1314308.7932654519</v>
      </c>
      <c r="O53" s="866">
        <f>E53*$C$66+F53*$C$67+G53+H53*$C$68</f>
        <v>143869.57187906618</v>
      </c>
      <c r="P53" s="866">
        <f>(C53*$C$66+D53*$C$67)-(E53*$C$66+F53*$C$67+G53+H53*$C$68)-K53</f>
        <v>1163403.0213863857</v>
      </c>
      <c r="Q53" s="866">
        <f>I53*$C$66+J53*$C$67+K53</f>
        <v>7036.2200317770285</v>
      </c>
      <c r="R53" s="867">
        <f>N53-O53-Q53-P53</f>
        <v>-2.0031776977702975E-2</v>
      </c>
      <c r="W53" s="220"/>
      <c r="X53" s="220"/>
      <c r="Y53" s="880"/>
      <c r="Z53" s="880"/>
      <c r="AA53" s="880"/>
      <c r="AB53" s="880"/>
      <c r="AC53" s="220"/>
    </row>
    <row r="54" spans="2:29" x14ac:dyDescent="0.2">
      <c r="B54" s="686" t="s">
        <v>1696</v>
      </c>
      <c r="C54" s="866">
        <v>560786.34403802152</v>
      </c>
      <c r="D54" s="866">
        <v>855255.01786305849</v>
      </c>
      <c r="E54" s="866">
        <v>20020.95</v>
      </c>
      <c r="F54" s="866">
        <v>64699.16</v>
      </c>
      <c r="G54" s="866">
        <v>38.99</v>
      </c>
      <c r="H54" s="866">
        <v>6436.39</v>
      </c>
      <c r="I54" s="866">
        <v>0.03</v>
      </c>
      <c r="J54" s="866">
        <v>4.0000000000000002E-4</v>
      </c>
      <c r="K54" s="866">
        <v>7436.19</v>
      </c>
      <c r="N54" s="866">
        <f>C54*$C$66+D54*$C$67</f>
        <v>1314308.7932654519</v>
      </c>
      <c r="O54" s="866">
        <f>E54*$C$66+F54*$C$67+G54+H54*$C$68</f>
        <v>84335.399982401024</v>
      </c>
      <c r="P54" s="866">
        <f>(C54*$C$66+D54*$C$67)-(E54*$C$66+F54*$C$67+G54+H54*$C$68)-K54</f>
        <v>1222537.203283051</v>
      </c>
      <c r="Q54" s="866">
        <f>I54*$C$66+J54*$C$67+K54</f>
        <v>7436.2195988325084</v>
      </c>
      <c r="R54" s="867">
        <f>N54-O54-Q54-P54</f>
        <v>-2.9598832596093416E-2</v>
      </c>
      <c r="W54" s="220"/>
      <c r="X54" s="220"/>
      <c r="Y54" s="880"/>
      <c r="Z54" s="880"/>
      <c r="AA54" s="880"/>
      <c r="AB54" s="880"/>
      <c r="AC54" s="220"/>
    </row>
    <row r="55" spans="2:29" x14ac:dyDescent="0.2">
      <c r="B55" s="459"/>
      <c r="C55" s="875"/>
      <c r="D55" s="875" t="s">
        <v>1741</v>
      </c>
      <c r="E55" s="875">
        <v>253.12</v>
      </c>
      <c r="F55" s="875">
        <v>1631.56</v>
      </c>
      <c r="G55" s="875">
        <v>6343</v>
      </c>
      <c r="H55" s="875">
        <v>133</v>
      </c>
      <c r="I55" s="875"/>
      <c r="J55" s="875"/>
      <c r="K55" s="875"/>
      <c r="N55" s="875"/>
      <c r="O55" s="875"/>
      <c r="P55" s="875"/>
      <c r="Q55" s="875"/>
      <c r="R55" s="880"/>
      <c r="W55" s="220"/>
      <c r="X55" s="220"/>
      <c r="Y55" s="880"/>
      <c r="Z55" s="880"/>
      <c r="AA55" s="880"/>
      <c r="AB55" s="880"/>
      <c r="AC55" s="220"/>
    </row>
    <row r="56" spans="2:29" x14ac:dyDescent="0.2">
      <c r="B56" s="459"/>
      <c r="C56" s="875"/>
      <c r="D56" s="875" t="s">
        <v>1742</v>
      </c>
      <c r="E56" s="875">
        <v>253.1</v>
      </c>
      <c r="F56" s="875">
        <v>1631.6</v>
      </c>
      <c r="G56" s="875">
        <v>6343</v>
      </c>
      <c r="H56" s="875">
        <v>133</v>
      </c>
      <c r="I56" s="875"/>
      <c r="J56" s="875"/>
      <c r="K56" s="875"/>
      <c r="N56" s="875"/>
      <c r="O56" s="875"/>
      <c r="P56" s="875"/>
      <c r="Q56" s="875"/>
      <c r="R56" s="880"/>
      <c r="W56" s="220"/>
      <c r="X56" s="220"/>
      <c r="Y56" s="880"/>
      <c r="Z56" s="880"/>
      <c r="AA56" s="880"/>
      <c r="AB56" s="880"/>
      <c r="AC56" s="220"/>
    </row>
    <row r="57" spans="2:29" x14ac:dyDescent="0.2">
      <c r="B57" s="459"/>
      <c r="C57" s="875"/>
      <c r="D57" s="875"/>
      <c r="E57" s="875"/>
      <c r="F57" s="875"/>
      <c r="G57" s="875"/>
      <c r="H57" s="875"/>
      <c r="I57" s="875"/>
      <c r="J57" s="875"/>
      <c r="K57" s="875"/>
      <c r="N57" s="875"/>
      <c r="O57" s="875"/>
      <c r="P57" s="875"/>
      <c r="Q57" s="875"/>
      <c r="R57" s="880"/>
      <c r="W57" s="220"/>
      <c r="X57" s="220"/>
      <c r="Y57" s="880"/>
      <c r="Z57" s="880"/>
      <c r="AA57" s="880"/>
      <c r="AB57" s="880"/>
      <c r="AC57" s="220"/>
    </row>
    <row r="58" spans="2:29" x14ac:dyDescent="0.2">
      <c r="B58" s="459"/>
      <c r="C58" s="875"/>
      <c r="D58" s="875"/>
      <c r="E58" s="875"/>
      <c r="F58" s="875"/>
      <c r="G58" s="875"/>
      <c r="H58" s="875"/>
      <c r="I58" s="875"/>
      <c r="J58" s="875"/>
      <c r="K58" s="875"/>
      <c r="L58" s="875"/>
      <c r="M58" s="875"/>
      <c r="N58" s="875"/>
      <c r="O58" s="875"/>
      <c r="P58" s="875"/>
      <c r="Q58" s="875"/>
      <c r="R58" s="875"/>
      <c r="S58" s="875"/>
      <c r="T58" s="875"/>
      <c r="U58" s="875"/>
      <c r="V58" s="875"/>
      <c r="W58" s="880"/>
      <c r="X58" s="220"/>
      <c r="Y58" s="880"/>
      <c r="Z58" s="880"/>
      <c r="AA58" s="880"/>
      <c r="AB58" s="880"/>
      <c r="AC58" s="220"/>
    </row>
    <row r="59" spans="2:29" ht="32" x14ac:dyDescent="0.2">
      <c r="B59" s="878" t="s">
        <v>1739</v>
      </c>
      <c r="C59" s="861" t="s">
        <v>1694</v>
      </c>
      <c r="E59" s="861" t="s">
        <v>1706</v>
      </c>
      <c r="F59" s="875"/>
      <c r="G59" s="875"/>
      <c r="H59" s="875"/>
      <c r="I59" s="861" t="s">
        <v>1703</v>
      </c>
      <c r="J59" s="875"/>
      <c r="L59" s="875"/>
      <c r="M59" s="875"/>
      <c r="N59" s="875"/>
      <c r="O59" s="875"/>
      <c r="P59" s="875"/>
      <c r="Q59" s="875"/>
      <c r="R59" s="865" t="s">
        <v>1719</v>
      </c>
      <c r="S59" s="875"/>
      <c r="T59" s="875"/>
      <c r="U59" s="875"/>
      <c r="V59" s="875"/>
      <c r="W59" s="880"/>
      <c r="X59" s="220"/>
      <c r="Y59" s="880"/>
      <c r="Z59" s="880"/>
      <c r="AA59" s="880"/>
      <c r="AB59" s="880"/>
      <c r="AC59" s="220"/>
    </row>
    <row r="60" spans="2:29" x14ac:dyDescent="0.2">
      <c r="B60" s="686" t="s">
        <v>1695</v>
      </c>
      <c r="C60" s="866">
        <v>2188430.3947918746</v>
      </c>
      <c r="E60" s="866">
        <v>34961.1</v>
      </c>
      <c r="F60" s="875"/>
      <c r="G60" s="875"/>
      <c r="H60" s="875"/>
      <c r="I60" s="866">
        <v>2152543</v>
      </c>
      <c r="J60" s="875"/>
      <c r="L60" s="875"/>
      <c r="M60" s="875"/>
      <c r="N60" s="875"/>
      <c r="O60" s="875"/>
      <c r="P60" s="875"/>
      <c r="Q60" s="875"/>
      <c r="R60" s="867">
        <f>C60-E60-I60</f>
        <v>926.29479187447578</v>
      </c>
      <c r="S60" s="875"/>
      <c r="T60" s="875"/>
      <c r="U60" s="875"/>
      <c r="V60" s="875"/>
      <c r="W60" s="880"/>
      <c r="X60" s="220"/>
      <c r="Y60" s="880"/>
      <c r="Z60" s="880"/>
      <c r="AA60" s="880"/>
      <c r="AB60" s="880"/>
      <c r="AC60" s="220"/>
    </row>
    <row r="61" spans="2:29" x14ac:dyDescent="0.2">
      <c r="B61" s="686" t="s">
        <v>1696</v>
      </c>
      <c r="C61" s="866">
        <v>2188430.3947918746</v>
      </c>
      <c r="E61" s="866">
        <v>35267.74</v>
      </c>
      <c r="F61" s="875"/>
      <c r="G61" s="875"/>
      <c r="H61" s="875"/>
      <c r="I61" s="866">
        <v>2153637</v>
      </c>
      <c r="J61" s="875"/>
      <c r="L61" s="875"/>
      <c r="M61" s="875"/>
      <c r="N61" s="875"/>
      <c r="O61" s="875"/>
      <c r="P61" s="875"/>
      <c r="Q61" s="875"/>
      <c r="R61" s="867">
        <f>C61-E61-I61</f>
        <v>-474.34520812565461</v>
      </c>
      <c r="S61" s="875"/>
      <c r="T61" s="875"/>
      <c r="U61" s="875"/>
      <c r="V61" s="875"/>
      <c r="W61" s="880"/>
      <c r="X61" s="220"/>
      <c r="Y61" s="880"/>
      <c r="Z61" s="880"/>
      <c r="AA61" s="880"/>
      <c r="AB61" s="880"/>
      <c r="AC61" s="220"/>
    </row>
    <row r="62" spans="2:29" x14ac:dyDescent="0.2">
      <c r="B62" s="459"/>
      <c r="C62" s="875"/>
      <c r="D62" s="875"/>
      <c r="E62" s="875"/>
      <c r="F62" s="875"/>
      <c r="G62" s="875"/>
      <c r="H62" s="875"/>
      <c r="I62" s="875"/>
      <c r="J62" s="875"/>
      <c r="K62" s="875"/>
      <c r="L62" s="875"/>
      <c r="M62" s="875"/>
      <c r="N62" s="875"/>
      <c r="O62" s="875"/>
      <c r="P62" s="875"/>
      <c r="Q62" s="875"/>
      <c r="R62" s="875"/>
      <c r="S62" s="875"/>
      <c r="T62" s="875"/>
      <c r="U62" s="875"/>
      <c r="V62" s="875"/>
      <c r="W62" s="880"/>
      <c r="X62" s="220"/>
      <c r="Y62" s="880"/>
      <c r="Z62" s="880"/>
      <c r="AA62" s="880"/>
      <c r="AB62" s="880"/>
      <c r="AC62" s="220"/>
    </row>
    <row r="64" spans="2:29" x14ac:dyDescent="0.2">
      <c r="B64" s="686" t="s">
        <v>1697</v>
      </c>
      <c r="C64" s="346">
        <v>513</v>
      </c>
      <c r="D64" s="346">
        <v>557</v>
      </c>
      <c r="E64" s="346">
        <v>500</v>
      </c>
      <c r="F64" s="346"/>
      <c r="G64" s="346"/>
      <c r="H64" s="346"/>
      <c r="I64" s="346"/>
      <c r="J64" s="346">
        <v>480</v>
      </c>
      <c r="K64" s="346"/>
      <c r="L64" s="346"/>
      <c r="M64" s="346"/>
      <c r="N64" s="346"/>
      <c r="O64" s="346"/>
    </row>
    <row r="66" spans="2:5" x14ac:dyDescent="0.2">
      <c r="B66" s="863" t="s">
        <v>1717</v>
      </c>
      <c r="C66" s="346">
        <f>E64/C64</f>
        <v>0.97465886939571145</v>
      </c>
    </row>
    <row r="67" spans="2:5" x14ac:dyDescent="0.2">
      <c r="B67" s="863" t="s">
        <v>1716</v>
      </c>
      <c r="C67" s="346">
        <f>E64/D64</f>
        <v>0.89766606822262118</v>
      </c>
    </row>
    <row r="68" spans="2:5" x14ac:dyDescent="0.2">
      <c r="B68" s="863" t="s">
        <v>1718</v>
      </c>
      <c r="C68" s="346">
        <f>E64/J64</f>
        <v>1.0416666666666667</v>
      </c>
    </row>
    <row r="70" spans="2:5" ht="32" x14ac:dyDescent="0.2">
      <c r="B70" s="864" t="s">
        <v>1723</v>
      </c>
      <c r="C70" s="346">
        <f>0.01</f>
        <v>0.01</v>
      </c>
    </row>
    <row r="71" spans="2:5" ht="32" x14ac:dyDescent="0.2">
      <c r="B71" s="864" t="s">
        <v>1756</v>
      </c>
      <c r="C71" s="346">
        <f>0.01</f>
        <v>0.01</v>
      </c>
    </row>
    <row r="74" spans="2:5" ht="17" thickBot="1" x14ac:dyDescent="0.25">
      <c r="B74" s="892" t="s">
        <v>1773</v>
      </c>
      <c r="C74" s="752"/>
      <c r="D74" s="752"/>
    </row>
    <row r="76" spans="2:5" x14ac:dyDescent="0.2">
      <c r="B76" s="451" t="s">
        <v>1754</v>
      </c>
      <c r="C76" s="438"/>
      <c r="D76" s="438"/>
      <c r="E76" s="438"/>
    </row>
    <row r="77" spans="2:5" x14ac:dyDescent="0.2">
      <c r="B77" t="s">
        <v>1763</v>
      </c>
    </row>
    <row r="79" spans="2:5" x14ac:dyDescent="0.2">
      <c r="B79" s="686" t="s">
        <v>1755</v>
      </c>
      <c r="C79" s="346">
        <f>502/500</f>
        <v>1.004</v>
      </c>
    </row>
    <row r="81" spans="2:8" ht="32" x14ac:dyDescent="0.2">
      <c r="C81" s="861" t="s">
        <v>1744</v>
      </c>
      <c r="D81" s="861" t="s">
        <v>1745</v>
      </c>
      <c r="E81" s="861" t="s">
        <v>1752</v>
      </c>
      <c r="F81" s="861" t="s">
        <v>1753</v>
      </c>
      <c r="G81" s="861" t="s">
        <v>1746</v>
      </c>
      <c r="H81" s="890" t="s">
        <v>1747</v>
      </c>
    </row>
    <row r="82" spans="2:8" x14ac:dyDescent="0.2">
      <c r="B82" s="686" t="s">
        <v>1748</v>
      </c>
      <c r="C82" s="346">
        <v>690</v>
      </c>
      <c r="D82" s="346">
        <v>156.613</v>
      </c>
      <c r="E82" s="346">
        <v>0.64800000000000002</v>
      </c>
      <c r="F82" s="346">
        <v>515.16200000000003</v>
      </c>
      <c r="G82" s="346">
        <v>15.613</v>
      </c>
      <c r="H82" s="891">
        <f>C82-D82-E82-(F82+G82)*$C$79</f>
        <v>-0.15910000000019409</v>
      </c>
    </row>
    <row r="83" spans="2:8" x14ac:dyDescent="0.2">
      <c r="B83" s="686" t="s">
        <v>1749</v>
      </c>
      <c r="C83" s="346">
        <v>690</v>
      </c>
      <c r="D83" s="346">
        <v>0</v>
      </c>
      <c r="E83" s="346">
        <v>0</v>
      </c>
      <c r="F83" s="346">
        <v>679.38900000000001</v>
      </c>
      <c r="G83" s="346">
        <v>7.3150000000000004</v>
      </c>
      <c r="H83" s="891">
        <f t="shared" ref="H83:H85" si="4">C83-D83-E83-(F83+G83)*$C$79</f>
        <v>0.54918399999996836</v>
      </c>
    </row>
    <row r="84" spans="2:8" x14ac:dyDescent="0.2">
      <c r="B84" s="863" t="s">
        <v>1750</v>
      </c>
      <c r="C84" s="346">
        <v>666.61</v>
      </c>
      <c r="D84" s="346">
        <v>359.49099999999999</v>
      </c>
      <c r="E84" s="346">
        <v>0</v>
      </c>
      <c r="F84" s="346">
        <v>297.14600000000002</v>
      </c>
      <c r="G84" s="346">
        <v>8.93</v>
      </c>
      <c r="H84" s="891">
        <f t="shared" si="4"/>
        <v>-0.18130400000001146</v>
      </c>
    </row>
    <row r="85" spans="2:8" x14ac:dyDescent="0.2">
      <c r="B85" s="863" t="s">
        <v>1751</v>
      </c>
      <c r="C85" s="346">
        <v>666.61</v>
      </c>
      <c r="D85" s="346">
        <v>0</v>
      </c>
      <c r="E85" s="346">
        <v>0</v>
      </c>
      <c r="F85" s="346">
        <v>656.697</v>
      </c>
      <c r="G85" s="346">
        <v>6.992</v>
      </c>
      <c r="H85" s="891">
        <f t="shared" si="4"/>
        <v>0.26624400000002879</v>
      </c>
    </row>
    <row r="86" spans="2:8" x14ac:dyDescent="0.2">
      <c r="B86" s="653"/>
      <c r="C86" s="340"/>
      <c r="D86" s="340"/>
      <c r="E86" s="340"/>
      <c r="F86" s="340"/>
      <c r="G86" s="340"/>
      <c r="H86" s="392"/>
    </row>
    <row r="87" spans="2:8" x14ac:dyDescent="0.2">
      <c r="B87" s="653" t="s">
        <v>1765</v>
      </c>
      <c r="C87" s="340"/>
      <c r="D87" s="340"/>
      <c r="E87" s="340"/>
      <c r="F87" s="340"/>
      <c r="G87" s="340"/>
      <c r="H87" s="392"/>
    </row>
    <row r="88" spans="2:8" x14ac:dyDescent="0.2">
      <c r="B88" t="s">
        <v>1764</v>
      </c>
      <c r="C88" s="340"/>
      <c r="D88" s="340"/>
      <c r="E88" s="340"/>
      <c r="F88" s="340"/>
      <c r="G88" s="340"/>
      <c r="H88" s="392"/>
    </row>
    <row r="89" spans="2:8" ht="32" x14ac:dyDescent="0.2">
      <c r="C89" s="893" t="s">
        <v>1744</v>
      </c>
      <c r="D89" s="893" t="s">
        <v>1745</v>
      </c>
      <c r="E89" s="893" t="s">
        <v>1752</v>
      </c>
      <c r="F89" s="893" t="s">
        <v>1753</v>
      </c>
      <c r="G89" s="893" t="s">
        <v>1746</v>
      </c>
      <c r="H89" s="894" t="s">
        <v>1747</v>
      </c>
    </row>
    <row r="90" spans="2:8" x14ac:dyDescent="0.2">
      <c r="B90" s="863" t="s">
        <v>1757</v>
      </c>
      <c r="C90" s="346">
        <v>690</v>
      </c>
      <c r="D90" s="346">
        <v>156.613</v>
      </c>
      <c r="E90" s="346">
        <v>0.64800000000000002</v>
      </c>
      <c r="F90" s="346">
        <v>515.16200000000003</v>
      </c>
      <c r="G90" s="346">
        <v>15.613</v>
      </c>
      <c r="H90" s="891">
        <f>C90-D90-E90-(F90+G90)*$C$79</f>
        <v>-0.15910000000019409</v>
      </c>
    </row>
    <row r="91" spans="2:8" x14ac:dyDescent="0.2">
      <c r="B91" s="863" t="s">
        <v>1758</v>
      </c>
      <c r="C91" s="346">
        <v>690</v>
      </c>
      <c r="D91" s="346">
        <v>371.12900000000002</v>
      </c>
      <c r="E91" s="346">
        <v>1.484</v>
      </c>
      <c r="F91" s="346">
        <v>307.06700000000001</v>
      </c>
      <c r="G91" s="346">
        <v>9.1419999999999995</v>
      </c>
      <c r="H91" s="891">
        <f t="shared" ref="H91:H95" si="5">C91-D91-E91-(F91+G91)*$C$79</f>
        <v>-8.6836000000005242E-2</v>
      </c>
    </row>
    <row r="92" spans="2:8" x14ac:dyDescent="0.2">
      <c r="B92" s="863" t="s">
        <v>1759</v>
      </c>
      <c r="C92" s="346">
        <v>666.61</v>
      </c>
      <c r="D92" s="346">
        <v>151.66399999999999</v>
      </c>
      <c r="E92" s="346">
        <v>0</v>
      </c>
      <c r="F92" s="346">
        <v>497.92899999999997</v>
      </c>
      <c r="G92" s="346">
        <v>15.244</v>
      </c>
      <c r="H92" s="891">
        <f t="shared" si="5"/>
        <v>-0.27969199999995453</v>
      </c>
    </row>
    <row r="93" spans="2:8" x14ac:dyDescent="0.2">
      <c r="B93" s="863" t="s">
        <v>1760</v>
      </c>
      <c r="C93" s="346">
        <v>666.61</v>
      </c>
      <c r="D93" s="346">
        <v>359.49099999999999</v>
      </c>
      <c r="E93" s="346">
        <v>0</v>
      </c>
      <c r="F93" s="346">
        <v>297.14600000000002</v>
      </c>
      <c r="G93" s="346">
        <v>8.93</v>
      </c>
      <c r="H93" s="891">
        <f t="shared" si="5"/>
        <v>-0.18130400000001146</v>
      </c>
    </row>
    <row r="94" spans="2:8" x14ac:dyDescent="0.2">
      <c r="B94" s="863" t="s">
        <v>1761</v>
      </c>
      <c r="C94" s="346">
        <v>666.61</v>
      </c>
      <c r="D94" s="346">
        <v>151.66399999999999</v>
      </c>
      <c r="E94" s="346">
        <v>0</v>
      </c>
      <c r="F94" s="346">
        <v>497.92899999999997</v>
      </c>
      <c r="G94" s="346">
        <v>15.244</v>
      </c>
      <c r="H94" s="891">
        <f t="shared" si="5"/>
        <v>-0.27969199999995453</v>
      </c>
    </row>
    <row r="95" spans="2:8" x14ac:dyDescent="0.2">
      <c r="B95" s="863" t="s">
        <v>1762</v>
      </c>
      <c r="C95" s="346">
        <v>666.61</v>
      </c>
      <c r="D95" s="346">
        <v>359.49099999999999</v>
      </c>
      <c r="E95" s="346">
        <v>0</v>
      </c>
      <c r="F95" s="346">
        <v>297.14600000000002</v>
      </c>
      <c r="G95" s="346">
        <v>8.93</v>
      </c>
      <c r="H95" s="891">
        <f t="shared" si="5"/>
        <v>-0.18130400000001146</v>
      </c>
    </row>
    <row r="98" spans="2:19" x14ac:dyDescent="0.2">
      <c r="B98" s="451" t="s">
        <v>1767</v>
      </c>
      <c r="C98" s="438"/>
      <c r="D98" s="438"/>
    </row>
    <row r="99" spans="2:19" x14ac:dyDescent="0.2">
      <c r="B99" t="s">
        <v>1766</v>
      </c>
    </row>
    <row r="101" spans="2:19" ht="53" customHeight="1" x14ac:dyDescent="0.2">
      <c r="C101" s="1332" t="s">
        <v>1722</v>
      </c>
      <c r="D101" s="1337"/>
      <c r="E101" s="1333" t="s">
        <v>1721</v>
      </c>
      <c r="F101" s="1334"/>
      <c r="G101" s="1334"/>
      <c r="H101" s="1335"/>
      <c r="I101" s="1331" t="s">
        <v>1725</v>
      </c>
      <c r="J101" s="1332"/>
      <c r="K101" s="1332"/>
      <c r="M101" t="s">
        <v>1724</v>
      </c>
    </row>
    <row r="102" spans="2:19" ht="64" x14ac:dyDescent="0.2">
      <c r="B102" s="877"/>
      <c r="C102" s="861" t="s">
        <v>1692</v>
      </c>
      <c r="D102" s="861" t="s">
        <v>1693</v>
      </c>
      <c r="E102" s="861" t="s">
        <v>1700</v>
      </c>
      <c r="F102" s="861" t="s">
        <v>1701</v>
      </c>
      <c r="G102" s="861" t="s">
        <v>1705</v>
      </c>
      <c r="H102" s="861" t="s">
        <v>1702</v>
      </c>
      <c r="I102" s="861" t="s">
        <v>1698</v>
      </c>
      <c r="J102" s="861" t="s">
        <v>1699</v>
      </c>
      <c r="K102" s="861" t="s">
        <v>1704</v>
      </c>
      <c r="M102" s="864" t="s">
        <v>1708</v>
      </c>
      <c r="N102" s="864" t="s">
        <v>1709</v>
      </c>
      <c r="O102" s="864" t="s">
        <v>1738</v>
      </c>
      <c r="P102" s="864" t="s">
        <v>1710</v>
      </c>
      <c r="Q102" s="890" t="s">
        <v>1719</v>
      </c>
    </row>
    <row r="103" spans="2:19" x14ac:dyDescent="0.2">
      <c r="B103" s="863" t="s">
        <v>1757</v>
      </c>
      <c r="C103" s="866">
        <v>1699.83</v>
      </c>
      <c r="D103" s="866">
        <v>6763.57</v>
      </c>
      <c r="E103" s="896">
        <v>227.768</v>
      </c>
      <c r="F103" s="896">
        <v>479.755</v>
      </c>
      <c r="G103" s="896">
        <v>3.7320000000000002</v>
      </c>
      <c r="H103" s="896">
        <v>140.10400000000001</v>
      </c>
      <c r="I103" s="896">
        <v>0.6</v>
      </c>
      <c r="J103" s="889">
        <v>1.0469999999999999</v>
      </c>
      <c r="K103" s="889">
        <v>162.667</v>
      </c>
      <c r="M103" s="866">
        <f t="shared" ref="M103:M108" si="6">C103*$C$66+D103*$C$67</f>
        <v>7728.1816750133858</v>
      </c>
      <c r="N103" s="866">
        <f t="shared" ref="N103:N108" si="7">E103*$C$66+F103*$C$67+G103+H103*$C$68</f>
        <v>802.3295525913328</v>
      </c>
      <c r="O103" s="866">
        <f t="shared" ref="O103:O108" si="8">(C103*$C$66+D103*$C$67)-(E103*$C$66+F103*$C$67+G103+H103*$C$68+I103*$C$66+J103*$C$67)-K103</f>
        <v>6761.6604707269862</v>
      </c>
      <c r="P103" s="866">
        <f t="shared" ref="P103:P108" si="9">I103*$C$66+J103*$C$67+K103</f>
        <v>164.19165169506653</v>
      </c>
      <c r="Q103" s="901">
        <f t="shared" ref="Q103:Q108" si="10">M103-N103-P103-O103</f>
        <v>0</v>
      </c>
    </row>
    <row r="104" spans="2:19" x14ac:dyDescent="0.2">
      <c r="B104" s="863" t="s">
        <v>1758</v>
      </c>
      <c r="C104" s="866">
        <v>1699.83</v>
      </c>
      <c r="D104" s="866">
        <v>6763.57</v>
      </c>
      <c r="E104" s="896">
        <v>356.10599999999999</v>
      </c>
      <c r="F104" s="896">
        <v>480.47199999999998</v>
      </c>
      <c r="G104" s="896">
        <v>0.55000000000000004</v>
      </c>
      <c r="H104" s="896">
        <v>125.71</v>
      </c>
      <c r="I104" s="896">
        <v>4.6559999999999997</v>
      </c>
      <c r="J104" s="889">
        <v>1.7410000000000001</v>
      </c>
      <c r="K104" s="889">
        <v>35.034999999999997</v>
      </c>
      <c r="M104" s="866">
        <f t="shared" si="6"/>
        <v>7728.1816750133858</v>
      </c>
      <c r="N104" s="866">
        <f t="shared" si="7"/>
        <v>909.88319914275507</v>
      </c>
      <c r="O104" s="866">
        <f t="shared" si="8"/>
        <v>6777.1626275499484</v>
      </c>
      <c r="P104" s="866">
        <f t="shared" si="9"/>
        <v>41.135848320682015</v>
      </c>
      <c r="Q104" s="901">
        <f t="shared" si="10"/>
        <v>0</v>
      </c>
    </row>
    <row r="105" spans="2:19" x14ac:dyDescent="0.2">
      <c r="B105" s="863" t="s">
        <v>1759</v>
      </c>
      <c r="C105" s="866">
        <v>560.79</v>
      </c>
      <c r="D105" s="866">
        <v>855.26</v>
      </c>
      <c r="E105" s="896">
        <v>27.812000000000001</v>
      </c>
      <c r="F105" s="896">
        <v>72.019000000000005</v>
      </c>
      <c r="G105" s="896">
        <v>0.59499999999999997</v>
      </c>
      <c r="H105" s="896">
        <v>31.974</v>
      </c>
      <c r="I105" s="896">
        <v>0</v>
      </c>
      <c r="J105" s="889">
        <v>0</v>
      </c>
      <c r="K105" s="889">
        <v>32.44</v>
      </c>
      <c r="M105" s="866">
        <f t="shared" si="6"/>
        <v>1314.3168288765</v>
      </c>
      <c r="N105" s="866">
        <f t="shared" si="7"/>
        <v>125.6574750429585</v>
      </c>
      <c r="O105" s="866">
        <f t="shared" si="8"/>
        <v>1156.2193538335414</v>
      </c>
      <c r="P105" s="866">
        <f t="shared" si="9"/>
        <v>32.44</v>
      </c>
      <c r="Q105" s="902">
        <f t="shared" si="10"/>
        <v>0</v>
      </c>
    </row>
    <row r="106" spans="2:19" x14ac:dyDescent="0.2">
      <c r="B106" s="863" t="s">
        <v>1760</v>
      </c>
      <c r="C106" s="866">
        <v>560.79</v>
      </c>
      <c r="D106" s="866">
        <v>855.26</v>
      </c>
      <c r="E106" s="896">
        <v>49.046999999999997</v>
      </c>
      <c r="F106" s="896">
        <v>72.13</v>
      </c>
      <c r="G106" s="896">
        <v>0.10100000000000001</v>
      </c>
      <c r="H106" s="896">
        <v>29.933</v>
      </c>
      <c r="I106" s="896">
        <v>2.1999999999999999E-2</v>
      </c>
      <c r="J106" s="889">
        <v>0</v>
      </c>
      <c r="K106" s="889">
        <v>7.0380000000000003</v>
      </c>
      <c r="M106" s="866">
        <f t="shared" si="6"/>
        <v>1314.3168288765</v>
      </c>
      <c r="N106" s="866">
        <f t="shared" si="7"/>
        <v>143.83395540148246</v>
      </c>
      <c r="O106" s="866">
        <f t="shared" si="8"/>
        <v>1163.4234309798908</v>
      </c>
      <c r="P106" s="866">
        <f t="shared" si="9"/>
        <v>7.0594424951267056</v>
      </c>
      <c r="Q106" s="902">
        <f t="shared" si="10"/>
        <v>0</v>
      </c>
    </row>
    <row r="107" spans="2:19" x14ac:dyDescent="0.2">
      <c r="B107" s="863" t="s">
        <v>1761</v>
      </c>
      <c r="C107" s="866">
        <v>548.84</v>
      </c>
      <c r="D107" s="866">
        <v>270.01</v>
      </c>
      <c r="E107" s="896">
        <v>6.63</v>
      </c>
      <c r="F107" s="896">
        <v>29.059000000000001</v>
      </c>
      <c r="G107" s="896">
        <v>0.28499999999999998</v>
      </c>
      <c r="H107" s="896">
        <v>23.738</v>
      </c>
      <c r="I107" s="896">
        <v>0</v>
      </c>
      <c r="J107" s="889">
        <v>0</v>
      </c>
      <c r="K107" s="889">
        <v>21.84</v>
      </c>
      <c r="M107" s="866">
        <f t="shared" si="6"/>
        <v>777.31058895993215</v>
      </c>
      <c r="N107" s="866">
        <f t="shared" si="7"/>
        <v>57.559349913908051</v>
      </c>
      <c r="O107" s="866">
        <f t="shared" si="8"/>
        <v>697.91123904602409</v>
      </c>
      <c r="P107" s="866">
        <f t="shared" si="9"/>
        <v>21.84</v>
      </c>
      <c r="Q107" s="902">
        <f t="shared" si="10"/>
        <v>0</v>
      </c>
    </row>
    <row r="108" spans="2:19" x14ac:dyDescent="0.2">
      <c r="B108" s="863" t="s">
        <v>1762</v>
      </c>
      <c r="C108" s="866">
        <v>548.84</v>
      </c>
      <c r="D108" s="866">
        <v>270.01</v>
      </c>
      <c r="E108" s="896">
        <v>33.185000000000002</v>
      </c>
      <c r="F108" s="896">
        <v>29.138000000000002</v>
      </c>
      <c r="G108" s="896">
        <v>5.8999999999999997E-2</v>
      </c>
      <c r="H108" s="896">
        <v>22.798999999999999</v>
      </c>
      <c r="I108" s="896">
        <v>6.0000000000000001E-3</v>
      </c>
      <c r="J108" s="889">
        <v>0</v>
      </c>
      <c r="K108" s="889">
        <v>4.7530000000000001</v>
      </c>
      <c r="M108" s="866">
        <f t="shared" si="6"/>
        <v>777.31058895993215</v>
      </c>
      <c r="N108" s="866">
        <f t="shared" si="7"/>
        <v>82.308206810100756</v>
      </c>
      <c r="O108" s="866">
        <f t="shared" si="8"/>
        <v>690.24353419661497</v>
      </c>
      <c r="P108" s="866">
        <f t="shared" si="9"/>
        <v>4.7588479532163745</v>
      </c>
      <c r="Q108" s="902">
        <f t="shared" si="10"/>
        <v>0</v>
      </c>
    </row>
    <row r="109" spans="2:19" x14ac:dyDescent="0.2">
      <c r="B109" s="653"/>
      <c r="C109" s="875"/>
      <c r="D109" s="875"/>
      <c r="E109" s="897"/>
      <c r="F109" s="897"/>
      <c r="G109" s="897"/>
      <c r="H109" s="897"/>
      <c r="I109" s="897"/>
      <c r="J109" s="898"/>
      <c r="K109" s="898"/>
      <c r="N109" s="875"/>
      <c r="O109" s="875"/>
      <c r="P109" s="875"/>
      <c r="Q109" s="875"/>
      <c r="R109" s="599"/>
    </row>
    <row r="110" spans="2:19" x14ac:dyDescent="0.2">
      <c r="B110" s="653"/>
      <c r="C110" s="875"/>
      <c r="D110" s="875"/>
      <c r="E110" s="897"/>
      <c r="F110" s="897"/>
      <c r="G110" s="897"/>
      <c r="H110" s="897"/>
      <c r="I110" s="897"/>
      <c r="J110" s="898"/>
      <c r="K110" s="898"/>
      <c r="N110" s="875"/>
      <c r="O110" s="875"/>
      <c r="P110" s="875"/>
      <c r="Q110" s="875"/>
      <c r="R110" s="599"/>
    </row>
    <row r="111" spans="2:19" x14ac:dyDescent="0.2">
      <c r="B111" s="899" t="s">
        <v>1768</v>
      </c>
      <c r="C111" s="900"/>
      <c r="D111" s="900"/>
      <c r="E111" s="897"/>
      <c r="F111" s="897"/>
      <c r="G111" s="897"/>
      <c r="H111" s="897"/>
      <c r="I111" s="897"/>
      <c r="J111" s="898"/>
      <c r="K111" s="898"/>
      <c r="N111" s="875"/>
      <c r="O111" s="875"/>
      <c r="P111" s="875"/>
      <c r="Q111" s="875"/>
      <c r="R111" s="599"/>
    </row>
    <row r="112" spans="2:19" x14ac:dyDescent="0.2">
      <c r="B112" t="s">
        <v>1769</v>
      </c>
      <c r="C112" s="875"/>
      <c r="D112" s="875"/>
      <c r="E112" s="875"/>
      <c r="F112" s="875"/>
      <c r="G112" s="875"/>
      <c r="H112" s="875"/>
      <c r="I112" s="875"/>
      <c r="J112" s="875"/>
      <c r="K112" s="875"/>
      <c r="L112" s="875"/>
      <c r="M112" s="875"/>
      <c r="N112" s="875"/>
      <c r="O112" s="875"/>
      <c r="P112" s="875"/>
      <c r="Q112" s="875"/>
      <c r="R112" s="875"/>
      <c r="S112" s="875"/>
    </row>
    <row r="113" spans="2:19" x14ac:dyDescent="0.2">
      <c r="C113" s="875"/>
      <c r="D113" s="875"/>
      <c r="E113" s="875"/>
      <c r="F113" s="875"/>
      <c r="G113" s="875"/>
      <c r="H113" s="875"/>
      <c r="I113" s="875"/>
      <c r="J113" s="875"/>
      <c r="K113" s="875"/>
      <c r="L113" s="875"/>
      <c r="M113" s="875"/>
      <c r="N113" s="875"/>
      <c r="O113" s="875"/>
      <c r="P113" s="875"/>
      <c r="Q113" s="875"/>
      <c r="R113" s="875"/>
      <c r="S113" s="875"/>
    </row>
    <row r="114" spans="2:19" ht="32" x14ac:dyDescent="0.2">
      <c r="C114" s="861" t="s">
        <v>1694</v>
      </c>
      <c r="D114" s="861" t="s">
        <v>1770</v>
      </c>
      <c r="E114" s="861" t="s">
        <v>1703</v>
      </c>
      <c r="F114" s="890" t="s">
        <v>1719</v>
      </c>
      <c r="H114" s="875"/>
      <c r="L114" s="875"/>
      <c r="M114" s="875"/>
      <c r="N114" s="875"/>
      <c r="O114" s="875"/>
      <c r="P114" s="875"/>
      <c r="S114" s="875"/>
    </row>
    <row r="115" spans="2:19" x14ac:dyDescent="0.2">
      <c r="B115" s="863" t="s">
        <v>1757</v>
      </c>
      <c r="C115" s="346">
        <v>4092.62</v>
      </c>
      <c r="D115" s="346">
        <v>65.378</v>
      </c>
      <c r="E115" s="346">
        <v>4027.76</v>
      </c>
      <c r="F115" s="904">
        <f t="shared" ref="F115:F120" si="11">C115-D115-E115</f>
        <v>-0.51800000000048385</v>
      </c>
    </row>
    <row r="116" spans="2:19" ht="15" customHeight="1" x14ac:dyDescent="0.2">
      <c r="B116" s="863" t="s">
        <v>1758</v>
      </c>
      <c r="C116" s="346">
        <v>4092.62</v>
      </c>
      <c r="D116" s="346">
        <v>65.378</v>
      </c>
      <c r="E116" s="346">
        <v>4027.76</v>
      </c>
      <c r="F116" s="904">
        <f t="shared" si="11"/>
        <v>-0.51800000000048385</v>
      </c>
    </row>
    <row r="117" spans="2:19" x14ac:dyDescent="0.2">
      <c r="B117" s="863" t="s">
        <v>1759</v>
      </c>
      <c r="C117" s="903">
        <v>2188.4299999999998</v>
      </c>
      <c r="D117" s="346">
        <v>34.960999999999999</v>
      </c>
      <c r="E117" s="346">
        <v>2152.5439999999999</v>
      </c>
      <c r="F117" s="904">
        <f t="shared" si="11"/>
        <v>0.9250000000001819</v>
      </c>
    </row>
    <row r="118" spans="2:19" x14ac:dyDescent="0.2">
      <c r="B118" s="863" t="s">
        <v>1760</v>
      </c>
      <c r="C118" s="903">
        <v>2188.4299999999998</v>
      </c>
      <c r="D118" s="346">
        <v>34.960999999999999</v>
      </c>
      <c r="E118" s="346">
        <v>2152.5439999999999</v>
      </c>
      <c r="F118" s="904">
        <f t="shared" si="11"/>
        <v>0.9250000000001819</v>
      </c>
    </row>
    <row r="119" spans="2:19" x14ac:dyDescent="0.2">
      <c r="B119" s="863" t="s">
        <v>1761</v>
      </c>
      <c r="C119" s="346">
        <v>1034.8900000000001</v>
      </c>
      <c r="D119" s="346">
        <v>13.885999999999999</v>
      </c>
      <c r="E119" s="346">
        <v>1021.86</v>
      </c>
      <c r="F119" s="904">
        <f t="shared" si="11"/>
        <v>-0.85599999999988086</v>
      </c>
    </row>
    <row r="120" spans="2:19" x14ac:dyDescent="0.2">
      <c r="B120" s="863" t="s">
        <v>1762</v>
      </c>
      <c r="C120" s="346">
        <v>1034.8900000000001</v>
      </c>
      <c r="D120" s="346">
        <v>13.885999999999999</v>
      </c>
      <c r="E120" s="346">
        <v>1021.86</v>
      </c>
      <c r="F120" s="904">
        <f t="shared" si="11"/>
        <v>-0.85599999999988086</v>
      </c>
    </row>
    <row r="123" spans="2:19" ht="17" thickBot="1" x14ac:dyDescent="0.25">
      <c r="B123" s="935" t="s">
        <v>2197</v>
      </c>
      <c r="C123" s="752"/>
      <c r="D123" s="752"/>
      <c r="E123" s="752"/>
      <c r="F123" s="752"/>
      <c r="G123" s="752"/>
      <c r="H123" s="752"/>
    </row>
    <row r="124" spans="2:19" x14ac:dyDescent="0.2">
      <c r="B124" s="451" t="s">
        <v>1767</v>
      </c>
      <c r="C124" s="438"/>
      <c r="D124" s="438"/>
    </row>
    <row r="125" spans="2:19" x14ac:dyDescent="0.2">
      <c r="B125" t="s">
        <v>2193</v>
      </c>
    </row>
    <row r="127" spans="2:19" x14ac:dyDescent="0.2">
      <c r="C127" s="1332" t="s">
        <v>1722</v>
      </c>
      <c r="D127" s="1337"/>
      <c r="E127" s="1333" t="s">
        <v>1721</v>
      </c>
      <c r="F127" s="1334"/>
      <c r="G127" s="1334"/>
      <c r="H127" s="1335"/>
      <c r="I127" s="1331" t="s">
        <v>1725</v>
      </c>
      <c r="J127" s="1332"/>
      <c r="K127" s="1332"/>
      <c r="M127" t="s">
        <v>1724</v>
      </c>
    </row>
    <row r="128" spans="2:19" ht="96" x14ac:dyDescent="0.2">
      <c r="B128" s="877"/>
      <c r="C128" s="861" t="s">
        <v>1692</v>
      </c>
      <c r="D128" s="861" t="s">
        <v>1693</v>
      </c>
      <c r="E128" s="861" t="s">
        <v>1700</v>
      </c>
      <c r="F128" s="861" t="s">
        <v>1701</v>
      </c>
      <c r="G128" s="861" t="s">
        <v>1705</v>
      </c>
      <c r="H128" s="861" t="s">
        <v>1702</v>
      </c>
      <c r="I128" s="861" t="s">
        <v>1698</v>
      </c>
      <c r="J128" s="861" t="s">
        <v>1699</v>
      </c>
      <c r="K128" s="861" t="s">
        <v>1704</v>
      </c>
      <c r="M128" s="864" t="s">
        <v>1708</v>
      </c>
      <c r="N128" s="864" t="s">
        <v>1709</v>
      </c>
      <c r="O128" s="864" t="s">
        <v>1889</v>
      </c>
      <c r="P128" s="864" t="s">
        <v>1710</v>
      </c>
      <c r="Q128" s="890" t="s">
        <v>1719</v>
      </c>
    </row>
    <row r="129" spans="2:18" x14ac:dyDescent="0.2">
      <c r="B129" s="863" t="s">
        <v>1757</v>
      </c>
      <c r="C129" s="866">
        <v>1333.05</v>
      </c>
      <c r="D129" s="866">
        <v>7967.49</v>
      </c>
      <c r="E129" s="896">
        <v>275.83999999999997</v>
      </c>
      <c r="F129" s="896">
        <v>561.02</v>
      </c>
      <c r="G129" s="896">
        <v>8.5299999999999994</v>
      </c>
      <c r="H129" s="896">
        <v>99.55</v>
      </c>
      <c r="I129" s="896">
        <v>0.34799999999999998</v>
      </c>
      <c r="J129" s="889">
        <v>2.1999999999999999E-2</v>
      </c>
      <c r="K129" s="889">
        <v>392.60199999999998</v>
      </c>
      <c r="M129" s="866">
        <f t="shared" ref="M129:M134" si="12">C129*$C$66+D129*$C$67</f>
        <v>8451.4144277510059</v>
      </c>
      <c r="N129" s="866">
        <f t="shared" ref="N129:N134" si="13">E129*$C$66+F129*$C$67+G129+H129*$C$68</f>
        <v>884.68643679503452</v>
      </c>
      <c r="O129" s="866">
        <f t="shared" ref="O129:O134" si="14">(C129*$C$66+D129*$C$67)-(E129*$C$66+F129*$C$67+G129+H129*$C$68+I129*$C$66+J129*$C$67)-K129</f>
        <v>7173.7670610159212</v>
      </c>
      <c r="P129" s="866">
        <f t="shared" ref="P129:P134" si="15">I129*$C$66+J129*$C$67+K129</f>
        <v>392.96092994005056</v>
      </c>
      <c r="Q129" s="901">
        <f t="shared" ref="Q129:Q134" si="16">M129-N129-P129-O129</f>
        <v>0</v>
      </c>
    </row>
    <row r="130" spans="2:18" x14ac:dyDescent="0.2">
      <c r="B130" s="863" t="s">
        <v>1758</v>
      </c>
      <c r="C130" s="866">
        <v>1333.05</v>
      </c>
      <c r="D130" s="866">
        <v>7967.49</v>
      </c>
      <c r="E130" s="896">
        <v>416.6</v>
      </c>
      <c r="F130" s="896">
        <v>567.82000000000005</v>
      </c>
      <c r="G130" s="896">
        <v>1.33</v>
      </c>
      <c r="H130" s="896">
        <v>90.87</v>
      </c>
      <c r="I130" s="896">
        <v>2.0049999999999999</v>
      </c>
      <c r="J130" s="889">
        <v>2.86E-2</v>
      </c>
      <c r="K130" s="889">
        <v>57.353000000000002</v>
      </c>
      <c r="M130" s="866">
        <f t="shared" si="12"/>
        <v>8451.4144277510059</v>
      </c>
      <c r="N130" s="866">
        <f t="shared" si="13"/>
        <v>1011.7418818484223</v>
      </c>
      <c r="O130" s="866">
        <f t="shared" si="14"/>
        <v>7380.3396816198938</v>
      </c>
      <c r="P130" s="866">
        <f t="shared" si="15"/>
        <v>59.33286428268957</v>
      </c>
      <c r="Q130" s="901">
        <f t="shared" si="16"/>
        <v>0</v>
      </c>
    </row>
    <row r="131" spans="2:18" x14ac:dyDescent="0.2">
      <c r="B131" s="863" t="s">
        <v>1759</v>
      </c>
      <c r="C131" s="866">
        <v>483.84</v>
      </c>
      <c r="D131" s="866">
        <v>1080.3599999999999</v>
      </c>
      <c r="E131" s="896">
        <v>37.729999999999997</v>
      </c>
      <c r="F131" s="896">
        <v>87.45</v>
      </c>
      <c r="G131" s="896">
        <v>1.21</v>
      </c>
      <c r="H131" s="896">
        <v>14.03</v>
      </c>
      <c r="I131" s="896">
        <v>1.9000000000000001E-4</v>
      </c>
      <c r="J131" s="889">
        <v>2.8999999999999998E-3</v>
      </c>
      <c r="K131" s="889">
        <v>66.859899999999996</v>
      </c>
      <c r="M131" s="866">
        <f t="shared" si="12"/>
        <v>1441.3814608334119</v>
      </c>
      <c r="N131" s="866">
        <f t="shared" si="13"/>
        <v>131.09936014170174</v>
      </c>
      <c r="O131" s="866">
        <f t="shared" si="14"/>
        <v>1243.4194122749273</v>
      </c>
      <c r="P131" s="866">
        <f t="shared" si="15"/>
        <v>66.86268841678303</v>
      </c>
      <c r="Q131" s="902">
        <f t="shared" si="16"/>
        <v>0</v>
      </c>
    </row>
    <row r="132" spans="2:18" x14ac:dyDescent="0.2">
      <c r="B132" s="863" t="s">
        <v>1760</v>
      </c>
      <c r="C132" s="866">
        <v>483.84</v>
      </c>
      <c r="D132" s="866">
        <v>1080.3599999999999</v>
      </c>
      <c r="E132" s="896">
        <v>61.85</v>
      </c>
      <c r="F132" s="896">
        <v>88.54</v>
      </c>
      <c r="G132" s="896">
        <v>0.183</v>
      </c>
      <c r="H132" s="896">
        <v>14.21</v>
      </c>
      <c r="I132" s="896">
        <v>3.7900000000000003E-2</v>
      </c>
      <c r="J132" s="889">
        <v>3.5799999999999998E-3</v>
      </c>
      <c r="K132" s="889">
        <v>8.266</v>
      </c>
      <c r="M132" s="866">
        <f t="shared" si="12"/>
        <v>1441.3814608334119</v>
      </c>
      <c r="N132" s="866">
        <f t="shared" si="13"/>
        <v>154.74708808588898</v>
      </c>
      <c r="O132" s="866">
        <f t="shared" si="14"/>
        <v>1278.3282195318484</v>
      </c>
      <c r="P132" s="866">
        <f t="shared" si="15"/>
        <v>8.3061532156743336</v>
      </c>
      <c r="Q132" s="902">
        <f t="shared" si="16"/>
        <v>0</v>
      </c>
    </row>
    <row r="133" spans="2:18" x14ac:dyDescent="0.2">
      <c r="B133" s="863" t="s">
        <v>1761</v>
      </c>
      <c r="C133" s="866">
        <v>469.71</v>
      </c>
      <c r="D133" s="866">
        <v>329.16</v>
      </c>
      <c r="E133" s="896">
        <v>10.734</v>
      </c>
      <c r="F133" s="896">
        <v>34.090000000000003</v>
      </c>
      <c r="G133" s="896">
        <v>0.42199999999999999</v>
      </c>
      <c r="H133" s="896">
        <v>4.3780000000000001</v>
      </c>
      <c r="I133" s="896">
        <v>4.0000000000000003E-5</v>
      </c>
      <c r="J133" s="889">
        <v>6.6500000000000001E-4</v>
      </c>
      <c r="K133" s="889">
        <v>36.853000000000002</v>
      </c>
      <c r="M133" s="866">
        <f t="shared" si="12"/>
        <v>753.28278056001761</v>
      </c>
      <c r="N133" s="866">
        <f t="shared" si="13"/>
        <v>46.045841236469386</v>
      </c>
      <c r="O133" s="866">
        <f t="shared" si="14"/>
        <v>670.38330338925812</v>
      </c>
      <c r="P133" s="866">
        <f t="shared" si="15"/>
        <v>36.853635934290146</v>
      </c>
      <c r="Q133" s="902">
        <f t="shared" si="16"/>
        <v>0</v>
      </c>
    </row>
    <row r="134" spans="2:18" x14ac:dyDescent="0.2">
      <c r="B134" s="863" t="s">
        <v>1762</v>
      </c>
      <c r="C134" s="866">
        <v>469.71</v>
      </c>
      <c r="D134" s="866">
        <v>329.16</v>
      </c>
      <c r="E134" s="896">
        <v>22.77</v>
      </c>
      <c r="F134" s="896">
        <v>34.56</v>
      </c>
      <c r="G134" s="896">
        <v>5.45E-2</v>
      </c>
      <c r="H134" s="896">
        <v>5.8940000000000001</v>
      </c>
      <c r="I134" s="896">
        <v>8.8999999999999999E-3</v>
      </c>
      <c r="J134" s="889">
        <v>8.0999999999999996E-4</v>
      </c>
      <c r="K134" s="889">
        <v>2.9</v>
      </c>
      <c r="M134" s="866">
        <f t="shared" si="12"/>
        <v>753.28278056001761</v>
      </c>
      <c r="N134" s="866">
        <f t="shared" si="13"/>
        <v>59.41040510724747</v>
      </c>
      <c r="O134" s="866">
        <f t="shared" si="14"/>
        <v>690.96297387931725</v>
      </c>
      <c r="P134" s="866">
        <f t="shared" si="15"/>
        <v>2.909401573452882</v>
      </c>
      <c r="Q134" s="902">
        <f t="shared" si="16"/>
        <v>0</v>
      </c>
    </row>
    <row r="135" spans="2:18" x14ac:dyDescent="0.2">
      <c r="B135" s="653"/>
      <c r="C135" s="875"/>
      <c r="D135" s="875"/>
      <c r="E135" s="897"/>
      <c r="F135" s="897"/>
      <c r="G135" s="897"/>
      <c r="H135" s="897"/>
      <c r="I135" s="897"/>
      <c r="J135" s="898"/>
      <c r="K135" s="898"/>
      <c r="N135" s="875"/>
      <c r="O135" s="875"/>
      <c r="P135" s="875"/>
      <c r="Q135" s="875"/>
      <c r="R135" s="599"/>
    </row>
    <row r="136" spans="2:18" x14ac:dyDescent="0.2">
      <c r="B136" s="653"/>
      <c r="C136" s="875"/>
      <c r="D136" s="875"/>
      <c r="E136" s="897"/>
      <c r="F136" s="897"/>
      <c r="G136" s="897"/>
      <c r="H136" s="897"/>
      <c r="I136" s="897"/>
      <c r="J136" s="898"/>
      <c r="K136" s="898"/>
      <c r="N136" s="875"/>
      <c r="O136" s="875"/>
      <c r="P136" s="875"/>
      <c r="Q136" s="875"/>
      <c r="R136" s="599"/>
    </row>
    <row r="137" spans="2:18" x14ac:dyDescent="0.2">
      <c r="B137" s="899" t="s">
        <v>1768</v>
      </c>
      <c r="C137" s="900"/>
      <c r="D137" s="900"/>
      <c r="E137" s="897"/>
      <c r="F137" s="897"/>
      <c r="G137" s="897"/>
      <c r="H137" s="897"/>
      <c r="I137" s="897"/>
      <c r="J137" s="898"/>
      <c r="K137" s="898"/>
      <c r="N137" s="875"/>
      <c r="O137" s="875"/>
      <c r="P137" s="875"/>
      <c r="Q137" s="875"/>
      <c r="R137" s="599"/>
    </row>
    <row r="138" spans="2:18" x14ac:dyDescent="0.2">
      <c r="B138" t="s">
        <v>2194</v>
      </c>
      <c r="C138" s="875"/>
      <c r="D138" s="875"/>
      <c r="E138" s="875"/>
      <c r="F138" s="875"/>
      <c r="G138" s="875"/>
      <c r="H138" s="875"/>
      <c r="I138" s="875"/>
      <c r="J138" s="875"/>
      <c r="K138" s="875"/>
      <c r="L138" s="875"/>
      <c r="M138" s="875"/>
      <c r="N138" s="875"/>
      <c r="O138" s="875"/>
      <c r="P138" s="875"/>
      <c r="Q138" s="875"/>
      <c r="R138" s="875"/>
    </row>
    <row r="139" spans="2:18" x14ac:dyDescent="0.2">
      <c r="C139" s="875"/>
      <c r="D139" s="875"/>
      <c r="E139" s="875"/>
      <c r="F139" s="875"/>
      <c r="G139" s="875"/>
      <c r="H139" s="1016"/>
      <c r="I139" s="875"/>
      <c r="J139" s="875"/>
      <c r="K139" s="875"/>
      <c r="L139" s="341"/>
    </row>
    <row r="140" spans="2:18" ht="32" x14ac:dyDescent="0.2">
      <c r="C140" s="861" t="s">
        <v>1694</v>
      </c>
      <c r="D140" s="861" t="s">
        <v>1770</v>
      </c>
      <c r="E140" s="861" t="s">
        <v>1703</v>
      </c>
      <c r="F140" s="890" t="s">
        <v>1719</v>
      </c>
      <c r="H140" s="875"/>
      <c r="L140" s="341"/>
      <c r="M140" s="341"/>
    </row>
    <row r="141" spans="2:18" x14ac:dyDescent="0.2">
      <c r="B141" s="863" t="s">
        <v>1757</v>
      </c>
      <c r="C141" s="346">
        <v>4167.4799999999996</v>
      </c>
      <c r="D141" s="346">
        <v>66.066000000000003</v>
      </c>
      <c r="E141" s="866">
        <v>4101.49</v>
      </c>
      <c r="F141" s="904">
        <f t="shared" ref="F141:F146" si="17">C141-D141-E141</f>
        <v>-7.6000000000021828E-2</v>
      </c>
      <c r="L141" s="341"/>
      <c r="M141" s="341"/>
    </row>
    <row r="142" spans="2:18" x14ac:dyDescent="0.2">
      <c r="B142" s="863" t="s">
        <v>1758</v>
      </c>
      <c r="C142" s="346">
        <v>4167.4799999999996</v>
      </c>
      <c r="D142" s="346">
        <v>66.066000000000003</v>
      </c>
      <c r="E142" s="866">
        <v>4101.49</v>
      </c>
      <c r="F142" s="904">
        <f t="shared" si="17"/>
        <v>-7.6000000000021828E-2</v>
      </c>
      <c r="L142" s="341"/>
      <c r="M142" s="341"/>
    </row>
    <row r="143" spans="2:18" x14ac:dyDescent="0.2">
      <c r="B143" s="863" t="s">
        <v>1759</v>
      </c>
      <c r="C143" s="903">
        <v>2290.59</v>
      </c>
      <c r="D143" s="346">
        <v>35.5</v>
      </c>
      <c r="E143" s="866">
        <v>2253.52</v>
      </c>
      <c r="F143" s="904">
        <f t="shared" si="17"/>
        <v>1.5700000000001637</v>
      </c>
      <c r="L143" s="341"/>
      <c r="M143" s="341"/>
    </row>
    <row r="144" spans="2:18" x14ac:dyDescent="0.2">
      <c r="B144" s="863" t="s">
        <v>1760</v>
      </c>
      <c r="C144" s="903">
        <v>2290.59</v>
      </c>
      <c r="D144" s="346">
        <v>35.5</v>
      </c>
      <c r="E144" s="866">
        <v>2253.52</v>
      </c>
      <c r="F144" s="904">
        <f t="shared" si="17"/>
        <v>1.5700000000001637</v>
      </c>
      <c r="L144" s="341"/>
      <c r="M144" s="341"/>
    </row>
    <row r="145" spans="2:19" x14ac:dyDescent="0.2">
      <c r="B145" s="863" t="s">
        <v>1761</v>
      </c>
      <c r="C145" s="346">
        <v>1062.8499999999999</v>
      </c>
      <c r="D145" s="346">
        <v>14</v>
      </c>
      <c r="E145" s="866">
        <v>1048.42</v>
      </c>
      <c r="F145" s="904">
        <f t="shared" si="17"/>
        <v>0.42999999999983629</v>
      </c>
      <c r="M145" s="341"/>
    </row>
    <row r="146" spans="2:19" x14ac:dyDescent="0.2">
      <c r="B146" s="863" t="s">
        <v>1762</v>
      </c>
      <c r="C146" s="346">
        <v>1062.8499999999999</v>
      </c>
      <c r="D146" s="346">
        <v>14</v>
      </c>
      <c r="E146" s="866">
        <v>1048.42</v>
      </c>
      <c r="F146" s="904">
        <f t="shared" si="17"/>
        <v>0.42999999999983629</v>
      </c>
      <c r="M146" s="341"/>
    </row>
    <row r="148" spans="2:19" x14ac:dyDescent="0.2">
      <c r="B148" s="899" t="s">
        <v>2010</v>
      </c>
      <c r="C148" s="900"/>
      <c r="D148" s="900"/>
      <c r="E148" s="897"/>
      <c r="F148" s="897"/>
    </row>
    <row r="149" spans="2:19" x14ac:dyDescent="0.2">
      <c r="B149" t="s">
        <v>2196</v>
      </c>
      <c r="C149" s="875"/>
      <c r="D149" s="875"/>
      <c r="E149" s="875"/>
      <c r="F149" s="875"/>
    </row>
    <row r="150" spans="2:19" x14ac:dyDescent="0.2">
      <c r="C150" s="875"/>
      <c r="D150" s="875"/>
      <c r="E150" s="875"/>
      <c r="F150" s="875"/>
    </row>
    <row r="151" spans="2:19" ht="32" x14ac:dyDescent="0.2">
      <c r="C151" s="861" t="s">
        <v>1744</v>
      </c>
      <c r="D151" s="861" t="s">
        <v>2011</v>
      </c>
      <c r="E151" s="861" t="s">
        <v>2013</v>
      </c>
      <c r="F151" s="861" t="s">
        <v>2014</v>
      </c>
      <c r="G151" s="861" t="s">
        <v>2012</v>
      </c>
      <c r="H151" s="890" t="s">
        <v>1719</v>
      </c>
    </row>
    <row r="152" spans="2:19" x14ac:dyDescent="0.2">
      <c r="B152" s="863" t="s">
        <v>1757</v>
      </c>
      <c r="C152" s="346">
        <v>687.24</v>
      </c>
      <c r="D152" s="346">
        <v>162.49</v>
      </c>
      <c r="E152" s="346">
        <v>9.5896000000000008</v>
      </c>
      <c r="F152" s="346">
        <v>513.06450800000005</v>
      </c>
      <c r="G152" s="346">
        <v>9.2999999999999997E-5</v>
      </c>
      <c r="H152" s="904">
        <f>C152-D152-E152*$C$79-F152*$C$79-G152</f>
        <v>5.1825679998881531E-3</v>
      </c>
    </row>
    <row r="153" spans="2:19" x14ac:dyDescent="0.2">
      <c r="B153" s="863" t="s">
        <v>1758</v>
      </c>
      <c r="C153" s="346">
        <v>687.24</v>
      </c>
      <c r="D153" s="346">
        <v>515.22</v>
      </c>
      <c r="E153" s="346">
        <v>3.1640000000000001</v>
      </c>
      <c r="F153" s="346">
        <v>168.356346</v>
      </c>
      <c r="G153" s="346">
        <v>2.1342E-2</v>
      </c>
      <c r="H153" s="904">
        <f t="shared" ref="H153:H157" si="18">C153-D153-E153*$C$79-F153*$C$79-G153</f>
        <v>-0.20776938400004077</v>
      </c>
    </row>
    <row r="154" spans="2:19" x14ac:dyDescent="0.2">
      <c r="B154" s="863" t="s">
        <v>1759</v>
      </c>
      <c r="C154" s="903">
        <v>677.99</v>
      </c>
      <c r="D154" s="346">
        <v>160.345</v>
      </c>
      <c r="E154" s="346">
        <v>9.5079999999999991</v>
      </c>
      <c r="F154" s="346">
        <v>505.95945899999998</v>
      </c>
      <c r="G154" s="346">
        <v>1.9999999999999999E-6</v>
      </c>
      <c r="H154" s="904">
        <f t="shared" si="18"/>
        <v>0.11566916399999122</v>
      </c>
    </row>
    <row r="155" spans="2:19" x14ac:dyDescent="0.2">
      <c r="B155" s="863" t="s">
        <v>1760</v>
      </c>
      <c r="C155" s="903">
        <v>677.99</v>
      </c>
      <c r="D155" s="346">
        <v>508.38</v>
      </c>
      <c r="E155" s="346">
        <v>3.137</v>
      </c>
      <c r="F155" s="346">
        <v>166.05418299999999</v>
      </c>
      <c r="G155" s="346">
        <v>3.9760000000000004E-3</v>
      </c>
      <c r="H155" s="904">
        <f t="shared" si="18"/>
        <v>-0.26192373199999097</v>
      </c>
    </row>
    <row r="156" spans="2:19" x14ac:dyDescent="0.2">
      <c r="B156" s="863" t="s">
        <v>1761</v>
      </c>
      <c r="C156" s="903">
        <v>677.99</v>
      </c>
      <c r="D156" s="346">
        <v>160.345</v>
      </c>
      <c r="E156" s="346">
        <v>9.5079999999999991</v>
      </c>
      <c r="F156" s="346">
        <v>505.95945899999998</v>
      </c>
      <c r="G156" s="346">
        <v>1.9999999999999999E-6</v>
      </c>
      <c r="H156" s="904">
        <f t="shared" si="18"/>
        <v>0.11566916399999122</v>
      </c>
    </row>
    <row r="157" spans="2:19" x14ac:dyDescent="0.2">
      <c r="B157" s="863" t="s">
        <v>1762</v>
      </c>
      <c r="C157" s="903">
        <v>677.99</v>
      </c>
      <c r="D157" s="346">
        <v>508.38</v>
      </c>
      <c r="E157" s="346">
        <v>3.137</v>
      </c>
      <c r="F157" s="346">
        <v>166.05418299999999</v>
      </c>
      <c r="G157" s="346">
        <v>3.9760000000000004E-3</v>
      </c>
      <c r="H157" s="904">
        <f t="shared" si="18"/>
        <v>-0.26192373199999097</v>
      </c>
    </row>
    <row r="159" spans="2:19" x14ac:dyDescent="0.2">
      <c r="B159" s="653" t="s">
        <v>2195</v>
      </c>
      <c r="D159" s="1131" t="s">
        <v>1197</v>
      </c>
      <c r="E159" s="1131"/>
      <c r="F159" s="1131"/>
      <c r="G159" s="1131"/>
      <c r="H159" s="1131" t="s">
        <v>401</v>
      </c>
      <c r="I159" s="1131"/>
      <c r="J159" s="1131"/>
      <c r="K159" s="1131"/>
      <c r="L159" s="1131" t="s">
        <v>40</v>
      </c>
      <c r="M159" s="1131"/>
      <c r="N159" s="1131"/>
      <c r="O159" s="1131"/>
      <c r="P159" s="1131" t="s">
        <v>1198</v>
      </c>
      <c r="Q159" s="1131"/>
      <c r="R159" s="1131"/>
      <c r="S159" s="1131"/>
    </row>
    <row r="160" spans="2:19" x14ac:dyDescent="0.2">
      <c r="C160" s="341" t="s">
        <v>1880</v>
      </c>
      <c r="D160" s="1006" t="s">
        <v>0</v>
      </c>
      <c r="E160" s="1006" t="s">
        <v>1882</v>
      </c>
      <c r="F160" s="1006" t="s">
        <v>1881</v>
      </c>
      <c r="G160" s="349"/>
      <c r="H160" s="1006" t="s">
        <v>0</v>
      </c>
      <c r="I160" s="1006" t="s">
        <v>1882</v>
      </c>
      <c r="J160" s="1006" t="s">
        <v>1881</v>
      </c>
      <c r="K160" s="349"/>
      <c r="L160" s="1006" t="s">
        <v>0</v>
      </c>
      <c r="M160" s="1006" t="s">
        <v>1882</v>
      </c>
      <c r="N160" s="1006" t="s">
        <v>1881</v>
      </c>
      <c r="O160" s="349"/>
      <c r="P160" s="1006" t="s">
        <v>0</v>
      </c>
      <c r="Q160" s="1006" t="s">
        <v>1882</v>
      </c>
      <c r="R160" s="1006" t="s">
        <v>1881</v>
      </c>
      <c r="S160" s="349"/>
    </row>
    <row r="161" spans="2:19" x14ac:dyDescent="0.2">
      <c r="B161" s="1336" t="s">
        <v>1885</v>
      </c>
      <c r="C161" s="346" t="s">
        <v>1757</v>
      </c>
      <c r="D161" s="346">
        <v>230</v>
      </c>
      <c r="E161" s="346"/>
      <c r="F161" s="346"/>
      <c r="G161" s="346"/>
      <c r="H161" s="346">
        <v>483</v>
      </c>
      <c r="I161" s="346"/>
      <c r="J161" s="346"/>
      <c r="K161" s="346"/>
      <c r="L161" s="346">
        <v>2</v>
      </c>
      <c r="M161" s="346"/>
      <c r="N161" s="346"/>
      <c r="O161" s="346"/>
      <c r="P161" s="346">
        <v>2</v>
      </c>
      <c r="Q161" s="346"/>
      <c r="R161" s="346"/>
      <c r="S161" s="346"/>
    </row>
    <row r="162" spans="2:19" x14ac:dyDescent="0.2">
      <c r="B162" s="1336"/>
      <c r="C162" s="346" t="s">
        <v>1758</v>
      </c>
      <c r="D162" s="346">
        <v>353</v>
      </c>
      <c r="E162" s="346"/>
      <c r="F162" s="346"/>
      <c r="G162" s="346"/>
      <c r="H162" s="346">
        <v>483</v>
      </c>
      <c r="I162" s="346"/>
      <c r="J162" s="346"/>
      <c r="K162" s="346"/>
      <c r="L162" s="346">
        <v>0.5</v>
      </c>
      <c r="M162" s="346"/>
      <c r="N162" s="346"/>
      <c r="O162" s="346"/>
      <c r="P162" s="346">
        <v>0.5</v>
      </c>
      <c r="Q162" s="346"/>
      <c r="R162" s="346"/>
      <c r="S162" s="346"/>
    </row>
    <row r="163" spans="2:19" x14ac:dyDescent="0.2">
      <c r="B163" s="1336" t="s">
        <v>1886</v>
      </c>
      <c r="C163" s="346" t="s">
        <v>1757</v>
      </c>
      <c r="D163" s="346">
        <v>224</v>
      </c>
      <c r="E163" s="346">
        <v>143</v>
      </c>
      <c r="F163" s="346">
        <v>80</v>
      </c>
      <c r="G163" s="346"/>
      <c r="H163" s="346">
        <v>477</v>
      </c>
      <c r="I163" s="346">
        <v>66</v>
      </c>
      <c r="J163" s="346">
        <v>410</v>
      </c>
      <c r="K163" s="346"/>
      <c r="L163" s="346">
        <v>2</v>
      </c>
      <c r="M163" s="346">
        <v>1.33</v>
      </c>
      <c r="N163" s="346">
        <v>0.33</v>
      </c>
      <c r="O163" s="346"/>
      <c r="P163" s="346">
        <v>2</v>
      </c>
      <c r="Q163" s="346"/>
      <c r="R163" s="346"/>
      <c r="S163" s="346"/>
    </row>
    <row r="164" spans="2:19" x14ac:dyDescent="0.2">
      <c r="B164" s="1336"/>
      <c r="C164" s="346" t="s">
        <v>1758</v>
      </c>
      <c r="D164" s="346">
        <v>318</v>
      </c>
      <c r="E164" s="346">
        <v>203</v>
      </c>
      <c r="F164" s="346">
        <v>115</v>
      </c>
      <c r="G164" s="346"/>
      <c r="H164" s="346">
        <v>478</v>
      </c>
      <c r="I164" s="346">
        <v>66</v>
      </c>
      <c r="J164" s="346">
        <v>411</v>
      </c>
      <c r="K164" s="346"/>
      <c r="L164" s="346">
        <v>0.4</v>
      </c>
      <c r="M164" s="346">
        <v>0.25</v>
      </c>
      <c r="N164" s="346">
        <v>0.08</v>
      </c>
      <c r="O164" s="346"/>
      <c r="P164" s="346">
        <v>0.4</v>
      </c>
      <c r="Q164" s="346"/>
      <c r="R164" s="346"/>
      <c r="S164" s="346"/>
    </row>
    <row r="165" spans="2:19" x14ac:dyDescent="0.2">
      <c r="B165" s="1338" t="s">
        <v>1887</v>
      </c>
      <c r="C165" s="346" t="s">
        <v>1757</v>
      </c>
      <c r="D165" s="346">
        <v>81</v>
      </c>
      <c r="E165" s="346">
        <v>0</v>
      </c>
      <c r="F165" s="346">
        <v>81</v>
      </c>
      <c r="G165" s="346"/>
      <c r="H165" s="346">
        <v>413</v>
      </c>
      <c r="I165" s="346">
        <v>0</v>
      </c>
      <c r="J165" s="346">
        <v>413</v>
      </c>
      <c r="K165" s="346"/>
      <c r="L165" s="346">
        <v>1</v>
      </c>
      <c r="M165" s="346">
        <v>0</v>
      </c>
      <c r="N165" s="346"/>
      <c r="O165" s="346"/>
      <c r="P165" s="346">
        <v>1</v>
      </c>
      <c r="Q165" s="346"/>
      <c r="R165" s="346"/>
      <c r="S165" s="346"/>
    </row>
    <row r="166" spans="2:19" x14ac:dyDescent="0.2">
      <c r="B166" s="1338"/>
      <c r="C166" s="346" t="s">
        <v>1758</v>
      </c>
      <c r="D166" s="346">
        <v>120</v>
      </c>
      <c r="E166" s="346">
        <v>0</v>
      </c>
      <c r="F166" s="346">
        <v>120</v>
      </c>
      <c r="G166" s="346"/>
      <c r="H166" s="346">
        <v>415</v>
      </c>
      <c r="I166" s="346">
        <v>0</v>
      </c>
      <c r="J166" s="346">
        <v>414</v>
      </c>
      <c r="K166" s="346"/>
      <c r="L166" s="346">
        <v>0.2</v>
      </c>
      <c r="M166" s="346">
        <v>0</v>
      </c>
      <c r="N166" s="346"/>
      <c r="O166" s="346"/>
      <c r="P166" s="346">
        <v>0.2</v>
      </c>
      <c r="Q166" s="346"/>
      <c r="R166" s="346"/>
      <c r="S166" s="346"/>
    </row>
    <row r="167" spans="2:19" x14ac:dyDescent="0.2">
      <c r="B167" s="1339" t="s">
        <v>1888</v>
      </c>
      <c r="C167" s="346" t="s">
        <v>1883</v>
      </c>
      <c r="D167" s="346">
        <v>12.1</v>
      </c>
      <c r="E167" s="346">
        <v>0</v>
      </c>
      <c r="F167" s="346">
        <v>12.1</v>
      </c>
      <c r="G167" s="346"/>
      <c r="H167" s="346">
        <v>5</v>
      </c>
      <c r="I167" s="346">
        <v>0</v>
      </c>
      <c r="J167" s="346">
        <v>5</v>
      </c>
      <c r="K167" s="346"/>
      <c r="L167" s="346">
        <v>0.2</v>
      </c>
      <c r="M167" s="346"/>
      <c r="N167" s="346"/>
      <c r="O167" s="346"/>
      <c r="P167" s="346">
        <v>0.2</v>
      </c>
      <c r="Q167" s="346"/>
      <c r="R167" s="346"/>
      <c r="S167" s="346"/>
    </row>
    <row r="168" spans="2:19" x14ac:dyDescent="0.2">
      <c r="B168" s="1340"/>
      <c r="C168" s="346" t="s">
        <v>1884</v>
      </c>
      <c r="D168" s="346">
        <v>12.1</v>
      </c>
      <c r="E168" s="346"/>
      <c r="F168" s="346"/>
      <c r="G168" s="346"/>
      <c r="H168" s="346">
        <v>5</v>
      </c>
      <c r="I168" s="346"/>
      <c r="J168" s="346"/>
      <c r="K168" s="346"/>
      <c r="L168" s="346">
        <v>0.2</v>
      </c>
      <c r="M168" s="346"/>
      <c r="N168" s="346"/>
      <c r="O168" s="346"/>
      <c r="P168" s="346">
        <v>0.2</v>
      </c>
      <c r="Q168" s="346"/>
      <c r="R168" s="346"/>
      <c r="S168" s="346"/>
    </row>
    <row r="170" spans="2:19" x14ac:dyDescent="0.2">
      <c r="B170" s="1341"/>
      <c r="C170" s="1007"/>
      <c r="D170" s="340"/>
      <c r="E170" s="340"/>
      <c r="F170" s="340"/>
      <c r="G170" s="340"/>
      <c r="H170" s="340"/>
      <c r="I170" s="340"/>
      <c r="J170" s="340"/>
      <c r="K170" s="340"/>
      <c r="L170" s="340"/>
      <c r="M170" s="340"/>
      <c r="N170" s="340"/>
      <c r="O170" s="340"/>
      <c r="P170" s="340"/>
      <c r="Q170" s="340"/>
      <c r="R170" s="340"/>
      <c r="S170" s="340"/>
    </row>
    <row r="171" spans="2:19" x14ac:dyDescent="0.2">
      <c r="B171" s="1341"/>
      <c r="C171" s="1007"/>
      <c r="D171" s="340"/>
      <c r="E171" s="340"/>
      <c r="F171" s="340"/>
      <c r="G171" s="340"/>
      <c r="H171" s="340"/>
      <c r="I171" s="340"/>
      <c r="J171" s="340"/>
      <c r="K171" s="340"/>
      <c r="L171" s="340"/>
      <c r="M171" s="340"/>
      <c r="N171" s="340"/>
      <c r="O171" s="340"/>
      <c r="P171" s="340"/>
      <c r="Q171" s="340"/>
      <c r="R171" s="340"/>
      <c r="S171" s="340"/>
    </row>
    <row r="172" spans="2:19" x14ac:dyDescent="0.2">
      <c r="B172" s="451" t="s">
        <v>2039</v>
      </c>
      <c r="C172" s="438"/>
      <c r="D172" s="438"/>
    </row>
    <row r="173" spans="2:19" x14ac:dyDescent="0.2">
      <c r="B173" t="s">
        <v>2190</v>
      </c>
    </row>
    <row r="174" spans="2:19" x14ac:dyDescent="0.2">
      <c r="B174" t="s">
        <v>2051</v>
      </c>
    </row>
    <row r="175" spans="2:19" x14ac:dyDescent="0.2">
      <c r="B175" s="780"/>
      <c r="C175" s="780" t="s">
        <v>1661</v>
      </c>
      <c r="D175" s="780" t="s">
        <v>1660</v>
      </c>
      <c r="E175" s="780" t="s">
        <v>1659</v>
      </c>
      <c r="F175" s="780" t="s">
        <v>1658</v>
      </c>
      <c r="G175" s="780" t="s">
        <v>1657</v>
      </c>
      <c r="H175" s="780" t="s">
        <v>1656</v>
      </c>
      <c r="I175" s="780" t="s">
        <v>2040</v>
      </c>
    </row>
    <row r="176" spans="2:19" x14ac:dyDescent="0.2">
      <c r="B176" s="780">
        <v>0</v>
      </c>
      <c r="C176" s="602">
        <v>-1.2266000000000001E-2</v>
      </c>
      <c r="D176" s="602">
        <v>-6.1774999999999997E-2</v>
      </c>
      <c r="E176" s="602">
        <v>-1.2107E-2</v>
      </c>
      <c r="F176" s="602">
        <v>-1.2107E-2</v>
      </c>
      <c r="G176" s="602">
        <v>-6.0978999999999998E-2</v>
      </c>
      <c r="H176" s="602">
        <v>-6.0978999999999998E-2</v>
      </c>
      <c r="I176" s="602" t="s">
        <v>2041</v>
      </c>
    </row>
    <row r="177" spans="2:9" x14ac:dyDescent="0.2">
      <c r="B177" s="780">
        <v>0</v>
      </c>
      <c r="C177" s="602">
        <v>-162.48756800000001</v>
      </c>
      <c r="D177" s="602">
        <v>-515.15857200000005</v>
      </c>
      <c r="E177" s="602">
        <v>-160.33715000000001</v>
      </c>
      <c r="F177" s="602">
        <v>-160.33715000000001</v>
      </c>
      <c r="G177" s="602">
        <v>-508.33090199999998</v>
      </c>
      <c r="H177" s="602">
        <v>-508.33090399999998</v>
      </c>
      <c r="I177" s="602" t="s">
        <v>2042</v>
      </c>
    </row>
    <row r="178" spans="2:9" x14ac:dyDescent="0.2">
      <c r="B178" s="780">
        <v>0</v>
      </c>
      <c r="C178" s="602">
        <v>-94.456388000000004</v>
      </c>
      <c r="D178" s="602">
        <v>-73.475649000000004</v>
      </c>
      <c r="E178" s="602">
        <v>-46.862611000000001</v>
      </c>
      <c r="F178" s="602">
        <v>-23.407238</v>
      </c>
      <c r="G178" s="602">
        <v>-40.864443999999999</v>
      </c>
      <c r="H178" s="602">
        <v>-19.133817000000001</v>
      </c>
      <c r="I178" s="602" t="s">
        <v>2043</v>
      </c>
    </row>
    <row r="179" spans="2:9" x14ac:dyDescent="0.2">
      <c r="B179" s="780">
        <v>0</v>
      </c>
      <c r="C179" s="602">
        <v>-7.5057119999999999</v>
      </c>
      <c r="D179" s="602">
        <v>-2.1213220000000002</v>
      </c>
      <c r="E179" s="602">
        <v>-4.586443</v>
      </c>
      <c r="F179" s="602">
        <v>-4.2606520000000003</v>
      </c>
      <c r="G179" s="602">
        <v>-1.4985679999999999</v>
      </c>
      <c r="H179" s="602">
        <v>-1.430615</v>
      </c>
      <c r="I179" s="602" t="s">
        <v>2044</v>
      </c>
    </row>
    <row r="180" spans="2:9" x14ac:dyDescent="0.2">
      <c r="B180" s="780">
        <v>0</v>
      </c>
      <c r="C180" s="602">
        <v>-102.332818</v>
      </c>
      <c r="D180" s="602">
        <v>-155.984015</v>
      </c>
      <c r="E180" s="602">
        <v>-14.478208</v>
      </c>
      <c r="F180" s="602">
        <v>-4.4962679999999997</v>
      </c>
      <c r="G180" s="602">
        <v>-23.569019999999998</v>
      </c>
      <c r="H180" s="602">
        <v>-8.9219609999999996</v>
      </c>
      <c r="I180" s="602" t="s">
        <v>2045</v>
      </c>
    </row>
    <row r="181" spans="2:9" x14ac:dyDescent="0.2">
      <c r="B181" s="780">
        <v>0</v>
      </c>
      <c r="C181" s="602">
        <v>-173.507857</v>
      </c>
      <c r="D181" s="602">
        <v>-260.61332399999998</v>
      </c>
      <c r="E181" s="602">
        <v>-23.248732</v>
      </c>
      <c r="F181" s="602">
        <v>-6.2375369999999997</v>
      </c>
      <c r="G181" s="602">
        <v>-38.281359000000002</v>
      </c>
      <c r="H181" s="602">
        <v>-13.851138000000001</v>
      </c>
      <c r="I181" s="602" t="s">
        <v>2046</v>
      </c>
    </row>
    <row r="182" spans="2:9" x14ac:dyDescent="0.2">
      <c r="B182" s="780">
        <v>0</v>
      </c>
      <c r="C182" s="602">
        <v>-483.05970300000001</v>
      </c>
      <c r="D182" s="602">
        <v>-489.81464199999999</v>
      </c>
      <c r="E182" s="602">
        <v>-77.749521000000001</v>
      </c>
      <c r="F182" s="602">
        <v>-32.120564999999999</v>
      </c>
      <c r="G182" s="602">
        <v>-78.832710000000006</v>
      </c>
      <c r="H182" s="602">
        <v>-32.605728999999997</v>
      </c>
      <c r="I182" s="602" t="s">
        <v>2047</v>
      </c>
    </row>
    <row r="183" spans="2:9" x14ac:dyDescent="0.2">
      <c r="B183" s="780">
        <v>0</v>
      </c>
      <c r="C183" s="602">
        <v>-77.965203000000002</v>
      </c>
      <c r="D183" s="602">
        <v>-78.004266000000001</v>
      </c>
      <c r="E183" s="602">
        <v>-9.6983080000000008</v>
      </c>
      <c r="F183" s="602">
        <v>-1.9682029999999999</v>
      </c>
      <c r="G183" s="602">
        <v>-9.7035529999999994</v>
      </c>
      <c r="H183" s="602">
        <v>-1.9696400000000001</v>
      </c>
      <c r="I183" s="602" t="s">
        <v>2048</v>
      </c>
    </row>
    <row r="184" spans="2:9" x14ac:dyDescent="0.2">
      <c r="B184" s="341"/>
    </row>
    <row r="185" spans="2:9" x14ac:dyDescent="0.2">
      <c r="B185" s="341" t="s">
        <v>2052</v>
      </c>
    </row>
    <row r="187" spans="2:9" x14ac:dyDescent="0.2">
      <c r="B187" s="1027"/>
      <c r="C187" s="1127" t="s">
        <v>2049</v>
      </c>
      <c r="D187" s="1127"/>
      <c r="E187" s="1127"/>
      <c r="F187" s="1127"/>
      <c r="G187" s="1127"/>
      <c r="H187" s="1127"/>
    </row>
    <row r="188" spans="2:9" ht="78" customHeight="1" x14ac:dyDescent="0.2">
      <c r="B188" s="1028" t="s">
        <v>2050</v>
      </c>
      <c r="C188" s="1028" t="s">
        <v>2017</v>
      </c>
      <c r="D188" s="1028" t="s">
        <v>2018</v>
      </c>
      <c r="E188" s="1028" t="s">
        <v>2021</v>
      </c>
      <c r="F188" s="1028" t="s">
        <v>2023</v>
      </c>
      <c r="G188" s="1028" t="s">
        <v>2020</v>
      </c>
      <c r="H188" s="1028" t="s">
        <v>2022</v>
      </c>
    </row>
    <row r="189" spans="2:9" x14ac:dyDescent="0.2">
      <c r="B189" s="1029" t="str">
        <f>I176</f>
        <v>POSF to Water</v>
      </c>
      <c r="C189" s="1029">
        <f>ROUND(C176,2)*-1</f>
        <v>0.01</v>
      </c>
      <c r="D189" s="1029">
        <f t="shared" ref="D189:H189" si="19">ROUND(D176,2)*-1</f>
        <v>0.06</v>
      </c>
      <c r="E189" s="1029">
        <f t="shared" si="19"/>
        <v>0.01</v>
      </c>
      <c r="F189" s="1029">
        <f t="shared" si="19"/>
        <v>0.01</v>
      </c>
      <c r="G189" s="1029">
        <f t="shared" si="19"/>
        <v>0.06</v>
      </c>
      <c r="H189" s="1029">
        <f t="shared" si="19"/>
        <v>0.06</v>
      </c>
    </row>
    <row r="190" spans="2:9" x14ac:dyDescent="0.2">
      <c r="B190" s="1029" t="str">
        <f t="shared" ref="B190:B196" si="20">I177</f>
        <v>POSF to Ice</v>
      </c>
      <c r="C190" s="1029">
        <f t="shared" ref="C190:H196" si="21">ROUND(C177,2)*-1</f>
        <v>162.49</v>
      </c>
      <c r="D190" s="1029">
        <f t="shared" si="21"/>
        <v>515.16</v>
      </c>
      <c r="E190" s="1029">
        <f t="shared" si="21"/>
        <v>160.34</v>
      </c>
      <c r="F190" s="1029">
        <f t="shared" si="21"/>
        <v>160.34</v>
      </c>
      <c r="G190" s="1029">
        <f t="shared" si="21"/>
        <v>508.33</v>
      </c>
      <c r="H190" s="1029">
        <f t="shared" si="21"/>
        <v>508.33</v>
      </c>
    </row>
    <row r="191" spans="2:9" x14ac:dyDescent="0.2">
      <c r="B191" s="1029" t="str">
        <f t="shared" si="20"/>
        <v>PFOS to Water</v>
      </c>
      <c r="C191" s="1029">
        <f t="shared" si="21"/>
        <v>94.46</v>
      </c>
      <c r="D191" s="1029">
        <f t="shared" si="21"/>
        <v>73.48</v>
      </c>
      <c r="E191" s="1029">
        <f t="shared" si="21"/>
        <v>46.86</v>
      </c>
      <c r="F191" s="1029">
        <f t="shared" si="21"/>
        <v>23.41</v>
      </c>
      <c r="G191" s="1029">
        <f t="shared" si="21"/>
        <v>40.86</v>
      </c>
      <c r="H191" s="1029">
        <f t="shared" si="21"/>
        <v>19.13</v>
      </c>
    </row>
    <row r="192" spans="2:9" x14ac:dyDescent="0.2">
      <c r="B192" s="1029" t="str">
        <f t="shared" si="20"/>
        <v>PFOS to Ice</v>
      </c>
      <c r="C192" s="1029">
        <f t="shared" si="21"/>
        <v>7.51</v>
      </c>
      <c r="D192" s="1029">
        <f t="shared" si="21"/>
        <v>2.12</v>
      </c>
      <c r="E192" s="1029">
        <f t="shared" si="21"/>
        <v>4.59</v>
      </c>
      <c r="F192" s="1029">
        <f t="shared" si="21"/>
        <v>4.26</v>
      </c>
      <c r="G192" s="1029">
        <f t="shared" si="21"/>
        <v>1.5</v>
      </c>
      <c r="H192" s="1029">
        <f t="shared" si="21"/>
        <v>1.43</v>
      </c>
    </row>
    <row r="193" spans="2:8" x14ac:dyDescent="0.2">
      <c r="B193" s="1029" t="str">
        <f t="shared" si="20"/>
        <v>xFOSAs to Water</v>
      </c>
      <c r="C193" s="1029">
        <f t="shared" si="21"/>
        <v>102.33</v>
      </c>
      <c r="D193" s="1029">
        <f t="shared" si="21"/>
        <v>155.97999999999999</v>
      </c>
      <c r="E193" s="1029">
        <f t="shared" si="21"/>
        <v>14.48</v>
      </c>
      <c r="F193" s="1029">
        <f t="shared" si="21"/>
        <v>4.5</v>
      </c>
      <c r="G193" s="1029">
        <f t="shared" si="21"/>
        <v>23.57</v>
      </c>
      <c r="H193" s="1029">
        <f t="shared" si="21"/>
        <v>8.92</v>
      </c>
    </row>
    <row r="194" spans="2:8" x14ac:dyDescent="0.2">
      <c r="B194" s="1029" t="str">
        <f t="shared" si="20"/>
        <v>xFOSAs to Ice</v>
      </c>
      <c r="C194" s="1029">
        <f t="shared" si="21"/>
        <v>173.51</v>
      </c>
      <c r="D194" s="1029">
        <f t="shared" si="21"/>
        <v>260.61</v>
      </c>
      <c r="E194" s="1029">
        <f t="shared" si="21"/>
        <v>23.25</v>
      </c>
      <c r="F194" s="1029">
        <f t="shared" si="21"/>
        <v>6.24</v>
      </c>
      <c r="G194" s="1029">
        <f t="shared" si="21"/>
        <v>38.28</v>
      </c>
      <c r="H194" s="1029">
        <f t="shared" si="21"/>
        <v>13.85</v>
      </c>
    </row>
    <row r="195" spans="2:8" x14ac:dyDescent="0.2">
      <c r="B195" s="1029" t="str">
        <f t="shared" si="20"/>
        <v>xFOSEs to Water</v>
      </c>
      <c r="C195" s="1029">
        <f t="shared" si="21"/>
        <v>483.06</v>
      </c>
      <c r="D195" s="1029">
        <f t="shared" si="21"/>
        <v>489.81</v>
      </c>
      <c r="E195" s="1029">
        <f t="shared" si="21"/>
        <v>77.75</v>
      </c>
      <c r="F195" s="1029">
        <f t="shared" si="21"/>
        <v>32.119999999999997</v>
      </c>
      <c r="G195" s="1029">
        <f t="shared" si="21"/>
        <v>78.83</v>
      </c>
      <c r="H195" s="1029">
        <f t="shared" si="21"/>
        <v>32.61</v>
      </c>
    </row>
    <row r="196" spans="2:8" x14ac:dyDescent="0.2">
      <c r="B196" s="1029" t="str">
        <f t="shared" si="20"/>
        <v>xFOSEs to Ice</v>
      </c>
      <c r="C196" s="1029">
        <f t="shared" si="21"/>
        <v>77.97</v>
      </c>
      <c r="D196" s="1029">
        <f t="shared" si="21"/>
        <v>78</v>
      </c>
      <c r="E196" s="1029">
        <f t="shared" si="21"/>
        <v>9.6999999999999993</v>
      </c>
      <c r="F196" s="1029">
        <f t="shared" si="21"/>
        <v>1.97</v>
      </c>
      <c r="G196" s="1029">
        <f t="shared" si="21"/>
        <v>9.6999999999999993</v>
      </c>
      <c r="H196" s="1029">
        <f t="shared" si="21"/>
        <v>1.97</v>
      </c>
    </row>
  </sheetData>
  <mergeCells count="23">
    <mergeCell ref="C187:H187"/>
    <mergeCell ref="P159:S159"/>
    <mergeCell ref="C101:D101"/>
    <mergeCell ref="B165:B166"/>
    <mergeCell ref="H159:K159"/>
    <mergeCell ref="L159:O159"/>
    <mergeCell ref="I101:K101"/>
    <mergeCell ref="B167:B168"/>
    <mergeCell ref="B170:B171"/>
    <mergeCell ref="P6:R8"/>
    <mergeCell ref="B9:G9"/>
    <mergeCell ref="I9:N9"/>
    <mergeCell ref="B31:G31"/>
    <mergeCell ref="I31:N31"/>
    <mergeCell ref="I51:K51"/>
    <mergeCell ref="E51:H51"/>
    <mergeCell ref="D159:G159"/>
    <mergeCell ref="B161:B162"/>
    <mergeCell ref="B163:B164"/>
    <mergeCell ref="C127:D127"/>
    <mergeCell ref="E127:H127"/>
    <mergeCell ref="I127:K127"/>
    <mergeCell ref="E101:H101"/>
  </mergeCells>
  <pageMargins left="0.7" right="0.7" top="0.75" bottom="0.75" header="0.3" footer="0.3"/>
  <pageSetup paperSize="9" orientation="portrait" horizontalDpi="4294967292" verticalDpi="429496729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2"/>
  <sheetViews>
    <sheetView zoomScale="110" zoomScaleNormal="110" zoomScalePageLayoutView="110" workbookViewId="0">
      <pane ySplit="2" topLeftCell="A3" activePane="bottomLeft" state="frozen"/>
      <selection pane="bottomLeft"/>
    </sheetView>
  </sheetViews>
  <sheetFormatPr baseColWidth="10" defaultColWidth="10.83203125" defaultRowHeight="18" x14ac:dyDescent="0.25"/>
  <cols>
    <col min="1" max="1" width="29.1640625" style="1" customWidth="1"/>
    <col min="2" max="2" width="24.5" style="1" bestFit="1" customWidth="1"/>
    <col min="3" max="6" width="24.5" style="214" customWidth="1"/>
    <col min="7" max="7" width="12.5" style="214" customWidth="1"/>
    <col min="8" max="8" width="26.6640625" style="214" customWidth="1"/>
    <col min="9" max="9" width="36" style="214" bestFit="1" customWidth="1"/>
    <col min="10" max="10" width="36" style="214" customWidth="1"/>
    <col min="11" max="11" width="36" style="715" customWidth="1"/>
    <col min="12" max="12" width="22" style="1" customWidth="1"/>
    <col min="13" max="13" width="22.5" style="1" customWidth="1"/>
    <col min="14" max="14" width="20.6640625" style="1" customWidth="1"/>
    <col min="15" max="17" width="18.83203125" style="1" customWidth="1"/>
    <col min="18" max="16384" width="10.83203125" style="1"/>
  </cols>
  <sheetData>
    <row r="1" spans="1:23" ht="23" x14ac:dyDescent="0.3">
      <c r="A1" s="245" t="s">
        <v>1673</v>
      </c>
      <c r="I1" s="743" t="s">
        <v>1511</v>
      </c>
      <c r="J1" s="744">
        <v>26400000</v>
      </c>
      <c r="K1" s="745"/>
    </row>
    <row r="2" spans="1:23" ht="55" thickBot="1" x14ac:dyDescent="0.3">
      <c r="A2" s="252" t="s">
        <v>718</v>
      </c>
      <c r="B2" s="252" t="s">
        <v>53</v>
      </c>
      <c r="C2" s="253" t="s">
        <v>816</v>
      </c>
      <c r="D2" s="253" t="s">
        <v>815</v>
      </c>
      <c r="E2" s="253" t="s">
        <v>789</v>
      </c>
      <c r="F2" s="253" t="s">
        <v>785</v>
      </c>
      <c r="G2" s="253" t="s">
        <v>779</v>
      </c>
      <c r="H2" s="254" t="s">
        <v>780</v>
      </c>
      <c r="I2" s="254" t="s">
        <v>786</v>
      </c>
      <c r="J2" s="254" t="s">
        <v>846</v>
      </c>
      <c r="K2" s="254" t="s">
        <v>1512</v>
      </c>
      <c r="L2" s="256" t="s">
        <v>787</v>
      </c>
      <c r="M2" s="256" t="s">
        <v>788</v>
      </c>
      <c r="N2" s="256" t="s">
        <v>792</v>
      </c>
      <c r="O2" s="256" t="s">
        <v>793</v>
      </c>
      <c r="P2" s="256" t="s">
        <v>1513</v>
      </c>
      <c r="Q2" s="256" t="s">
        <v>1514</v>
      </c>
      <c r="R2" s="184" t="s">
        <v>419</v>
      </c>
      <c r="S2" s="184"/>
      <c r="W2" s="6" t="s">
        <v>782</v>
      </c>
    </row>
    <row r="3" spans="1:23" x14ac:dyDescent="0.25">
      <c r="A3" s="1" t="s">
        <v>781</v>
      </c>
      <c r="B3" s="1" t="s">
        <v>473</v>
      </c>
      <c r="E3" s="214">
        <v>1</v>
      </c>
      <c r="G3" s="214">
        <v>2004</v>
      </c>
      <c r="H3" s="214">
        <v>11</v>
      </c>
      <c r="I3" s="214">
        <v>1.4</v>
      </c>
      <c r="W3" s="1" t="s">
        <v>783</v>
      </c>
    </row>
    <row r="4" spans="1:23" x14ac:dyDescent="0.25">
      <c r="A4" s="1" t="s">
        <v>781</v>
      </c>
      <c r="B4" s="1" t="s">
        <v>474</v>
      </c>
      <c r="E4" s="214">
        <v>1</v>
      </c>
      <c r="G4" s="214">
        <v>2004</v>
      </c>
      <c r="H4" s="214">
        <v>58</v>
      </c>
      <c r="I4" s="214">
        <v>4</v>
      </c>
      <c r="W4" s="1" t="s">
        <v>790</v>
      </c>
    </row>
    <row r="5" spans="1:23" x14ac:dyDescent="0.25">
      <c r="A5" s="1" t="s">
        <v>781</v>
      </c>
      <c r="B5" s="1" t="s">
        <v>476</v>
      </c>
      <c r="E5" s="214">
        <v>1</v>
      </c>
      <c r="G5" s="214">
        <v>2004</v>
      </c>
      <c r="H5" s="214">
        <v>23</v>
      </c>
      <c r="I5" s="214">
        <v>2.4</v>
      </c>
      <c r="W5" s="1" t="s">
        <v>795</v>
      </c>
    </row>
    <row r="6" spans="1:23" x14ac:dyDescent="0.25">
      <c r="A6" s="1" t="s">
        <v>781</v>
      </c>
      <c r="B6" s="1" t="s">
        <v>473</v>
      </c>
      <c r="E6" s="214">
        <v>1</v>
      </c>
      <c r="G6" s="214">
        <v>2005</v>
      </c>
      <c r="H6" s="214">
        <v>18</v>
      </c>
      <c r="I6" s="214">
        <v>2.2999999999999998</v>
      </c>
      <c r="W6" s="1" t="s">
        <v>847</v>
      </c>
    </row>
    <row r="7" spans="1:23" x14ac:dyDescent="0.25">
      <c r="A7" s="1" t="s">
        <v>781</v>
      </c>
      <c r="B7" s="1" t="s">
        <v>474</v>
      </c>
      <c r="E7" s="214">
        <v>1</v>
      </c>
      <c r="G7" s="214">
        <v>2005</v>
      </c>
      <c r="H7" s="214">
        <v>48</v>
      </c>
      <c r="I7" s="214">
        <v>4</v>
      </c>
      <c r="W7" s="1" t="s">
        <v>848</v>
      </c>
    </row>
    <row r="8" spans="1:23" x14ac:dyDescent="0.25">
      <c r="A8" s="1" t="s">
        <v>781</v>
      </c>
      <c r="B8" s="1" t="s">
        <v>475</v>
      </c>
      <c r="E8" s="214">
        <v>1</v>
      </c>
      <c r="G8" s="214">
        <v>2005</v>
      </c>
      <c r="H8" s="214">
        <v>23</v>
      </c>
      <c r="I8" s="214">
        <v>1.6</v>
      </c>
    </row>
    <row r="9" spans="1:23" x14ac:dyDescent="0.25">
      <c r="A9" s="1" t="s">
        <v>781</v>
      </c>
      <c r="B9" s="1" t="s">
        <v>476</v>
      </c>
      <c r="E9" s="214">
        <v>1</v>
      </c>
      <c r="G9" s="214">
        <v>2005</v>
      </c>
      <c r="H9" s="214">
        <v>44</v>
      </c>
      <c r="I9" s="214">
        <v>4.5999999999999996</v>
      </c>
    </row>
    <row r="10" spans="1:23" x14ac:dyDescent="0.25">
      <c r="A10" s="1" t="s">
        <v>772</v>
      </c>
      <c r="B10" s="1" t="s">
        <v>784</v>
      </c>
      <c r="E10" s="214">
        <v>1</v>
      </c>
      <c r="F10" s="214" t="s">
        <v>185</v>
      </c>
      <c r="G10" s="255">
        <v>40939</v>
      </c>
      <c r="L10" s="1">
        <v>5</v>
      </c>
      <c r="M10" s="1">
        <v>79</v>
      </c>
      <c r="N10" s="1">
        <v>0.13</v>
      </c>
      <c r="O10" s="1">
        <v>-0.04</v>
      </c>
      <c r="P10" s="1">
        <f>N10*$J$1/(0.000001)/(1000000000000000)*365</f>
        <v>1.25268</v>
      </c>
      <c r="Q10" s="1">
        <f>O10*$J$1/(0.000001)/(1000000000000000)*365</f>
        <v>-0.38544</v>
      </c>
    </row>
    <row r="11" spans="1:23" x14ac:dyDescent="0.25">
      <c r="A11" s="1" t="s">
        <v>772</v>
      </c>
      <c r="B11" s="1" t="s">
        <v>784</v>
      </c>
      <c r="E11" s="214">
        <v>1</v>
      </c>
      <c r="F11" s="214" t="s">
        <v>186</v>
      </c>
      <c r="G11" s="255">
        <v>40939</v>
      </c>
      <c r="L11" s="1">
        <v>7.9</v>
      </c>
      <c r="M11" s="1">
        <v>97</v>
      </c>
      <c r="N11" s="1">
        <v>0.23</v>
      </c>
      <c r="O11" s="1">
        <v>-0.03</v>
      </c>
      <c r="P11" s="1">
        <f t="shared" ref="P11:Q19" si="0">N11*$J$1/(0.000001)/(1000000000000000)*365</f>
        <v>2.2162800000000002</v>
      </c>
      <c r="Q11" s="1">
        <f t="shared" si="0"/>
        <v>-0.28908</v>
      </c>
    </row>
    <row r="12" spans="1:23" x14ac:dyDescent="0.25">
      <c r="A12" s="1" t="s">
        <v>772</v>
      </c>
      <c r="B12" s="1" t="s">
        <v>784</v>
      </c>
      <c r="E12" s="214">
        <v>1</v>
      </c>
      <c r="F12" s="214" t="s">
        <v>187</v>
      </c>
      <c r="G12" s="255">
        <v>40941</v>
      </c>
      <c r="L12" s="1">
        <v>5.4</v>
      </c>
      <c r="M12" s="1">
        <v>102</v>
      </c>
      <c r="N12" s="1">
        <v>0.11</v>
      </c>
      <c r="O12" s="1">
        <v>-0.03</v>
      </c>
      <c r="P12" s="1">
        <f t="shared" si="0"/>
        <v>1.05996</v>
      </c>
      <c r="Q12" s="1">
        <f t="shared" si="0"/>
        <v>-0.28908</v>
      </c>
    </row>
    <row r="13" spans="1:23" x14ac:dyDescent="0.25">
      <c r="A13" s="1" t="s">
        <v>772</v>
      </c>
      <c r="B13" s="1" t="s">
        <v>784</v>
      </c>
      <c r="E13" s="214">
        <v>1</v>
      </c>
      <c r="F13" s="214" t="s">
        <v>665</v>
      </c>
      <c r="G13" s="255">
        <v>41247</v>
      </c>
      <c r="L13" s="1">
        <v>8.5</v>
      </c>
      <c r="M13" s="1">
        <v>137</v>
      </c>
      <c r="N13" s="1">
        <v>0.21</v>
      </c>
      <c r="O13" s="1">
        <v>-0.03</v>
      </c>
      <c r="P13" s="1">
        <f t="shared" si="0"/>
        <v>2.0235600000000002</v>
      </c>
      <c r="Q13" s="1">
        <f t="shared" si="0"/>
        <v>-0.28908</v>
      </c>
    </row>
    <row r="14" spans="1:23" x14ac:dyDescent="0.25">
      <c r="A14" s="1" t="s">
        <v>772</v>
      </c>
      <c r="B14" s="1" t="s">
        <v>784</v>
      </c>
      <c r="E14" s="214">
        <v>1</v>
      </c>
      <c r="F14" s="214" t="s">
        <v>666</v>
      </c>
      <c r="G14" s="255">
        <v>41047</v>
      </c>
      <c r="L14" s="1">
        <v>7.2</v>
      </c>
      <c r="M14" s="1">
        <v>137</v>
      </c>
      <c r="N14" s="1">
        <v>-0.59</v>
      </c>
      <c r="O14" s="1">
        <v>-0.1</v>
      </c>
      <c r="P14" s="1">
        <f t="shared" si="0"/>
        <v>-5.6852399999999994</v>
      </c>
      <c r="Q14" s="1">
        <f t="shared" si="0"/>
        <v>-0.96360000000000001</v>
      </c>
    </row>
    <row r="15" spans="1:23" x14ac:dyDescent="0.25">
      <c r="A15" s="1" t="s">
        <v>772</v>
      </c>
      <c r="B15" s="1" t="s">
        <v>784</v>
      </c>
      <c r="E15" s="214">
        <v>1</v>
      </c>
      <c r="F15" s="214" t="s">
        <v>188</v>
      </c>
      <c r="G15" s="255">
        <v>41050</v>
      </c>
      <c r="L15" s="1">
        <v>4.7</v>
      </c>
      <c r="M15" s="1">
        <v>28</v>
      </c>
      <c r="N15" s="1">
        <v>-0.69</v>
      </c>
      <c r="O15" s="1">
        <v>-0.11</v>
      </c>
      <c r="P15" s="1">
        <f t="shared" si="0"/>
        <v>-6.6488399999999999</v>
      </c>
      <c r="Q15" s="1">
        <f t="shared" si="0"/>
        <v>-1.05996</v>
      </c>
    </row>
    <row r="16" spans="1:23" x14ac:dyDescent="0.25">
      <c r="A16" s="1" t="s">
        <v>772</v>
      </c>
      <c r="B16" s="1" t="s">
        <v>784</v>
      </c>
      <c r="E16" s="214">
        <v>1</v>
      </c>
      <c r="F16" s="214" t="s">
        <v>189</v>
      </c>
      <c r="G16" s="255">
        <v>41052</v>
      </c>
      <c r="L16" s="1">
        <v>10.8</v>
      </c>
      <c r="M16" s="1">
        <v>57</v>
      </c>
      <c r="N16" s="1">
        <v>0.06</v>
      </c>
      <c r="O16" s="1">
        <v>-7.0000000000000007E-2</v>
      </c>
      <c r="P16" s="1">
        <f t="shared" si="0"/>
        <v>0.57816000000000001</v>
      </c>
      <c r="Q16" s="1">
        <f t="shared" si="0"/>
        <v>-0.67452000000000012</v>
      </c>
    </row>
    <row r="17" spans="1:18" x14ac:dyDescent="0.25">
      <c r="A17" s="1" t="s">
        <v>772</v>
      </c>
      <c r="B17" s="1" t="s">
        <v>784</v>
      </c>
      <c r="E17" s="214">
        <v>1</v>
      </c>
      <c r="F17" s="214" t="s">
        <v>190</v>
      </c>
      <c r="G17" s="255">
        <v>41053</v>
      </c>
      <c r="L17" s="1">
        <v>9.6</v>
      </c>
      <c r="M17" s="1">
        <v>42</v>
      </c>
      <c r="N17" s="1">
        <v>-0.5</v>
      </c>
      <c r="O17" s="1">
        <v>-0.11</v>
      </c>
      <c r="P17" s="1">
        <f t="shared" si="0"/>
        <v>-4.8179999999999996</v>
      </c>
      <c r="Q17" s="1">
        <f t="shared" si="0"/>
        <v>-1.05996</v>
      </c>
    </row>
    <row r="18" spans="1:18" x14ac:dyDescent="0.25">
      <c r="A18" s="1" t="s">
        <v>772</v>
      </c>
      <c r="B18" s="1" t="s">
        <v>784</v>
      </c>
      <c r="E18" s="214">
        <v>1</v>
      </c>
      <c r="F18" s="214" t="s">
        <v>191</v>
      </c>
      <c r="G18" s="255">
        <v>41051</v>
      </c>
      <c r="L18" s="1">
        <v>24.8</v>
      </c>
      <c r="M18" s="1">
        <v>42.1</v>
      </c>
      <c r="N18" s="1">
        <v>0.88</v>
      </c>
      <c r="O18" s="1">
        <v>-7.0000000000000007E-2</v>
      </c>
      <c r="P18" s="1">
        <f t="shared" si="0"/>
        <v>8.4796800000000001</v>
      </c>
      <c r="Q18" s="1">
        <f t="shared" si="0"/>
        <v>-0.67452000000000012</v>
      </c>
    </row>
    <row r="19" spans="1:18" x14ac:dyDescent="0.25">
      <c r="A19" s="1" t="s">
        <v>769</v>
      </c>
      <c r="B19" s="1" t="s">
        <v>791</v>
      </c>
      <c r="E19" s="269" t="s">
        <v>860</v>
      </c>
      <c r="F19" s="214" t="s">
        <v>9</v>
      </c>
      <c r="L19" s="1">
        <v>4.5999999999999996</v>
      </c>
      <c r="M19" s="1">
        <v>58</v>
      </c>
      <c r="N19" s="1">
        <v>-7.0000000000000007E-2</v>
      </c>
      <c r="O19" s="1">
        <v>-0.22</v>
      </c>
      <c r="P19" s="1">
        <f t="shared" si="0"/>
        <v>-0.67452000000000012</v>
      </c>
      <c r="Q19" s="1">
        <f t="shared" si="0"/>
        <v>-2.11992</v>
      </c>
      <c r="R19" s="1" t="s">
        <v>794</v>
      </c>
    </row>
    <row r="20" spans="1:18" x14ac:dyDescent="0.25">
      <c r="A20" s="1" t="s">
        <v>814</v>
      </c>
      <c r="B20" s="1" t="s">
        <v>817</v>
      </c>
      <c r="C20" s="214">
        <v>38.28</v>
      </c>
      <c r="D20" s="214">
        <v>75.099999999999994</v>
      </c>
      <c r="E20" s="214">
        <v>3</v>
      </c>
      <c r="F20" s="214" t="s">
        <v>796</v>
      </c>
      <c r="G20" s="214">
        <v>1999</v>
      </c>
      <c r="I20" s="214">
        <v>307.8</v>
      </c>
      <c r="R20" s="1" t="s">
        <v>826</v>
      </c>
    </row>
    <row r="21" spans="1:18" x14ac:dyDescent="0.25">
      <c r="A21" s="1" t="s">
        <v>814</v>
      </c>
      <c r="B21" s="1" t="s">
        <v>817</v>
      </c>
      <c r="C21" s="214">
        <v>38.28</v>
      </c>
      <c r="D21" s="214">
        <v>75.099999999999994</v>
      </c>
      <c r="E21" s="214">
        <v>3</v>
      </c>
      <c r="F21" s="214" t="s">
        <v>797</v>
      </c>
      <c r="G21" s="214">
        <v>1998</v>
      </c>
      <c r="I21" s="214">
        <v>346.7</v>
      </c>
      <c r="R21" s="1" t="s">
        <v>826</v>
      </c>
    </row>
    <row r="22" spans="1:18" x14ac:dyDescent="0.25">
      <c r="A22" s="1" t="s">
        <v>814</v>
      </c>
      <c r="B22" s="1" t="s">
        <v>817</v>
      </c>
      <c r="C22" s="214">
        <v>38.28</v>
      </c>
      <c r="D22" s="214">
        <v>75.099999999999994</v>
      </c>
      <c r="E22" s="214">
        <v>3</v>
      </c>
      <c r="F22" s="214" t="s">
        <v>798</v>
      </c>
      <c r="G22" s="214" t="s">
        <v>806</v>
      </c>
      <c r="I22" s="214">
        <v>263</v>
      </c>
      <c r="R22" s="1" t="s">
        <v>826</v>
      </c>
    </row>
    <row r="23" spans="1:18" x14ac:dyDescent="0.25">
      <c r="A23" s="1" t="s">
        <v>814</v>
      </c>
      <c r="B23" s="1" t="s">
        <v>817</v>
      </c>
      <c r="C23" s="214">
        <v>38.28</v>
      </c>
      <c r="D23" s="214">
        <v>75.099999999999994</v>
      </c>
      <c r="E23" s="214">
        <v>3</v>
      </c>
      <c r="F23" s="214" t="s">
        <v>799</v>
      </c>
      <c r="G23" s="214" t="s">
        <v>807</v>
      </c>
      <c r="I23" s="214">
        <v>210.8</v>
      </c>
      <c r="R23" s="1" t="s">
        <v>826</v>
      </c>
    </row>
    <row r="24" spans="1:18" x14ac:dyDescent="0.25">
      <c r="A24" s="1" t="s">
        <v>814</v>
      </c>
      <c r="B24" s="1" t="s">
        <v>817</v>
      </c>
      <c r="C24" s="214">
        <v>38.28</v>
      </c>
      <c r="D24" s="214">
        <v>75.099999999999994</v>
      </c>
      <c r="E24" s="214">
        <v>3</v>
      </c>
      <c r="F24" s="214" t="s">
        <v>800</v>
      </c>
      <c r="G24" s="214" t="s">
        <v>809</v>
      </c>
      <c r="I24" s="214">
        <v>179.7</v>
      </c>
      <c r="R24" s="1" t="s">
        <v>826</v>
      </c>
    </row>
    <row r="25" spans="1:18" x14ac:dyDescent="0.25">
      <c r="A25" s="1" t="s">
        <v>814</v>
      </c>
      <c r="B25" s="1" t="s">
        <v>817</v>
      </c>
      <c r="C25" s="214">
        <v>38.28</v>
      </c>
      <c r="D25" s="214">
        <v>75.099999999999994</v>
      </c>
      <c r="E25" s="214">
        <v>3</v>
      </c>
      <c r="F25" s="214" t="s">
        <v>801</v>
      </c>
      <c r="G25" s="214" t="s">
        <v>808</v>
      </c>
      <c r="I25" s="214">
        <v>142</v>
      </c>
      <c r="R25" s="1" t="s">
        <v>826</v>
      </c>
    </row>
    <row r="26" spans="1:18" x14ac:dyDescent="0.25">
      <c r="A26" s="1" t="s">
        <v>814</v>
      </c>
      <c r="B26" s="1" t="s">
        <v>817</v>
      </c>
      <c r="C26" s="214">
        <v>38.28</v>
      </c>
      <c r="D26" s="214">
        <v>75.099999999999994</v>
      </c>
      <c r="E26" s="214">
        <v>3</v>
      </c>
      <c r="F26" s="214" t="s">
        <v>802</v>
      </c>
      <c r="G26" s="214" t="s">
        <v>810</v>
      </c>
      <c r="I26" s="214">
        <v>88</v>
      </c>
      <c r="R26" s="1" t="s">
        <v>826</v>
      </c>
    </row>
    <row r="27" spans="1:18" x14ac:dyDescent="0.25">
      <c r="A27" s="1" t="s">
        <v>814</v>
      </c>
      <c r="B27" s="1" t="s">
        <v>817</v>
      </c>
      <c r="C27" s="214">
        <v>38.28</v>
      </c>
      <c r="D27" s="214">
        <v>75.099999999999994</v>
      </c>
      <c r="E27" s="214">
        <v>3</v>
      </c>
      <c r="F27" s="214" t="s">
        <v>803</v>
      </c>
      <c r="G27" s="214" t="s">
        <v>811</v>
      </c>
      <c r="I27" s="214">
        <v>61.4</v>
      </c>
      <c r="R27" s="1" t="s">
        <v>826</v>
      </c>
    </row>
    <row r="28" spans="1:18" x14ac:dyDescent="0.25">
      <c r="A28" s="1" t="s">
        <v>814</v>
      </c>
      <c r="B28" s="1" t="s">
        <v>817</v>
      </c>
      <c r="C28" s="214">
        <v>38.28</v>
      </c>
      <c r="D28" s="214">
        <v>75.099999999999994</v>
      </c>
      <c r="E28" s="214">
        <v>3</v>
      </c>
      <c r="F28" s="214" t="s">
        <v>804</v>
      </c>
      <c r="G28" s="214" t="s">
        <v>812</v>
      </c>
      <c r="I28" s="214">
        <v>87.8</v>
      </c>
      <c r="R28" s="1" t="s">
        <v>826</v>
      </c>
    </row>
    <row r="29" spans="1:18" x14ac:dyDescent="0.25">
      <c r="A29" s="1" t="s">
        <v>814</v>
      </c>
      <c r="B29" s="1" t="s">
        <v>817</v>
      </c>
      <c r="C29" s="214">
        <v>38.28</v>
      </c>
      <c r="D29" s="214">
        <v>75.099999999999994</v>
      </c>
      <c r="E29" s="214">
        <v>3</v>
      </c>
      <c r="F29" s="214" t="s">
        <v>805</v>
      </c>
      <c r="G29" s="214" t="s">
        <v>813</v>
      </c>
      <c r="I29" s="214">
        <v>94.6</v>
      </c>
      <c r="R29" s="1" t="s">
        <v>826</v>
      </c>
    </row>
    <row r="30" spans="1:18" x14ac:dyDescent="0.25">
      <c r="A30" s="1" t="s">
        <v>814</v>
      </c>
      <c r="B30" s="1" t="s">
        <v>818</v>
      </c>
      <c r="C30" s="214">
        <v>30.73</v>
      </c>
      <c r="D30" s="214">
        <v>90.95</v>
      </c>
      <c r="E30" s="214">
        <v>4</v>
      </c>
      <c r="F30" s="214" t="s">
        <v>819</v>
      </c>
      <c r="G30" s="257">
        <v>40513</v>
      </c>
      <c r="I30" s="214">
        <v>43.4</v>
      </c>
      <c r="R30" s="1" t="s">
        <v>826</v>
      </c>
    </row>
    <row r="31" spans="1:18" x14ac:dyDescent="0.25">
      <c r="A31" s="1" t="s">
        <v>814</v>
      </c>
      <c r="B31" s="1" t="s">
        <v>818</v>
      </c>
      <c r="C31" s="214">
        <v>30.73</v>
      </c>
      <c r="D31" s="214">
        <v>90.95</v>
      </c>
      <c r="E31" s="214">
        <v>4</v>
      </c>
      <c r="F31" s="214" t="s">
        <v>820</v>
      </c>
      <c r="G31" s="257">
        <v>40513</v>
      </c>
      <c r="I31" s="214">
        <v>64.099999999999994</v>
      </c>
      <c r="R31" s="1" t="s">
        <v>826</v>
      </c>
    </row>
    <row r="32" spans="1:18" x14ac:dyDescent="0.25">
      <c r="A32" s="1" t="s">
        <v>814</v>
      </c>
      <c r="B32" s="1" t="s">
        <v>818</v>
      </c>
      <c r="C32" s="214">
        <v>30.73</v>
      </c>
      <c r="D32" s="214">
        <v>90.95</v>
      </c>
      <c r="E32" s="214">
        <v>4</v>
      </c>
      <c r="F32" s="214" t="s">
        <v>821</v>
      </c>
      <c r="G32" s="257">
        <v>40513</v>
      </c>
      <c r="I32" s="214">
        <v>25</v>
      </c>
      <c r="R32" s="1" t="s">
        <v>826</v>
      </c>
    </row>
    <row r="33" spans="1:18" x14ac:dyDescent="0.25">
      <c r="A33" s="1" t="s">
        <v>814</v>
      </c>
      <c r="B33" s="1" t="s">
        <v>818</v>
      </c>
      <c r="C33" s="214">
        <v>30.73</v>
      </c>
      <c r="D33" s="214">
        <v>90.95</v>
      </c>
      <c r="E33" s="214">
        <v>4</v>
      </c>
      <c r="F33" s="214" t="s">
        <v>822</v>
      </c>
      <c r="G33" s="257">
        <v>40513</v>
      </c>
      <c r="I33" s="214">
        <v>51.9</v>
      </c>
      <c r="R33" s="1" t="s">
        <v>826</v>
      </c>
    </row>
    <row r="34" spans="1:18" x14ac:dyDescent="0.25">
      <c r="A34" s="1" t="s">
        <v>814</v>
      </c>
      <c r="B34" s="1" t="s">
        <v>818</v>
      </c>
      <c r="C34" s="214">
        <v>30.73</v>
      </c>
      <c r="D34" s="214">
        <v>90.95</v>
      </c>
      <c r="E34" s="214">
        <v>4</v>
      </c>
      <c r="F34" s="214" t="s">
        <v>823</v>
      </c>
      <c r="G34" s="257">
        <v>40513</v>
      </c>
      <c r="I34" s="214">
        <v>57</v>
      </c>
      <c r="R34" s="1" t="s">
        <v>826</v>
      </c>
    </row>
    <row r="35" spans="1:18" x14ac:dyDescent="0.25">
      <c r="A35" s="1" t="s">
        <v>814</v>
      </c>
      <c r="B35" s="1" t="s">
        <v>818</v>
      </c>
      <c r="C35" s="214">
        <v>30.73</v>
      </c>
      <c r="D35" s="214">
        <v>90.95</v>
      </c>
      <c r="E35" s="214">
        <v>4</v>
      </c>
      <c r="F35" s="214" t="s">
        <v>824</v>
      </c>
      <c r="G35" s="257">
        <v>40513</v>
      </c>
      <c r="I35" s="214">
        <v>25</v>
      </c>
      <c r="R35" s="1" t="s">
        <v>826</v>
      </c>
    </row>
    <row r="36" spans="1:18" x14ac:dyDescent="0.25">
      <c r="A36" s="1" t="s">
        <v>814</v>
      </c>
      <c r="B36" s="1" t="s">
        <v>818</v>
      </c>
      <c r="C36" s="214">
        <v>30.73</v>
      </c>
      <c r="D36" s="214">
        <v>90.95</v>
      </c>
      <c r="E36" s="214">
        <v>4</v>
      </c>
      <c r="F36" s="214" t="s">
        <v>825</v>
      </c>
      <c r="G36" s="257">
        <v>40513</v>
      </c>
      <c r="I36" s="214">
        <v>61.25</v>
      </c>
      <c r="R36" s="1" t="s">
        <v>826</v>
      </c>
    </row>
    <row r="37" spans="1:18" x14ac:dyDescent="0.25">
      <c r="A37" s="1" t="s">
        <v>814</v>
      </c>
      <c r="B37" s="1" t="s">
        <v>827</v>
      </c>
      <c r="C37" s="214">
        <v>29.21</v>
      </c>
      <c r="D37" s="214">
        <v>96.92</v>
      </c>
      <c r="E37" s="214">
        <v>4</v>
      </c>
      <c r="F37" s="214" t="s">
        <v>828</v>
      </c>
      <c r="G37" s="214">
        <v>2007</v>
      </c>
      <c r="I37" s="214" t="s">
        <v>840</v>
      </c>
    </row>
    <row r="38" spans="1:18" x14ac:dyDescent="0.25">
      <c r="A38" s="1" t="s">
        <v>814</v>
      </c>
      <c r="B38" s="1" t="s">
        <v>827</v>
      </c>
      <c r="C38" s="214">
        <v>29.21</v>
      </c>
      <c r="D38" s="214">
        <v>96.92</v>
      </c>
      <c r="E38" s="214">
        <v>4</v>
      </c>
      <c r="F38" s="214" t="s">
        <v>829</v>
      </c>
      <c r="G38" s="214">
        <v>2006</v>
      </c>
      <c r="I38" s="214" t="s">
        <v>840</v>
      </c>
    </row>
    <row r="39" spans="1:18" x14ac:dyDescent="0.25">
      <c r="A39" s="1" t="s">
        <v>814</v>
      </c>
      <c r="B39" s="1" t="s">
        <v>827</v>
      </c>
      <c r="C39" s="214">
        <v>29.21</v>
      </c>
      <c r="D39" s="214">
        <v>96.92</v>
      </c>
      <c r="E39" s="214">
        <v>4</v>
      </c>
      <c r="F39" s="214" t="s">
        <v>830</v>
      </c>
      <c r="G39" s="214">
        <v>2005</v>
      </c>
      <c r="I39" s="214" t="s">
        <v>840</v>
      </c>
    </row>
    <row r="40" spans="1:18" ht="23" x14ac:dyDescent="0.3">
      <c r="A40" s="1" t="s">
        <v>814</v>
      </c>
      <c r="B40" s="1" t="s">
        <v>827</v>
      </c>
      <c r="C40" s="214">
        <v>29.21</v>
      </c>
      <c r="D40" s="214">
        <v>96.92</v>
      </c>
      <c r="E40" s="214">
        <v>4</v>
      </c>
      <c r="F40" s="214" t="s">
        <v>831</v>
      </c>
      <c r="G40" s="214">
        <v>2004</v>
      </c>
      <c r="H40" s="259"/>
      <c r="I40" s="214" t="s">
        <v>840</v>
      </c>
    </row>
    <row r="41" spans="1:18" x14ac:dyDescent="0.25">
      <c r="A41" s="1" t="s">
        <v>814</v>
      </c>
      <c r="B41" s="1" t="s">
        <v>827</v>
      </c>
      <c r="C41" s="214">
        <v>29.21</v>
      </c>
      <c r="D41" s="214">
        <v>96.92</v>
      </c>
      <c r="E41" s="214">
        <v>4</v>
      </c>
      <c r="F41" s="214" t="s">
        <v>832</v>
      </c>
      <c r="G41" s="214">
        <v>2003</v>
      </c>
      <c r="H41" s="202"/>
      <c r="I41" s="214" t="s">
        <v>840</v>
      </c>
    </row>
    <row r="42" spans="1:18" x14ac:dyDescent="0.25">
      <c r="A42" s="1" t="s">
        <v>814</v>
      </c>
      <c r="B42" s="1" t="s">
        <v>827</v>
      </c>
      <c r="C42" s="214">
        <v>29.21</v>
      </c>
      <c r="D42" s="214">
        <v>96.92</v>
      </c>
      <c r="E42" s="214">
        <v>4</v>
      </c>
      <c r="F42" s="214" t="s">
        <v>833</v>
      </c>
      <c r="G42" s="214">
        <v>2002</v>
      </c>
      <c r="I42" s="214" t="s">
        <v>840</v>
      </c>
      <c r="L42" s="246"/>
    </row>
    <row r="43" spans="1:18" x14ac:dyDescent="0.25">
      <c r="A43" s="1" t="s">
        <v>814</v>
      </c>
      <c r="B43" s="1" t="s">
        <v>827</v>
      </c>
      <c r="C43" s="214">
        <v>29.21</v>
      </c>
      <c r="D43" s="214">
        <v>96.92</v>
      </c>
      <c r="E43" s="214">
        <v>4</v>
      </c>
      <c r="F43" s="214" t="s">
        <v>834</v>
      </c>
      <c r="G43" s="214">
        <v>2001</v>
      </c>
      <c r="I43" s="214" t="s">
        <v>840</v>
      </c>
    </row>
    <row r="44" spans="1:18" x14ac:dyDescent="0.25">
      <c r="A44" s="1" t="s">
        <v>814</v>
      </c>
      <c r="B44" s="1" t="s">
        <v>827</v>
      </c>
      <c r="C44" s="214">
        <v>29.21</v>
      </c>
      <c r="D44" s="214">
        <v>96.92</v>
      </c>
      <c r="E44" s="214">
        <v>4</v>
      </c>
      <c r="F44" s="214" t="s">
        <v>835</v>
      </c>
      <c r="G44" s="214">
        <v>2000</v>
      </c>
      <c r="I44" s="214" t="s">
        <v>840</v>
      </c>
    </row>
    <row r="45" spans="1:18" x14ac:dyDescent="0.25">
      <c r="A45" s="1" t="s">
        <v>814</v>
      </c>
      <c r="B45" s="1" t="s">
        <v>827</v>
      </c>
      <c r="C45" s="214">
        <v>29.21</v>
      </c>
      <c r="D45" s="214">
        <v>96.92</v>
      </c>
      <c r="E45" s="214">
        <v>4</v>
      </c>
      <c r="F45" s="214" t="s">
        <v>836</v>
      </c>
      <c r="G45" s="214">
        <v>1999</v>
      </c>
      <c r="I45" s="214" t="s">
        <v>840</v>
      </c>
    </row>
    <row r="46" spans="1:18" x14ac:dyDescent="0.25">
      <c r="A46" s="1" t="s">
        <v>814</v>
      </c>
      <c r="B46" s="1" t="s">
        <v>827</v>
      </c>
      <c r="C46" s="214">
        <v>29.21</v>
      </c>
      <c r="D46" s="214">
        <v>96.92</v>
      </c>
      <c r="E46" s="214">
        <v>4</v>
      </c>
      <c r="F46" s="214" t="s">
        <v>837</v>
      </c>
      <c r="G46" s="214">
        <v>1998</v>
      </c>
      <c r="H46" s="202"/>
      <c r="I46" s="214" t="s">
        <v>840</v>
      </c>
    </row>
    <row r="47" spans="1:18" x14ac:dyDescent="0.25">
      <c r="A47" s="1" t="s">
        <v>814</v>
      </c>
      <c r="B47" s="1" t="s">
        <v>827</v>
      </c>
      <c r="C47" s="214">
        <v>29.21</v>
      </c>
      <c r="D47" s="214">
        <v>96.92</v>
      </c>
      <c r="E47" s="214">
        <v>4</v>
      </c>
      <c r="F47" s="214" t="s">
        <v>838</v>
      </c>
      <c r="G47" s="214">
        <v>1997</v>
      </c>
      <c r="I47" s="214" t="s">
        <v>840</v>
      </c>
    </row>
    <row r="48" spans="1:18" x14ac:dyDescent="0.25">
      <c r="A48" s="1" t="s">
        <v>814</v>
      </c>
      <c r="B48" s="1" t="s">
        <v>827</v>
      </c>
      <c r="C48" s="214">
        <v>29.21</v>
      </c>
      <c r="D48" s="214">
        <v>96.92</v>
      </c>
      <c r="E48" s="214">
        <v>4</v>
      </c>
      <c r="F48" s="214" t="s">
        <v>839</v>
      </c>
      <c r="G48" s="214">
        <v>1996</v>
      </c>
      <c r="I48" s="214" t="s">
        <v>840</v>
      </c>
    </row>
    <row r="49" spans="1:18" x14ac:dyDescent="0.25">
      <c r="A49" s="1" t="s">
        <v>841</v>
      </c>
      <c r="B49" s="1" t="s">
        <v>842</v>
      </c>
      <c r="C49" s="214">
        <v>78.22</v>
      </c>
      <c r="D49" s="214">
        <v>15.6</v>
      </c>
      <c r="E49" s="214">
        <v>1</v>
      </c>
      <c r="F49" s="214" t="s">
        <v>843</v>
      </c>
      <c r="G49" s="214">
        <v>1990</v>
      </c>
      <c r="I49" s="214">
        <v>4</v>
      </c>
      <c r="J49" s="214">
        <v>56</v>
      </c>
      <c r="K49" s="715">
        <f>J49*$J$1*0.000000000000000001/(0.000001)</f>
        <v>1.4784000000000002E-3</v>
      </c>
    </row>
    <row r="50" spans="1:18" x14ac:dyDescent="0.25">
      <c r="A50" s="1" t="s">
        <v>841</v>
      </c>
      <c r="B50" s="1" t="s">
        <v>842</v>
      </c>
      <c r="C50" s="214">
        <v>78.22</v>
      </c>
      <c r="D50" s="214">
        <v>15.6</v>
      </c>
      <c r="E50" s="214">
        <v>1</v>
      </c>
      <c r="F50" s="214" t="s">
        <v>843</v>
      </c>
      <c r="G50" s="214">
        <v>1992</v>
      </c>
      <c r="I50" s="214">
        <v>12</v>
      </c>
      <c r="J50" s="214">
        <v>384</v>
      </c>
      <c r="K50" s="715">
        <f t="shared" ref="K50:K75" si="1">J50*$J$1*0.000000000000000001/(0.000001)</f>
        <v>1.0137600000000002E-2</v>
      </c>
      <c r="R50" s="1" t="s">
        <v>844</v>
      </c>
    </row>
    <row r="51" spans="1:18" x14ac:dyDescent="0.25">
      <c r="A51" s="1" t="s">
        <v>841</v>
      </c>
      <c r="B51" s="1" t="s">
        <v>842</v>
      </c>
      <c r="C51" s="214">
        <v>78.22</v>
      </c>
      <c r="D51" s="214">
        <v>15.6</v>
      </c>
      <c r="E51" s="214">
        <v>1</v>
      </c>
      <c r="F51" s="214" t="s">
        <v>843</v>
      </c>
      <c r="G51" s="214">
        <v>1993</v>
      </c>
      <c r="I51" s="214">
        <v>9</v>
      </c>
      <c r="J51" s="214">
        <v>181</v>
      </c>
      <c r="K51" s="715">
        <f t="shared" si="1"/>
        <v>4.7784000000000004E-3</v>
      </c>
      <c r="R51" s="1" t="s">
        <v>844</v>
      </c>
    </row>
    <row r="52" spans="1:18" x14ac:dyDescent="0.25">
      <c r="A52" s="1" t="s">
        <v>841</v>
      </c>
      <c r="B52" s="1" t="s">
        <v>842</v>
      </c>
      <c r="C52" s="214">
        <v>78.22</v>
      </c>
      <c r="D52" s="214">
        <v>15.6</v>
      </c>
      <c r="E52" s="214">
        <v>1</v>
      </c>
      <c r="F52" s="214" t="s">
        <v>843</v>
      </c>
      <c r="G52" s="214">
        <v>1994</v>
      </c>
      <c r="I52" s="214">
        <v>11</v>
      </c>
      <c r="J52" s="214">
        <v>223</v>
      </c>
      <c r="K52" s="715">
        <f t="shared" si="1"/>
        <v>5.8872000000000004E-3</v>
      </c>
      <c r="R52" s="1" t="s">
        <v>844</v>
      </c>
    </row>
    <row r="53" spans="1:18" x14ac:dyDescent="0.25">
      <c r="A53" s="1" t="s">
        <v>841</v>
      </c>
      <c r="B53" s="1" t="s">
        <v>842</v>
      </c>
      <c r="C53" s="214">
        <v>78.22</v>
      </c>
      <c r="D53" s="214">
        <v>15.6</v>
      </c>
      <c r="E53" s="214">
        <v>1</v>
      </c>
      <c r="F53" s="214" t="s">
        <v>843</v>
      </c>
      <c r="G53" s="214">
        <v>1995</v>
      </c>
      <c r="I53" s="214">
        <v>7</v>
      </c>
      <c r="J53" s="214">
        <v>146</v>
      </c>
      <c r="K53" s="715">
        <f t="shared" si="1"/>
        <v>3.8544000000000004E-3</v>
      </c>
      <c r="R53" s="1" t="s">
        <v>844</v>
      </c>
    </row>
    <row r="54" spans="1:18" x14ac:dyDescent="0.25">
      <c r="A54" s="1" t="s">
        <v>841</v>
      </c>
      <c r="B54" s="1" t="s">
        <v>842</v>
      </c>
      <c r="C54" s="214">
        <v>78.22</v>
      </c>
      <c r="D54" s="214">
        <v>15.6</v>
      </c>
      <c r="E54" s="214">
        <v>1</v>
      </c>
      <c r="F54" s="214" t="s">
        <v>843</v>
      </c>
      <c r="G54" s="214">
        <v>1996</v>
      </c>
      <c r="I54" s="214">
        <v>6</v>
      </c>
      <c r="J54" s="214">
        <v>102</v>
      </c>
      <c r="K54" s="715">
        <f t="shared" si="1"/>
        <v>2.6928E-3</v>
      </c>
      <c r="R54" s="1" t="s">
        <v>844</v>
      </c>
    </row>
    <row r="55" spans="1:18" x14ac:dyDescent="0.25">
      <c r="A55" s="1" t="s">
        <v>841</v>
      </c>
      <c r="B55" s="1" t="s">
        <v>842</v>
      </c>
      <c r="C55" s="214">
        <v>78.22</v>
      </c>
      <c r="D55" s="214">
        <v>15.6</v>
      </c>
      <c r="E55" s="214">
        <v>1</v>
      </c>
      <c r="F55" s="214" t="s">
        <v>843</v>
      </c>
      <c r="G55" s="214">
        <v>1997</v>
      </c>
      <c r="I55" s="214">
        <v>7</v>
      </c>
      <c r="J55" s="214">
        <v>465</v>
      </c>
      <c r="K55" s="715">
        <f t="shared" si="1"/>
        <v>1.2276E-2</v>
      </c>
      <c r="R55" s="1" t="s">
        <v>844</v>
      </c>
    </row>
    <row r="56" spans="1:18" x14ac:dyDescent="0.25">
      <c r="A56" s="1" t="s">
        <v>841</v>
      </c>
      <c r="B56" s="1" t="s">
        <v>842</v>
      </c>
      <c r="C56" s="214">
        <v>78.22</v>
      </c>
      <c r="D56" s="214">
        <v>15.6</v>
      </c>
      <c r="E56" s="214">
        <v>1</v>
      </c>
      <c r="F56" s="214" t="s">
        <v>843</v>
      </c>
      <c r="G56" s="214">
        <v>1998</v>
      </c>
      <c r="I56" s="214">
        <v>15</v>
      </c>
      <c r="J56" s="214">
        <v>162</v>
      </c>
      <c r="K56" s="715">
        <f t="shared" si="1"/>
        <v>4.2767999999999999E-3</v>
      </c>
      <c r="R56" s="1" t="s">
        <v>844</v>
      </c>
    </row>
    <row r="57" spans="1:18" x14ac:dyDescent="0.25">
      <c r="A57" s="1" t="s">
        <v>841</v>
      </c>
      <c r="B57" s="1" t="s">
        <v>842</v>
      </c>
      <c r="C57" s="214">
        <v>78.22</v>
      </c>
      <c r="D57" s="214">
        <v>15.6</v>
      </c>
      <c r="E57" s="214">
        <v>1</v>
      </c>
      <c r="F57" s="214" t="s">
        <v>843</v>
      </c>
      <c r="G57" s="214">
        <v>1999</v>
      </c>
      <c r="I57" s="214">
        <v>7</v>
      </c>
      <c r="J57" s="214">
        <v>158</v>
      </c>
      <c r="K57" s="715">
        <f t="shared" si="1"/>
        <v>4.1712000000000008E-3</v>
      </c>
      <c r="R57" s="1" t="s">
        <v>844</v>
      </c>
    </row>
    <row r="58" spans="1:18" x14ac:dyDescent="0.25">
      <c r="A58" s="1" t="s">
        <v>841</v>
      </c>
      <c r="B58" s="1" t="s">
        <v>842</v>
      </c>
      <c r="C58" s="214">
        <v>78.22</v>
      </c>
      <c r="D58" s="214">
        <v>15.6</v>
      </c>
      <c r="E58" s="214">
        <v>1</v>
      </c>
      <c r="F58" s="214" t="s">
        <v>843</v>
      </c>
      <c r="G58" s="214">
        <v>2000</v>
      </c>
      <c r="I58" s="214">
        <v>9</v>
      </c>
      <c r="J58" s="214">
        <v>132</v>
      </c>
      <c r="K58" s="715">
        <f t="shared" si="1"/>
        <v>3.4848000000000006E-3</v>
      </c>
      <c r="R58" s="1" t="s">
        <v>844</v>
      </c>
    </row>
    <row r="59" spans="1:18" x14ac:dyDescent="0.25">
      <c r="A59" s="1" t="s">
        <v>841</v>
      </c>
      <c r="B59" s="1" t="s">
        <v>842</v>
      </c>
      <c r="C59" s="214">
        <v>78.22</v>
      </c>
      <c r="D59" s="214">
        <v>15.6</v>
      </c>
      <c r="E59" s="214">
        <v>1</v>
      </c>
      <c r="F59" s="214" t="s">
        <v>843</v>
      </c>
      <c r="G59" s="214">
        <v>2001</v>
      </c>
      <c r="I59" s="214">
        <v>6</v>
      </c>
      <c r="J59" s="214">
        <v>90</v>
      </c>
      <c r="K59" s="715">
        <f t="shared" si="1"/>
        <v>2.3760000000000001E-3</v>
      </c>
      <c r="R59" s="1" t="s">
        <v>844</v>
      </c>
    </row>
    <row r="60" spans="1:18" x14ac:dyDescent="0.25">
      <c r="A60" s="1" t="s">
        <v>841</v>
      </c>
      <c r="B60" s="1" t="s">
        <v>842</v>
      </c>
      <c r="C60" s="214">
        <v>78.22</v>
      </c>
      <c r="D60" s="214">
        <v>15.6</v>
      </c>
      <c r="E60" s="214">
        <v>1</v>
      </c>
      <c r="F60" s="214" t="s">
        <v>843</v>
      </c>
      <c r="G60" s="214">
        <v>2002</v>
      </c>
      <c r="I60" s="214">
        <v>7</v>
      </c>
      <c r="J60" s="214">
        <v>90</v>
      </c>
      <c r="K60" s="715">
        <f t="shared" si="1"/>
        <v>2.3760000000000001E-3</v>
      </c>
      <c r="R60" s="1" t="s">
        <v>844</v>
      </c>
    </row>
    <row r="61" spans="1:18" x14ac:dyDescent="0.25">
      <c r="A61" s="1" t="s">
        <v>841</v>
      </c>
      <c r="B61" s="1" t="s">
        <v>842</v>
      </c>
      <c r="C61" s="214">
        <v>78.22</v>
      </c>
      <c r="D61" s="214">
        <v>15.6</v>
      </c>
      <c r="E61" s="214">
        <v>1</v>
      </c>
      <c r="F61" s="214" t="s">
        <v>843</v>
      </c>
      <c r="G61" s="214">
        <v>2003</v>
      </c>
      <c r="J61" s="214">
        <v>161</v>
      </c>
      <c r="K61" s="715">
        <f t="shared" si="1"/>
        <v>4.2504000000000005E-3</v>
      </c>
      <c r="R61" s="1" t="s">
        <v>844</v>
      </c>
    </row>
    <row r="62" spans="1:18" x14ac:dyDescent="0.25">
      <c r="A62" s="1" t="s">
        <v>841</v>
      </c>
      <c r="B62" s="1" t="s">
        <v>842</v>
      </c>
      <c r="C62" s="214">
        <v>78.22</v>
      </c>
      <c r="D62" s="214">
        <v>15.6</v>
      </c>
      <c r="E62" s="214">
        <v>1</v>
      </c>
      <c r="F62" s="214" t="s">
        <v>843</v>
      </c>
      <c r="G62" s="214">
        <v>2004</v>
      </c>
      <c r="I62" s="214">
        <v>13</v>
      </c>
      <c r="J62" s="214">
        <v>162</v>
      </c>
      <c r="K62" s="715">
        <f t="shared" si="1"/>
        <v>4.2767999999999999E-3</v>
      </c>
      <c r="R62" s="1" t="s">
        <v>844</v>
      </c>
    </row>
    <row r="63" spans="1:18" x14ac:dyDescent="0.25">
      <c r="A63" s="1" t="s">
        <v>841</v>
      </c>
      <c r="B63" s="1" t="s">
        <v>842</v>
      </c>
      <c r="C63" s="214">
        <v>78.22</v>
      </c>
      <c r="D63" s="214">
        <v>15.6</v>
      </c>
      <c r="E63" s="214">
        <v>1</v>
      </c>
      <c r="F63" s="214" t="s">
        <v>845</v>
      </c>
      <c r="G63" s="214">
        <v>1992</v>
      </c>
      <c r="I63" s="214">
        <v>7</v>
      </c>
      <c r="J63" s="214">
        <v>128</v>
      </c>
      <c r="K63" s="715">
        <f t="shared" si="1"/>
        <v>3.3792000000000002E-3</v>
      </c>
      <c r="R63" s="1" t="s">
        <v>844</v>
      </c>
    </row>
    <row r="64" spans="1:18" x14ac:dyDescent="0.25">
      <c r="A64" s="1" t="s">
        <v>841</v>
      </c>
      <c r="B64" s="1" t="s">
        <v>842</v>
      </c>
      <c r="C64" s="214">
        <v>78.22</v>
      </c>
      <c r="D64" s="214">
        <v>15.6</v>
      </c>
      <c r="E64" s="214">
        <v>1</v>
      </c>
      <c r="F64" s="214" t="s">
        <v>845</v>
      </c>
      <c r="G64" s="214">
        <v>1993</v>
      </c>
      <c r="I64" s="214">
        <v>8</v>
      </c>
      <c r="J64" s="214">
        <v>87</v>
      </c>
      <c r="K64" s="715">
        <f t="shared" si="1"/>
        <v>2.2968000000000003E-3</v>
      </c>
      <c r="R64" s="1" t="s">
        <v>844</v>
      </c>
    </row>
    <row r="65" spans="1:18" x14ac:dyDescent="0.25">
      <c r="A65" s="1" t="s">
        <v>841</v>
      </c>
      <c r="B65" s="1" t="s">
        <v>842</v>
      </c>
      <c r="C65" s="214">
        <v>78.22</v>
      </c>
      <c r="D65" s="214">
        <v>15.6</v>
      </c>
      <c r="E65" s="214">
        <v>1</v>
      </c>
      <c r="F65" s="214" t="s">
        <v>845</v>
      </c>
      <c r="G65" s="214">
        <v>1994</v>
      </c>
      <c r="I65" s="214">
        <v>8.1999999999999993</v>
      </c>
      <c r="J65" s="214">
        <v>162</v>
      </c>
      <c r="K65" s="715">
        <f t="shared" si="1"/>
        <v>4.2767999999999999E-3</v>
      </c>
      <c r="R65" s="1" t="s">
        <v>844</v>
      </c>
    </row>
    <row r="66" spans="1:18" x14ac:dyDescent="0.25">
      <c r="A66" s="1" t="s">
        <v>841</v>
      </c>
      <c r="B66" s="1" t="s">
        <v>842</v>
      </c>
      <c r="C66" s="214">
        <v>78.22</v>
      </c>
      <c r="D66" s="214">
        <v>15.6</v>
      </c>
      <c r="E66" s="214">
        <v>1</v>
      </c>
      <c r="F66" s="214" t="s">
        <v>845</v>
      </c>
      <c r="G66" s="214">
        <v>1995</v>
      </c>
      <c r="I66" s="214">
        <v>9</v>
      </c>
      <c r="J66" s="214">
        <v>197</v>
      </c>
      <c r="K66" s="715">
        <f t="shared" si="1"/>
        <v>5.2008000000000011E-3</v>
      </c>
      <c r="R66" s="1" t="s">
        <v>844</v>
      </c>
    </row>
    <row r="67" spans="1:18" x14ac:dyDescent="0.25">
      <c r="A67" s="1" t="s">
        <v>841</v>
      </c>
      <c r="B67" s="1" t="s">
        <v>842</v>
      </c>
      <c r="C67" s="214">
        <v>78.22</v>
      </c>
      <c r="D67" s="214">
        <v>15.6</v>
      </c>
      <c r="E67" s="214">
        <v>1</v>
      </c>
      <c r="F67" s="214" t="s">
        <v>845</v>
      </c>
      <c r="G67" s="214">
        <v>1996</v>
      </c>
      <c r="I67" s="214">
        <v>6.5</v>
      </c>
      <c r="J67" s="214">
        <v>148</v>
      </c>
      <c r="K67" s="715">
        <f t="shared" si="1"/>
        <v>3.9072000000000004E-3</v>
      </c>
      <c r="R67" s="1" t="s">
        <v>844</v>
      </c>
    </row>
    <row r="68" spans="1:18" x14ac:dyDescent="0.25">
      <c r="A68" s="1" t="s">
        <v>841</v>
      </c>
      <c r="B68" s="1" t="s">
        <v>842</v>
      </c>
      <c r="C68" s="214">
        <v>78.22</v>
      </c>
      <c r="D68" s="214">
        <v>15.6</v>
      </c>
      <c r="E68" s="214">
        <v>1</v>
      </c>
      <c r="F68" s="214" t="s">
        <v>845</v>
      </c>
      <c r="G68" s="214">
        <v>1997</v>
      </c>
      <c r="I68" s="214">
        <v>14</v>
      </c>
      <c r="J68" s="214">
        <v>230</v>
      </c>
      <c r="K68" s="715">
        <f t="shared" si="1"/>
        <v>6.072000000000001E-3</v>
      </c>
      <c r="R68" s="1" t="s">
        <v>844</v>
      </c>
    </row>
    <row r="69" spans="1:18" x14ac:dyDescent="0.25">
      <c r="A69" s="1" t="s">
        <v>841</v>
      </c>
      <c r="B69" s="1" t="s">
        <v>842</v>
      </c>
      <c r="C69" s="214">
        <v>78.22</v>
      </c>
      <c r="D69" s="214">
        <v>15.6</v>
      </c>
      <c r="E69" s="214">
        <v>1</v>
      </c>
      <c r="F69" s="214" t="s">
        <v>845</v>
      </c>
      <c r="G69" s="214">
        <v>1998</v>
      </c>
      <c r="I69" s="214">
        <v>9</v>
      </c>
      <c r="J69" s="214">
        <v>220</v>
      </c>
      <c r="K69" s="715">
        <f t="shared" si="1"/>
        <v>5.8080000000000007E-3</v>
      </c>
      <c r="R69" s="1" t="s">
        <v>844</v>
      </c>
    </row>
    <row r="70" spans="1:18" x14ac:dyDescent="0.25">
      <c r="A70" s="1" t="s">
        <v>841</v>
      </c>
      <c r="B70" s="1" t="s">
        <v>842</v>
      </c>
      <c r="C70" s="214">
        <v>78.22</v>
      </c>
      <c r="D70" s="214">
        <v>15.6</v>
      </c>
      <c r="E70" s="214">
        <v>1</v>
      </c>
      <c r="F70" s="214" t="s">
        <v>845</v>
      </c>
      <c r="G70" s="214">
        <v>1999</v>
      </c>
      <c r="I70" s="214">
        <v>11</v>
      </c>
      <c r="J70" s="214">
        <v>260</v>
      </c>
      <c r="K70" s="715">
        <f t="shared" si="1"/>
        <v>6.8640000000000003E-3</v>
      </c>
      <c r="R70" s="1" t="s">
        <v>844</v>
      </c>
    </row>
    <row r="71" spans="1:18" x14ac:dyDescent="0.25">
      <c r="A71" s="1" t="s">
        <v>841</v>
      </c>
      <c r="B71" s="1" t="s">
        <v>842</v>
      </c>
      <c r="C71" s="214">
        <v>78.22</v>
      </c>
      <c r="D71" s="214">
        <v>15.6</v>
      </c>
      <c r="E71" s="214">
        <v>1</v>
      </c>
      <c r="F71" s="214" t="s">
        <v>845</v>
      </c>
      <c r="G71" s="214">
        <v>2000</v>
      </c>
      <c r="I71" s="214">
        <v>8.5</v>
      </c>
      <c r="J71" s="214">
        <v>161</v>
      </c>
      <c r="K71" s="715">
        <f t="shared" si="1"/>
        <v>4.2504000000000005E-3</v>
      </c>
      <c r="R71" s="1" t="s">
        <v>844</v>
      </c>
    </row>
    <row r="72" spans="1:18" x14ac:dyDescent="0.25">
      <c r="A72" s="1" t="s">
        <v>841</v>
      </c>
      <c r="B72" s="1" t="s">
        <v>842</v>
      </c>
      <c r="C72" s="214">
        <v>78.22</v>
      </c>
      <c r="D72" s="214">
        <v>15.6</v>
      </c>
      <c r="E72" s="214">
        <v>1</v>
      </c>
      <c r="F72" s="214" t="s">
        <v>845</v>
      </c>
      <c r="G72" s="214">
        <v>2001</v>
      </c>
      <c r="I72" s="214">
        <v>10</v>
      </c>
      <c r="J72" s="214">
        <v>100</v>
      </c>
      <c r="K72" s="715">
        <f t="shared" si="1"/>
        <v>2.64E-3</v>
      </c>
      <c r="R72" s="1" t="s">
        <v>844</v>
      </c>
    </row>
    <row r="73" spans="1:18" x14ac:dyDescent="0.25">
      <c r="A73" s="1" t="s">
        <v>841</v>
      </c>
      <c r="B73" s="1" t="s">
        <v>842</v>
      </c>
      <c r="C73" s="214">
        <v>78.22</v>
      </c>
      <c r="D73" s="214">
        <v>15.6</v>
      </c>
      <c r="E73" s="214">
        <v>1</v>
      </c>
      <c r="F73" s="214" t="s">
        <v>845</v>
      </c>
      <c r="G73" s="214">
        <v>2002</v>
      </c>
      <c r="I73" s="214">
        <v>6</v>
      </c>
      <c r="J73" s="214">
        <v>131</v>
      </c>
      <c r="K73" s="715">
        <f t="shared" si="1"/>
        <v>3.4584000000000004E-3</v>
      </c>
      <c r="R73" s="1" t="s">
        <v>844</v>
      </c>
    </row>
    <row r="74" spans="1:18" x14ac:dyDescent="0.25">
      <c r="A74" s="1" t="s">
        <v>841</v>
      </c>
      <c r="B74" s="1" t="s">
        <v>842</v>
      </c>
      <c r="C74" s="214">
        <v>78.22</v>
      </c>
      <c r="D74" s="214">
        <v>15.6</v>
      </c>
      <c r="E74" s="214">
        <v>1</v>
      </c>
      <c r="F74" s="214" t="s">
        <v>845</v>
      </c>
      <c r="G74" s="214">
        <v>2003</v>
      </c>
      <c r="I74" s="214">
        <v>5.5</v>
      </c>
      <c r="J74" s="214">
        <v>65</v>
      </c>
      <c r="K74" s="715">
        <f t="shared" si="1"/>
        <v>1.7160000000000001E-3</v>
      </c>
      <c r="R74" s="1" t="s">
        <v>844</v>
      </c>
    </row>
    <row r="75" spans="1:18" x14ac:dyDescent="0.25">
      <c r="A75" s="1" t="s">
        <v>1515</v>
      </c>
      <c r="B75" s="1" t="s">
        <v>842</v>
      </c>
      <c r="C75" s="715">
        <v>78.22</v>
      </c>
      <c r="D75" s="715">
        <v>15.6</v>
      </c>
      <c r="E75" s="715">
        <v>1</v>
      </c>
      <c r="F75" s="715" t="s">
        <v>1516</v>
      </c>
      <c r="G75" s="214">
        <v>2004</v>
      </c>
      <c r="I75" s="214">
        <v>10.5</v>
      </c>
      <c r="J75" s="214">
        <v>66</v>
      </c>
      <c r="K75" s="715">
        <f t="shared" si="1"/>
        <v>1.7424000000000003E-3</v>
      </c>
      <c r="R75" s="1" t="s">
        <v>844</v>
      </c>
    </row>
    <row r="76" spans="1:18" x14ac:dyDescent="0.25">
      <c r="R76" s="1" t="s">
        <v>844</v>
      </c>
    </row>
    <row r="86" spans="1:12" ht="23" x14ac:dyDescent="0.3">
      <c r="A86" s="245" t="s">
        <v>741</v>
      </c>
    </row>
    <row r="87" spans="1:12" ht="37" thickBot="1" x14ac:dyDescent="0.3">
      <c r="A87" s="252" t="s">
        <v>718</v>
      </c>
      <c r="B87" s="252" t="s">
        <v>53</v>
      </c>
      <c r="C87" s="253" t="s">
        <v>816</v>
      </c>
      <c r="D87" s="253" t="s">
        <v>815</v>
      </c>
      <c r="E87" s="253" t="s">
        <v>789</v>
      </c>
      <c r="F87" s="253" t="s">
        <v>785</v>
      </c>
      <c r="G87" s="253" t="s">
        <v>779</v>
      </c>
      <c r="H87" s="254" t="s">
        <v>856</v>
      </c>
      <c r="I87" s="183"/>
      <c r="J87" s="253" t="s">
        <v>419</v>
      </c>
      <c r="K87" s="253"/>
      <c r="L87" s="184"/>
    </row>
    <row r="88" spans="1:12" x14ac:dyDescent="0.25">
      <c r="A88" s="1" t="s">
        <v>849</v>
      </c>
      <c r="B88" s="1" t="s">
        <v>850</v>
      </c>
      <c r="C88" s="214">
        <v>29.78</v>
      </c>
      <c r="D88" s="214">
        <v>149.33000000000001</v>
      </c>
      <c r="E88" s="214">
        <v>4</v>
      </c>
      <c r="F88" s="214" t="s">
        <v>851</v>
      </c>
      <c r="G88" s="255">
        <v>40928</v>
      </c>
      <c r="H88" s="214">
        <v>5.5</v>
      </c>
      <c r="J88" s="258" t="s">
        <v>844</v>
      </c>
      <c r="K88" s="258"/>
    </row>
    <row r="89" spans="1:12" x14ac:dyDescent="0.25">
      <c r="A89" s="1" t="s">
        <v>849</v>
      </c>
      <c r="B89" s="1" t="s">
        <v>850</v>
      </c>
      <c r="C89" s="214">
        <v>29.78</v>
      </c>
      <c r="D89" s="214">
        <v>149.33000000000001</v>
      </c>
      <c r="E89" s="214">
        <v>4</v>
      </c>
      <c r="F89" s="214" t="s">
        <v>852</v>
      </c>
      <c r="G89" s="255">
        <v>40928</v>
      </c>
      <c r="H89" s="214">
        <v>2.1</v>
      </c>
      <c r="J89" s="258" t="s">
        <v>844</v>
      </c>
      <c r="K89" s="258"/>
    </row>
    <row r="90" spans="1:12" x14ac:dyDescent="0.25">
      <c r="A90" s="1" t="s">
        <v>849</v>
      </c>
      <c r="B90" s="1" t="s">
        <v>850</v>
      </c>
      <c r="C90" s="214">
        <v>29.78</v>
      </c>
      <c r="D90" s="214">
        <v>149.33000000000001</v>
      </c>
      <c r="E90" s="214">
        <v>4</v>
      </c>
      <c r="F90" s="214" t="s">
        <v>853</v>
      </c>
      <c r="G90" s="255">
        <v>40928</v>
      </c>
      <c r="H90" s="214">
        <v>2.8</v>
      </c>
      <c r="J90" s="258" t="s">
        <v>844</v>
      </c>
      <c r="K90" s="258"/>
    </row>
    <row r="91" spans="1:12" x14ac:dyDescent="0.25">
      <c r="A91" s="1" t="s">
        <v>849</v>
      </c>
      <c r="B91" s="1" t="s">
        <v>850</v>
      </c>
      <c r="C91" s="214">
        <v>29.78</v>
      </c>
      <c r="D91" s="214">
        <v>149.33000000000001</v>
      </c>
      <c r="E91" s="214">
        <v>4</v>
      </c>
      <c r="F91" s="214" t="s">
        <v>854</v>
      </c>
      <c r="G91" s="255">
        <v>40928</v>
      </c>
      <c r="H91" s="214">
        <v>0.9</v>
      </c>
      <c r="J91" s="258" t="s">
        <v>844</v>
      </c>
      <c r="K91" s="258"/>
    </row>
    <row r="92" spans="1:12" x14ac:dyDescent="0.25">
      <c r="A92" s="1" t="s">
        <v>849</v>
      </c>
      <c r="B92" s="1" t="s">
        <v>850</v>
      </c>
      <c r="C92" s="214">
        <v>29.78</v>
      </c>
      <c r="D92" s="214">
        <v>149.33000000000001</v>
      </c>
      <c r="E92" s="214">
        <v>4</v>
      </c>
      <c r="F92" s="214" t="s">
        <v>855</v>
      </c>
      <c r="G92" s="255">
        <v>40928</v>
      </c>
      <c r="H92" s="214">
        <v>1.3</v>
      </c>
      <c r="J92" s="258" t="s">
        <v>844</v>
      </c>
      <c r="K92" s="258"/>
    </row>
  </sheetData>
  <pageMargins left="0.75" right="0.75" top="1" bottom="1" header="0.5" footer="0.5"/>
  <pageSetup paperSize="9" orientation="landscape" horizontalDpi="4294967292" verticalDpi="429496729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51"/>
  <sheetViews>
    <sheetView zoomScale="110" zoomScaleNormal="110" zoomScalePageLayoutView="110" workbookViewId="0">
      <pane xSplit="3" ySplit="3" topLeftCell="E8" activePane="bottomRight" state="frozen"/>
      <selection pane="topRight" activeCell="D1" sqref="D1"/>
      <selection pane="bottomLeft" activeCell="A4" sqref="A4"/>
      <selection pane="bottomRight" activeCell="N16" sqref="N16"/>
    </sheetView>
  </sheetViews>
  <sheetFormatPr baseColWidth="10" defaultColWidth="10.83203125" defaultRowHeight="18" x14ac:dyDescent="0.25"/>
  <cols>
    <col min="1" max="1" width="38.83203125" style="206" customWidth="1"/>
    <col min="2" max="2" width="27.33203125" style="1" customWidth="1"/>
    <col min="3" max="3" width="16.5" style="147" customWidth="1"/>
    <col min="4" max="4" width="16.5" style="214" customWidth="1"/>
    <col min="5" max="5" width="12.6640625" style="147" customWidth="1"/>
    <col min="6" max="6" width="13.5" style="147" customWidth="1"/>
    <col min="7" max="9" width="13.5" style="214" customWidth="1"/>
    <col min="10" max="10" width="19.1640625" style="696" customWidth="1"/>
    <col min="11" max="11" width="21.5" style="147" customWidth="1"/>
    <col min="12" max="12" width="19.83203125" style="147" customWidth="1"/>
    <col min="13" max="14" width="10.83203125" style="147"/>
    <col min="15" max="15" width="15.83203125" style="652" customWidth="1"/>
    <col min="16" max="16" width="18.6640625" style="652" customWidth="1"/>
    <col min="17" max="17" width="10.83203125" style="147"/>
    <col min="18" max="18" width="13.33203125" style="147" customWidth="1"/>
    <col min="19" max="19" width="16.1640625" style="652" customWidth="1"/>
    <col min="20" max="20" width="18.83203125" style="652" customWidth="1"/>
    <col min="21" max="21" width="10.83203125" style="147"/>
    <col min="22" max="22" width="14.1640625" style="147" customWidth="1"/>
    <col min="23" max="23" width="14.5" style="652" customWidth="1"/>
    <col min="24" max="24" width="16" style="652" customWidth="1"/>
    <col min="25" max="25" width="10.83203125" style="147"/>
    <col min="26" max="26" width="13" style="147" customWidth="1"/>
    <col min="27" max="27" width="10.83203125" style="147"/>
    <col min="28" max="28" width="13" style="147" customWidth="1"/>
    <col min="29" max="30" width="13" style="684" customWidth="1"/>
    <col min="31" max="31" width="36.6640625" style="1" customWidth="1"/>
    <col min="32" max="16384" width="10.83203125" style="1"/>
  </cols>
  <sheetData>
    <row r="1" spans="1:52" x14ac:dyDescent="0.25">
      <c r="A1" s="240" t="s">
        <v>197</v>
      </c>
      <c r="B1" s="6"/>
    </row>
    <row r="2" spans="1:52" ht="23" x14ac:dyDescent="0.3">
      <c r="A2" s="315" t="s">
        <v>1675</v>
      </c>
      <c r="B2" s="6"/>
      <c r="C2" s="214"/>
      <c r="E2" s="214"/>
      <c r="F2" s="214"/>
      <c r="K2" s="214"/>
      <c r="L2" s="214"/>
      <c r="M2" s="214"/>
      <c r="N2" s="214"/>
      <c r="Q2" s="214"/>
      <c r="R2" s="214"/>
      <c r="U2" s="214"/>
      <c r="V2" s="214"/>
      <c r="Y2" s="214"/>
      <c r="Z2" s="214"/>
      <c r="AA2" s="214"/>
      <c r="AB2" s="214"/>
    </row>
    <row r="3" spans="1:52" x14ac:dyDescent="0.25">
      <c r="A3" s="241" t="s">
        <v>53</v>
      </c>
      <c r="B3" s="311" t="s">
        <v>718</v>
      </c>
      <c r="C3" s="312" t="s">
        <v>54</v>
      </c>
      <c r="D3" s="313" t="s">
        <v>876</v>
      </c>
      <c r="E3" s="312" t="s">
        <v>196</v>
      </c>
      <c r="F3" s="312" t="s">
        <v>1210</v>
      </c>
      <c r="G3" s="312" t="s">
        <v>1219</v>
      </c>
      <c r="H3" s="312" t="s">
        <v>1220</v>
      </c>
      <c r="I3" s="312" t="s">
        <v>1199</v>
      </c>
      <c r="J3" s="312" t="s">
        <v>1438</v>
      </c>
      <c r="K3" s="312" t="s">
        <v>880</v>
      </c>
      <c r="L3" s="314" t="s">
        <v>879</v>
      </c>
      <c r="M3" s="314" t="s">
        <v>55</v>
      </c>
      <c r="N3" s="312" t="s">
        <v>56</v>
      </c>
      <c r="O3" s="312" t="s">
        <v>1412</v>
      </c>
      <c r="P3" s="312" t="s">
        <v>1413</v>
      </c>
      <c r="Q3" s="312" t="s">
        <v>57</v>
      </c>
      <c r="R3" s="312" t="s">
        <v>58</v>
      </c>
      <c r="S3" s="312" t="s">
        <v>1415</v>
      </c>
      <c r="T3" s="312" t="s">
        <v>1414</v>
      </c>
      <c r="U3" s="312" t="s">
        <v>40</v>
      </c>
      <c r="V3" s="312" t="s">
        <v>59</v>
      </c>
      <c r="W3" s="312" t="s">
        <v>1416</v>
      </c>
      <c r="X3" s="312" t="s">
        <v>1417</v>
      </c>
      <c r="Y3" s="312" t="s">
        <v>194</v>
      </c>
      <c r="Z3" s="312" t="s">
        <v>195</v>
      </c>
      <c r="AA3" s="312" t="s">
        <v>60</v>
      </c>
      <c r="AB3" s="312" t="s">
        <v>61</v>
      </c>
      <c r="AC3" s="312" t="s">
        <v>1425</v>
      </c>
      <c r="AD3" s="312" t="s">
        <v>1426</v>
      </c>
      <c r="AE3" s="310" t="s">
        <v>754</v>
      </c>
      <c r="AF3" s="1015" t="s">
        <v>2007</v>
      </c>
      <c r="AG3" s="149" t="s">
        <v>62</v>
      </c>
      <c r="AH3" s="149"/>
    </row>
    <row r="4" spans="1:52" x14ac:dyDescent="0.25">
      <c r="A4" s="627" t="s">
        <v>96</v>
      </c>
      <c r="B4" s="630" t="s">
        <v>892</v>
      </c>
      <c r="C4" s="632">
        <v>1</v>
      </c>
      <c r="D4" s="173" t="s">
        <v>877</v>
      </c>
      <c r="E4" s="634" t="s">
        <v>279</v>
      </c>
      <c r="F4" s="319">
        <v>3.2</v>
      </c>
      <c r="G4" s="319">
        <v>55.917999999999999</v>
      </c>
      <c r="H4" s="319">
        <v>3.2</v>
      </c>
      <c r="I4" s="319" t="s">
        <v>1200</v>
      </c>
      <c r="J4" s="697" t="s">
        <v>1458</v>
      </c>
      <c r="K4" s="634">
        <v>2</v>
      </c>
      <c r="L4" s="636">
        <v>39388</v>
      </c>
      <c r="M4" s="210">
        <v>70</v>
      </c>
      <c r="N4" s="319">
        <v>1</v>
      </c>
      <c r="O4" s="690" t="s">
        <v>1427</v>
      </c>
      <c r="P4" s="690">
        <v>11</v>
      </c>
      <c r="Q4" s="691">
        <v>30</v>
      </c>
      <c r="R4" s="691">
        <v>0</v>
      </c>
      <c r="S4" s="690" t="s">
        <v>1427</v>
      </c>
      <c r="T4" s="691">
        <v>30</v>
      </c>
      <c r="U4" s="691">
        <v>60</v>
      </c>
      <c r="V4" s="690">
        <v>1</v>
      </c>
      <c r="W4" s="690" t="s">
        <v>1427</v>
      </c>
      <c r="X4" s="690">
        <v>30</v>
      </c>
      <c r="Y4" s="319"/>
      <c r="Z4" s="319"/>
      <c r="AA4" s="320"/>
      <c r="AB4" s="320"/>
      <c r="AC4" s="321"/>
      <c r="AD4" s="321"/>
      <c r="AE4" s="321"/>
      <c r="AG4" s="149"/>
      <c r="AH4" s="149"/>
    </row>
    <row r="5" spans="1:52" x14ac:dyDescent="0.25">
      <c r="A5" s="285" t="s">
        <v>96</v>
      </c>
      <c r="B5" s="286" t="s">
        <v>892</v>
      </c>
      <c r="C5" s="287">
        <v>3</v>
      </c>
      <c r="D5" s="173" t="s">
        <v>877</v>
      </c>
      <c r="E5" s="303" t="s">
        <v>281</v>
      </c>
      <c r="F5" s="621">
        <v>4.1500000000000004</v>
      </c>
      <c r="G5" s="621">
        <v>55.765999999999998</v>
      </c>
      <c r="H5" s="621">
        <v>4.1500000000000004</v>
      </c>
      <c r="I5" s="621" t="s">
        <v>1200</v>
      </c>
      <c r="J5" s="697" t="s">
        <v>1458</v>
      </c>
      <c r="K5" s="303">
        <v>2</v>
      </c>
      <c r="L5" s="288">
        <v>39388</v>
      </c>
      <c r="M5" s="284">
        <v>60</v>
      </c>
      <c r="N5" s="283">
        <v>1</v>
      </c>
      <c r="O5" s="692" t="s">
        <v>1427</v>
      </c>
      <c r="P5" s="692">
        <v>11</v>
      </c>
      <c r="Q5" s="693">
        <v>30</v>
      </c>
      <c r="R5" s="693">
        <v>0</v>
      </c>
      <c r="S5" s="692" t="s">
        <v>1427</v>
      </c>
      <c r="T5" s="693">
        <v>30</v>
      </c>
      <c r="U5" s="693">
        <v>30</v>
      </c>
      <c r="V5" s="692">
        <v>0</v>
      </c>
      <c r="W5" s="692" t="s">
        <v>1427</v>
      </c>
      <c r="X5" s="692">
        <v>30</v>
      </c>
      <c r="Y5" s="283"/>
      <c r="Z5" s="283"/>
      <c r="AA5" s="270"/>
      <c r="AB5" s="270"/>
      <c r="AC5" s="270"/>
      <c r="AD5" s="270"/>
      <c r="AE5" s="270"/>
      <c r="AG5" s="150">
        <v>1</v>
      </c>
      <c r="AH5" s="153" t="s">
        <v>64</v>
      </c>
    </row>
    <row r="6" spans="1:52" x14ac:dyDescent="0.25">
      <c r="A6" s="285" t="s">
        <v>96</v>
      </c>
      <c r="B6" s="286" t="s">
        <v>892</v>
      </c>
      <c r="C6" s="287">
        <v>2</v>
      </c>
      <c r="D6" s="173" t="s">
        <v>877</v>
      </c>
      <c r="E6" s="303" t="s">
        <v>280</v>
      </c>
      <c r="F6" s="272">
        <v>4</v>
      </c>
      <c r="G6" s="272">
        <v>55.500999999999998</v>
      </c>
      <c r="H6" s="272">
        <v>4</v>
      </c>
      <c r="I6" s="272" t="s">
        <v>1200</v>
      </c>
      <c r="J6" s="697" t="s">
        <v>1458</v>
      </c>
      <c r="K6" s="303">
        <v>2</v>
      </c>
      <c r="L6" s="288">
        <v>39388</v>
      </c>
      <c r="M6" s="284">
        <v>11</v>
      </c>
      <c r="N6" s="283">
        <v>0</v>
      </c>
      <c r="O6" s="694" t="s">
        <v>1427</v>
      </c>
      <c r="P6" s="694">
        <v>11</v>
      </c>
      <c r="Q6" s="695">
        <v>30</v>
      </c>
      <c r="R6" s="695">
        <v>0</v>
      </c>
      <c r="S6" s="694" t="s">
        <v>1427</v>
      </c>
      <c r="T6" s="695">
        <v>30</v>
      </c>
      <c r="U6" s="695">
        <v>30</v>
      </c>
      <c r="V6" s="694">
        <v>0</v>
      </c>
      <c r="W6" s="694" t="s">
        <v>1427</v>
      </c>
      <c r="X6" s="694">
        <v>30</v>
      </c>
      <c r="Y6" s="283"/>
      <c r="Z6" s="283"/>
      <c r="AA6" s="270"/>
      <c r="AB6" s="270"/>
      <c r="AC6" s="270"/>
      <c r="AD6" s="270"/>
      <c r="AE6" s="270"/>
      <c r="AG6" s="154">
        <v>2</v>
      </c>
      <c r="AH6" s="153" t="s">
        <v>66</v>
      </c>
    </row>
    <row r="7" spans="1:52" x14ac:dyDescent="0.25">
      <c r="A7" s="289" t="s">
        <v>97</v>
      </c>
      <c r="B7" s="290" t="s">
        <v>893</v>
      </c>
      <c r="C7" s="291">
        <v>10</v>
      </c>
      <c r="D7" s="173" t="s">
        <v>877</v>
      </c>
      <c r="E7" s="305" t="s">
        <v>198</v>
      </c>
      <c r="F7" s="292" t="s">
        <v>224</v>
      </c>
      <c r="G7" s="292">
        <v>46.338000000000001</v>
      </c>
      <c r="H7" s="292">
        <v>-7.8360000000000003</v>
      </c>
      <c r="I7" s="292" t="s">
        <v>1201</v>
      </c>
      <c r="J7" s="174" t="str">
        <f t="shared" ref="J7:J68" si="0">IF(V7=1,"","yes")</f>
        <v/>
      </c>
      <c r="K7" s="305">
        <v>3</v>
      </c>
      <c r="L7" s="293">
        <v>39757</v>
      </c>
      <c r="M7" s="284">
        <v>26</v>
      </c>
      <c r="N7" s="283">
        <v>1</v>
      </c>
      <c r="O7" s="283">
        <v>0.49</v>
      </c>
      <c r="P7" s="283">
        <v>1.6</v>
      </c>
      <c r="Q7" s="283">
        <v>13</v>
      </c>
      <c r="R7" s="283">
        <v>0</v>
      </c>
      <c r="S7" s="283">
        <v>4.0999999999999996</v>
      </c>
      <c r="T7" s="283">
        <v>14</v>
      </c>
      <c r="U7" s="283">
        <v>60</v>
      </c>
      <c r="V7" s="283">
        <v>1</v>
      </c>
      <c r="W7" s="283">
        <v>3.1</v>
      </c>
      <c r="X7" s="283">
        <v>10</v>
      </c>
      <c r="Y7" s="283"/>
      <c r="Z7" s="283"/>
      <c r="AA7" s="270"/>
      <c r="AB7" s="270"/>
      <c r="AC7" s="270"/>
      <c r="AD7" s="270"/>
      <c r="AE7" s="270"/>
      <c r="AG7" s="155">
        <v>3</v>
      </c>
      <c r="AH7" s="153" t="s">
        <v>67</v>
      </c>
    </row>
    <row r="8" spans="1:52" x14ac:dyDescent="0.25">
      <c r="A8" s="289" t="s">
        <v>97</v>
      </c>
      <c r="B8" s="290" t="s">
        <v>893</v>
      </c>
      <c r="C8" s="291">
        <v>11</v>
      </c>
      <c r="D8" s="173" t="s">
        <v>877</v>
      </c>
      <c r="E8" s="305" t="s">
        <v>199</v>
      </c>
      <c r="F8" s="292" t="s">
        <v>225</v>
      </c>
      <c r="G8" s="292">
        <v>46.116999999999997</v>
      </c>
      <c r="H8" s="292">
        <v>-8.0090000000000003</v>
      </c>
      <c r="I8" s="292" t="s">
        <v>1201</v>
      </c>
      <c r="J8" s="174" t="str">
        <f t="shared" si="0"/>
        <v/>
      </c>
      <c r="K8" s="305">
        <v>3</v>
      </c>
      <c r="L8" s="293">
        <v>39757</v>
      </c>
      <c r="M8" s="284">
        <v>21</v>
      </c>
      <c r="N8" s="283">
        <v>1</v>
      </c>
      <c r="O8" s="283">
        <v>0.49</v>
      </c>
      <c r="P8" s="283">
        <v>1.6</v>
      </c>
      <c r="Q8" s="283">
        <v>24</v>
      </c>
      <c r="R8" s="283">
        <v>1</v>
      </c>
      <c r="S8" s="283">
        <v>4.0999999999999996</v>
      </c>
      <c r="T8" s="283">
        <v>14</v>
      </c>
      <c r="U8" s="283">
        <v>45</v>
      </c>
      <c r="V8" s="283">
        <v>1</v>
      </c>
      <c r="W8" s="283">
        <v>3.1</v>
      </c>
      <c r="X8" s="283">
        <v>10</v>
      </c>
      <c r="Y8" s="283"/>
      <c r="Z8" s="283"/>
      <c r="AA8" s="270"/>
      <c r="AB8" s="270"/>
      <c r="AC8" s="270"/>
      <c r="AD8" s="270"/>
      <c r="AE8" s="270"/>
      <c r="AG8" s="156">
        <v>4</v>
      </c>
      <c r="AH8" s="153" t="s">
        <v>69</v>
      </c>
      <c r="AI8" s="157"/>
    </row>
    <row r="9" spans="1:52" x14ac:dyDescent="0.25">
      <c r="A9" s="289" t="s">
        <v>97</v>
      </c>
      <c r="B9" s="290" t="s">
        <v>893</v>
      </c>
      <c r="C9" s="291">
        <v>12</v>
      </c>
      <c r="D9" s="173" t="s">
        <v>877</v>
      </c>
      <c r="E9" s="305" t="s">
        <v>200</v>
      </c>
      <c r="F9" s="292" t="s">
        <v>226</v>
      </c>
      <c r="G9" s="292">
        <v>45.789000000000001</v>
      </c>
      <c r="H9" s="292">
        <v>-8.3079999999999998</v>
      </c>
      <c r="I9" s="292" t="s">
        <v>1201</v>
      </c>
      <c r="J9" s="174" t="str">
        <f t="shared" si="0"/>
        <v/>
      </c>
      <c r="K9" s="305">
        <v>3</v>
      </c>
      <c r="L9" s="293">
        <v>39757</v>
      </c>
      <c r="M9" s="284">
        <v>20</v>
      </c>
      <c r="N9" s="283">
        <v>1</v>
      </c>
      <c r="O9" s="283">
        <v>0.49</v>
      </c>
      <c r="P9" s="283">
        <v>1.6</v>
      </c>
      <c r="Q9" s="283">
        <v>19</v>
      </c>
      <c r="R9" s="283">
        <v>1</v>
      </c>
      <c r="S9" s="283">
        <v>4.0999999999999996</v>
      </c>
      <c r="T9" s="283">
        <v>14</v>
      </c>
      <c r="U9" s="283">
        <v>54</v>
      </c>
      <c r="V9" s="283">
        <v>1</v>
      </c>
      <c r="W9" s="283">
        <v>3.1</v>
      </c>
      <c r="X9" s="283">
        <v>10</v>
      </c>
      <c r="Y9" s="283"/>
      <c r="Z9" s="283"/>
      <c r="AA9" s="270"/>
      <c r="AB9" s="270"/>
      <c r="AC9" s="270"/>
      <c r="AD9" s="270"/>
      <c r="AE9" s="270"/>
      <c r="AG9" s="158">
        <v>5</v>
      </c>
      <c r="AH9" s="159" t="s">
        <v>70</v>
      </c>
    </row>
    <row r="10" spans="1:52" x14ac:dyDescent="0.25">
      <c r="A10" s="289" t="s">
        <v>97</v>
      </c>
      <c r="B10" s="290" t="s">
        <v>893</v>
      </c>
      <c r="C10" s="291">
        <v>18</v>
      </c>
      <c r="D10" s="173" t="s">
        <v>877</v>
      </c>
      <c r="E10" s="305" t="s">
        <v>205</v>
      </c>
      <c r="F10" s="292" t="s">
        <v>232</v>
      </c>
      <c r="G10" s="292">
        <v>38.438000000000002</v>
      </c>
      <c r="H10" s="292">
        <v>-12.978999999999999</v>
      </c>
      <c r="I10" s="292" t="s">
        <v>1201</v>
      </c>
      <c r="J10" s="174" t="str">
        <f t="shared" si="0"/>
        <v/>
      </c>
      <c r="K10" s="305">
        <v>3</v>
      </c>
      <c r="L10" s="293">
        <v>39760</v>
      </c>
      <c r="M10" s="284">
        <v>19</v>
      </c>
      <c r="N10" s="283">
        <v>1</v>
      </c>
      <c r="O10" s="283">
        <v>0.49</v>
      </c>
      <c r="P10" s="283">
        <v>1.6</v>
      </c>
      <c r="Q10" s="283">
        <v>15</v>
      </c>
      <c r="R10" s="283">
        <v>1</v>
      </c>
      <c r="S10" s="283">
        <v>4.0999999999999996</v>
      </c>
      <c r="T10" s="283">
        <v>14</v>
      </c>
      <c r="U10" s="283">
        <v>75</v>
      </c>
      <c r="V10" s="283">
        <v>1</v>
      </c>
      <c r="W10" s="283">
        <v>3.1</v>
      </c>
      <c r="X10" s="283">
        <v>10</v>
      </c>
      <c r="Y10" s="283"/>
      <c r="Z10" s="283"/>
      <c r="AA10" s="270"/>
      <c r="AB10" s="270"/>
      <c r="AC10" s="270"/>
      <c r="AD10" s="270"/>
      <c r="AE10" s="270"/>
      <c r="AG10" s="160">
        <v>6</v>
      </c>
      <c r="AH10" s="159" t="s">
        <v>73</v>
      </c>
    </row>
    <row r="11" spans="1:52" x14ac:dyDescent="0.25">
      <c r="A11" s="289" t="s">
        <v>97</v>
      </c>
      <c r="B11" s="290" t="s">
        <v>893</v>
      </c>
      <c r="C11" s="291">
        <v>17</v>
      </c>
      <c r="D11" s="173" t="s">
        <v>877</v>
      </c>
      <c r="E11" s="305" t="s">
        <v>204</v>
      </c>
      <c r="F11" s="292" t="s">
        <v>231</v>
      </c>
      <c r="G11" s="292">
        <v>41.86</v>
      </c>
      <c r="H11" s="292">
        <v>-11.945</v>
      </c>
      <c r="I11" s="292" t="s">
        <v>1201</v>
      </c>
      <c r="J11" s="174" t="str">
        <f t="shared" si="0"/>
        <v/>
      </c>
      <c r="K11" s="305">
        <v>3</v>
      </c>
      <c r="L11" s="293">
        <v>39759</v>
      </c>
      <c r="M11" s="284">
        <v>18</v>
      </c>
      <c r="N11" s="283">
        <v>1</v>
      </c>
      <c r="O11" s="283">
        <v>0.49</v>
      </c>
      <c r="P11" s="283">
        <v>1.6</v>
      </c>
      <c r="Q11" s="283">
        <v>13</v>
      </c>
      <c r="R11" s="283">
        <v>0</v>
      </c>
      <c r="S11" s="283">
        <v>4.0999999999999996</v>
      </c>
      <c r="T11" s="283">
        <v>14</v>
      </c>
      <c r="U11" s="283">
        <v>57</v>
      </c>
      <c r="V11" s="283">
        <v>1</v>
      </c>
      <c r="W11" s="283">
        <v>3.1</v>
      </c>
      <c r="X11" s="283">
        <v>10</v>
      </c>
      <c r="Y11" s="283"/>
      <c r="Z11" s="283"/>
      <c r="AA11" s="270"/>
      <c r="AB11" s="270"/>
      <c r="AC11" s="270"/>
      <c r="AD11" s="270"/>
      <c r="AE11" s="270"/>
      <c r="AG11" s="161">
        <v>9</v>
      </c>
      <c r="AH11" s="162" t="s">
        <v>75</v>
      </c>
    </row>
    <row r="12" spans="1:52" x14ac:dyDescent="0.25">
      <c r="A12" s="289" t="s">
        <v>97</v>
      </c>
      <c r="B12" s="290" t="s">
        <v>893</v>
      </c>
      <c r="C12" s="291">
        <v>13</v>
      </c>
      <c r="D12" s="173" t="s">
        <v>877</v>
      </c>
      <c r="E12" s="305" t="s">
        <v>1224</v>
      </c>
      <c r="F12" s="283" t="s">
        <v>227</v>
      </c>
      <c r="G12" s="283">
        <v>44.548000000000002</v>
      </c>
      <c r="H12" s="283">
        <v>-9.7349999999999994</v>
      </c>
      <c r="I12" s="283" t="s">
        <v>1201</v>
      </c>
      <c r="J12" s="174" t="str">
        <f t="shared" si="0"/>
        <v/>
      </c>
      <c r="K12" s="305">
        <v>3</v>
      </c>
      <c r="L12" s="293">
        <v>39758</v>
      </c>
      <c r="M12" s="284">
        <v>17</v>
      </c>
      <c r="N12" s="283">
        <v>1</v>
      </c>
      <c r="O12" s="283">
        <v>0.49</v>
      </c>
      <c r="P12" s="283">
        <v>1.6</v>
      </c>
      <c r="Q12" s="283">
        <v>21</v>
      </c>
      <c r="R12" s="283">
        <v>1</v>
      </c>
      <c r="S12" s="283">
        <v>4.0999999999999996</v>
      </c>
      <c r="T12" s="283">
        <v>14</v>
      </c>
      <c r="U12" s="283">
        <v>54</v>
      </c>
      <c r="V12" s="283">
        <v>1</v>
      </c>
      <c r="W12" s="283">
        <v>3.1</v>
      </c>
      <c r="X12" s="283">
        <v>10</v>
      </c>
      <c r="Y12" s="283"/>
      <c r="Z12" s="174"/>
      <c r="AA12" s="698"/>
      <c r="AB12" s="270"/>
      <c r="AC12" s="270"/>
      <c r="AD12" s="270"/>
      <c r="AE12" s="270"/>
      <c r="AG12" s="163">
        <v>10</v>
      </c>
      <c r="AH12" s="162" t="s">
        <v>76</v>
      </c>
    </row>
    <row r="13" spans="1:52" x14ac:dyDescent="0.25">
      <c r="A13" s="289" t="s">
        <v>97</v>
      </c>
      <c r="B13" s="290" t="s">
        <v>893</v>
      </c>
      <c r="C13" s="291">
        <v>16</v>
      </c>
      <c r="D13" s="173" t="s">
        <v>877</v>
      </c>
      <c r="E13" s="305" t="s">
        <v>203</v>
      </c>
      <c r="F13" s="283" t="s">
        <v>230</v>
      </c>
      <c r="G13" s="283">
        <v>42.851999999999997</v>
      </c>
      <c r="H13" s="283">
        <v>-11.631</v>
      </c>
      <c r="I13" s="283" t="s">
        <v>1201</v>
      </c>
      <c r="J13" s="174" t="str">
        <f t="shared" si="0"/>
        <v/>
      </c>
      <c r="K13" s="305">
        <v>3</v>
      </c>
      <c r="L13" s="293">
        <v>39759</v>
      </c>
      <c r="M13" s="284">
        <v>16</v>
      </c>
      <c r="N13" s="283">
        <v>1</v>
      </c>
      <c r="O13" s="283">
        <v>0.49</v>
      </c>
      <c r="P13" s="283">
        <v>1.6</v>
      </c>
      <c r="Q13" s="283">
        <v>16</v>
      </c>
      <c r="R13" s="283">
        <v>1</v>
      </c>
      <c r="S13" s="283">
        <v>4.0999999999999996</v>
      </c>
      <c r="T13" s="283">
        <v>14</v>
      </c>
      <c r="U13" s="283">
        <v>60</v>
      </c>
      <c r="V13" s="283">
        <v>1</v>
      </c>
      <c r="W13" s="283">
        <v>3.1</v>
      </c>
      <c r="X13" s="283">
        <v>10</v>
      </c>
      <c r="Y13" s="283"/>
      <c r="Z13" s="699"/>
      <c r="AA13" s="270"/>
      <c r="AB13" s="270"/>
      <c r="AC13" s="270"/>
      <c r="AD13" s="270"/>
      <c r="AE13" s="270"/>
      <c r="AG13" s="164">
        <v>11</v>
      </c>
      <c r="AH13" s="162" t="s">
        <v>77</v>
      </c>
    </row>
    <row r="14" spans="1:52" x14ac:dyDescent="0.25">
      <c r="A14" s="289" t="s">
        <v>97</v>
      </c>
      <c r="B14" s="290" t="s">
        <v>893</v>
      </c>
      <c r="C14" s="291">
        <v>14</v>
      </c>
      <c r="D14" s="173" t="s">
        <v>877</v>
      </c>
      <c r="E14" s="305" t="s">
        <v>201</v>
      </c>
      <c r="F14" s="283" t="s">
        <v>228</v>
      </c>
      <c r="G14" s="283">
        <v>44.098999999999997</v>
      </c>
      <c r="H14" s="283">
        <v>-10.242000000000001</v>
      </c>
      <c r="I14" s="283" t="s">
        <v>1201</v>
      </c>
      <c r="J14" s="174" t="str">
        <f t="shared" si="0"/>
        <v/>
      </c>
      <c r="K14" s="305">
        <v>3</v>
      </c>
      <c r="L14" s="293">
        <v>39758</v>
      </c>
      <c r="M14" s="284">
        <v>4.4000000000000004</v>
      </c>
      <c r="N14" s="283">
        <v>0</v>
      </c>
      <c r="O14" s="283">
        <v>0.49</v>
      </c>
      <c r="P14" s="283">
        <v>1.6</v>
      </c>
      <c r="Q14" s="283">
        <v>20</v>
      </c>
      <c r="R14" s="283">
        <v>1</v>
      </c>
      <c r="S14" s="283">
        <v>4.0999999999999996</v>
      </c>
      <c r="T14" s="283">
        <v>14</v>
      </c>
      <c r="U14" s="283">
        <v>67</v>
      </c>
      <c r="V14" s="283">
        <v>1</v>
      </c>
      <c r="W14" s="283">
        <v>3.1</v>
      </c>
      <c r="X14" s="283">
        <v>10</v>
      </c>
      <c r="Y14" s="283"/>
      <c r="Z14" s="283"/>
      <c r="AA14" s="270"/>
      <c r="AB14" s="270"/>
      <c r="AC14" s="270"/>
      <c r="AD14" s="270"/>
      <c r="AE14" s="270"/>
      <c r="AG14" s="179">
        <v>12</v>
      </c>
      <c r="AH14" s="1" t="s">
        <v>387</v>
      </c>
    </row>
    <row r="15" spans="1:52" x14ac:dyDescent="0.25">
      <c r="A15" s="289" t="s">
        <v>97</v>
      </c>
      <c r="B15" s="290" t="s">
        <v>893</v>
      </c>
      <c r="C15" s="291">
        <v>15</v>
      </c>
      <c r="D15" s="173" t="s">
        <v>877</v>
      </c>
      <c r="E15" s="305" t="s">
        <v>202</v>
      </c>
      <c r="F15" s="283" t="s">
        <v>229</v>
      </c>
      <c r="G15" s="283">
        <v>43.856000000000002</v>
      </c>
      <c r="H15" s="283">
        <v>-10.516</v>
      </c>
      <c r="I15" s="283" t="s">
        <v>1201</v>
      </c>
      <c r="J15" s="174" t="str">
        <f t="shared" si="0"/>
        <v/>
      </c>
      <c r="K15" s="305">
        <v>3</v>
      </c>
      <c r="L15" s="293">
        <v>39758</v>
      </c>
      <c r="M15" s="284">
        <v>4.4000000000000004</v>
      </c>
      <c r="N15" s="283">
        <v>0</v>
      </c>
      <c r="O15" s="283">
        <v>0.49</v>
      </c>
      <c r="P15" s="283">
        <v>1.6</v>
      </c>
      <c r="Q15" s="283">
        <v>27</v>
      </c>
      <c r="R15" s="283">
        <v>1</v>
      </c>
      <c r="S15" s="283">
        <v>4.0999999999999996</v>
      </c>
      <c r="T15" s="283">
        <v>14</v>
      </c>
      <c r="U15" s="283">
        <v>82</v>
      </c>
      <c r="V15" s="283">
        <v>1</v>
      </c>
      <c r="W15" s="283">
        <v>3.1</v>
      </c>
      <c r="X15" s="283">
        <v>10</v>
      </c>
      <c r="Y15" s="283"/>
      <c r="Z15" s="283"/>
      <c r="AA15" s="270"/>
      <c r="AB15" s="270"/>
      <c r="AC15" s="270"/>
      <c r="AD15" s="270"/>
      <c r="AE15" s="270"/>
      <c r="AH15" t="s">
        <v>743</v>
      </c>
    </row>
    <row r="16" spans="1:52" x14ac:dyDescent="0.25">
      <c r="A16" s="289" t="s">
        <v>97</v>
      </c>
      <c r="B16" s="290" t="s">
        <v>893</v>
      </c>
      <c r="C16" s="291">
        <v>20</v>
      </c>
      <c r="D16" s="173" t="s">
        <v>877</v>
      </c>
      <c r="E16" s="305" t="s">
        <v>207</v>
      </c>
      <c r="F16" s="292" t="s">
        <v>234</v>
      </c>
      <c r="G16" s="292">
        <v>28.120999999999999</v>
      </c>
      <c r="H16" s="292">
        <v>-15.347</v>
      </c>
      <c r="I16" s="292" t="s">
        <v>1201</v>
      </c>
      <c r="J16" s="697" t="s">
        <v>1458</v>
      </c>
      <c r="K16" s="305">
        <v>4</v>
      </c>
      <c r="L16" s="293">
        <v>39764</v>
      </c>
      <c r="M16" s="284">
        <v>18</v>
      </c>
      <c r="N16" s="283">
        <v>1</v>
      </c>
      <c r="O16" s="283">
        <v>0.49</v>
      </c>
      <c r="P16" s="283">
        <v>1.6</v>
      </c>
      <c r="Q16" s="283">
        <v>15</v>
      </c>
      <c r="R16" s="283">
        <v>1</v>
      </c>
      <c r="S16" s="283">
        <v>4.0999999999999996</v>
      </c>
      <c r="T16" s="283">
        <v>14</v>
      </c>
      <c r="U16" s="283">
        <v>81</v>
      </c>
      <c r="V16" s="283">
        <v>1</v>
      </c>
      <c r="W16" s="283">
        <v>3.1</v>
      </c>
      <c r="X16" s="283">
        <v>10</v>
      </c>
      <c r="Y16" s="283"/>
      <c r="Z16" s="283"/>
      <c r="AA16" s="270"/>
      <c r="AB16" s="270"/>
      <c r="AC16" s="270"/>
      <c r="AD16" s="270"/>
      <c r="AE16" s="270"/>
      <c r="AH16" s="1" t="s">
        <v>752</v>
      </c>
      <c r="AS16" s="165"/>
      <c r="AT16" s="165"/>
      <c r="AU16" s="165"/>
      <c r="AV16" s="165"/>
      <c r="AW16" s="165"/>
      <c r="AX16" s="165"/>
      <c r="AY16" s="165"/>
      <c r="AZ16" s="165"/>
    </row>
    <row r="17" spans="1:40" x14ac:dyDescent="0.25">
      <c r="A17" s="289" t="s">
        <v>97</v>
      </c>
      <c r="B17" s="290" t="s">
        <v>893</v>
      </c>
      <c r="C17" s="291">
        <v>19</v>
      </c>
      <c r="D17" s="173" t="s">
        <v>877</v>
      </c>
      <c r="E17" s="305" t="s">
        <v>206</v>
      </c>
      <c r="F17" s="283" t="s">
        <v>233</v>
      </c>
      <c r="G17" s="283">
        <v>35.517000000000003</v>
      </c>
      <c r="H17" s="283">
        <v>-13.824</v>
      </c>
      <c r="I17" s="283" t="s">
        <v>1201</v>
      </c>
      <c r="J17" s="174" t="str">
        <f t="shared" si="0"/>
        <v/>
      </c>
      <c r="K17" s="305">
        <v>4</v>
      </c>
      <c r="L17" s="293">
        <v>39762</v>
      </c>
      <c r="M17" s="284">
        <v>16</v>
      </c>
      <c r="N17" s="283">
        <v>1</v>
      </c>
      <c r="O17" s="283">
        <v>0.49</v>
      </c>
      <c r="P17" s="283">
        <v>1.6</v>
      </c>
      <c r="Q17" s="283">
        <v>16</v>
      </c>
      <c r="R17" s="283">
        <v>1</v>
      </c>
      <c r="S17" s="283">
        <v>4.0999999999999996</v>
      </c>
      <c r="T17" s="283">
        <v>14</v>
      </c>
      <c r="U17" s="283">
        <v>116</v>
      </c>
      <c r="V17" s="283">
        <v>1</v>
      </c>
      <c r="W17" s="283">
        <v>3.1</v>
      </c>
      <c r="X17" s="283">
        <v>10</v>
      </c>
      <c r="Y17" s="283"/>
      <c r="Z17" s="283"/>
      <c r="AA17" s="270"/>
      <c r="AB17" s="270"/>
      <c r="AC17" s="270"/>
      <c r="AD17" s="270"/>
      <c r="AE17" s="270"/>
    </row>
    <row r="18" spans="1:40" x14ac:dyDescent="0.25">
      <c r="A18" s="289" t="s">
        <v>97</v>
      </c>
      <c r="B18" s="290" t="s">
        <v>893</v>
      </c>
      <c r="C18" s="291">
        <v>21</v>
      </c>
      <c r="D18" s="173" t="s">
        <v>877</v>
      </c>
      <c r="E18" s="305" t="s">
        <v>1221</v>
      </c>
      <c r="F18" s="283" t="s">
        <v>235</v>
      </c>
      <c r="G18" s="214">
        <v>25</v>
      </c>
      <c r="H18" s="214">
        <v>-18.283000000000001</v>
      </c>
      <c r="I18" s="283" t="s">
        <v>1201</v>
      </c>
      <c r="J18" s="174" t="str">
        <f t="shared" si="0"/>
        <v/>
      </c>
      <c r="K18" s="305">
        <v>4</v>
      </c>
      <c r="L18" s="293">
        <v>39764</v>
      </c>
      <c r="M18" s="284">
        <v>14</v>
      </c>
      <c r="N18" s="283">
        <v>0</v>
      </c>
      <c r="O18" s="283">
        <v>0.49</v>
      </c>
      <c r="P18" s="283">
        <v>1.6</v>
      </c>
      <c r="Q18" s="283">
        <v>16</v>
      </c>
      <c r="R18" s="283">
        <v>1</v>
      </c>
      <c r="S18" s="283">
        <v>4.0999999999999996</v>
      </c>
      <c r="T18" s="283">
        <v>14</v>
      </c>
      <c r="U18" s="283">
        <v>112</v>
      </c>
      <c r="V18" s="283">
        <v>1</v>
      </c>
      <c r="W18" s="283">
        <v>3.1</v>
      </c>
      <c r="X18" s="283">
        <v>10</v>
      </c>
      <c r="Y18" s="283"/>
      <c r="Z18" s="283"/>
      <c r="AA18" s="270"/>
      <c r="AB18" s="270"/>
      <c r="AC18" s="270"/>
      <c r="AD18" s="270"/>
      <c r="AE18" s="270"/>
    </row>
    <row r="19" spans="1:40" x14ac:dyDescent="0.25">
      <c r="A19" s="289" t="s">
        <v>97</v>
      </c>
      <c r="B19" s="290" t="s">
        <v>893</v>
      </c>
      <c r="C19" s="291">
        <v>22</v>
      </c>
      <c r="D19" s="173" t="s">
        <v>877</v>
      </c>
      <c r="E19" s="305" t="s">
        <v>1223</v>
      </c>
      <c r="F19" s="283" t="s">
        <v>236</v>
      </c>
      <c r="G19" s="283">
        <v>19.184999999999999</v>
      </c>
      <c r="H19" s="283">
        <v>-20.716000000000001</v>
      </c>
      <c r="I19" s="283" t="s">
        <v>1201</v>
      </c>
      <c r="J19" s="174" t="str">
        <f t="shared" si="0"/>
        <v/>
      </c>
      <c r="K19" s="305">
        <v>4</v>
      </c>
      <c r="L19" s="293">
        <v>39767</v>
      </c>
      <c r="M19" s="284">
        <v>4.4000000000000004</v>
      </c>
      <c r="N19" s="283">
        <v>0</v>
      </c>
      <c r="O19" s="283">
        <v>0.49</v>
      </c>
      <c r="P19" s="283">
        <v>1.6</v>
      </c>
      <c r="Q19" s="283">
        <v>6.8</v>
      </c>
      <c r="R19" s="283">
        <v>0</v>
      </c>
      <c r="S19" s="283">
        <v>4.0999999999999996</v>
      </c>
      <c r="T19" s="283">
        <v>14</v>
      </c>
      <c r="U19" s="283">
        <v>62</v>
      </c>
      <c r="V19" s="283">
        <v>1</v>
      </c>
      <c r="W19" s="283">
        <v>3.1</v>
      </c>
      <c r="X19" s="283">
        <v>10</v>
      </c>
      <c r="Y19" s="283"/>
      <c r="Z19" s="283"/>
      <c r="AA19" s="270"/>
      <c r="AB19" s="270"/>
      <c r="AC19" s="270"/>
      <c r="AD19" s="270"/>
      <c r="AE19" s="270"/>
    </row>
    <row r="20" spans="1:40" x14ac:dyDescent="0.25">
      <c r="A20" s="289" t="s">
        <v>97</v>
      </c>
      <c r="B20" s="290" t="s">
        <v>893</v>
      </c>
      <c r="C20" s="291">
        <v>23</v>
      </c>
      <c r="D20" s="173" t="s">
        <v>877</v>
      </c>
      <c r="E20" s="305" t="s">
        <v>1222</v>
      </c>
      <c r="F20" s="283" t="s">
        <v>237</v>
      </c>
      <c r="G20" s="214">
        <v>15</v>
      </c>
      <c r="H20" s="214">
        <v>-20.983000000000001</v>
      </c>
      <c r="I20" s="283" t="s">
        <v>1201</v>
      </c>
      <c r="J20" s="174" t="str">
        <f t="shared" si="0"/>
        <v/>
      </c>
      <c r="K20" s="305">
        <v>5</v>
      </c>
      <c r="L20" s="293">
        <v>39768</v>
      </c>
      <c r="M20" s="284">
        <v>4.4000000000000004</v>
      </c>
      <c r="N20" s="283">
        <v>0</v>
      </c>
      <c r="O20" s="283">
        <v>0.49</v>
      </c>
      <c r="P20" s="283">
        <v>1.6</v>
      </c>
      <c r="Q20" s="283">
        <v>11</v>
      </c>
      <c r="R20" s="283">
        <v>0</v>
      </c>
      <c r="S20" s="283">
        <v>4.0999999999999996</v>
      </c>
      <c r="T20" s="283">
        <v>14</v>
      </c>
      <c r="U20" s="283">
        <v>64</v>
      </c>
      <c r="V20" s="283">
        <v>1</v>
      </c>
      <c r="W20" s="283">
        <v>3.1</v>
      </c>
      <c r="X20" s="283">
        <v>10</v>
      </c>
      <c r="Y20" s="283"/>
      <c r="Z20" s="283"/>
      <c r="AA20" s="270"/>
      <c r="AB20" s="270"/>
      <c r="AC20" s="270"/>
      <c r="AD20" s="270"/>
      <c r="AE20" s="270"/>
    </row>
    <row r="21" spans="1:40" x14ac:dyDescent="0.25">
      <c r="A21" s="289" t="s">
        <v>97</v>
      </c>
      <c r="B21" s="290" t="s">
        <v>893</v>
      </c>
      <c r="C21" s="291">
        <v>24</v>
      </c>
      <c r="D21" s="173" t="s">
        <v>877</v>
      </c>
      <c r="E21" s="305" t="s">
        <v>208</v>
      </c>
      <c r="F21" s="283" t="s">
        <v>238</v>
      </c>
      <c r="G21" s="283">
        <v>9.6430000000000007</v>
      </c>
      <c r="H21" s="283">
        <v>-19.832999999999998</v>
      </c>
      <c r="I21" s="283" t="s">
        <v>1201</v>
      </c>
      <c r="J21" s="174" t="str">
        <f t="shared" si="0"/>
        <v/>
      </c>
      <c r="K21" s="305">
        <v>5</v>
      </c>
      <c r="L21" s="293">
        <v>39769</v>
      </c>
      <c r="M21" s="284">
        <v>4.4000000000000004</v>
      </c>
      <c r="N21" s="283">
        <v>0</v>
      </c>
      <c r="O21" s="283">
        <v>0.49</v>
      </c>
      <c r="P21" s="283">
        <v>1.6</v>
      </c>
      <c r="Q21" s="283">
        <v>14</v>
      </c>
      <c r="R21" s="283">
        <v>0</v>
      </c>
      <c r="S21" s="283">
        <v>4.0999999999999996</v>
      </c>
      <c r="T21" s="283">
        <v>14</v>
      </c>
      <c r="U21" s="283">
        <v>63</v>
      </c>
      <c r="V21" s="283">
        <v>1</v>
      </c>
      <c r="W21" s="283">
        <v>3.1</v>
      </c>
      <c r="X21" s="283">
        <v>10</v>
      </c>
      <c r="Y21" s="283"/>
      <c r="Z21" s="283"/>
      <c r="AA21" s="270"/>
      <c r="AB21" s="270"/>
      <c r="AC21" s="270"/>
      <c r="AD21" s="270"/>
      <c r="AE21" s="270"/>
      <c r="AG21" s="6" t="s">
        <v>857</v>
      </c>
    </row>
    <row r="22" spans="1:40" x14ac:dyDescent="0.25">
      <c r="A22" s="289" t="s">
        <v>97</v>
      </c>
      <c r="B22" s="290" t="s">
        <v>893</v>
      </c>
      <c r="C22" s="291">
        <v>25</v>
      </c>
      <c r="D22" s="173" t="s">
        <v>877</v>
      </c>
      <c r="E22" s="305" t="s">
        <v>209</v>
      </c>
      <c r="F22" s="283" t="s">
        <v>239</v>
      </c>
      <c r="G22" s="283">
        <v>-4.8570000000000002</v>
      </c>
      <c r="H22" s="283">
        <v>-16.266999999999999</v>
      </c>
      <c r="I22" s="283" t="s">
        <v>1201</v>
      </c>
      <c r="J22" s="174" t="str">
        <f t="shared" si="0"/>
        <v/>
      </c>
      <c r="K22" s="305">
        <v>5</v>
      </c>
      <c r="L22" s="293">
        <v>39771</v>
      </c>
      <c r="M22" s="284">
        <v>4.4000000000000004</v>
      </c>
      <c r="N22" s="283">
        <v>0</v>
      </c>
      <c r="O22" s="283">
        <v>0.49</v>
      </c>
      <c r="P22" s="283">
        <v>1.6</v>
      </c>
      <c r="Q22" s="283">
        <v>8.1</v>
      </c>
      <c r="R22" s="283">
        <v>0</v>
      </c>
      <c r="S22" s="283">
        <v>4.0999999999999996</v>
      </c>
      <c r="T22" s="283">
        <v>14</v>
      </c>
      <c r="U22" s="283">
        <v>77</v>
      </c>
      <c r="V22" s="283">
        <v>1</v>
      </c>
      <c r="W22" s="283">
        <v>3.1</v>
      </c>
      <c r="X22" s="283">
        <v>10</v>
      </c>
      <c r="Y22" s="283"/>
      <c r="Z22" s="283"/>
      <c r="AA22" s="270"/>
      <c r="AB22" s="270"/>
      <c r="AC22" s="270"/>
      <c r="AD22" s="270"/>
      <c r="AE22" s="270"/>
      <c r="AG22" s="260" t="s">
        <v>859</v>
      </c>
      <c r="AH22" s="261" t="s">
        <v>770</v>
      </c>
      <c r="AI22" s="262" t="s">
        <v>858</v>
      </c>
    </row>
    <row r="23" spans="1:40" x14ac:dyDescent="0.25">
      <c r="A23" s="289" t="s">
        <v>97</v>
      </c>
      <c r="B23" s="290" t="s">
        <v>893</v>
      </c>
      <c r="C23" s="291">
        <v>26</v>
      </c>
      <c r="D23" s="271" t="s">
        <v>878</v>
      </c>
      <c r="E23" s="305" t="s">
        <v>210</v>
      </c>
      <c r="F23" s="623" t="s">
        <v>1211</v>
      </c>
      <c r="G23" s="283">
        <v>-0.251</v>
      </c>
      <c r="H23" s="283">
        <v>-11.856999999999999</v>
      </c>
      <c r="I23" s="283" t="s">
        <v>1201</v>
      </c>
      <c r="J23" s="174" t="str">
        <f t="shared" si="0"/>
        <v/>
      </c>
      <c r="K23" s="305">
        <v>6</v>
      </c>
      <c r="L23" s="293">
        <v>39773</v>
      </c>
      <c r="M23" s="284">
        <v>17</v>
      </c>
      <c r="N23" s="283">
        <v>1</v>
      </c>
      <c r="O23" s="283">
        <v>0.49</v>
      </c>
      <c r="P23" s="283">
        <v>1.6</v>
      </c>
      <c r="Q23" s="283">
        <v>13</v>
      </c>
      <c r="R23" s="283">
        <v>0</v>
      </c>
      <c r="S23" s="283">
        <v>4.0999999999999996</v>
      </c>
      <c r="T23" s="283">
        <v>14</v>
      </c>
      <c r="U23" s="283">
        <v>76</v>
      </c>
      <c r="V23" s="283">
        <v>1</v>
      </c>
      <c r="W23" s="283">
        <v>3.1</v>
      </c>
      <c r="X23" s="283">
        <v>10</v>
      </c>
      <c r="Y23" s="283"/>
      <c r="Z23" s="283"/>
      <c r="AA23" s="270"/>
      <c r="AB23" s="270"/>
      <c r="AC23" s="270"/>
      <c r="AD23" s="270"/>
      <c r="AE23" s="270"/>
      <c r="AG23" s="263">
        <v>1</v>
      </c>
      <c r="AH23" s="264">
        <f>AI23-17.99</f>
        <v>72.010000000000005</v>
      </c>
      <c r="AI23" s="265">
        <v>90</v>
      </c>
      <c r="AL23" s="1">
        <v>72.010000000000005</v>
      </c>
      <c r="AM23" s="1">
        <v>90</v>
      </c>
      <c r="AN23" s="1" t="str">
        <f>AL23&amp;" to "&amp;AM23</f>
        <v>72.01 to 90</v>
      </c>
    </row>
    <row r="24" spans="1:40" x14ac:dyDescent="0.25">
      <c r="A24" s="289" t="s">
        <v>165</v>
      </c>
      <c r="B24" s="290" t="s">
        <v>893</v>
      </c>
      <c r="C24" s="291">
        <v>27</v>
      </c>
      <c r="D24" s="271" t="s">
        <v>878</v>
      </c>
      <c r="E24" s="305" t="s">
        <v>211</v>
      </c>
      <c r="F24" s="623" t="s">
        <v>1212</v>
      </c>
      <c r="G24" s="283">
        <v>-5.9290000000000003</v>
      </c>
      <c r="H24" s="283">
        <v>-7.06</v>
      </c>
      <c r="I24" s="283" t="s">
        <v>1201</v>
      </c>
      <c r="J24" s="174" t="str">
        <f t="shared" si="0"/>
        <v/>
      </c>
      <c r="K24" s="305">
        <v>6</v>
      </c>
      <c r="L24" s="293">
        <v>39775</v>
      </c>
      <c r="M24" s="284">
        <v>13</v>
      </c>
      <c r="N24" s="283">
        <v>0</v>
      </c>
      <c r="O24" s="283">
        <v>0.49</v>
      </c>
      <c r="P24" s="283">
        <v>1.6</v>
      </c>
      <c r="Q24" s="283">
        <v>9.1</v>
      </c>
      <c r="R24" s="283">
        <v>0</v>
      </c>
      <c r="S24" s="283">
        <v>4.0999999999999996</v>
      </c>
      <c r="T24" s="283">
        <v>14</v>
      </c>
      <c r="U24" s="283">
        <v>56</v>
      </c>
      <c r="V24" s="283">
        <v>1</v>
      </c>
      <c r="W24" s="283">
        <v>3.1</v>
      </c>
      <c r="X24" s="283">
        <v>10</v>
      </c>
      <c r="Y24" s="283"/>
      <c r="Z24" s="283"/>
      <c r="AA24" s="283"/>
      <c r="AB24" s="283"/>
      <c r="AC24" s="283"/>
      <c r="AD24" s="283"/>
      <c r="AE24" s="270"/>
      <c r="AG24" s="263">
        <v>2</v>
      </c>
      <c r="AH24" s="264">
        <f>AH23-18</f>
        <v>54.010000000000005</v>
      </c>
      <c r="AI24" s="265">
        <f>AI23-18</f>
        <v>72</v>
      </c>
      <c r="AL24" s="1">
        <v>54.010000000000005</v>
      </c>
      <c r="AM24" s="1">
        <v>72</v>
      </c>
      <c r="AN24" s="1" t="str">
        <f t="shared" ref="AN24:AN32" si="1">AL24&amp;" to "&amp;AM24</f>
        <v>54.01 to 72</v>
      </c>
    </row>
    <row r="25" spans="1:40" x14ac:dyDescent="0.25">
      <c r="A25" s="289" t="s">
        <v>165</v>
      </c>
      <c r="B25" s="290" t="s">
        <v>893</v>
      </c>
      <c r="C25" s="291">
        <v>28</v>
      </c>
      <c r="D25" s="271" t="s">
        <v>878</v>
      </c>
      <c r="E25" s="305" t="s">
        <v>212</v>
      </c>
      <c r="F25" s="623" t="s">
        <v>1213</v>
      </c>
      <c r="G25" s="623">
        <v>-10.186</v>
      </c>
      <c r="H25" s="623">
        <v>-3.4329999999999998</v>
      </c>
      <c r="I25" s="283" t="s">
        <v>1201</v>
      </c>
      <c r="J25" s="174" t="str">
        <f t="shared" si="0"/>
        <v/>
      </c>
      <c r="K25" s="305">
        <v>6</v>
      </c>
      <c r="L25" s="293">
        <v>39776</v>
      </c>
      <c r="M25" s="284">
        <v>4.4000000000000004</v>
      </c>
      <c r="N25" s="283">
        <v>0</v>
      </c>
      <c r="O25" s="283">
        <v>0.49</v>
      </c>
      <c r="P25" s="283">
        <v>1.6</v>
      </c>
      <c r="Q25" s="283">
        <v>7.4</v>
      </c>
      <c r="R25" s="283">
        <v>0</v>
      </c>
      <c r="S25" s="283">
        <v>4.0999999999999996</v>
      </c>
      <c r="T25" s="283">
        <v>14</v>
      </c>
      <c r="U25" s="283">
        <v>72</v>
      </c>
      <c r="V25" s="283">
        <v>1</v>
      </c>
      <c r="W25" s="283">
        <v>3.1</v>
      </c>
      <c r="X25" s="283">
        <v>10</v>
      </c>
      <c r="Y25" s="283"/>
      <c r="Z25" s="283"/>
      <c r="AA25" s="283"/>
      <c r="AB25" s="283"/>
      <c r="AC25" s="283"/>
      <c r="AD25" s="283"/>
      <c r="AE25" s="270"/>
      <c r="AG25" s="263">
        <v>3</v>
      </c>
      <c r="AH25" s="264">
        <f t="shared" ref="AH25:AH27" si="2">AH24-18</f>
        <v>36.010000000000005</v>
      </c>
      <c r="AI25" s="265">
        <f t="shared" ref="AI25:AI27" si="3">AI24-18</f>
        <v>54</v>
      </c>
      <c r="AL25" s="1">
        <v>36.010000000000005</v>
      </c>
      <c r="AM25" s="1">
        <v>54</v>
      </c>
      <c r="AN25" s="1" t="str">
        <f t="shared" si="1"/>
        <v>36.01 to 54</v>
      </c>
    </row>
    <row r="26" spans="1:40" x14ac:dyDescent="0.25">
      <c r="A26" s="289" t="s">
        <v>165</v>
      </c>
      <c r="B26" s="290" t="s">
        <v>893</v>
      </c>
      <c r="C26" s="291">
        <v>31</v>
      </c>
      <c r="D26" s="271" t="s">
        <v>878</v>
      </c>
      <c r="E26" s="305" t="s">
        <v>215</v>
      </c>
      <c r="F26" s="623" t="s">
        <v>1225</v>
      </c>
      <c r="G26" s="623">
        <v>-29.431000000000001</v>
      </c>
      <c r="H26" s="623">
        <v>13.497999999999999</v>
      </c>
      <c r="I26" s="283" t="s">
        <v>1201</v>
      </c>
      <c r="J26" s="174" t="str">
        <f t="shared" si="0"/>
        <v/>
      </c>
      <c r="K26" s="305">
        <v>7</v>
      </c>
      <c r="L26" s="293">
        <v>39783</v>
      </c>
      <c r="M26" s="284">
        <v>9.6</v>
      </c>
      <c r="N26" s="283">
        <v>0</v>
      </c>
      <c r="O26" s="283">
        <v>0.49</v>
      </c>
      <c r="P26" s="283">
        <v>1.6</v>
      </c>
      <c r="Q26" s="283">
        <v>9.9</v>
      </c>
      <c r="R26" s="283">
        <v>0</v>
      </c>
      <c r="S26" s="283">
        <v>4.0999999999999996</v>
      </c>
      <c r="T26" s="283">
        <v>14</v>
      </c>
      <c r="U26" s="283">
        <v>51</v>
      </c>
      <c r="V26" s="283">
        <v>1</v>
      </c>
      <c r="W26" s="283">
        <v>3.1</v>
      </c>
      <c r="X26" s="283">
        <v>10</v>
      </c>
      <c r="Y26" s="283"/>
      <c r="Z26" s="283"/>
      <c r="AA26" s="283"/>
      <c r="AB26" s="283"/>
      <c r="AC26" s="283"/>
      <c r="AD26" s="283"/>
      <c r="AE26" s="270"/>
      <c r="AG26" s="263">
        <v>4</v>
      </c>
      <c r="AH26" s="264">
        <f t="shared" si="2"/>
        <v>18.010000000000005</v>
      </c>
      <c r="AI26" s="265">
        <f t="shared" si="3"/>
        <v>36</v>
      </c>
      <c r="AL26" s="1">
        <v>18.010000000000005</v>
      </c>
      <c r="AM26" s="1">
        <v>36</v>
      </c>
      <c r="AN26" s="1" t="str">
        <f t="shared" si="1"/>
        <v>18.01 to 36</v>
      </c>
    </row>
    <row r="27" spans="1:40" x14ac:dyDescent="0.25">
      <c r="A27" s="289" t="s">
        <v>165</v>
      </c>
      <c r="B27" s="290" t="s">
        <v>893</v>
      </c>
      <c r="C27" s="291">
        <v>29</v>
      </c>
      <c r="D27" s="271" t="s">
        <v>878</v>
      </c>
      <c r="E27" s="305" t="s">
        <v>213</v>
      </c>
      <c r="F27" s="623" t="s">
        <v>1226</v>
      </c>
      <c r="G27" s="623">
        <v>-23.221</v>
      </c>
      <c r="H27" s="623">
        <v>8.0749999999999993</v>
      </c>
      <c r="I27" s="283" t="s">
        <v>1201</v>
      </c>
      <c r="J27" s="174" t="str">
        <f t="shared" si="0"/>
        <v/>
      </c>
      <c r="K27" s="305">
        <v>7</v>
      </c>
      <c r="L27" s="293">
        <v>39781</v>
      </c>
      <c r="M27" s="284">
        <v>4.4000000000000004</v>
      </c>
      <c r="N27" s="283">
        <v>0</v>
      </c>
      <c r="O27" s="283">
        <v>0.49</v>
      </c>
      <c r="P27" s="283">
        <v>1.6</v>
      </c>
      <c r="Q27" s="283">
        <v>7.4</v>
      </c>
      <c r="R27" s="283">
        <v>0</v>
      </c>
      <c r="S27" s="283">
        <v>4.0999999999999996</v>
      </c>
      <c r="T27" s="283">
        <v>14</v>
      </c>
      <c r="U27" s="283">
        <v>52</v>
      </c>
      <c r="V27" s="283">
        <v>1</v>
      </c>
      <c r="W27" s="283">
        <v>3.1</v>
      </c>
      <c r="X27" s="283">
        <v>10</v>
      </c>
      <c r="Y27" s="283"/>
      <c r="Z27" s="283"/>
      <c r="AA27" s="283"/>
      <c r="AB27" s="283"/>
      <c r="AC27" s="283"/>
      <c r="AD27" s="283"/>
      <c r="AE27" s="270"/>
      <c r="AG27" s="263">
        <v>5</v>
      </c>
      <c r="AH27" s="264">
        <f t="shared" si="2"/>
        <v>1.0000000000005116E-2</v>
      </c>
      <c r="AI27" s="265">
        <f t="shared" si="3"/>
        <v>18</v>
      </c>
      <c r="AL27" s="106">
        <v>0.01</v>
      </c>
      <c r="AM27" s="1">
        <v>18</v>
      </c>
      <c r="AN27" s="1" t="str">
        <f t="shared" si="1"/>
        <v>0.01 to 18</v>
      </c>
    </row>
    <row r="28" spans="1:40" x14ac:dyDescent="0.25">
      <c r="A28" s="289" t="s">
        <v>165</v>
      </c>
      <c r="B28" s="290" t="s">
        <v>893</v>
      </c>
      <c r="C28" s="291">
        <v>30</v>
      </c>
      <c r="D28" s="271" t="s">
        <v>878</v>
      </c>
      <c r="E28" s="305" t="s">
        <v>214</v>
      </c>
      <c r="F28" s="623" t="s">
        <v>1227</v>
      </c>
      <c r="G28" s="623">
        <v>-27.364999999999998</v>
      </c>
      <c r="H28" s="623">
        <v>11.318</v>
      </c>
      <c r="I28" s="283" t="s">
        <v>1201</v>
      </c>
      <c r="J28" s="174" t="str">
        <f t="shared" si="0"/>
        <v/>
      </c>
      <c r="K28" s="305">
        <v>7</v>
      </c>
      <c r="L28" s="293">
        <v>39782</v>
      </c>
      <c r="M28" s="284">
        <v>4.4000000000000004</v>
      </c>
      <c r="N28" s="283">
        <v>0</v>
      </c>
      <c r="O28" s="283">
        <v>0.49</v>
      </c>
      <c r="P28" s="283">
        <v>1.6</v>
      </c>
      <c r="Q28" s="283">
        <v>17</v>
      </c>
      <c r="R28" s="283">
        <v>1</v>
      </c>
      <c r="S28" s="283">
        <v>4.0999999999999996</v>
      </c>
      <c r="T28" s="283">
        <v>14</v>
      </c>
      <c r="U28" s="283">
        <v>58</v>
      </c>
      <c r="V28" s="283">
        <v>1</v>
      </c>
      <c r="W28" s="283">
        <v>3.1</v>
      </c>
      <c r="X28" s="283">
        <v>10</v>
      </c>
      <c r="Y28" s="283"/>
      <c r="Z28" s="283"/>
      <c r="AA28" s="283"/>
      <c r="AB28" s="283"/>
      <c r="AC28" s="283"/>
      <c r="AD28" s="283"/>
      <c r="AE28" s="270"/>
      <c r="AG28" s="263">
        <v>6</v>
      </c>
      <c r="AH28" s="264">
        <f>-0.01</f>
        <v>-0.01</v>
      </c>
      <c r="AI28" s="265">
        <f>-18</f>
        <v>-18</v>
      </c>
      <c r="AL28" s="1">
        <v>-0.01</v>
      </c>
      <c r="AM28" s="1">
        <v>-18</v>
      </c>
      <c r="AN28" s="1" t="str">
        <f t="shared" si="1"/>
        <v>-0.01 to -18</v>
      </c>
    </row>
    <row r="29" spans="1:40" x14ac:dyDescent="0.25">
      <c r="A29" s="289" t="s">
        <v>165</v>
      </c>
      <c r="B29" s="290" t="s">
        <v>893</v>
      </c>
      <c r="C29" s="291">
        <v>32</v>
      </c>
      <c r="D29" s="271" t="s">
        <v>878</v>
      </c>
      <c r="E29" s="305" t="s">
        <v>216</v>
      </c>
      <c r="F29" s="623" t="s">
        <v>1228</v>
      </c>
      <c r="G29" s="623">
        <v>-38.758000000000003</v>
      </c>
      <c r="H29" s="623">
        <v>10.090999999999999</v>
      </c>
      <c r="I29" s="283" t="s">
        <v>1201</v>
      </c>
      <c r="J29" s="174" t="str">
        <f t="shared" si="0"/>
        <v/>
      </c>
      <c r="K29" s="305">
        <v>8</v>
      </c>
      <c r="L29" s="293">
        <v>39790</v>
      </c>
      <c r="M29" s="284">
        <v>4.4000000000000004</v>
      </c>
      <c r="N29" s="283">
        <v>0</v>
      </c>
      <c r="O29" s="283">
        <v>0.49</v>
      </c>
      <c r="P29" s="283">
        <v>1.6</v>
      </c>
      <c r="Q29" s="283">
        <v>4.0999999999999996</v>
      </c>
      <c r="R29" s="283">
        <v>0</v>
      </c>
      <c r="S29" s="283">
        <v>4.0999999999999996</v>
      </c>
      <c r="T29" s="283">
        <v>14</v>
      </c>
      <c r="U29" s="283">
        <v>47</v>
      </c>
      <c r="V29" s="283">
        <v>1</v>
      </c>
      <c r="W29" s="283">
        <v>3.1</v>
      </c>
      <c r="X29" s="283">
        <v>10</v>
      </c>
      <c r="Y29" s="283"/>
      <c r="Z29" s="283"/>
      <c r="AA29" s="283"/>
      <c r="AB29" s="283"/>
      <c r="AC29" s="283"/>
      <c r="AD29" s="283"/>
      <c r="AE29" s="270"/>
      <c r="AG29" s="263">
        <v>7</v>
      </c>
      <c r="AH29" s="264">
        <f>AH28-18</f>
        <v>-18.010000000000002</v>
      </c>
      <c r="AI29" s="265">
        <f>AI28+-18</f>
        <v>-36</v>
      </c>
      <c r="AL29" s="1">
        <v>-18.010000000000002</v>
      </c>
      <c r="AM29" s="1">
        <v>-36</v>
      </c>
      <c r="AN29" s="1" t="str">
        <f t="shared" si="1"/>
        <v>-18.01 to -36</v>
      </c>
    </row>
    <row r="30" spans="1:40" x14ac:dyDescent="0.25">
      <c r="A30" s="289" t="s">
        <v>165</v>
      </c>
      <c r="B30" s="290" t="s">
        <v>893</v>
      </c>
      <c r="C30" s="291">
        <v>33</v>
      </c>
      <c r="D30" s="271" t="s">
        <v>878</v>
      </c>
      <c r="E30" s="305" t="s">
        <v>217</v>
      </c>
      <c r="F30" s="623" t="s">
        <v>1229</v>
      </c>
      <c r="G30" s="623">
        <v>-50.936</v>
      </c>
      <c r="H30" s="623">
        <v>14.244999999999999</v>
      </c>
      <c r="I30" s="623" t="s">
        <v>1204</v>
      </c>
      <c r="J30" s="174" t="str">
        <f t="shared" si="0"/>
        <v/>
      </c>
      <c r="K30" s="305">
        <v>8</v>
      </c>
      <c r="L30" s="293">
        <v>39812</v>
      </c>
      <c r="M30" s="284">
        <v>4.4000000000000004</v>
      </c>
      <c r="N30" s="283">
        <v>0</v>
      </c>
      <c r="O30" s="283">
        <v>0.49</v>
      </c>
      <c r="P30" s="283">
        <v>1.6</v>
      </c>
      <c r="Q30" s="283">
        <v>4.0999999999999996</v>
      </c>
      <c r="R30" s="283">
        <v>0</v>
      </c>
      <c r="S30" s="283">
        <v>4.0999999999999996</v>
      </c>
      <c r="T30" s="283">
        <v>14</v>
      </c>
      <c r="U30" s="283">
        <v>38</v>
      </c>
      <c r="V30" s="283">
        <v>1</v>
      </c>
      <c r="W30" s="283">
        <v>3.1</v>
      </c>
      <c r="X30" s="283">
        <v>10</v>
      </c>
      <c r="Y30" s="283"/>
      <c r="Z30" s="283"/>
      <c r="AA30" s="283"/>
      <c r="AB30" s="283"/>
      <c r="AC30" s="283"/>
      <c r="AD30" s="283"/>
      <c r="AE30" s="270"/>
      <c r="AG30" s="263">
        <v>8</v>
      </c>
      <c r="AH30" s="264">
        <f t="shared" ref="AH30:AH32" si="4">AH29-18</f>
        <v>-36.010000000000005</v>
      </c>
      <c r="AI30" s="265">
        <f t="shared" ref="AI30:AI32" si="5">AI29+-18</f>
        <v>-54</v>
      </c>
      <c r="AL30" s="1">
        <v>-36.010000000000005</v>
      </c>
      <c r="AM30" s="1">
        <v>-54</v>
      </c>
      <c r="AN30" s="1" t="str">
        <f t="shared" si="1"/>
        <v>-36.01 to -54</v>
      </c>
    </row>
    <row r="31" spans="1:40" x14ac:dyDescent="0.25">
      <c r="A31" s="289" t="s">
        <v>165</v>
      </c>
      <c r="B31" s="290" t="s">
        <v>893</v>
      </c>
      <c r="C31" s="291">
        <v>34</v>
      </c>
      <c r="D31" s="271" t="s">
        <v>878</v>
      </c>
      <c r="E31" s="305" t="s">
        <v>218</v>
      </c>
      <c r="F31" s="623" t="s">
        <v>1230</v>
      </c>
      <c r="G31" s="623">
        <v>-55.999000000000002</v>
      </c>
      <c r="H31" s="623">
        <v>12.802</v>
      </c>
      <c r="I31" s="623" t="s">
        <v>1204</v>
      </c>
      <c r="J31" s="174" t="str">
        <f t="shared" si="0"/>
        <v/>
      </c>
      <c r="K31" s="305">
        <v>9</v>
      </c>
      <c r="L31" s="293">
        <v>39810</v>
      </c>
      <c r="M31" s="284">
        <v>4.4000000000000004</v>
      </c>
      <c r="N31" s="283">
        <v>0</v>
      </c>
      <c r="O31" s="283">
        <v>0.49</v>
      </c>
      <c r="P31" s="283">
        <v>1.6</v>
      </c>
      <c r="Q31" s="283">
        <v>4.0999999999999996</v>
      </c>
      <c r="R31" s="283">
        <v>0</v>
      </c>
      <c r="S31" s="283">
        <v>4.0999999999999996</v>
      </c>
      <c r="T31" s="283">
        <v>14</v>
      </c>
      <c r="U31" s="283">
        <v>11</v>
      </c>
      <c r="V31" s="283">
        <v>1</v>
      </c>
      <c r="W31" s="283">
        <v>3.1</v>
      </c>
      <c r="X31" s="283">
        <v>10</v>
      </c>
      <c r="Y31" s="283"/>
      <c r="Z31" s="283"/>
      <c r="AA31" s="283"/>
      <c r="AB31" s="283"/>
      <c r="AC31" s="283"/>
      <c r="AD31" s="283"/>
      <c r="AE31" s="270"/>
      <c r="AG31" s="263">
        <v>9</v>
      </c>
      <c r="AH31" s="264">
        <f t="shared" si="4"/>
        <v>-54.010000000000005</v>
      </c>
      <c r="AI31" s="265">
        <f t="shared" si="5"/>
        <v>-72</v>
      </c>
      <c r="AL31" s="1">
        <v>-54.010000000000005</v>
      </c>
      <c r="AM31" s="1">
        <v>-72</v>
      </c>
      <c r="AN31" s="1" t="str">
        <f t="shared" si="1"/>
        <v>-54.01 to -72</v>
      </c>
    </row>
    <row r="32" spans="1:40" x14ac:dyDescent="0.25">
      <c r="A32" s="289" t="s">
        <v>165</v>
      </c>
      <c r="B32" s="290" t="s">
        <v>893</v>
      </c>
      <c r="C32" s="291">
        <v>35</v>
      </c>
      <c r="D32" s="271" t="s">
        <v>878</v>
      </c>
      <c r="E32" s="305" t="s">
        <v>219</v>
      </c>
      <c r="F32" s="623" t="s">
        <v>1214</v>
      </c>
      <c r="G32" s="623">
        <v>-60.67</v>
      </c>
      <c r="H32" s="623">
        <v>-0.28899999999999998</v>
      </c>
      <c r="I32" s="623" t="s">
        <v>1204</v>
      </c>
      <c r="J32" s="174" t="str">
        <f t="shared" si="0"/>
        <v/>
      </c>
      <c r="K32" s="305">
        <v>9</v>
      </c>
      <c r="L32" s="293">
        <v>39795</v>
      </c>
      <c r="M32" s="284">
        <v>4.4000000000000004</v>
      </c>
      <c r="N32" s="283">
        <v>0</v>
      </c>
      <c r="O32" s="283">
        <v>0.49</v>
      </c>
      <c r="P32" s="283">
        <v>1.6</v>
      </c>
      <c r="Q32" s="283">
        <v>4.0999999999999996</v>
      </c>
      <c r="R32" s="283">
        <v>0</v>
      </c>
      <c r="S32" s="283">
        <v>4.0999999999999996</v>
      </c>
      <c r="T32" s="283">
        <v>14</v>
      </c>
      <c r="U32" s="283">
        <v>30</v>
      </c>
      <c r="V32" s="283">
        <v>1</v>
      </c>
      <c r="W32" s="283">
        <v>3.1</v>
      </c>
      <c r="X32" s="283">
        <v>10</v>
      </c>
      <c r="Y32" s="283"/>
      <c r="Z32" s="283"/>
      <c r="AA32" s="283"/>
      <c r="AB32" s="283"/>
      <c r="AC32" s="283"/>
      <c r="AD32" s="283"/>
      <c r="AE32" s="270"/>
      <c r="AG32" s="266">
        <v>10</v>
      </c>
      <c r="AH32" s="267">
        <f t="shared" si="4"/>
        <v>-72.010000000000005</v>
      </c>
      <c r="AI32" s="268">
        <f t="shared" si="5"/>
        <v>-90</v>
      </c>
      <c r="AL32" s="1">
        <v>-72.010000000000005</v>
      </c>
      <c r="AM32" s="1">
        <v>-90</v>
      </c>
      <c r="AN32" s="1" t="str">
        <f t="shared" si="1"/>
        <v>-72.01 to -90</v>
      </c>
    </row>
    <row r="33" spans="1:33" x14ac:dyDescent="0.25">
      <c r="A33" s="289" t="s">
        <v>165</v>
      </c>
      <c r="B33" s="290" t="s">
        <v>893</v>
      </c>
      <c r="C33" s="291">
        <v>36</v>
      </c>
      <c r="D33" s="271" t="s">
        <v>878</v>
      </c>
      <c r="E33" s="305" t="s">
        <v>220</v>
      </c>
      <c r="F33" s="623" t="s">
        <v>1215</v>
      </c>
      <c r="G33" s="623">
        <v>-64.134</v>
      </c>
      <c r="H33" s="623">
        <v>-0.05</v>
      </c>
      <c r="I33" s="623" t="s">
        <v>1204</v>
      </c>
      <c r="J33" s="174" t="str">
        <f t="shared" si="0"/>
        <v/>
      </c>
      <c r="K33" s="305">
        <v>9</v>
      </c>
      <c r="L33" s="293">
        <v>39796</v>
      </c>
      <c r="M33" s="284">
        <v>4.4000000000000004</v>
      </c>
      <c r="N33" s="283">
        <v>0</v>
      </c>
      <c r="O33" s="283">
        <v>0.49</v>
      </c>
      <c r="P33" s="283">
        <v>1.6</v>
      </c>
      <c r="Q33" s="283">
        <v>4.0999999999999996</v>
      </c>
      <c r="R33" s="283">
        <v>0</v>
      </c>
      <c r="S33" s="283">
        <v>4.0999999999999996</v>
      </c>
      <c r="T33" s="283">
        <v>14</v>
      </c>
      <c r="U33" s="283">
        <v>36</v>
      </c>
      <c r="V33" s="283">
        <v>1</v>
      </c>
      <c r="W33" s="283">
        <v>3.1</v>
      </c>
      <c r="X33" s="283">
        <v>10</v>
      </c>
      <c r="Y33" s="283"/>
      <c r="Z33" s="283"/>
      <c r="AA33" s="283"/>
      <c r="AB33" s="283"/>
      <c r="AC33" s="283"/>
      <c r="AD33" s="283"/>
      <c r="AE33" s="270"/>
    </row>
    <row r="34" spans="1:33" x14ac:dyDescent="0.25">
      <c r="A34" s="289" t="s">
        <v>165</v>
      </c>
      <c r="B34" s="290" t="s">
        <v>893</v>
      </c>
      <c r="C34" s="291">
        <v>37</v>
      </c>
      <c r="D34" s="271" t="s">
        <v>878</v>
      </c>
      <c r="E34" s="305" t="s">
        <v>221</v>
      </c>
      <c r="F34" s="623" t="s">
        <v>1216</v>
      </c>
      <c r="G34" s="623">
        <v>-64.998999999999995</v>
      </c>
      <c r="H34" s="623">
        <v>-1.002</v>
      </c>
      <c r="I34" s="623" t="s">
        <v>1204</v>
      </c>
      <c r="J34" s="174" t="str">
        <f t="shared" si="0"/>
        <v/>
      </c>
      <c r="K34" s="305">
        <v>9</v>
      </c>
      <c r="L34" s="293">
        <v>39804</v>
      </c>
      <c r="M34" s="284">
        <v>4.4000000000000004</v>
      </c>
      <c r="N34" s="283">
        <v>0</v>
      </c>
      <c r="O34" s="283">
        <v>0.49</v>
      </c>
      <c r="P34" s="283">
        <v>1.6</v>
      </c>
      <c r="Q34" s="283">
        <v>4.0999999999999996</v>
      </c>
      <c r="R34" s="283">
        <v>0</v>
      </c>
      <c r="S34" s="283">
        <v>4.0999999999999996</v>
      </c>
      <c r="T34" s="283">
        <v>14</v>
      </c>
      <c r="U34" s="283">
        <v>30</v>
      </c>
      <c r="V34" s="283">
        <v>1</v>
      </c>
      <c r="W34" s="283">
        <v>3.1</v>
      </c>
      <c r="X34" s="283">
        <v>10</v>
      </c>
      <c r="Y34" s="283"/>
      <c r="Z34" s="283"/>
      <c r="AA34" s="283"/>
      <c r="AB34" s="283"/>
      <c r="AC34" s="283"/>
      <c r="AD34" s="283"/>
      <c r="AE34" s="270"/>
    </row>
    <row r="35" spans="1:33" x14ac:dyDescent="0.25">
      <c r="A35" s="289" t="s">
        <v>165</v>
      </c>
      <c r="B35" s="290" t="s">
        <v>893</v>
      </c>
      <c r="C35" s="291">
        <v>38</v>
      </c>
      <c r="D35" s="271" t="s">
        <v>878</v>
      </c>
      <c r="E35" s="305" t="s">
        <v>222</v>
      </c>
      <c r="F35" s="623" t="s">
        <v>1217</v>
      </c>
      <c r="G35" s="623">
        <v>-67.352999999999994</v>
      </c>
      <c r="H35" s="623">
        <v>-2.0510000000000002</v>
      </c>
      <c r="I35" s="623" t="s">
        <v>1204</v>
      </c>
      <c r="J35" s="174" t="str">
        <f t="shared" si="0"/>
        <v/>
      </c>
      <c r="K35" s="305">
        <v>9</v>
      </c>
      <c r="L35" s="293">
        <v>39797</v>
      </c>
      <c r="M35" s="284">
        <v>4.4000000000000004</v>
      </c>
      <c r="N35" s="283">
        <v>0</v>
      </c>
      <c r="O35" s="283">
        <v>0.49</v>
      </c>
      <c r="P35" s="283">
        <v>1.6</v>
      </c>
      <c r="Q35" s="283">
        <v>4.0999999999999996</v>
      </c>
      <c r="R35" s="283">
        <v>0</v>
      </c>
      <c r="S35" s="283">
        <v>4.0999999999999996</v>
      </c>
      <c r="T35" s="283">
        <v>14</v>
      </c>
      <c r="U35" s="283">
        <v>11</v>
      </c>
      <c r="V35" s="283">
        <v>1</v>
      </c>
      <c r="W35" s="283">
        <v>3.1</v>
      </c>
      <c r="X35" s="283">
        <v>10</v>
      </c>
      <c r="Y35" s="283"/>
      <c r="Z35" s="283"/>
      <c r="AA35" s="283"/>
      <c r="AB35" s="283"/>
      <c r="AC35" s="283"/>
      <c r="AD35" s="283"/>
      <c r="AE35" s="270"/>
    </row>
    <row r="36" spans="1:33" x14ac:dyDescent="0.25">
      <c r="A36" s="289" t="s">
        <v>165</v>
      </c>
      <c r="B36" s="290" t="s">
        <v>893</v>
      </c>
      <c r="C36" s="291">
        <v>39</v>
      </c>
      <c r="D36" s="271" t="s">
        <v>878</v>
      </c>
      <c r="E36" s="305" t="s">
        <v>223</v>
      </c>
      <c r="F36" s="623" t="s">
        <v>1218</v>
      </c>
      <c r="G36" s="623">
        <v>-69.14</v>
      </c>
      <c r="H36" s="623">
        <v>-5.077</v>
      </c>
      <c r="I36" s="623" t="s">
        <v>1204</v>
      </c>
      <c r="J36" s="174" t="str">
        <f t="shared" si="0"/>
        <v/>
      </c>
      <c r="K36" s="305">
        <v>9</v>
      </c>
      <c r="L36" s="293">
        <v>39798</v>
      </c>
      <c r="M36" s="284">
        <v>4.4000000000000004</v>
      </c>
      <c r="N36" s="283">
        <v>0</v>
      </c>
      <c r="O36" s="283">
        <v>0.49</v>
      </c>
      <c r="P36" s="283">
        <v>1.6</v>
      </c>
      <c r="Q36" s="283">
        <v>4.0999999999999996</v>
      </c>
      <c r="R36" s="283">
        <v>0</v>
      </c>
      <c r="S36" s="283">
        <v>4.0999999999999996</v>
      </c>
      <c r="T36" s="283">
        <v>14</v>
      </c>
      <c r="U36" s="283">
        <v>51</v>
      </c>
      <c r="V36" s="283">
        <v>1</v>
      </c>
      <c r="W36" s="283">
        <v>3.1</v>
      </c>
      <c r="X36" s="283">
        <v>10</v>
      </c>
      <c r="Y36" s="283"/>
      <c r="Z36" s="283"/>
      <c r="AA36" s="283"/>
      <c r="AB36" s="283"/>
      <c r="AC36" s="283"/>
      <c r="AD36" s="283"/>
      <c r="AE36" s="270"/>
    </row>
    <row r="37" spans="1:33" x14ac:dyDescent="0.25">
      <c r="A37" s="280" t="s">
        <v>74</v>
      </c>
      <c r="B37" s="281" t="s">
        <v>713</v>
      </c>
      <c r="C37" s="282" t="s">
        <v>78</v>
      </c>
      <c r="D37" s="173" t="s">
        <v>877</v>
      </c>
      <c r="E37" s="304" t="s">
        <v>297</v>
      </c>
      <c r="F37" s="283" t="s">
        <v>330</v>
      </c>
      <c r="G37" s="283">
        <v>47.526000000000003</v>
      </c>
      <c r="H37" s="283">
        <v>-52.024000000000001</v>
      </c>
      <c r="I37" s="292" t="s">
        <v>1201</v>
      </c>
      <c r="J37" s="174" t="str">
        <f t="shared" si="0"/>
        <v>yes</v>
      </c>
      <c r="K37" s="304">
        <v>3</v>
      </c>
      <c r="L37" s="273">
        <v>39198</v>
      </c>
      <c r="M37" s="284">
        <v>1.6</v>
      </c>
      <c r="N37" s="283">
        <v>0</v>
      </c>
      <c r="O37" s="283">
        <v>0.49</v>
      </c>
      <c r="P37" s="283">
        <v>1.6</v>
      </c>
      <c r="Q37" s="283"/>
      <c r="R37" s="283"/>
      <c r="S37" s="283">
        <v>4.0999999999999996</v>
      </c>
      <c r="T37" s="283">
        <v>14</v>
      </c>
      <c r="U37" s="283">
        <v>10</v>
      </c>
      <c r="V37" s="283">
        <v>0</v>
      </c>
      <c r="W37" s="283">
        <v>3.1</v>
      </c>
      <c r="X37" s="283">
        <v>10</v>
      </c>
      <c r="Y37" s="283"/>
      <c r="Z37" s="283"/>
      <c r="AA37" s="270"/>
      <c r="AB37" s="270"/>
      <c r="AC37" s="270"/>
      <c r="AD37" s="270"/>
      <c r="AE37" s="270"/>
    </row>
    <row r="38" spans="1:33" x14ac:dyDescent="0.25">
      <c r="A38" s="280" t="s">
        <v>74</v>
      </c>
      <c r="B38" s="281" t="s">
        <v>713</v>
      </c>
      <c r="C38" s="282" t="s">
        <v>79</v>
      </c>
      <c r="D38" s="173" t="s">
        <v>877</v>
      </c>
      <c r="E38" s="304" t="s">
        <v>298</v>
      </c>
      <c r="F38" s="283" t="s">
        <v>331</v>
      </c>
      <c r="G38" s="283">
        <v>44.311999999999998</v>
      </c>
      <c r="H38" s="283">
        <v>-50.095999999999997</v>
      </c>
      <c r="I38" s="292" t="s">
        <v>1201</v>
      </c>
      <c r="J38" s="174" t="str">
        <f t="shared" si="0"/>
        <v/>
      </c>
      <c r="K38" s="304">
        <v>3</v>
      </c>
      <c r="L38" s="273">
        <v>39197</v>
      </c>
      <c r="M38" s="284">
        <v>1.6</v>
      </c>
      <c r="N38" s="283">
        <v>0</v>
      </c>
      <c r="O38" s="283">
        <v>0.49</v>
      </c>
      <c r="P38" s="283">
        <v>1.6</v>
      </c>
      <c r="Q38" s="283"/>
      <c r="R38" s="283"/>
      <c r="S38" s="283">
        <v>4.0999999999999996</v>
      </c>
      <c r="T38" s="283">
        <v>14</v>
      </c>
      <c r="U38" s="283">
        <v>51</v>
      </c>
      <c r="V38" s="283">
        <v>1</v>
      </c>
      <c r="W38" s="283">
        <v>3.1</v>
      </c>
      <c r="X38" s="283">
        <v>10</v>
      </c>
      <c r="Y38" s="283"/>
      <c r="Z38" s="283"/>
      <c r="AA38" s="270"/>
      <c r="AB38" s="270"/>
      <c r="AC38" s="270"/>
      <c r="AD38" s="270"/>
      <c r="AE38" s="270"/>
      <c r="AF38" s="1" t="s">
        <v>2006</v>
      </c>
      <c r="AG38" s="1">
        <f>IF(AG40&gt;$AH$23,$AG$23,IF(AG40&gt;$AH$24,$AG$24,IF(AG40&gt;$AH$25,$AG$25,IF(AG40&gt;$AH$26,$AG$26,IF(AG40&gt;$AH$27,$AG$27,IF(AG40&gt;$AH$29,$AG$28,IF(AG40&gt;$AH$30,$AG$29,IF(AG40&gt;$AH$31,$AG$30,IF(AG40&gt;$AH$32,$AG$31,$AG$32)))))))))</f>
        <v>3</v>
      </c>
    </row>
    <row r="39" spans="1:33" x14ac:dyDescent="0.25">
      <c r="A39" s="280" t="s">
        <v>74</v>
      </c>
      <c r="B39" s="281" t="s">
        <v>713</v>
      </c>
      <c r="C39" s="282" t="s">
        <v>80</v>
      </c>
      <c r="D39" s="173" t="s">
        <v>877</v>
      </c>
      <c r="E39" s="304" t="s">
        <v>299</v>
      </c>
      <c r="F39" s="283" t="s">
        <v>332</v>
      </c>
      <c r="G39" s="283">
        <v>47.101999999999997</v>
      </c>
      <c r="H39" s="283">
        <v>-44.962000000000003</v>
      </c>
      <c r="I39" s="292" t="s">
        <v>1201</v>
      </c>
      <c r="J39" s="174" t="str">
        <f t="shared" si="0"/>
        <v>yes</v>
      </c>
      <c r="K39" s="304">
        <v>3</v>
      </c>
      <c r="L39" s="273">
        <v>39199</v>
      </c>
      <c r="M39" s="284">
        <v>1.6</v>
      </c>
      <c r="N39" s="283">
        <v>0</v>
      </c>
      <c r="O39" s="283">
        <v>0.49</v>
      </c>
      <c r="P39" s="283">
        <v>1.6</v>
      </c>
      <c r="Q39" s="283"/>
      <c r="R39" s="283"/>
      <c r="S39" s="283">
        <v>4.0999999999999996</v>
      </c>
      <c r="T39" s="283">
        <v>14</v>
      </c>
      <c r="U39" s="283">
        <v>10</v>
      </c>
      <c r="V39" s="283">
        <v>0</v>
      </c>
      <c r="W39" s="283">
        <v>3.1</v>
      </c>
      <c r="X39" s="283">
        <v>10</v>
      </c>
      <c r="Y39" s="283"/>
      <c r="Z39" s="283"/>
      <c r="AA39" s="270"/>
      <c r="AB39" s="270"/>
      <c r="AC39" s="270"/>
      <c r="AD39" s="270"/>
      <c r="AE39" s="270"/>
    </row>
    <row r="40" spans="1:33" x14ac:dyDescent="0.25">
      <c r="A40" s="280" t="s">
        <v>74</v>
      </c>
      <c r="B40" s="281" t="s">
        <v>713</v>
      </c>
      <c r="C40" s="282" t="s">
        <v>81</v>
      </c>
      <c r="D40" s="173" t="s">
        <v>877</v>
      </c>
      <c r="E40" s="304" t="s">
        <v>300</v>
      </c>
      <c r="F40" s="283" t="s">
        <v>333</v>
      </c>
      <c r="G40" s="283">
        <v>47.027999999999999</v>
      </c>
      <c r="H40" s="283">
        <v>-43.16</v>
      </c>
      <c r="I40" s="292" t="s">
        <v>1201</v>
      </c>
      <c r="J40" s="174" t="str">
        <f t="shared" si="0"/>
        <v>yes</v>
      </c>
      <c r="K40" s="304">
        <v>3</v>
      </c>
      <c r="L40" s="273">
        <v>39200</v>
      </c>
      <c r="M40" s="284">
        <v>1.6</v>
      </c>
      <c r="N40" s="283">
        <v>0</v>
      </c>
      <c r="O40" s="283">
        <v>0.49</v>
      </c>
      <c r="P40" s="283">
        <v>1.6</v>
      </c>
      <c r="Q40" s="283"/>
      <c r="R40" s="283"/>
      <c r="S40" s="283">
        <v>4.0999999999999996</v>
      </c>
      <c r="T40" s="283">
        <v>14</v>
      </c>
      <c r="U40" s="283">
        <v>10</v>
      </c>
      <c r="V40" s="283">
        <v>0</v>
      </c>
      <c r="W40" s="283">
        <v>3.1</v>
      </c>
      <c r="X40" s="283">
        <v>10</v>
      </c>
      <c r="Y40" s="283"/>
      <c r="Z40" s="283"/>
      <c r="AA40" s="270"/>
      <c r="AB40" s="270"/>
      <c r="AC40" s="270"/>
      <c r="AD40" s="270"/>
      <c r="AE40" s="270"/>
      <c r="AF40" s="1" t="s">
        <v>2008</v>
      </c>
      <c r="AG40" s="1">
        <v>53</v>
      </c>
    </row>
    <row r="41" spans="1:33" x14ac:dyDescent="0.25">
      <c r="A41" s="280" t="s">
        <v>74</v>
      </c>
      <c r="B41" s="281" t="s">
        <v>713</v>
      </c>
      <c r="C41" s="282" t="s">
        <v>82</v>
      </c>
      <c r="D41" s="173" t="s">
        <v>877</v>
      </c>
      <c r="E41" s="304" t="s">
        <v>301</v>
      </c>
      <c r="F41" s="283" t="s">
        <v>334</v>
      </c>
      <c r="G41" s="283">
        <v>46.997999999999998</v>
      </c>
      <c r="H41" s="283">
        <v>-42.911000000000001</v>
      </c>
      <c r="I41" s="292" t="s">
        <v>1201</v>
      </c>
      <c r="J41" s="174" t="str">
        <f t="shared" si="0"/>
        <v>yes</v>
      </c>
      <c r="K41" s="304">
        <v>3</v>
      </c>
      <c r="L41" s="273">
        <v>39201</v>
      </c>
      <c r="M41" s="284">
        <v>1.6</v>
      </c>
      <c r="N41" s="283">
        <v>0</v>
      </c>
      <c r="O41" s="283">
        <v>0.49</v>
      </c>
      <c r="P41" s="283">
        <v>1.6</v>
      </c>
      <c r="Q41" s="283"/>
      <c r="R41" s="283"/>
      <c r="S41" s="283">
        <v>4.0999999999999996</v>
      </c>
      <c r="T41" s="283">
        <v>14</v>
      </c>
      <c r="U41" s="283">
        <v>10</v>
      </c>
      <c r="V41" s="283">
        <v>0</v>
      </c>
      <c r="W41" s="283">
        <v>3.1</v>
      </c>
      <c r="X41" s="283">
        <v>10</v>
      </c>
      <c r="Y41" s="283"/>
      <c r="Z41" s="283"/>
      <c r="AA41" s="270"/>
      <c r="AB41" s="270"/>
      <c r="AC41" s="270"/>
      <c r="AD41" s="270"/>
      <c r="AE41" s="270"/>
    </row>
    <row r="42" spans="1:33" x14ac:dyDescent="0.25">
      <c r="A42" s="280" t="s">
        <v>74</v>
      </c>
      <c r="B42" s="281" t="s">
        <v>713</v>
      </c>
      <c r="C42" s="282" t="s">
        <v>83</v>
      </c>
      <c r="D42" s="173" t="s">
        <v>877</v>
      </c>
      <c r="E42" s="304" t="s">
        <v>302</v>
      </c>
      <c r="F42" s="283" t="s">
        <v>335</v>
      </c>
      <c r="G42" s="283">
        <v>46.975000000000001</v>
      </c>
      <c r="H42" s="283">
        <v>-41.033000000000001</v>
      </c>
      <c r="I42" s="292" t="s">
        <v>1201</v>
      </c>
      <c r="J42" s="174" t="str">
        <f t="shared" si="0"/>
        <v>yes</v>
      </c>
      <c r="K42" s="304">
        <v>3</v>
      </c>
      <c r="L42" s="273">
        <v>39202</v>
      </c>
      <c r="M42" s="284">
        <v>1.6</v>
      </c>
      <c r="N42" s="283">
        <v>0</v>
      </c>
      <c r="O42" s="283">
        <v>0.49</v>
      </c>
      <c r="P42" s="283">
        <v>1.6</v>
      </c>
      <c r="Q42" s="283"/>
      <c r="R42" s="283"/>
      <c r="S42" s="283">
        <v>4.0999999999999996</v>
      </c>
      <c r="T42" s="283">
        <v>14</v>
      </c>
      <c r="U42" s="283">
        <v>10</v>
      </c>
      <c r="V42" s="283">
        <v>0</v>
      </c>
      <c r="W42" s="283">
        <v>3.1</v>
      </c>
      <c r="X42" s="283">
        <v>10</v>
      </c>
      <c r="Y42" s="283"/>
      <c r="Z42" s="283"/>
      <c r="AA42" s="270"/>
      <c r="AB42" s="270"/>
      <c r="AC42" s="270"/>
      <c r="AD42" s="270"/>
      <c r="AE42" s="270"/>
    </row>
    <row r="43" spans="1:33" x14ac:dyDescent="0.25">
      <c r="A43" s="280" t="s">
        <v>74</v>
      </c>
      <c r="B43" s="281" t="s">
        <v>713</v>
      </c>
      <c r="C43" s="282" t="s">
        <v>84</v>
      </c>
      <c r="D43" s="173" t="s">
        <v>877</v>
      </c>
      <c r="E43" s="304" t="s">
        <v>303</v>
      </c>
      <c r="F43" s="283" t="s">
        <v>336</v>
      </c>
      <c r="G43" s="283">
        <v>42.7</v>
      </c>
      <c r="H43" s="283">
        <v>-47.5</v>
      </c>
      <c r="I43" s="292" t="s">
        <v>1201</v>
      </c>
      <c r="J43" s="174" t="str">
        <f t="shared" si="0"/>
        <v>yes</v>
      </c>
      <c r="K43" s="304">
        <v>3</v>
      </c>
      <c r="L43" s="273">
        <v>39196</v>
      </c>
      <c r="M43" s="284">
        <v>1.6</v>
      </c>
      <c r="N43" s="283">
        <v>0</v>
      </c>
      <c r="O43" s="283">
        <v>0.49</v>
      </c>
      <c r="P43" s="283">
        <v>1.6</v>
      </c>
      <c r="Q43" s="283"/>
      <c r="R43" s="283"/>
      <c r="S43" s="283">
        <v>4.0999999999999996</v>
      </c>
      <c r="T43" s="283">
        <v>14</v>
      </c>
      <c r="U43" s="283">
        <v>10</v>
      </c>
      <c r="V43" s="283">
        <v>0</v>
      </c>
      <c r="W43" s="283">
        <v>3.1</v>
      </c>
      <c r="X43" s="283">
        <v>10</v>
      </c>
      <c r="Y43" s="283"/>
      <c r="Z43" s="283"/>
      <c r="AA43" s="270"/>
      <c r="AB43" s="270"/>
      <c r="AC43" s="270"/>
      <c r="AD43" s="270"/>
      <c r="AE43" s="270"/>
    </row>
    <row r="44" spans="1:33" x14ac:dyDescent="0.25">
      <c r="A44" s="280" t="s">
        <v>74</v>
      </c>
      <c r="B44" s="281" t="s">
        <v>713</v>
      </c>
      <c r="C44" s="282" t="s">
        <v>85</v>
      </c>
      <c r="D44" s="173" t="s">
        <v>877</v>
      </c>
      <c r="E44" s="304" t="s">
        <v>304</v>
      </c>
      <c r="F44" s="283" t="s">
        <v>337</v>
      </c>
      <c r="G44" s="283">
        <v>42.109000000000002</v>
      </c>
      <c r="H44" s="283">
        <v>-45.198999999999998</v>
      </c>
      <c r="I44" s="292" t="s">
        <v>1201</v>
      </c>
      <c r="J44" s="174" t="str">
        <f t="shared" si="0"/>
        <v>yes</v>
      </c>
      <c r="K44" s="304">
        <v>3</v>
      </c>
      <c r="L44" s="273">
        <v>39195</v>
      </c>
      <c r="M44" s="284">
        <v>1.6</v>
      </c>
      <c r="N44" s="283">
        <v>0</v>
      </c>
      <c r="O44" s="283">
        <v>0.49</v>
      </c>
      <c r="P44" s="283">
        <v>1.6</v>
      </c>
      <c r="Q44" s="283"/>
      <c r="R44" s="283"/>
      <c r="S44" s="283">
        <v>4.0999999999999996</v>
      </c>
      <c r="T44" s="283">
        <v>14</v>
      </c>
      <c r="U44" s="283">
        <v>10</v>
      </c>
      <c r="V44" s="283">
        <v>0</v>
      </c>
      <c r="W44" s="283">
        <v>3.1</v>
      </c>
      <c r="X44" s="283">
        <v>10</v>
      </c>
      <c r="Y44" s="283"/>
      <c r="Z44" s="283"/>
      <c r="AA44" s="270"/>
      <c r="AB44" s="270"/>
      <c r="AC44" s="270"/>
      <c r="AD44" s="270"/>
      <c r="AE44" s="270"/>
    </row>
    <row r="45" spans="1:33" x14ac:dyDescent="0.25">
      <c r="A45" s="280" t="s">
        <v>74</v>
      </c>
      <c r="B45" s="281" t="s">
        <v>713</v>
      </c>
      <c r="C45" s="282" t="s">
        <v>86</v>
      </c>
      <c r="D45" s="173" t="s">
        <v>877</v>
      </c>
      <c r="E45" s="304" t="s">
        <v>305</v>
      </c>
      <c r="F45" s="283" t="s">
        <v>338</v>
      </c>
      <c r="G45" s="283">
        <v>42.793999999999997</v>
      </c>
      <c r="H45" s="283">
        <v>-42.326999999999998</v>
      </c>
      <c r="I45" s="292" t="s">
        <v>1201</v>
      </c>
      <c r="J45" s="174" t="str">
        <f t="shared" si="0"/>
        <v>yes</v>
      </c>
      <c r="K45" s="304">
        <v>3</v>
      </c>
      <c r="L45" s="273">
        <v>39194</v>
      </c>
      <c r="M45" s="284">
        <v>1.6</v>
      </c>
      <c r="N45" s="283">
        <v>0</v>
      </c>
      <c r="O45" s="283">
        <v>0.49</v>
      </c>
      <c r="P45" s="283">
        <v>1.6</v>
      </c>
      <c r="Q45" s="283"/>
      <c r="R45" s="283"/>
      <c r="S45" s="283">
        <v>4.0999999999999996</v>
      </c>
      <c r="T45" s="283">
        <v>14</v>
      </c>
      <c r="U45" s="283">
        <v>10</v>
      </c>
      <c r="V45" s="283">
        <v>0</v>
      </c>
      <c r="W45" s="283">
        <v>3.1</v>
      </c>
      <c r="X45" s="283">
        <v>10</v>
      </c>
      <c r="Y45" s="283"/>
      <c r="Z45" s="283"/>
      <c r="AA45" s="270"/>
      <c r="AB45" s="270"/>
      <c r="AC45" s="270"/>
      <c r="AD45" s="270"/>
      <c r="AE45" s="270"/>
    </row>
    <row r="46" spans="1:33" x14ac:dyDescent="0.25">
      <c r="A46" s="280" t="s">
        <v>74</v>
      </c>
      <c r="B46" s="281" t="s">
        <v>713</v>
      </c>
      <c r="C46" s="282" t="s">
        <v>87</v>
      </c>
      <c r="D46" s="173" t="s">
        <v>877</v>
      </c>
      <c r="E46" s="304" t="s">
        <v>306</v>
      </c>
      <c r="F46" s="283" t="s">
        <v>339</v>
      </c>
      <c r="G46" s="283">
        <v>43.832999999999998</v>
      </c>
      <c r="H46" s="283">
        <v>-38.631</v>
      </c>
      <c r="I46" s="292" t="s">
        <v>1201</v>
      </c>
      <c r="J46" s="174" t="str">
        <f t="shared" si="0"/>
        <v/>
      </c>
      <c r="K46" s="304">
        <v>3</v>
      </c>
      <c r="L46" s="273">
        <v>39193</v>
      </c>
      <c r="M46" s="284">
        <v>1.6</v>
      </c>
      <c r="N46" s="283">
        <v>0</v>
      </c>
      <c r="O46" s="283">
        <v>0.49</v>
      </c>
      <c r="P46" s="283">
        <v>1.6</v>
      </c>
      <c r="Q46" s="283"/>
      <c r="R46" s="283"/>
      <c r="S46" s="283">
        <v>4.0999999999999996</v>
      </c>
      <c r="T46" s="283">
        <v>14</v>
      </c>
      <c r="U46" s="283">
        <v>69</v>
      </c>
      <c r="V46" s="283">
        <v>1</v>
      </c>
      <c r="W46" s="283">
        <v>3.1</v>
      </c>
      <c r="X46" s="283">
        <v>10</v>
      </c>
      <c r="Y46" s="283"/>
      <c r="Z46" s="283"/>
      <c r="AA46" s="270"/>
      <c r="AB46" s="270"/>
      <c r="AC46" s="270"/>
      <c r="AD46" s="270"/>
      <c r="AE46" s="270"/>
    </row>
    <row r="47" spans="1:33" x14ac:dyDescent="0.25">
      <c r="A47" s="280" t="s">
        <v>74</v>
      </c>
      <c r="B47" s="281" t="s">
        <v>713</v>
      </c>
      <c r="C47" s="282" t="s">
        <v>88</v>
      </c>
      <c r="D47" s="173" t="s">
        <v>877</v>
      </c>
      <c r="E47" s="304" t="s">
        <v>307</v>
      </c>
      <c r="F47" s="283" t="s">
        <v>340</v>
      </c>
      <c r="G47" s="283">
        <v>44.857999999999997</v>
      </c>
      <c r="H47" s="283">
        <v>-34.99</v>
      </c>
      <c r="I47" s="292" t="s">
        <v>1201</v>
      </c>
      <c r="J47" s="174" t="str">
        <f t="shared" si="0"/>
        <v>yes</v>
      </c>
      <c r="K47" s="304">
        <v>3</v>
      </c>
      <c r="L47" s="273">
        <v>39192</v>
      </c>
      <c r="M47" s="284">
        <v>1.6</v>
      </c>
      <c r="N47" s="283">
        <v>0</v>
      </c>
      <c r="O47" s="283">
        <v>0.49</v>
      </c>
      <c r="P47" s="283">
        <v>1.6</v>
      </c>
      <c r="Q47" s="283"/>
      <c r="R47" s="283"/>
      <c r="S47" s="283">
        <v>4.0999999999999996</v>
      </c>
      <c r="T47" s="283">
        <v>14</v>
      </c>
      <c r="U47" s="283">
        <v>10</v>
      </c>
      <c r="V47" s="283">
        <v>0</v>
      </c>
      <c r="W47" s="283">
        <v>3.1</v>
      </c>
      <c r="X47" s="283">
        <v>10</v>
      </c>
      <c r="Y47" s="283"/>
      <c r="Z47" s="283"/>
      <c r="AA47" s="270"/>
      <c r="AB47" s="270"/>
      <c r="AC47" s="270"/>
      <c r="AD47" s="270"/>
      <c r="AE47" s="270"/>
    </row>
    <row r="48" spans="1:33" x14ac:dyDescent="0.25">
      <c r="A48" s="280" t="s">
        <v>74</v>
      </c>
      <c r="B48" s="281" t="s">
        <v>713</v>
      </c>
      <c r="C48" s="282" t="s">
        <v>89</v>
      </c>
      <c r="D48" s="173" t="s">
        <v>877</v>
      </c>
      <c r="E48" s="304" t="s">
        <v>308</v>
      </c>
      <c r="F48" s="283" t="s">
        <v>341</v>
      </c>
      <c r="G48" s="283">
        <v>46.984000000000002</v>
      </c>
      <c r="H48" s="283">
        <v>-31.940999999999999</v>
      </c>
      <c r="I48" s="292" t="s">
        <v>1201</v>
      </c>
      <c r="J48" s="174" t="str">
        <f t="shared" si="0"/>
        <v>yes</v>
      </c>
      <c r="K48" s="304">
        <v>3</v>
      </c>
      <c r="L48" s="273">
        <v>39191</v>
      </c>
      <c r="M48" s="284">
        <v>1.6</v>
      </c>
      <c r="N48" s="283">
        <v>0</v>
      </c>
      <c r="O48" s="283">
        <v>0.49</v>
      </c>
      <c r="P48" s="283">
        <v>1.6</v>
      </c>
      <c r="Q48" s="283"/>
      <c r="R48" s="283"/>
      <c r="S48" s="283">
        <v>4.0999999999999996</v>
      </c>
      <c r="T48" s="283">
        <v>14</v>
      </c>
      <c r="U48" s="283">
        <v>10</v>
      </c>
      <c r="V48" s="283">
        <v>0</v>
      </c>
      <c r="W48" s="283">
        <v>3.1</v>
      </c>
      <c r="X48" s="283">
        <v>10</v>
      </c>
      <c r="Y48" s="283"/>
      <c r="Z48" s="283"/>
      <c r="AA48" s="270"/>
      <c r="AB48" s="270"/>
      <c r="AC48" s="270"/>
      <c r="AD48" s="270"/>
      <c r="AE48" s="270"/>
    </row>
    <row r="49" spans="1:31" x14ac:dyDescent="0.25">
      <c r="A49" s="280" t="s">
        <v>74</v>
      </c>
      <c r="B49" s="281" t="s">
        <v>713</v>
      </c>
      <c r="C49" s="282" t="s">
        <v>90</v>
      </c>
      <c r="D49" s="173" t="s">
        <v>877</v>
      </c>
      <c r="E49" s="304" t="s">
        <v>309</v>
      </c>
      <c r="F49" s="283" t="s">
        <v>342</v>
      </c>
      <c r="G49" s="283">
        <v>46.765999999999998</v>
      </c>
      <c r="H49" s="283">
        <v>-30.545999999999999</v>
      </c>
      <c r="I49" s="292" t="s">
        <v>1201</v>
      </c>
      <c r="J49" s="174" t="str">
        <f t="shared" si="0"/>
        <v>yes</v>
      </c>
      <c r="K49" s="304">
        <v>3</v>
      </c>
      <c r="L49" s="273">
        <v>39190</v>
      </c>
      <c r="M49" s="284">
        <v>1.6</v>
      </c>
      <c r="N49" s="283">
        <v>0</v>
      </c>
      <c r="O49" s="283">
        <v>0.49</v>
      </c>
      <c r="P49" s="283">
        <v>1.6</v>
      </c>
      <c r="Q49" s="283"/>
      <c r="R49" s="283"/>
      <c r="S49" s="283">
        <v>4.0999999999999996</v>
      </c>
      <c r="T49" s="283">
        <v>14</v>
      </c>
      <c r="U49" s="283">
        <v>10</v>
      </c>
      <c r="V49" s="283">
        <v>0</v>
      </c>
      <c r="W49" s="283">
        <v>3.1</v>
      </c>
      <c r="X49" s="283">
        <v>10</v>
      </c>
      <c r="Y49" s="283"/>
      <c r="Z49" s="283"/>
      <c r="AA49" s="270"/>
      <c r="AB49" s="270"/>
      <c r="AC49" s="270"/>
      <c r="AD49" s="270"/>
      <c r="AE49" s="270"/>
    </row>
    <row r="50" spans="1:31" x14ac:dyDescent="0.25">
      <c r="A50" s="280" t="s">
        <v>74</v>
      </c>
      <c r="B50" s="281" t="s">
        <v>713</v>
      </c>
      <c r="C50" s="282" t="s">
        <v>91</v>
      </c>
      <c r="D50" s="173" t="s">
        <v>877</v>
      </c>
      <c r="E50" s="304" t="s">
        <v>310</v>
      </c>
      <c r="F50" s="283" t="s">
        <v>343</v>
      </c>
      <c r="G50" s="283">
        <v>42.692</v>
      </c>
      <c r="H50" s="283">
        <v>-27.827000000000002</v>
      </c>
      <c r="I50" s="292" t="s">
        <v>1201</v>
      </c>
      <c r="J50" s="174" t="str">
        <f t="shared" si="0"/>
        <v>yes</v>
      </c>
      <c r="K50" s="304">
        <v>3</v>
      </c>
      <c r="L50" s="273">
        <v>39189</v>
      </c>
      <c r="M50" s="284">
        <v>1.6</v>
      </c>
      <c r="N50" s="283">
        <v>0</v>
      </c>
      <c r="O50" s="283">
        <v>0.49</v>
      </c>
      <c r="P50" s="283">
        <v>1.6</v>
      </c>
      <c r="Q50" s="283"/>
      <c r="R50" s="283"/>
      <c r="S50" s="283">
        <v>4.0999999999999996</v>
      </c>
      <c r="T50" s="283">
        <v>14</v>
      </c>
      <c r="U50" s="283">
        <v>10</v>
      </c>
      <c r="V50" s="283">
        <v>0</v>
      </c>
      <c r="W50" s="283">
        <v>3.1</v>
      </c>
      <c r="X50" s="283">
        <v>10</v>
      </c>
      <c r="Y50" s="283"/>
      <c r="Z50" s="283"/>
      <c r="AA50" s="270"/>
      <c r="AB50" s="270"/>
      <c r="AC50" s="270"/>
      <c r="AD50" s="270"/>
      <c r="AE50" s="270"/>
    </row>
    <row r="51" spans="1:31" x14ac:dyDescent="0.25">
      <c r="A51" s="280" t="s">
        <v>74</v>
      </c>
      <c r="B51" s="281" t="s">
        <v>713</v>
      </c>
      <c r="C51" s="282" t="s">
        <v>92</v>
      </c>
      <c r="D51" s="173" t="s">
        <v>877</v>
      </c>
      <c r="E51" s="304" t="s">
        <v>311</v>
      </c>
      <c r="F51" s="283" t="s">
        <v>344</v>
      </c>
      <c r="G51" s="283">
        <v>41.542000000000002</v>
      </c>
      <c r="H51" s="283">
        <v>-27.094000000000001</v>
      </c>
      <c r="I51" s="292" t="s">
        <v>1201</v>
      </c>
      <c r="J51" s="174" t="str">
        <f t="shared" si="0"/>
        <v>yes</v>
      </c>
      <c r="K51" s="304">
        <v>3</v>
      </c>
      <c r="L51" s="273">
        <v>39189</v>
      </c>
      <c r="M51" s="284">
        <v>1.6</v>
      </c>
      <c r="N51" s="283">
        <v>0</v>
      </c>
      <c r="O51" s="283">
        <v>0.49</v>
      </c>
      <c r="P51" s="283">
        <v>1.6</v>
      </c>
      <c r="Q51" s="283"/>
      <c r="R51" s="283"/>
      <c r="S51" s="283">
        <v>4.0999999999999996</v>
      </c>
      <c r="T51" s="283">
        <v>14</v>
      </c>
      <c r="U51" s="283">
        <v>10</v>
      </c>
      <c r="V51" s="283">
        <v>0</v>
      </c>
      <c r="W51" s="283">
        <v>3.1</v>
      </c>
      <c r="X51" s="283">
        <v>10</v>
      </c>
      <c r="Y51" s="283"/>
      <c r="Z51" s="283"/>
      <c r="AA51" s="270"/>
      <c r="AB51" s="270"/>
      <c r="AC51" s="270"/>
      <c r="AD51" s="270"/>
      <c r="AE51" s="270"/>
    </row>
    <row r="52" spans="1:31" x14ac:dyDescent="0.25">
      <c r="A52" s="280" t="s">
        <v>74</v>
      </c>
      <c r="B52" s="281" t="s">
        <v>713</v>
      </c>
      <c r="C52" s="282" t="s">
        <v>93</v>
      </c>
      <c r="D52" s="173" t="s">
        <v>877</v>
      </c>
      <c r="E52" s="304" t="s">
        <v>312</v>
      </c>
      <c r="F52" s="283" t="s">
        <v>345</v>
      </c>
      <c r="G52" s="283">
        <v>37.707999999999998</v>
      </c>
      <c r="H52" s="283">
        <v>-24.648</v>
      </c>
      <c r="I52" s="292" t="s">
        <v>1201</v>
      </c>
      <c r="J52" s="174" t="str">
        <f t="shared" si="0"/>
        <v>yes</v>
      </c>
      <c r="K52" s="304">
        <v>3</v>
      </c>
      <c r="L52" s="273">
        <v>39188</v>
      </c>
      <c r="M52" s="284">
        <v>1.6</v>
      </c>
      <c r="N52" s="283">
        <v>0</v>
      </c>
      <c r="O52" s="283">
        <v>0.49</v>
      </c>
      <c r="P52" s="283">
        <v>1.6</v>
      </c>
      <c r="Q52" s="283"/>
      <c r="R52" s="283"/>
      <c r="S52" s="283">
        <v>4.0999999999999996</v>
      </c>
      <c r="T52" s="283">
        <v>14</v>
      </c>
      <c r="U52" s="283">
        <v>10</v>
      </c>
      <c r="V52" s="283">
        <v>0</v>
      </c>
      <c r="W52" s="283">
        <v>3.1</v>
      </c>
      <c r="X52" s="283">
        <v>10</v>
      </c>
      <c r="Y52" s="283"/>
      <c r="Z52" s="283"/>
      <c r="AA52" s="270"/>
      <c r="AB52" s="270"/>
      <c r="AC52" s="270"/>
      <c r="AD52" s="270"/>
      <c r="AE52" s="270"/>
    </row>
    <row r="53" spans="1:31" x14ac:dyDescent="0.25">
      <c r="A53" s="280" t="s">
        <v>74</v>
      </c>
      <c r="B53" s="281" t="s">
        <v>713</v>
      </c>
      <c r="C53" s="282">
        <v>19</v>
      </c>
      <c r="D53" s="173" t="s">
        <v>877</v>
      </c>
      <c r="E53" s="304" t="s">
        <v>283</v>
      </c>
      <c r="F53" s="283" t="s">
        <v>316</v>
      </c>
      <c r="G53" s="283">
        <v>25.492999999999999</v>
      </c>
      <c r="H53" s="283">
        <v>-19.292999999999999</v>
      </c>
      <c r="I53" s="283" t="s">
        <v>1201</v>
      </c>
      <c r="J53" s="174" t="str">
        <f t="shared" si="0"/>
        <v>yes</v>
      </c>
      <c r="K53" s="304">
        <v>4</v>
      </c>
      <c r="L53" s="273">
        <v>39391</v>
      </c>
      <c r="M53" s="284">
        <v>20</v>
      </c>
      <c r="N53" s="283">
        <v>1</v>
      </c>
      <c r="O53" s="283">
        <v>0.49</v>
      </c>
      <c r="P53" s="283">
        <v>1.6</v>
      </c>
      <c r="Q53" s="283"/>
      <c r="R53" s="283"/>
      <c r="S53" s="283">
        <v>4.0999999999999996</v>
      </c>
      <c r="T53" s="283">
        <v>14</v>
      </c>
      <c r="U53" s="283">
        <v>10</v>
      </c>
      <c r="V53" s="283">
        <v>0</v>
      </c>
      <c r="W53" s="283">
        <v>3.1</v>
      </c>
      <c r="X53" s="283">
        <v>10</v>
      </c>
      <c r="Y53" s="283"/>
      <c r="Z53" s="302"/>
      <c r="AA53" s="283"/>
      <c r="AB53" s="283"/>
      <c r="AC53" s="283"/>
      <c r="AD53" s="283"/>
      <c r="AE53" s="270"/>
    </row>
    <row r="54" spans="1:31" x14ac:dyDescent="0.25">
      <c r="A54" s="280" t="s">
        <v>74</v>
      </c>
      <c r="B54" s="281" t="s">
        <v>713</v>
      </c>
      <c r="C54" s="282">
        <v>18</v>
      </c>
      <c r="D54" s="173" t="s">
        <v>877</v>
      </c>
      <c r="E54" s="304" t="s">
        <v>282</v>
      </c>
      <c r="F54" s="283" t="s">
        <v>315</v>
      </c>
      <c r="G54" s="283">
        <v>26.667000000000002</v>
      </c>
      <c r="H54" s="283">
        <v>-17.22</v>
      </c>
      <c r="I54" s="292" t="s">
        <v>1201</v>
      </c>
      <c r="J54" s="174" t="str">
        <f t="shared" si="0"/>
        <v>yes</v>
      </c>
      <c r="K54" s="304">
        <v>4</v>
      </c>
      <c r="L54" s="273">
        <v>39390</v>
      </c>
      <c r="M54" s="284">
        <v>1.6</v>
      </c>
      <c r="N54" s="283">
        <v>0</v>
      </c>
      <c r="O54" s="283">
        <v>0.49</v>
      </c>
      <c r="P54" s="283">
        <v>1.6</v>
      </c>
      <c r="Q54" s="283"/>
      <c r="R54" s="283"/>
      <c r="S54" s="283">
        <v>4.0999999999999996</v>
      </c>
      <c r="T54" s="283">
        <v>14</v>
      </c>
      <c r="U54" s="283">
        <v>10</v>
      </c>
      <c r="V54" s="283">
        <v>0</v>
      </c>
      <c r="W54" s="283">
        <v>3.1</v>
      </c>
      <c r="X54" s="283">
        <v>10</v>
      </c>
      <c r="Y54" s="283"/>
      <c r="Z54" s="283"/>
      <c r="AA54" s="283"/>
      <c r="AB54" s="283"/>
      <c r="AC54" s="283"/>
      <c r="AD54" s="283"/>
      <c r="AE54" s="270"/>
    </row>
    <row r="55" spans="1:31" x14ac:dyDescent="0.25">
      <c r="A55" s="280" t="s">
        <v>74</v>
      </c>
      <c r="B55" s="281" t="s">
        <v>713</v>
      </c>
      <c r="C55" s="282">
        <v>20</v>
      </c>
      <c r="D55" s="173" t="s">
        <v>877</v>
      </c>
      <c r="E55" s="304" t="s">
        <v>284</v>
      </c>
      <c r="F55" s="283" t="s">
        <v>317</v>
      </c>
      <c r="G55" s="283">
        <v>24.696000000000002</v>
      </c>
      <c r="H55" s="283">
        <v>-20.744</v>
      </c>
      <c r="I55" s="292" t="s">
        <v>1201</v>
      </c>
      <c r="J55" s="174" t="str">
        <f t="shared" si="0"/>
        <v>yes</v>
      </c>
      <c r="K55" s="304">
        <v>4</v>
      </c>
      <c r="L55" s="273">
        <v>39391</v>
      </c>
      <c r="M55" s="284">
        <v>1.6</v>
      </c>
      <c r="N55" s="283">
        <v>0</v>
      </c>
      <c r="O55" s="283">
        <v>0.49</v>
      </c>
      <c r="P55" s="283">
        <v>1.6</v>
      </c>
      <c r="Q55" s="283"/>
      <c r="R55" s="283"/>
      <c r="S55" s="283">
        <v>4.0999999999999996</v>
      </c>
      <c r="T55" s="283">
        <v>14</v>
      </c>
      <c r="U55" s="283">
        <v>10</v>
      </c>
      <c r="V55" s="283">
        <v>0</v>
      </c>
      <c r="W55" s="283">
        <v>3.1</v>
      </c>
      <c r="X55" s="283">
        <v>10</v>
      </c>
      <c r="Y55" s="283"/>
      <c r="Z55" s="283"/>
      <c r="AA55" s="283"/>
      <c r="AB55" s="283"/>
      <c r="AC55" s="283"/>
      <c r="AD55" s="283"/>
      <c r="AE55" s="270"/>
    </row>
    <row r="56" spans="1:31" x14ac:dyDescent="0.25">
      <c r="A56" s="280" t="s">
        <v>74</v>
      </c>
      <c r="B56" s="281" t="s">
        <v>713</v>
      </c>
      <c r="C56" s="282">
        <v>21</v>
      </c>
      <c r="D56" s="173" t="s">
        <v>877</v>
      </c>
      <c r="E56" s="304" t="s">
        <v>285</v>
      </c>
      <c r="F56" s="283" t="s">
        <v>318</v>
      </c>
      <c r="G56" s="283">
        <v>22.510999999999999</v>
      </c>
      <c r="H56" s="283">
        <v>-20.853000000000002</v>
      </c>
      <c r="I56" s="292" t="s">
        <v>1201</v>
      </c>
      <c r="J56" s="174" t="str">
        <f t="shared" si="0"/>
        <v>yes</v>
      </c>
      <c r="K56" s="304">
        <v>4</v>
      </c>
      <c r="L56" s="273">
        <v>39392</v>
      </c>
      <c r="M56" s="284">
        <v>1.6</v>
      </c>
      <c r="N56" s="283">
        <v>0</v>
      </c>
      <c r="O56" s="283">
        <v>0.49</v>
      </c>
      <c r="P56" s="283">
        <v>1.6</v>
      </c>
      <c r="Q56" s="283"/>
      <c r="R56" s="283"/>
      <c r="S56" s="283">
        <v>4.0999999999999996</v>
      </c>
      <c r="T56" s="283">
        <v>14</v>
      </c>
      <c r="U56" s="283">
        <v>10</v>
      </c>
      <c r="V56" s="283">
        <v>0</v>
      </c>
      <c r="W56" s="283">
        <v>3.1</v>
      </c>
      <c r="X56" s="283">
        <v>10</v>
      </c>
      <c r="Y56" s="283"/>
      <c r="Z56" s="283"/>
      <c r="AA56" s="283"/>
      <c r="AB56" s="283"/>
      <c r="AC56" s="283"/>
      <c r="AD56" s="283"/>
      <c r="AE56" s="270"/>
    </row>
    <row r="57" spans="1:31" x14ac:dyDescent="0.25">
      <c r="A57" s="280" t="s">
        <v>74</v>
      </c>
      <c r="B57" s="281" t="s">
        <v>713</v>
      </c>
      <c r="C57" s="282">
        <v>22</v>
      </c>
      <c r="D57" s="173" t="s">
        <v>877</v>
      </c>
      <c r="E57" s="304" t="s">
        <v>286</v>
      </c>
      <c r="F57" s="283" t="s">
        <v>319</v>
      </c>
      <c r="G57" s="283">
        <v>20.166</v>
      </c>
      <c r="H57" s="283">
        <v>-20.972999999999999</v>
      </c>
      <c r="I57" s="292" t="s">
        <v>1201</v>
      </c>
      <c r="J57" s="174" t="str">
        <f t="shared" si="0"/>
        <v>yes</v>
      </c>
      <c r="K57" s="304">
        <v>4</v>
      </c>
      <c r="L57" s="273">
        <v>39392</v>
      </c>
      <c r="M57" s="284">
        <v>1.6</v>
      </c>
      <c r="N57" s="283">
        <v>0</v>
      </c>
      <c r="O57" s="283">
        <v>0.49</v>
      </c>
      <c r="P57" s="283">
        <v>1.6</v>
      </c>
      <c r="Q57" s="283"/>
      <c r="R57" s="283"/>
      <c r="S57" s="283">
        <v>4.0999999999999996</v>
      </c>
      <c r="T57" s="283">
        <v>14</v>
      </c>
      <c r="U57" s="283">
        <v>10</v>
      </c>
      <c r="V57" s="283">
        <v>0</v>
      </c>
      <c r="W57" s="283">
        <v>3.1</v>
      </c>
      <c r="X57" s="283">
        <v>10</v>
      </c>
      <c r="Y57" s="283"/>
      <c r="Z57" s="283"/>
      <c r="AA57" s="283"/>
      <c r="AB57" s="283"/>
      <c r="AC57" s="283"/>
      <c r="AD57" s="283"/>
      <c r="AE57" s="270"/>
    </row>
    <row r="58" spans="1:31" x14ac:dyDescent="0.25">
      <c r="A58" s="280" t="s">
        <v>74</v>
      </c>
      <c r="B58" s="281" t="s">
        <v>713</v>
      </c>
      <c r="C58" s="282" t="s">
        <v>94</v>
      </c>
      <c r="D58" s="173" t="s">
        <v>877</v>
      </c>
      <c r="E58" s="304" t="s">
        <v>313</v>
      </c>
      <c r="F58" s="283" t="s">
        <v>346</v>
      </c>
      <c r="G58" s="283">
        <v>34.106999999999999</v>
      </c>
      <c r="H58" s="283">
        <v>-20.983000000000001</v>
      </c>
      <c r="I58" s="292" t="s">
        <v>1201</v>
      </c>
      <c r="J58" s="174" t="str">
        <f t="shared" si="0"/>
        <v>yes</v>
      </c>
      <c r="K58" s="304">
        <v>4</v>
      </c>
      <c r="L58" s="273">
        <v>39187</v>
      </c>
      <c r="M58" s="284">
        <v>1.6</v>
      </c>
      <c r="N58" s="283">
        <v>0</v>
      </c>
      <c r="O58" s="283">
        <v>0.49</v>
      </c>
      <c r="P58" s="283">
        <v>1.6</v>
      </c>
      <c r="Q58" s="283"/>
      <c r="R58" s="283"/>
      <c r="S58" s="283">
        <v>4.0999999999999996</v>
      </c>
      <c r="T58" s="283">
        <v>14</v>
      </c>
      <c r="U58" s="283">
        <v>10</v>
      </c>
      <c r="V58" s="283">
        <v>0</v>
      </c>
      <c r="W58" s="283">
        <v>3.1</v>
      </c>
      <c r="X58" s="283">
        <v>10</v>
      </c>
      <c r="Y58" s="283"/>
      <c r="Z58" s="283"/>
      <c r="AA58" s="270"/>
      <c r="AB58" s="270"/>
      <c r="AC58" s="270"/>
      <c r="AD58" s="270"/>
      <c r="AE58" s="270"/>
    </row>
    <row r="59" spans="1:31" x14ac:dyDescent="0.25">
      <c r="A59" s="280" t="s">
        <v>74</v>
      </c>
      <c r="B59" s="281" t="s">
        <v>713</v>
      </c>
      <c r="C59" s="282" t="s">
        <v>95</v>
      </c>
      <c r="D59" s="173" t="s">
        <v>877</v>
      </c>
      <c r="E59" s="304" t="s">
        <v>314</v>
      </c>
      <c r="F59" s="283" t="s">
        <v>347</v>
      </c>
      <c r="G59" s="283">
        <v>32.478000000000002</v>
      </c>
      <c r="H59" s="283">
        <v>-19.375</v>
      </c>
      <c r="I59" s="292" t="s">
        <v>1201</v>
      </c>
      <c r="J59" s="174" t="str">
        <f t="shared" si="0"/>
        <v/>
      </c>
      <c r="K59" s="304">
        <v>4</v>
      </c>
      <c r="L59" s="273">
        <v>39187</v>
      </c>
      <c r="M59" s="284">
        <v>1.6</v>
      </c>
      <c r="N59" s="283">
        <v>0</v>
      </c>
      <c r="O59" s="283">
        <v>0.49</v>
      </c>
      <c r="P59" s="283">
        <v>1.6</v>
      </c>
      <c r="Q59" s="283"/>
      <c r="R59" s="283"/>
      <c r="S59" s="283">
        <v>4.0999999999999996</v>
      </c>
      <c r="T59" s="283">
        <v>14</v>
      </c>
      <c r="U59" s="283">
        <v>54</v>
      </c>
      <c r="V59" s="283">
        <v>1</v>
      </c>
      <c r="W59" s="283">
        <v>3.1</v>
      </c>
      <c r="X59" s="283">
        <v>10</v>
      </c>
      <c r="Y59" s="283"/>
      <c r="Z59" s="283"/>
      <c r="AA59" s="270"/>
      <c r="AB59" s="270"/>
      <c r="AC59" s="270"/>
      <c r="AD59" s="270"/>
      <c r="AE59" s="270"/>
    </row>
    <row r="60" spans="1:31" x14ac:dyDescent="0.25">
      <c r="A60" s="280" t="s">
        <v>74</v>
      </c>
      <c r="B60" s="281" t="s">
        <v>713</v>
      </c>
      <c r="C60" s="282">
        <v>23</v>
      </c>
      <c r="D60" s="173" t="s">
        <v>877</v>
      </c>
      <c r="E60" s="304" t="s">
        <v>287</v>
      </c>
      <c r="F60" s="283" t="s">
        <v>320</v>
      </c>
      <c r="G60" s="283">
        <v>17.152000000000001</v>
      </c>
      <c r="H60" s="283">
        <v>-21.125</v>
      </c>
      <c r="I60" s="292" t="s">
        <v>1201</v>
      </c>
      <c r="J60" s="174" t="str">
        <f t="shared" si="0"/>
        <v>yes</v>
      </c>
      <c r="K60" s="304">
        <v>5</v>
      </c>
      <c r="L60" s="273">
        <v>39393</v>
      </c>
      <c r="M60" s="284">
        <v>1.6</v>
      </c>
      <c r="N60" s="283">
        <v>0</v>
      </c>
      <c r="O60" s="283">
        <v>0.49</v>
      </c>
      <c r="P60" s="283">
        <v>1.6</v>
      </c>
      <c r="Q60" s="283"/>
      <c r="R60" s="283"/>
      <c r="S60" s="283">
        <v>4.0999999999999996</v>
      </c>
      <c r="T60" s="283">
        <v>14</v>
      </c>
      <c r="U60" s="283">
        <v>10</v>
      </c>
      <c r="V60" s="283">
        <v>0</v>
      </c>
      <c r="W60" s="283">
        <v>3.1</v>
      </c>
      <c r="X60" s="283">
        <v>10</v>
      </c>
      <c r="Y60" s="283"/>
      <c r="Z60" s="283"/>
      <c r="AA60" s="283"/>
      <c r="AB60" s="283"/>
      <c r="AC60" s="283"/>
      <c r="AD60" s="283"/>
      <c r="AE60" s="270"/>
    </row>
    <row r="61" spans="1:31" x14ac:dyDescent="0.25">
      <c r="A61" s="280" t="s">
        <v>74</v>
      </c>
      <c r="B61" s="281" t="s">
        <v>713</v>
      </c>
      <c r="C61" s="282">
        <v>24</v>
      </c>
      <c r="D61" s="173" t="s">
        <v>877</v>
      </c>
      <c r="E61" s="304" t="s">
        <v>288</v>
      </c>
      <c r="F61" s="283" t="s">
        <v>321</v>
      </c>
      <c r="G61" s="283">
        <v>14.622999999999999</v>
      </c>
      <c r="H61" s="283">
        <v>-21.187000000000001</v>
      </c>
      <c r="I61" s="292" t="s">
        <v>1201</v>
      </c>
      <c r="J61" s="174" t="str">
        <f t="shared" si="0"/>
        <v>yes</v>
      </c>
      <c r="K61" s="304">
        <v>5</v>
      </c>
      <c r="L61" s="273">
        <v>39393</v>
      </c>
      <c r="M61" s="284">
        <v>1.6</v>
      </c>
      <c r="N61" s="283">
        <v>0</v>
      </c>
      <c r="O61" s="283">
        <v>0.49</v>
      </c>
      <c r="P61" s="283">
        <v>1.6</v>
      </c>
      <c r="Q61" s="283"/>
      <c r="R61" s="283"/>
      <c r="S61" s="283">
        <v>4.0999999999999996</v>
      </c>
      <c r="T61" s="283">
        <v>14</v>
      </c>
      <c r="U61" s="283">
        <v>10</v>
      </c>
      <c r="V61" s="283">
        <v>0</v>
      </c>
      <c r="W61" s="283">
        <v>3.1</v>
      </c>
      <c r="X61" s="283">
        <v>10</v>
      </c>
      <c r="Y61" s="283"/>
      <c r="Z61" s="283"/>
      <c r="AA61" s="283"/>
      <c r="AB61" s="283"/>
      <c r="AC61" s="283"/>
      <c r="AD61" s="283"/>
      <c r="AE61" s="270"/>
    </row>
    <row r="62" spans="1:31" x14ac:dyDescent="0.25">
      <c r="A62" s="280" t="s">
        <v>74</v>
      </c>
      <c r="B62" s="281" t="s">
        <v>713</v>
      </c>
      <c r="C62" s="282">
        <v>25</v>
      </c>
      <c r="D62" s="173" t="s">
        <v>877</v>
      </c>
      <c r="E62" s="304" t="s">
        <v>289</v>
      </c>
      <c r="F62" s="283" t="s">
        <v>322</v>
      </c>
      <c r="G62" s="283">
        <v>11.792999999999999</v>
      </c>
      <c r="H62" s="283">
        <v>-20.449000000000002</v>
      </c>
      <c r="I62" s="292" t="s">
        <v>1201</v>
      </c>
      <c r="J62" s="174" t="str">
        <f t="shared" si="0"/>
        <v>yes</v>
      </c>
      <c r="K62" s="304">
        <v>5</v>
      </c>
      <c r="L62" s="273">
        <v>39394</v>
      </c>
      <c r="M62" s="284">
        <v>1.6</v>
      </c>
      <c r="N62" s="283">
        <v>0</v>
      </c>
      <c r="O62" s="283">
        <v>0.49</v>
      </c>
      <c r="P62" s="283">
        <v>1.6</v>
      </c>
      <c r="Q62" s="283"/>
      <c r="R62" s="283"/>
      <c r="S62" s="283">
        <v>4.0999999999999996</v>
      </c>
      <c r="T62" s="283">
        <v>14</v>
      </c>
      <c r="U62" s="283">
        <v>10</v>
      </c>
      <c r="V62" s="283">
        <v>0</v>
      </c>
      <c r="W62" s="283">
        <v>3.1</v>
      </c>
      <c r="X62" s="283">
        <v>10</v>
      </c>
      <c r="Y62" s="283"/>
      <c r="Z62" s="283"/>
      <c r="AA62" s="270"/>
      <c r="AB62" s="270"/>
      <c r="AC62" s="270"/>
      <c r="AD62" s="270"/>
      <c r="AE62" s="270"/>
    </row>
    <row r="63" spans="1:31" x14ac:dyDescent="0.25">
      <c r="A63" s="280" t="s">
        <v>74</v>
      </c>
      <c r="B63" s="281" t="s">
        <v>713</v>
      </c>
      <c r="C63" s="282">
        <v>26</v>
      </c>
      <c r="D63" s="173" t="s">
        <v>877</v>
      </c>
      <c r="E63" s="304" t="s">
        <v>290</v>
      </c>
      <c r="F63" s="283" t="s">
        <v>323</v>
      </c>
      <c r="G63" s="283">
        <v>10.198</v>
      </c>
      <c r="H63" s="283">
        <v>-20.052</v>
      </c>
      <c r="I63" s="292" t="s">
        <v>1201</v>
      </c>
      <c r="J63" s="174" t="str">
        <f t="shared" si="0"/>
        <v/>
      </c>
      <c r="K63" s="304">
        <v>5</v>
      </c>
      <c r="L63" s="273">
        <v>39395</v>
      </c>
      <c r="M63" s="284">
        <v>1.6</v>
      </c>
      <c r="N63" s="283">
        <v>0</v>
      </c>
      <c r="O63" s="283">
        <v>0.49</v>
      </c>
      <c r="P63" s="283">
        <v>1.6</v>
      </c>
      <c r="Q63" s="283"/>
      <c r="R63" s="283"/>
      <c r="S63" s="283">
        <v>4.0999999999999996</v>
      </c>
      <c r="T63" s="283">
        <v>14</v>
      </c>
      <c r="U63" s="283">
        <v>60</v>
      </c>
      <c r="V63" s="283">
        <v>1</v>
      </c>
      <c r="W63" s="283">
        <v>3.1</v>
      </c>
      <c r="X63" s="283">
        <v>10</v>
      </c>
      <c r="Y63" s="283"/>
      <c r="Z63" s="283"/>
      <c r="AA63" s="270"/>
      <c r="AB63" s="270"/>
      <c r="AC63" s="270"/>
      <c r="AD63" s="270"/>
      <c r="AE63" s="270"/>
    </row>
    <row r="64" spans="1:31" x14ac:dyDescent="0.25">
      <c r="A64" s="280" t="s">
        <v>74</v>
      </c>
      <c r="B64" s="281" t="s">
        <v>713</v>
      </c>
      <c r="C64" s="282">
        <v>27</v>
      </c>
      <c r="D64" s="173" t="s">
        <v>877</v>
      </c>
      <c r="E64" s="304" t="s">
        <v>291</v>
      </c>
      <c r="F64" s="283" t="s">
        <v>324</v>
      </c>
      <c r="G64" s="283">
        <v>8.1069999999999993</v>
      </c>
      <c r="H64" s="283">
        <v>-18.843</v>
      </c>
      <c r="I64" s="292" t="s">
        <v>1201</v>
      </c>
      <c r="J64" s="174" t="str">
        <f t="shared" si="0"/>
        <v>yes</v>
      </c>
      <c r="K64" s="304">
        <v>5</v>
      </c>
      <c r="L64" s="273">
        <v>39395</v>
      </c>
      <c r="M64" s="284">
        <v>1.6</v>
      </c>
      <c r="N64" s="283">
        <v>0</v>
      </c>
      <c r="O64" s="283">
        <v>0.49</v>
      </c>
      <c r="P64" s="283">
        <v>1.6</v>
      </c>
      <c r="Q64" s="283"/>
      <c r="R64" s="283"/>
      <c r="S64" s="283">
        <v>4.0999999999999996</v>
      </c>
      <c r="T64" s="283">
        <v>14</v>
      </c>
      <c r="U64" s="283">
        <v>10</v>
      </c>
      <c r="V64" s="283">
        <v>0</v>
      </c>
      <c r="W64" s="283">
        <v>3.1</v>
      </c>
      <c r="X64" s="283">
        <v>10</v>
      </c>
      <c r="Y64" s="283"/>
      <c r="Z64" s="283"/>
      <c r="AA64" s="270"/>
      <c r="AB64" s="270"/>
      <c r="AC64" s="270"/>
      <c r="AD64" s="270"/>
      <c r="AE64" s="270"/>
    </row>
    <row r="65" spans="1:31" x14ac:dyDescent="0.25">
      <c r="A65" s="280" t="s">
        <v>74</v>
      </c>
      <c r="B65" s="281" t="s">
        <v>713</v>
      </c>
      <c r="C65" s="282">
        <v>28</v>
      </c>
      <c r="D65" s="173" t="s">
        <v>877</v>
      </c>
      <c r="E65" s="304" t="s">
        <v>292</v>
      </c>
      <c r="F65" s="283" t="s">
        <v>325</v>
      </c>
      <c r="G65" s="283">
        <v>6.6890000000000001</v>
      </c>
      <c r="H65" s="283">
        <v>-17.657</v>
      </c>
      <c r="I65" s="292" t="s">
        <v>1201</v>
      </c>
      <c r="J65" s="174" t="str">
        <f t="shared" si="0"/>
        <v>yes</v>
      </c>
      <c r="K65" s="304">
        <v>5</v>
      </c>
      <c r="L65" s="273">
        <v>39396</v>
      </c>
      <c r="M65" s="284">
        <v>1.6</v>
      </c>
      <c r="N65" s="283">
        <v>0</v>
      </c>
      <c r="O65" s="283">
        <v>0.49</v>
      </c>
      <c r="P65" s="283">
        <v>1.6</v>
      </c>
      <c r="Q65" s="283"/>
      <c r="R65" s="283"/>
      <c r="S65" s="283">
        <v>4.0999999999999996</v>
      </c>
      <c r="T65" s="283">
        <v>14</v>
      </c>
      <c r="U65" s="283">
        <v>10</v>
      </c>
      <c r="V65" s="283">
        <v>0</v>
      </c>
      <c r="W65" s="283">
        <v>3.1</v>
      </c>
      <c r="X65" s="283">
        <v>10</v>
      </c>
      <c r="Y65" s="283"/>
      <c r="Z65" s="283"/>
      <c r="AA65" s="270"/>
      <c r="AB65" s="270"/>
      <c r="AC65" s="270"/>
      <c r="AD65" s="270"/>
      <c r="AE65" s="270"/>
    </row>
    <row r="66" spans="1:31" x14ac:dyDescent="0.25">
      <c r="A66" s="280" t="s">
        <v>74</v>
      </c>
      <c r="B66" s="281" t="s">
        <v>713</v>
      </c>
      <c r="C66" s="282">
        <v>29</v>
      </c>
      <c r="D66" s="173" t="s">
        <v>877</v>
      </c>
      <c r="E66" s="304" t="s">
        <v>293</v>
      </c>
      <c r="F66" s="283" t="s">
        <v>326</v>
      </c>
      <c r="G66" s="283">
        <v>5.05</v>
      </c>
      <c r="H66" s="283">
        <v>-16.29</v>
      </c>
      <c r="I66" s="292" t="s">
        <v>1201</v>
      </c>
      <c r="J66" s="174" t="str">
        <f t="shared" si="0"/>
        <v>yes</v>
      </c>
      <c r="K66" s="304">
        <v>5</v>
      </c>
      <c r="L66" s="273">
        <v>39396</v>
      </c>
      <c r="M66" s="284">
        <v>1.6</v>
      </c>
      <c r="N66" s="283">
        <v>0</v>
      </c>
      <c r="O66" s="283">
        <v>0.49</v>
      </c>
      <c r="P66" s="283">
        <v>1.6</v>
      </c>
      <c r="Q66" s="283"/>
      <c r="R66" s="283"/>
      <c r="S66" s="283">
        <v>4.0999999999999996</v>
      </c>
      <c r="T66" s="283">
        <v>14</v>
      </c>
      <c r="U66" s="283">
        <v>10</v>
      </c>
      <c r="V66" s="283">
        <v>0</v>
      </c>
      <c r="W66" s="283">
        <v>3.1</v>
      </c>
      <c r="X66" s="283">
        <v>10</v>
      </c>
      <c r="Y66" s="283"/>
      <c r="Z66" s="283"/>
      <c r="AA66" s="270"/>
      <c r="AB66" s="270"/>
      <c r="AC66" s="270"/>
      <c r="AD66" s="270"/>
      <c r="AE66" s="270"/>
    </row>
    <row r="67" spans="1:31" x14ac:dyDescent="0.25">
      <c r="A67" s="280" t="s">
        <v>74</v>
      </c>
      <c r="B67" s="281" t="s">
        <v>713</v>
      </c>
      <c r="C67" s="282">
        <v>30</v>
      </c>
      <c r="D67" s="173" t="s">
        <v>877</v>
      </c>
      <c r="E67" s="304" t="s">
        <v>294</v>
      </c>
      <c r="F67" s="283" t="s">
        <v>327</v>
      </c>
      <c r="G67" s="283">
        <v>3.5110000000000001</v>
      </c>
      <c r="H67" s="283">
        <v>-15.009</v>
      </c>
      <c r="I67" s="292" t="s">
        <v>1201</v>
      </c>
      <c r="J67" s="174" t="str">
        <f t="shared" si="0"/>
        <v>yes</v>
      </c>
      <c r="K67" s="304">
        <v>5</v>
      </c>
      <c r="L67" s="273">
        <v>39397</v>
      </c>
      <c r="M67" s="284">
        <v>1.6</v>
      </c>
      <c r="N67" s="283">
        <v>0</v>
      </c>
      <c r="O67" s="283">
        <v>0.49</v>
      </c>
      <c r="P67" s="283">
        <v>1.6</v>
      </c>
      <c r="Q67" s="283"/>
      <c r="R67" s="283"/>
      <c r="S67" s="283">
        <v>4.0999999999999996</v>
      </c>
      <c r="T67" s="283">
        <v>14</v>
      </c>
      <c r="U67" s="283">
        <v>10</v>
      </c>
      <c r="V67" s="283">
        <v>0</v>
      </c>
      <c r="W67" s="283">
        <v>3.1</v>
      </c>
      <c r="X67" s="283">
        <v>10</v>
      </c>
      <c r="Y67" s="283"/>
      <c r="Z67" s="283"/>
      <c r="AA67" s="270"/>
      <c r="AB67" s="270"/>
      <c r="AC67" s="270"/>
      <c r="AD67" s="270"/>
      <c r="AE67" s="270"/>
    </row>
    <row r="68" spans="1:31" x14ac:dyDescent="0.25">
      <c r="A68" s="280" t="s">
        <v>74</v>
      </c>
      <c r="B68" s="281" t="s">
        <v>713</v>
      </c>
      <c r="C68" s="282">
        <v>31</v>
      </c>
      <c r="D68" s="173" t="s">
        <v>877</v>
      </c>
      <c r="E68" s="304" t="s">
        <v>295</v>
      </c>
      <c r="F68" s="283" t="s">
        <v>328</v>
      </c>
      <c r="G68" s="283">
        <v>2.2570000000000001</v>
      </c>
      <c r="H68" s="283">
        <v>-13.342000000000001</v>
      </c>
      <c r="I68" s="292" t="s">
        <v>1201</v>
      </c>
      <c r="J68" s="174" t="str">
        <f t="shared" si="0"/>
        <v>yes</v>
      </c>
      <c r="K68" s="304">
        <v>5</v>
      </c>
      <c r="L68" s="273">
        <v>39398</v>
      </c>
      <c r="M68" s="284">
        <v>1.6</v>
      </c>
      <c r="N68" s="283">
        <v>0</v>
      </c>
      <c r="O68" s="283">
        <v>0.49</v>
      </c>
      <c r="P68" s="283">
        <v>1.6</v>
      </c>
      <c r="Q68" s="283"/>
      <c r="R68" s="283"/>
      <c r="S68" s="283">
        <v>4.0999999999999996</v>
      </c>
      <c r="T68" s="283">
        <v>14</v>
      </c>
      <c r="U68" s="283">
        <v>10</v>
      </c>
      <c r="V68" s="283">
        <v>0</v>
      </c>
      <c r="W68" s="283">
        <v>3.1</v>
      </c>
      <c r="X68" s="283">
        <v>10</v>
      </c>
      <c r="Y68" s="283"/>
      <c r="Z68" s="283"/>
      <c r="AA68" s="270"/>
      <c r="AB68" s="270"/>
      <c r="AC68" s="270"/>
      <c r="AD68" s="270"/>
      <c r="AE68" s="270"/>
    </row>
    <row r="69" spans="1:31" x14ac:dyDescent="0.25">
      <c r="A69" s="280" t="s">
        <v>74</v>
      </c>
      <c r="B69" s="281" t="s">
        <v>713</v>
      </c>
      <c r="C69" s="282">
        <v>32</v>
      </c>
      <c r="D69" s="173" t="s">
        <v>877</v>
      </c>
      <c r="E69" s="304" t="s">
        <v>296</v>
      </c>
      <c r="F69" s="283" t="s">
        <v>329</v>
      </c>
      <c r="G69" s="283">
        <v>1.2250000000000001</v>
      </c>
      <c r="H69" s="283">
        <v>-11.965999999999999</v>
      </c>
      <c r="I69" s="292" t="s">
        <v>1201</v>
      </c>
      <c r="J69" s="174" t="str">
        <f t="shared" ref="J69:J137" si="6">IF(V69=1,"","yes")</f>
        <v>yes</v>
      </c>
      <c r="K69" s="304">
        <v>5</v>
      </c>
      <c r="L69" s="273">
        <v>39398</v>
      </c>
      <c r="M69" s="284">
        <v>1.6</v>
      </c>
      <c r="N69" s="283">
        <v>0</v>
      </c>
      <c r="O69" s="283">
        <v>0.49</v>
      </c>
      <c r="P69" s="283">
        <v>1.6</v>
      </c>
      <c r="Q69" s="283"/>
      <c r="R69" s="283"/>
      <c r="S69" s="283">
        <v>4.0999999999999996</v>
      </c>
      <c r="T69" s="283">
        <v>14</v>
      </c>
      <c r="U69" s="283">
        <v>10</v>
      </c>
      <c r="V69" s="283">
        <v>0</v>
      </c>
      <c r="W69" s="283">
        <v>3.1</v>
      </c>
      <c r="X69" s="283">
        <v>10</v>
      </c>
      <c r="Y69" s="283"/>
      <c r="Z69" s="283"/>
      <c r="AA69" s="270"/>
      <c r="AB69" s="270"/>
      <c r="AC69" s="270"/>
      <c r="AD69" s="270"/>
      <c r="AE69" s="270"/>
    </row>
    <row r="70" spans="1:31" x14ac:dyDescent="0.25">
      <c r="A70" s="628" t="s">
        <v>74</v>
      </c>
      <c r="B70" s="281" t="s">
        <v>713</v>
      </c>
      <c r="C70" s="633">
        <v>33</v>
      </c>
      <c r="D70" s="271" t="s">
        <v>878</v>
      </c>
      <c r="E70" s="303" t="s">
        <v>348</v>
      </c>
      <c r="F70" s="272" t="s">
        <v>358</v>
      </c>
      <c r="G70" s="272">
        <v>-0.49399999999999999</v>
      </c>
      <c r="H70" s="272">
        <v>-9.6739999999999995</v>
      </c>
      <c r="I70" s="292" t="s">
        <v>1201</v>
      </c>
      <c r="J70" s="174" t="str">
        <f t="shared" si="6"/>
        <v>yes</v>
      </c>
      <c r="K70" s="303">
        <v>6</v>
      </c>
      <c r="L70" s="288">
        <v>39399</v>
      </c>
      <c r="M70" s="284">
        <v>1.6</v>
      </c>
      <c r="N70" s="283">
        <v>0</v>
      </c>
      <c r="O70" s="283">
        <v>0.49</v>
      </c>
      <c r="P70" s="283">
        <v>1.6</v>
      </c>
      <c r="Q70" s="283"/>
      <c r="R70" s="283"/>
      <c r="S70" s="283">
        <v>4.0999999999999996</v>
      </c>
      <c r="T70" s="283">
        <v>14</v>
      </c>
      <c r="U70" s="283">
        <v>10</v>
      </c>
      <c r="V70" s="283">
        <v>0</v>
      </c>
      <c r="W70" s="283">
        <v>3.1</v>
      </c>
      <c r="X70" s="283">
        <v>10</v>
      </c>
      <c r="Y70" s="283"/>
      <c r="Z70" s="283"/>
      <c r="AA70" s="283"/>
      <c r="AB70" s="283"/>
      <c r="AC70" s="283"/>
      <c r="AD70" s="283"/>
      <c r="AE70" s="270"/>
    </row>
    <row r="71" spans="1:31" x14ac:dyDescent="0.25">
      <c r="A71" s="628" t="s">
        <v>74</v>
      </c>
      <c r="B71" s="281" t="s">
        <v>713</v>
      </c>
      <c r="C71" s="633">
        <v>34</v>
      </c>
      <c r="D71" s="271" t="s">
        <v>878</v>
      </c>
      <c r="E71" s="303" t="s">
        <v>349</v>
      </c>
      <c r="F71" s="272" t="s">
        <v>359</v>
      </c>
      <c r="G71" s="272">
        <v>-3.9929999999999999</v>
      </c>
      <c r="H71" s="272">
        <v>-6.74</v>
      </c>
      <c r="I71" s="292" t="s">
        <v>1201</v>
      </c>
      <c r="J71" s="174" t="str">
        <f t="shared" si="6"/>
        <v>yes</v>
      </c>
      <c r="K71" s="303">
        <v>6</v>
      </c>
      <c r="L71" s="288">
        <v>39400</v>
      </c>
      <c r="M71" s="284">
        <v>1.6</v>
      </c>
      <c r="N71" s="283">
        <v>0</v>
      </c>
      <c r="O71" s="283">
        <v>0.49</v>
      </c>
      <c r="P71" s="283">
        <v>1.6</v>
      </c>
      <c r="Q71" s="283"/>
      <c r="R71" s="283"/>
      <c r="S71" s="283">
        <v>4.0999999999999996</v>
      </c>
      <c r="T71" s="283">
        <v>14</v>
      </c>
      <c r="U71" s="283">
        <v>10</v>
      </c>
      <c r="V71" s="283">
        <v>0</v>
      </c>
      <c r="W71" s="283">
        <v>3.1</v>
      </c>
      <c r="X71" s="283">
        <v>10</v>
      </c>
      <c r="Y71" s="283"/>
      <c r="Z71" s="283"/>
      <c r="AA71" s="283"/>
      <c r="AB71" s="283"/>
      <c r="AC71" s="283"/>
      <c r="AD71" s="283"/>
      <c r="AE71" s="270"/>
    </row>
    <row r="72" spans="1:31" x14ac:dyDescent="0.25">
      <c r="A72" s="628" t="s">
        <v>74</v>
      </c>
      <c r="B72" s="281" t="s">
        <v>713</v>
      </c>
      <c r="C72" s="633">
        <v>35</v>
      </c>
      <c r="D72" s="271" t="s">
        <v>878</v>
      </c>
      <c r="E72" s="303" t="s">
        <v>350</v>
      </c>
      <c r="F72" s="272" t="s">
        <v>360</v>
      </c>
      <c r="G72" s="272">
        <v>-7.44</v>
      </c>
      <c r="H72" s="272">
        <v>-4.1449999999999996</v>
      </c>
      <c r="I72" s="292" t="s">
        <v>1201</v>
      </c>
      <c r="J72" s="174" t="str">
        <f t="shared" si="6"/>
        <v>yes</v>
      </c>
      <c r="K72" s="303">
        <v>6</v>
      </c>
      <c r="L72" s="288">
        <v>39401</v>
      </c>
      <c r="M72" s="284">
        <v>1.6</v>
      </c>
      <c r="N72" s="283">
        <v>0</v>
      </c>
      <c r="O72" s="283">
        <v>0.49</v>
      </c>
      <c r="P72" s="283">
        <v>1.6</v>
      </c>
      <c r="Q72" s="283"/>
      <c r="R72" s="283"/>
      <c r="S72" s="283">
        <v>4.0999999999999996</v>
      </c>
      <c r="T72" s="283">
        <v>14</v>
      </c>
      <c r="U72" s="283">
        <v>10</v>
      </c>
      <c r="V72" s="283">
        <v>0</v>
      </c>
      <c r="W72" s="283">
        <v>3.1</v>
      </c>
      <c r="X72" s="283">
        <v>10</v>
      </c>
      <c r="Y72" s="283"/>
      <c r="Z72" s="283"/>
      <c r="AA72" s="283"/>
      <c r="AB72" s="283"/>
      <c r="AC72" s="283"/>
      <c r="AD72" s="283"/>
      <c r="AE72" s="270"/>
    </row>
    <row r="73" spans="1:31" x14ac:dyDescent="0.25">
      <c r="A73" s="628" t="s">
        <v>74</v>
      </c>
      <c r="B73" s="281" t="s">
        <v>713</v>
      </c>
      <c r="C73" s="633">
        <v>36</v>
      </c>
      <c r="D73" s="271" t="s">
        <v>878</v>
      </c>
      <c r="E73" s="303" t="s">
        <v>351</v>
      </c>
      <c r="F73" s="272" t="s">
        <v>361</v>
      </c>
      <c r="G73" s="272">
        <v>-10.641999999999999</v>
      </c>
      <c r="H73" s="272">
        <v>-1.651</v>
      </c>
      <c r="I73" s="292" t="s">
        <v>1201</v>
      </c>
      <c r="J73" s="174" t="str">
        <f t="shared" si="6"/>
        <v>yes</v>
      </c>
      <c r="K73" s="303">
        <v>6</v>
      </c>
      <c r="L73" s="288">
        <v>39402</v>
      </c>
      <c r="M73" s="284">
        <v>1.6</v>
      </c>
      <c r="N73" s="283">
        <v>0</v>
      </c>
      <c r="O73" s="283">
        <v>0.49</v>
      </c>
      <c r="P73" s="283">
        <v>1.6</v>
      </c>
      <c r="Q73" s="283"/>
      <c r="R73" s="283"/>
      <c r="S73" s="283">
        <v>4.0999999999999996</v>
      </c>
      <c r="T73" s="283">
        <v>14</v>
      </c>
      <c r="U73" s="283">
        <v>10</v>
      </c>
      <c r="V73" s="283">
        <v>0</v>
      </c>
      <c r="W73" s="283">
        <v>3.1</v>
      </c>
      <c r="X73" s="283">
        <v>10</v>
      </c>
      <c r="Y73" s="283"/>
      <c r="Z73" s="283"/>
      <c r="AA73" s="283"/>
      <c r="AB73" s="283"/>
      <c r="AC73" s="283"/>
      <c r="AD73" s="283"/>
      <c r="AE73" s="270"/>
    </row>
    <row r="74" spans="1:31" x14ac:dyDescent="0.25">
      <c r="A74" s="628" t="s">
        <v>74</v>
      </c>
      <c r="B74" s="281" t="s">
        <v>713</v>
      </c>
      <c r="C74" s="633">
        <v>37</v>
      </c>
      <c r="D74" s="271" t="s">
        <v>878</v>
      </c>
      <c r="E74" s="303" t="s">
        <v>352</v>
      </c>
      <c r="F74" s="272">
        <v>-0.37</v>
      </c>
      <c r="G74" s="272">
        <v>-13.353999999999999</v>
      </c>
      <c r="H74" s="272">
        <v>-0.37</v>
      </c>
      <c r="I74" s="292" t="s">
        <v>1201</v>
      </c>
      <c r="J74" s="174" t="str">
        <f t="shared" si="6"/>
        <v>yes</v>
      </c>
      <c r="K74" s="303">
        <v>6</v>
      </c>
      <c r="L74" s="288">
        <v>39403</v>
      </c>
      <c r="M74" s="284">
        <v>1.6</v>
      </c>
      <c r="N74" s="283">
        <v>0</v>
      </c>
      <c r="O74" s="283">
        <v>0.49</v>
      </c>
      <c r="P74" s="283">
        <v>1.6</v>
      </c>
      <c r="Q74" s="283"/>
      <c r="R74" s="283"/>
      <c r="S74" s="283">
        <v>4.0999999999999996</v>
      </c>
      <c r="T74" s="283">
        <v>14</v>
      </c>
      <c r="U74" s="283">
        <v>10</v>
      </c>
      <c r="V74" s="283">
        <v>0</v>
      </c>
      <c r="W74" s="283">
        <v>3.1</v>
      </c>
      <c r="X74" s="283">
        <v>10</v>
      </c>
      <c r="Y74" s="283"/>
      <c r="Z74" s="283"/>
      <c r="AA74" s="283"/>
      <c r="AB74" s="283"/>
      <c r="AC74" s="283"/>
      <c r="AD74" s="283"/>
      <c r="AE74" s="270"/>
    </row>
    <row r="75" spans="1:31" x14ac:dyDescent="0.25">
      <c r="A75" s="628" t="s">
        <v>74</v>
      </c>
      <c r="B75" s="281" t="s">
        <v>713</v>
      </c>
      <c r="C75" s="633">
        <v>38</v>
      </c>
      <c r="D75" s="271" t="s">
        <v>878</v>
      </c>
      <c r="E75" s="303" t="s">
        <v>353</v>
      </c>
      <c r="F75" s="272">
        <v>-2.2200000000000002</v>
      </c>
      <c r="G75" s="272">
        <v>-15.824999999999999</v>
      </c>
      <c r="H75" s="272">
        <v>-2.2200000000000002</v>
      </c>
      <c r="I75" s="292" t="s">
        <v>1201</v>
      </c>
      <c r="J75" s="174" t="str">
        <f t="shared" si="6"/>
        <v>yes</v>
      </c>
      <c r="K75" s="303">
        <v>6</v>
      </c>
      <c r="L75" s="288">
        <v>39404</v>
      </c>
      <c r="M75" s="284">
        <v>1.6</v>
      </c>
      <c r="N75" s="283">
        <v>0</v>
      </c>
      <c r="O75" s="283">
        <v>0.49</v>
      </c>
      <c r="P75" s="283">
        <v>1.6</v>
      </c>
      <c r="Q75" s="283"/>
      <c r="R75" s="283"/>
      <c r="S75" s="283">
        <v>4.0999999999999996</v>
      </c>
      <c r="T75" s="283">
        <v>14</v>
      </c>
      <c r="U75" s="283">
        <v>10</v>
      </c>
      <c r="V75" s="283">
        <v>0</v>
      </c>
      <c r="W75" s="283">
        <v>3.1</v>
      </c>
      <c r="X75" s="283">
        <v>10</v>
      </c>
      <c r="Y75" s="283"/>
      <c r="Z75" s="283"/>
      <c r="AA75" s="283"/>
      <c r="AB75" s="283"/>
      <c r="AC75" s="283"/>
      <c r="AD75" s="283"/>
      <c r="AE75" s="270"/>
    </row>
    <row r="76" spans="1:31" x14ac:dyDescent="0.25">
      <c r="A76" s="628" t="s">
        <v>74</v>
      </c>
      <c r="B76" s="281" t="s">
        <v>713</v>
      </c>
      <c r="C76" s="633">
        <v>39</v>
      </c>
      <c r="D76" s="271" t="s">
        <v>878</v>
      </c>
      <c r="E76" s="303" t="s">
        <v>354</v>
      </c>
      <c r="F76" s="272">
        <v>-5.12</v>
      </c>
      <c r="G76" s="272">
        <v>-19.459</v>
      </c>
      <c r="H76" s="272">
        <v>-5.12</v>
      </c>
      <c r="I76" s="292" t="s">
        <v>1201</v>
      </c>
      <c r="J76" s="174" t="str">
        <f t="shared" si="6"/>
        <v>yes</v>
      </c>
      <c r="K76" s="303">
        <v>7</v>
      </c>
      <c r="L76" s="288">
        <v>39405</v>
      </c>
      <c r="M76" s="284">
        <v>1.6</v>
      </c>
      <c r="N76" s="283">
        <v>0</v>
      </c>
      <c r="O76" s="283">
        <v>0.49</v>
      </c>
      <c r="P76" s="283">
        <v>1.6</v>
      </c>
      <c r="Q76" s="283"/>
      <c r="R76" s="283"/>
      <c r="S76" s="283">
        <v>4.0999999999999996</v>
      </c>
      <c r="T76" s="283">
        <v>14</v>
      </c>
      <c r="U76" s="283">
        <v>10</v>
      </c>
      <c r="V76" s="283">
        <v>0</v>
      </c>
      <c r="W76" s="283">
        <v>3.1</v>
      </c>
      <c r="X76" s="283">
        <v>10</v>
      </c>
      <c r="Y76" s="283"/>
      <c r="Z76" s="283"/>
      <c r="AA76" s="283"/>
      <c r="AB76" s="283"/>
      <c r="AC76" s="283"/>
      <c r="AD76" s="283"/>
      <c r="AE76" s="270"/>
    </row>
    <row r="77" spans="1:31" x14ac:dyDescent="0.25">
      <c r="A77" s="628" t="s">
        <v>74</v>
      </c>
      <c r="B77" s="281" t="s">
        <v>713</v>
      </c>
      <c r="C77" s="633">
        <v>40</v>
      </c>
      <c r="D77" s="271" t="s">
        <v>878</v>
      </c>
      <c r="E77" s="303" t="s">
        <v>355</v>
      </c>
      <c r="F77" s="272">
        <v>-8.02</v>
      </c>
      <c r="G77" s="272">
        <v>-22.997</v>
      </c>
      <c r="H77" s="272">
        <v>-8.02</v>
      </c>
      <c r="I77" s="292" t="s">
        <v>1201</v>
      </c>
      <c r="J77" s="174" t="str">
        <f t="shared" si="6"/>
        <v>yes</v>
      </c>
      <c r="K77" s="303">
        <v>7</v>
      </c>
      <c r="L77" s="288">
        <v>39406</v>
      </c>
      <c r="M77" s="284">
        <v>1.6</v>
      </c>
      <c r="N77" s="283">
        <v>0</v>
      </c>
      <c r="O77" s="283">
        <v>0.49</v>
      </c>
      <c r="P77" s="283">
        <v>1.6</v>
      </c>
      <c r="Q77" s="283"/>
      <c r="R77" s="283"/>
      <c r="S77" s="283">
        <v>4.0999999999999996</v>
      </c>
      <c r="T77" s="283">
        <v>14</v>
      </c>
      <c r="U77" s="283">
        <v>10</v>
      </c>
      <c r="V77" s="283">
        <v>0</v>
      </c>
      <c r="W77" s="283">
        <v>3.1</v>
      </c>
      <c r="X77" s="283">
        <v>10</v>
      </c>
      <c r="Y77" s="283"/>
      <c r="Z77" s="283"/>
      <c r="AA77" s="283"/>
      <c r="AB77" s="283"/>
      <c r="AC77" s="283"/>
      <c r="AD77" s="283"/>
      <c r="AE77" s="270"/>
    </row>
    <row r="78" spans="1:31" x14ac:dyDescent="0.25">
      <c r="A78" s="628" t="s">
        <v>74</v>
      </c>
      <c r="B78" s="281" t="s">
        <v>713</v>
      </c>
      <c r="C78" s="633">
        <v>41</v>
      </c>
      <c r="D78" s="271" t="s">
        <v>878</v>
      </c>
      <c r="E78" s="303" t="s">
        <v>356</v>
      </c>
      <c r="F78" s="272">
        <v>-9.3800000000000008</v>
      </c>
      <c r="G78" s="272">
        <v>-25.273</v>
      </c>
      <c r="H78" s="272">
        <v>-9.3800000000000008</v>
      </c>
      <c r="I78" s="292" t="s">
        <v>1201</v>
      </c>
      <c r="J78" s="174" t="str">
        <f t="shared" si="6"/>
        <v>yes</v>
      </c>
      <c r="K78" s="303">
        <v>7</v>
      </c>
      <c r="L78" s="288">
        <v>39407</v>
      </c>
      <c r="M78" s="284">
        <v>1.6</v>
      </c>
      <c r="N78" s="283">
        <v>0</v>
      </c>
      <c r="O78" s="283">
        <v>0.49</v>
      </c>
      <c r="P78" s="283">
        <v>1.6</v>
      </c>
      <c r="Q78" s="283"/>
      <c r="R78" s="283"/>
      <c r="S78" s="283">
        <v>4.0999999999999996</v>
      </c>
      <c r="T78" s="283">
        <v>14</v>
      </c>
      <c r="U78" s="283">
        <v>10</v>
      </c>
      <c r="V78" s="283">
        <v>0</v>
      </c>
      <c r="W78" s="283">
        <v>3.1</v>
      </c>
      <c r="X78" s="283">
        <v>10</v>
      </c>
      <c r="Y78" s="283"/>
      <c r="Z78" s="283"/>
      <c r="AA78" s="283"/>
      <c r="AB78" s="283"/>
      <c r="AC78" s="283"/>
      <c r="AD78" s="283"/>
      <c r="AE78" s="270"/>
    </row>
    <row r="79" spans="1:31" x14ac:dyDescent="0.25">
      <c r="A79" s="628" t="s">
        <v>74</v>
      </c>
      <c r="B79" s="281" t="s">
        <v>713</v>
      </c>
      <c r="C79" s="633">
        <v>42</v>
      </c>
      <c r="D79" s="271" t="s">
        <v>878</v>
      </c>
      <c r="E79" s="303" t="s">
        <v>357</v>
      </c>
      <c r="F79" s="272">
        <v>-10.37</v>
      </c>
      <c r="G79" s="272">
        <v>-26.498999999999999</v>
      </c>
      <c r="H79" s="272">
        <v>-10.37</v>
      </c>
      <c r="I79" s="292" t="s">
        <v>1201</v>
      </c>
      <c r="J79" s="174" t="str">
        <f t="shared" si="6"/>
        <v>yes</v>
      </c>
      <c r="K79" s="303">
        <v>7</v>
      </c>
      <c r="L79" s="288">
        <v>39408</v>
      </c>
      <c r="M79" s="284">
        <v>1.6</v>
      </c>
      <c r="N79" s="283">
        <v>0</v>
      </c>
      <c r="O79" s="283">
        <v>0.49</v>
      </c>
      <c r="P79" s="283">
        <v>1.6</v>
      </c>
      <c r="Q79" s="283"/>
      <c r="R79" s="283"/>
      <c r="S79" s="283">
        <v>4.0999999999999996</v>
      </c>
      <c r="T79" s="283">
        <v>14</v>
      </c>
      <c r="U79" s="283">
        <v>10</v>
      </c>
      <c r="V79" s="283">
        <v>0</v>
      </c>
      <c r="W79" s="283">
        <v>3.1</v>
      </c>
      <c r="X79" s="283">
        <v>10</v>
      </c>
      <c r="Y79" s="283"/>
      <c r="Z79" s="283"/>
      <c r="AA79" s="283"/>
      <c r="AB79" s="283"/>
      <c r="AC79" s="283"/>
      <c r="AD79" s="283"/>
      <c r="AE79" s="270"/>
    </row>
    <row r="80" spans="1:31" x14ac:dyDescent="0.25">
      <c r="A80" s="297" t="s">
        <v>74</v>
      </c>
      <c r="B80" s="298" t="s">
        <v>895</v>
      </c>
      <c r="C80" s="299">
        <v>30</v>
      </c>
      <c r="D80" s="173" t="s">
        <v>877</v>
      </c>
      <c r="E80" s="709" t="s">
        <v>240</v>
      </c>
      <c r="F80" s="710" t="s">
        <v>259</v>
      </c>
      <c r="G80" s="292">
        <v>38.164000000000001</v>
      </c>
      <c r="H80" s="292">
        <v>-70.528999999999996</v>
      </c>
      <c r="I80" s="292" t="s">
        <v>1201</v>
      </c>
      <c r="J80" s="174" t="str">
        <f t="shared" si="6"/>
        <v/>
      </c>
      <c r="K80" s="305">
        <v>3</v>
      </c>
      <c r="L80" s="293">
        <v>40022</v>
      </c>
      <c r="M80" s="284"/>
      <c r="N80" s="283"/>
      <c r="O80" s="283" t="s">
        <v>1419</v>
      </c>
      <c r="P80" s="283" t="s">
        <v>1419</v>
      </c>
      <c r="Q80" s="283">
        <v>26</v>
      </c>
      <c r="R80" s="283">
        <v>1</v>
      </c>
      <c r="S80" s="283">
        <v>4.0999999999999996</v>
      </c>
      <c r="T80" s="283" t="s">
        <v>1418</v>
      </c>
      <c r="U80" s="283">
        <v>93</v>
      </c>
      <c r="V80" s="283">
        <v>1</v>
      </c>
      <c r="W80" s="283">
        <v>19</v>
      </c>
      <c r="X80" s="283" t="s">
        <v>1418</v>
      </c>
      <c r="Y80" s="283"/>
      <c r="Z80" s="283"/>
      <c r="AA80" s="283"/>
      <c r="AB80" s="283"/>
      <c r="AC80" s="283"/>
      <c r="AD80" s="283"/>
      <c r="AE80" s="270"/>
    </row>
    <row r="81" spans="1:31" x14ac:dyDescent="0.25">
      <c r="A81" s="297" t="s">
        <v>74</v>
      </c>
      <c r="B81" s="298" t="s">
        <v>895</v>
      </c>
      <c r="C81" s="299">
        <v>29</v>
      </c>
      <c r="D81" s="173" t="s">
        <v>877</v>
      </c>
      <c r="E81" s="709" t="s">
        <v>241</v>
      </c>
      <c r="F81" s="710" t="s">
        <v>260</v>
      </c>
      <c r="G81" s="292">
        <v>37.298999999999999</v>
      </c>
      <c r="H81" s="292">
        <v>-70.266000000000005</v>
      </c>
      <c r="I81" s="292" t="s">
        <v>1201</v>
      </c>
      <c r="J81" s="174" t="str">
        <f t="shared" si="6"/>
        <v/>
      </c>
      <c r="K81" s="305">
        <v>3</v>
      </c>
      <c r="L81" s="293">
        <v>40021</v>
      </c>
      <c r="M81" s="284"/>
      <c r="N81" s="283"/>
      <c r="O81" s="283" t="s">
        <v>1419</v>
      </c>
      <c r="P81" s="283" t="s">
        <v>1419</v>
      </c>
      <c r="Q81" s="283">
        <v>5.4</v>
      </c>
      <c r="R81" s="283">
        <v>1</v>
      </c>
      <c r="S81" s="283">
        <v>4.0999999999999996</v>
      </c>
      <c r="T81" s="283" t="s">
        <v>1418</v>
      </c>
      <c r="U81" s="283">
        <v>26</v>
      </c>
      <c r="V81" s="283">
        <v>1</v>
      </c>
      <c r="W81" s="283">
        <v>19</v>
      </c>
      <c r="X81" s="283" t="s">
        <v>1418</v>
      </c>
      <c r="Y81" s="283"/>
      <c r="Z81" s="283"/>
      <c r="AA81" s="283"/>
      <c r="AB81" s="283"/>
      <c r="AC81" s="283"/>
      <c r="AD81" s="283"/>
      <c r="AE81" s="270"/>
    </row>
    <row r="82" spans="1:31" x14ac:dyDescent="0.25">
      <c r="A82" s="297" t="s">
        <v>74</v>
      </c>
      <c r="B82" s="298" t="s">
        <v>895</v>
      </c>
      <c r="C82" s="299">
        <v>28</v>
      </c>
      <c r="D82" s="173" t="s">
        <v>877</v>
      </c>
      <c r="E82" s="709" t="s">
        <v>242</v>
      </c>
      <c r="F82" s="710" t="s">
        <v>261</v>
      </c>
      <c r="G82" s="292">
        <v>36.244</v>
      </c>
      <c r="H82" s="292">
        <v>-70.012</v>
      </c>
      <c r="I82" s="292" t="s">
        <v>1201</v>
      </c>
      <c r="J82" s="174" t="str">
        <f t="shared" si="6"/>
        <v/>
      </c>
      <c r="K82" s="305">
        <v>3</v>
      </c>
      <c r="L82" s="293">
        <v>40021</v>
      </c>
      <c r="M82" s="284"/>
      <c r="N82" s="283"/>
      <c r="O82" s="283" t="s">
        <v>1419</v>
      </c>
      <c r="P82" s="283" t="s">
        <v>1419</v>
      </c>
      <c r="Q82" s="283">
        <v>5.8</v>
      </c>
      <c r="R82" s="283">
        <v>1</v>
      </c>
      <c r="S82" s="283">
        <v>4.0999999999999996</v>
      </c>
      <c r="T82" s="283" t="s">
        <v>1418</v>
      </c>
      <c r="U82" s="283">
        <v>25</v>
      </c>
      <c r="V82" s="283">
        <v>1</v>
      </c>
      <c r="W82" s="283">
        <v>19</v>
      </c>
      <c r="X82" s="283" t="s">
        <v>1418</v>
      </c>
      <c r="Y82" s="283"/>
      <c r="Z82" s="283"/>
      <c r="AA82" s="283"/>
      <c r="AB82" s="283"/>
      <c r="AC82" s="283"/>
      <c r="AD82" s="283"/>
      <c r="AE82" s="270"/>
    </row>
    <row r="83" spans="1:31" x14ac:dyDescent="0.25">
      <c r="A83" s="297" t="s">
        <v>120</v>
      </c>
      <c r="B83" s="298" t="s">
        <v>715</v>
      </c>
      <c r="C83" s="299">
        <v>6</v>
      </c>
      <c r="D83" s="173" t="s">
        <v>877</v>
      </c>
      <c r="E83" s="709" t="s">
        <v>1623</v>
      </c>
      <c r="F83" s="709" t="s">
        <v>1624</v>
      </c>
      <c r="G83" s="810">
        <v>27.305833</v>
      </c>
      <c r="H83" s="810">
        <v>-19.004999999999999</v>
      </c>
      <c r="I83" s="292" t="s">
        <v>1201</v>
      </c>
      <c r="J83" s="697" t="s">
        <v>1458</v>
      </c>
      <c r="K83" s="811">
        <v>4</v>
      </c>
      <c r="L83" s="293">
        <v>39385</v>
      </c>
      <c r="M83" s="284">
        <v>220</v>
      </c>
      <c r="N83" s="283">
        <v>1</v>
      </c>
      <c r="O83" s="283" t="s">
        <v>1419</v>
      </c>
      <c r="P83" s="283" t="s">
        <v>1419</v>
      </c>
      <c r="Q83" s="283">
        <v>36</v>
      </c>
      <c r="R83" s="283">
        <v>1</v>
      </c>
      <c r="S83" s="283">
        <v>4.0999999999999996</v>
      </c>
      <c r="T83" s="283" t="s">
        <v>1418</v>
      </c>
      <c r="U83" s="283">
        <v>190</v>
      </c>
      <c r="V83" s="283">
        <v>1</v>
      </c>
      <c r="W83" s="283">
        <v>19</v>
      </c>
      <c r="X83" s="283" t="s">
        <v>1418</v>
      </c>
      <c r="Y83" s="283"/>
      <c r="Z83" s="283"/>
      <c r="AA83" s="270"/>
      <c r="AB83" s="270"/>
      <c r="AC83" s="270"/>
      <c r="AD83" s="270"/>
      <c r="AE83" s="270"/>
    </row>
    <row r="84" spans="1:31" x14ac:dyDescent="0.25">
      <c r="A84" s="297" t="s">
        <v>120</v>
      </c>
      <c r="B84" s="298" t="s">
        <v>715</v>
      </c>
      <c r="C84" s="299">
        <v>5</v>
      </c>
      <c r="D84" s="173" t="s">
        <v>877</v>
      </c>
      <c r="E84" s="709" t="s">
        <v>1625</v>
      </c>
      <c r="F84" s="709" t="s">
        <v>1626</v>
      </c>
      <c r="G84" s="810">
        <v>31.042999999999999</v>
      </c>
      <c r="H84" s="810">
        <v>-17.896166999999998</v>
      </c>
      <c r="I84" s="292" t="s">
        <v>1201</v>
      </c>
      <c r="J84" s="697" t="s">
        <v>1458</v>
      </c>
      <c r="K84" s="811">
        <v>4</v>
      </c>
      <c r="L84" s="293">
        <v>39384</v>
      </c>
      <c r="M84" s="284">
        <v>190</v>
      </c>
      <c r="N84" s="283">
        <v>1</v>
      </c>
      <c r="O84" s="283" t="s">
        <v>1419</v>
      </c>
      <c r="P84" s="283" t="s">
        <v>1419</v>
      </c>
      <c r="Q84" s="283">
        <v>26</v>
      </c>
      <c r="R84" s="283">
        <v>1</v>
      </c>
      <c r="S84" s="283">
        <v>4.0999999999999996</v>
      </c>
      <c r="T84" s="283" t="s">
        <v>1418</v>
      </c>
      <c r="U84" s="283">
        <v>160</v>
      </c>
      <c r="V84" s="283">
        <v>1</v>
      </c>
      <c r="W84" s="283">
        <v>19</v>
      </c>
      <c r="X84" s="283" t="s">
        <v>1418</v>
      </c>
      <c r="Y84" s="283"/>
      <c r="Z84" s="283"/>
      <c r="AA84" s="270"/>
      <c r="AB84" s="270"/>
      <c r="AC84" s="270"/>
      <c r="AD84" s="270"/>
      <c r="AE84" s="270"/>
    </row>
    <row r="85" spans="1:31" x14ac:dyDescent="0.25">
      <c r="A85" s="297" t="s">
        <v>120</v>
      </c>
      <c r="B85" s="298" t="s">
        <v>715</v>
      </c>
      <c r="C85" s="299">
        <v>4</v>
      </c>
      <c r="D85" s="173" t="s">
        <v>877</v>
      </c>
      <c r="E85" s="709" t="s">
        <v>1627</v>
      </c>
      <c r="F85" s="709" t="s">
        <v>1628</v>
      </c>
      <c r="G85" s="810">
        <v>34.666333000000002</v>
      </c>
      <c r="H85" s="810">
        <v>-15.065</v>
      </c>
      <c r="I85" s="292" t="s">
        <v>1201</v>
      </c>
      <c r="J85" s="174" t="str">
        <f t="shared" si="6"/>
        <v/>
      </c>
      <c r="K85" s="811">
        <v>4</v>
      </c>
      <c r="L85" s="293">
        <v>39383</v>
      </c>
      <c r="M85" s="284">
        <v>130</v>
      </c>
      <c r="N85" s="283">
        <v>1</v>
      </c>
      <c r="O85" s="283" t="s">
        <v>1419</v>
      </c>
      <c r="P85" s="283" t="s">
        <v>1419</v>
      </c>
      <c r="Q85" s="283">
        <v>31</v>
      </c>
      <c r="R85" s="283">
        <v>1</v>
      </c>
      <c r="S85" s="283">
        <v>4.0999999999999996</v>
      </c>
      <c r="T85" s="283" t="s">
        <v>1418</v>
      </c>
      <c r="U85" s="283">
        <v>120</v>
      </c>
      <c r="V85" s="283">
        <v>1</v>
      </c>
      <c r="W85" s="283">
        <v>19</v>
      </c>
      <c r="X85" s="283" t="s">
        <v>1418</v>
      </c>
      <c r="Y85" s="283"/>
      <c r="Z85" s="283"/>
      <c r="AA85" s="270"/>
      <c r="AB85" s="270"/>
      <c r="AC85" s="270"/>
      <c r="AD85" s="270"/>
      <c r="AE85" s="270"/>
    </row>
    <row r="86" spans="1:31" x14ac:dyDescent="0.25">
      <c r="A86" s="297" t="s">
        <v>120</v>
      </c>
      <c r="B86" s="298" t="s">
        <v>715</v>
      </c>
      <c r="C86" s="299">
        <v>8</v>
      </c>
      <c r="D86" s="173" t="s">
        <v>877</v>
      </c>
      <c r="E86" s="709" t="s">
        <v>1629</v>
      </c>
      <c r="F86" s="709" t="s">
        <v>1630</v>
      </c>
      <c r="G86" s="810">
        <v>22.648333000000001</v>
      </c>
      <c r="H86" s="810">
        <v>-22.285499999999999</v>
      </c>
      <c r="I86" s="292" t="s">
        <v>1201</v>
      </c>
      <c r="J86" s="174" t="str">
        <f t="shared" si="6"/>
        <v/>
      </c>
      <c r="K86" s="811">
        <v>4</v>
      </c>
      <c r="L86" s="293">
        <v>39387</v>
      </c>
      <c r="M86" s="284">
        <v>88</v>
      </c>
      <c r="N86" s="283">
        <v>1</v>
      </c>
      <c r="O86" s="283" t="s">
        <v>1419</v>
      </c>
      <c r="P86" s="283" t="s">
        <v>1419</v>
      </c>
      <c r="Q86" s="283">
        <v>17</v>
      </c>
      <c r="R86" s="283">
        <v>1</v>
      </c>
      <c r="S86" s="283">
        <v>4.0999999999999996</v>
      </c>
      <c r="T86" s="283" t="s">
        <v>1418</v>
      </c>
      <c r="U86" s="283">
        <v>78</v>
      </c>
      <c r="V86" s="283">
        <v>1</v>
      </c>
      <c r="W86" s="283">
        <v>19</v>
      </c>
      <c r="X86" s="283" t="s">
        <v>1418</v>
      </c>
      <c r="Y86" s="283"/>
      <c r="Z86" s="283"/>
      <c r="AA86" s="270"/>
      <c r="AB86" s="270"/>
      <c r="AC86" s="270"/>
      <c r="AD86" s="270"/>
      <c r="AE86" s="270"/>
    </row>
    <row r="87" spans="1:31" x14ac:dyDescent="0.25">
      <c r="A87" s="297" t="s">
        <v>120</v>
      </c>
      <c r="B87" s="298" t="s">
        <v>715</v>
      </c>
      <c r="C87" s="299">
        <v>7</v>
      </c>
      <c r="D87" s="173" t="s">
        <v>877</v>
      </c>
      <c r="E87" s="709" t="s">
        <v>1631</v>
      </c>
      <c r="F87" s="709" t="s">
        <v>1632</v>
      </c>
      <c r="G87" s="810">
        <v>23.610167000000001</v>
      </c>
      <c r="H87" s="810">
        <v>-20.564167000000001</v>
      </c>
      <c r="I87" s="292" t="s">
        <v>1201</v>
      </c>
      <c r="J87" s="174" t="str">
        <f t="shared" si="6"/>
        <v/>
      </c>
      <c r="K87" s="811">
        <v>4</v>
      </c>
      <c r="L87" s="293">
        <v>39386</v>
      </c>
      <c r="M87" s="284">
        <v>0</v>
      </c>
      <c r="N87" s="283">
        <v>0</v>
      </c>
      <c r="O87" s="283" t="s">
        <v>1419</v>
      </c>
      <c r="P87" s="283" t="s">
        <v>1419</v>
      </c>
      <c r="Q87" s="283">
        <v>9</v>
      </c>
      <c r="R87" s="283">
        <v>1</v>
      </c>
      <c r="S87" s="283">
        <v>4.0999999999999996</v>
      </c>
      <c r="T87" s="283" t="s">
        <v>1418</v>
      </c>
      <c r="U87" s="283">
        <v>43</v>
      </c>
      <c r="V87" s="283">
        <v>1</v>
      </c>
      <c r="W87" s="283">
        <v>19</v>
      </c>
      <c r="X87" s="283" t="s">
        <v>1418</v>
      </c>
      <c r="Y87" s="283"/>
      <c r="Z87" s="283"/>
      <c r="AA87" s="270"/>
      <c r="AB87" s="270"/>
      <c r="AC87" s="270"/>
      <c r="AD87" s="270"/>
      <c r="AE87" s="270"/>
    </row>
    <row r="88" spans="1:31" x14ac:dyDescent="0.25">
      <c r="A88" s="297" t="s">
        <v>74</v>
      </c>
      <c r="B88" s="298" t="s">
        <v>895</v>
      </c>
      <c r="C88" s="299">
        <v>27</v>
      </c>
      <c r="D88" s="173" t="s">
        <v>877</v>
      </c>
      <c r="E88" s="709" t="s">
        <v>243</v>
      </c>
      <c r="F88" s="710" t="s">
        <v>262</v>
      </c>
      <c r="G88" s="292">
        <v>35.340000000000003</v>
      </c>
      <c r="H88" s="292">
        <v>-69.790000000000006</v>
      </c>
      <c r="I88" s="292" t="s">
        <v>1201</v>
      </c>
      <c r="J88" s="174" t="str">
        <f t="shared" si="6"/>
        <v/>
      </c>
      <c r="K88" s="305">
        <v>4</v>
      </c>
      <c r="L88" s="293">
        <v>40021</v>
      </c>
      <c r="M88" s="284"/>
      <c r="N88" s="283"/>
      <c r="O88" s="283" t="s">
        <v>1419</v>
      </c>
      <c r="P88" s="283" t="s">
        <v>1419</v>
      </c>
      <c r="Q88" s="283">
        <v>5.3</v>
      </c>
      <c r="R88" s="283">
        <v>1</v>
      </c>
      <c r="S88" s="283">
        <v>4.0999999999999996</v>
      </c>
      <c r="T88" s="283" t="s">
        <v>1418</v>
      </c>
      <c r="U88" s="283">
        <v>23</v>
      </c>
      <c r="V88" s="283">
        <v>1</v>
      </c>
      <c r="W88" s="283">
        <v>19</v>
      </c>
      <c r="X88" s="283" t="s">
        <v>1418</v>
      </c>
      <c r="Y88" s="283"/>
      <c r="Z88" s="283"/>
      <c r="AA88" s="283"/>
      <c r="AB88" s="283"/>
      <c r="AC88" s="283"/>
      <c r="AD88" s="283"/>
      <c r="AE88" s="270"/>
    </row>
    <row r="89" spans="1:31" x14ac:dyDescent="0.25">
      <c r="A89" s="297" t="s">
        <v>74</v>
      </c>
      <c r="B89" s="298" t="s">
        <v>895</v>
      </c>
      <c r="C89" s="299">
        <v>26</v>
      </c>
      <c r="D89" s="173" t="s">
        <v>877</v>
      </c>
      <c r="E89" s="709" t="s">
        <v>244</v>
      </c>
      <c r="F89" s="710" t="s">
        <v>263</v>
      </c>
      <c r="G89" s="292">
        <v>34.56</v>
      </c>
      <c r="H89" s="292">
        <v>-69.558000000000007</v>
      </c>
      <c r="I89" s="292" t="s">
        <v>1201</v>
      </c>
      <c r="J89" s="174" t="str">
        <f t="shared" si="6"/>
        <v/>
      </c>
      <c r="K89" s="305">
        <v>4</v>
      </c>
      <c r="L89" s="293">
        <v>40021</v>
      </c>
      <c r="M89" s="284"/>
      <c r="N89" s="283"/>
      <c r="O89" s="283" t="s">
        <v>1419</v>
      </c>
      <c r="P89" s="283" t="s">
        <v>1419</v>
      </c>
      <c r="Q89" s="283">
        <v>7.3</v>
      </c>
      <c r="R89" s="283">
        <v>1</v>
      </c>
      <c r="S89" s="283">
        <v>4.0999999999999996</v>
      </c>
      <c r="T89" s="283" t="s">
        <v>1418</v>
      </c>
      <c r="U89" s="283">
        <v>27</v>
      </c>
      <c r="V89" s="283">
        <v>1</v>
      </c>
      <c r="W89" s="283">
        <v>19</v>
      </c>
      <c r="X89" s="283" t="s">
        <v>1418</v>
      </c>
      <c r="Y89" s="283"/>
      <c r="Z89" s="283"/>
      <c r="AA89" s="283"/>
      <c r="AB89" s="283"/>
      <c r="AC89" s="283"/>
      <c r="AD89" s="283"/>
      <c r="AE89" s="270"/>
    </row>
    <row r="90" spans="1:31" x14ac:dyDescent="0.25">
      <c r="A90" s="297" t="s">
        <v>74</v>
      </c>
      <c r="B90" s="298" t="s">
        <v>895</v>
      </c>
      <c r="C90" s="299">
        <v>25</v>
      </c>
      <c r="D90" s="173" t="s">
        <v>877</v>
      </c>
      <c r="E90" s="709" t="s">
        <v>245</v>
      </c>
      <c r="F90" s="710" t="s">
        <v>264</v>
      </c>
      <c r="G90" s="292">
        <v>33.637999999999998</v>
      </c>
      <c r="H90" s="292">
        <v>-69.296000000000006</v>
      </c>
      <c r="I90" s="292" t="s">
        <v>1201</v>
      </c>
      <c r="J90" s="174" t="str">
        <f t="shared" si="6"/>
        <v/>
      </c>
      <c r="K90" s="305">
        <v>4</v>
      </c>
      <c r="L90" s="293">
        <v>40020</v>
      </c>
      <c r="M90" s="284"/>
      <c r="N90" s="283"/>
      <c r="O90" s="283" t="s">
        <v>1419</v>
      </c>
      <c r="P90" s="283" t="s">
        <v>1419</v>
      </c>
      <c r="Q90" s="283">
        <v>5.9</v>
      </c>
      <c r="R90" s="283">
        <v>1</v>
      </c>
      <c r="S90" s="283">
        <v>4.0999999999999996</v>
      </c>
      <c r="T90" s="283" t="s">
        <v>1418</v>
      </c>
      <c r="U90" s="283">
        <v>26</v>
      </c>
      <c r="V90" s="283">
        <v>1</v>
      </c>
      <c r="W90" s="283">
        <v>19</v>
      </c>
      <c r="X90" s="283" t="s">
        <v>1418</v>
      </c>
      <c r="Y90" s="283"/>
      <c r="Z90" s="283"/>
      <c r="AA90" s="283"/>
      <c r="AB90" s="283"/>
      <c r="AC90" s="283"/>
      <c r="AD90" s="283"/>
      <c r="AE90" s="270"/>
    </row>
    <row r="91" spans="1:31" x14ac:dyDescent="0.25">
      <c r="A91" s="297" t="s">
        <v>74</v>
      </c>
      <c r="B91" s="298" t="s">
        <v>895</v>
      </c>
      <c r="C91" s="299">
        <v>24</v>
      </c>
      <c r="D91" s="173" t="s">
        <v>877</v>
      </c>
      <c r="E91" s="709" t="s">
        <v>246</v>
      </c>
      <c r="F91" s="710" t="s">
        <v>1234</v>
      </c>
      <c r="G91" s="292">
        <v>32.811</v>
      </c>
      <c r="H91" s="292">
        <v>-69.129000000000005</v>
      </c>
      <c r="I91" s="292" t="s">
        <v>1201</v>
      </c>
      <c r="J91" s="174" t="str">
        <f t="shared" si="6"/>
        <v>yes</v>
      </c>
      <c r="K91" s="305">
        <v>4</v>
      </c>
      <c r="L91" s="293">
        <v>40020</v>
      </c>
      <c r="M91" s="284"/>
      <c r="N91" s="283"/>
      <c r="O91" s="283" t="s">
        <v>1419</v>
      </c>
      <c r="P91" s="283" t="s">
        <v>1419</v>
      </c>
      <c r="Q91" s="283">
        <v>1.6</v>
      </c>
      <c r="R91" s="283">
        <v>1</v>
      </c>
      <c r="S91" s="283">
        <v>4.0999999999999996</v>
      </c>
      <c r="T91" s="283" t="s">
        <v>1418</v>
      </c>
      <c r="U91" s="283">
        <v>13</v>
      </c>
      <c r="V91" s="283">
        <v>0</v>
      </c>
      <c r="W91" s="283">
        <v>19</v>
      </c>
      <c r="X91" s="283" t="s">
        <v>1418</v>
      </c>
      <c r="Y91" s="283"/>
      <c r="Z91" s="283"/>
      <c r="AA91" s="283"/>
      <c r="AB91" s="283"/>
      <c r="AC91" s="283"/>
      <c r="AD91" s="283"/>
      <c r="AE91" s="270"/>
    </row>
    <row r="92" spans="1:31" x14ac:dyDescent="0.25">
      <c r="A92" s="297" t="s">
        <v>74</v>
      </c>
      <c r="B92" s="298" t="s">
        <v>895</v>
      </c>
      <c r="C92" s="299">
        <v>23</v>
      </c>
      <c r="D92" s="173" t="s">
        <v>877</v>
      </c>
      <c r="E92" s="709" t="s">
        <v>247</v>
      </c>
      <c r="F92" s="710" t="s">
        <v>265</v>
      </c>
      <c r="G92" s="292">
        <v>31.896000000000001</v>
      </c>
      <c r="H92" s="292">
        <v>-68.850999999999999</v>
      </c>
      <c r="I92" s="292" t="s">
        <v>1201</v>
      </c>
      <c r="J92" s="174" t="str">
        <f t="shared" si="6"/>
        <v/>
      </c>
      <c r="K92" s="305">
        <v>4</v>
      </c>
      <c r="L92" s="293">
        <v>40020</v>
      </c>
      <c r="M92" s="284"/>
      <c r="N92" s="283"/>
      <c r="O92" s="283" t="s">
        <v>1419</v>
      </c>
      <c r="P92" s="283" t="s">
        <v>1419</v>
      </c>
      <c r="Q92" s="283">
        <v>5.8</v>
      </c>
      <c r="R92" s="283">
        <v>1</v>
      </c>
      <c r="S92" s="283">
        <v>4.0999999999999996</v>
      </c>
      <c r="T92" s="283" t="s">
        <v>1418</v>
      </c>
      <c r="U92" s="283">
        <v>23</v>
      </c>
      <c r="V92" s="283">
        <v>1</v>
      </c>
      <c r="W92" s="283">
        <v>19</v>
      </c>
      <c r="X92" s="283" t="s">
        <v>1418</v>
      </c>
      <c r="Y92" s="283"/>
      <c r="Z92" s="283"/>
      <c r="AA92" s="283"/>
      <c r="AB92" s="283"/>
      <c r="AC92" s="283"/>
      <c r="AD92" s="283"/>
      <c r="AE92" s="270"/>
    </row>
    <row r="93" spans="1:31" x14ac:dyDescent="0.25">
      <c r="A93" s="297" t="s">
        <v>74</v>
      </c>
      <c r="B93" s="298" t="s">
        <v>895</v>
      </c>
      <c r="C93" s="299">
        <v>22</v>
      </c>
      <c r="D93" s="173" t="s">
        <v>877</v>
      </c>
      <c r="E93" s="709" t="s">
        <v>1233</v>
      </c>
      <c r="F93" s="710" t="s">
        <v>266</v>
      </c>
      <c r="G93" s="292">
        <v>30.902000000000001</v>
      </c>
      <c r="H93" s="292">
        <v>-68.471999999999994</v>
      </c>
      <c r="I93" s="292" t="s">
        <v>1201</v>
      </c>
      <c r="J93" s="174" t="str">
        <f t="shared" si="6"/>
        <v/>
      </c>
      <c r="K93" s="305">
        <v>4</v>
      </c>
      <c r="L93" s="293">
        <v>40020</v>
      </c>
      <c r="M93" s="284"/>
      <c r="N93" s="283"/>
      <c r="O93" s="283" t="s">
        <v>1419</v>
      </c>
      <c r="P93" s="283" t="s">
        <v>1419</v>
      </c>
      <c r="Q93" s="283">
        <v>7.1</v>
      </c>
      <c r="R93" s="283">
        <v>1</v>
      </c>
      <c r="S93" s="283">
        <v>4.0999999999999996</v>
      </c>
      <c r="T93" s="283" t="s">
        <v>1418</v>
      </c>
      <c r="U93" s="283">
        <v>28</v>
      </c>
      <c r="V93" s="283">
        <v>1</v>
      </c>
      <c r="W93" s="283">
        <v>19</v>
      </c>
      <c r="X93" s="283" t="s">
        <v>1418</v>
      </c>
      <c r="Y93" s="283"/>
      <c r="Z93" s="283"/>
      <c r="AA93" s="283"/>
      <c r="AB93" s="283"/>
      <c r="AC93" s="283"/>
      <c r="AD93" s="283"/>
      <c r="AE93" s="270"/>
    </row>
    <row r="94" spans="1:31" x14ac:dyDescent="0.25">
      <c r="A94" s="297" t="s">
        <v>74</v>
      </c>
      <c r="B94" s="298" t="s">
        <v>895</v>
      </c>
      <c r="C94" s="299">
        <v>21</v>
      </c>
      <c r="D94" s="173" t="s">
        <v>877</v>
      </c>
      <c r="E94" s="709" t="s">
        <v>248</v>
      </c>
      <c r="F94" s="710" t="s">
        <v>267</v>
      </c>
      <c r="G94" s="292">
        <v>29.998000000000001</v>
      </c>
      <c r="H94" s="292">
        <v>-67.994</v>
      </c>
      <c r="I94" s="292" t="s">
        <v>1201</v>
      </c>
      <c r="J94" s="174" t="str">
        <f t="shared" si="6"/>
        <v/>
      </c>
      <c r="K94" s="305">
        <v>4</v>
      </c>
      <c r="L94" s="293">
        <v>40019</v>
      </c>
      <c r="M94" s="284"/>
      <c r="N94" s="283"/>
      <c r="O94" s="283" t="s">
        <v>1419</v>
      </c>
      <c r="P94" s="283" t="s">
        <v>1419</v>
      </c>
      <c r="Q94" s="283">
        <v>6</v>
      </c>
      <c r="R94" s="283">
        <v>1</v>
      </c>
      <c r="S94" s="283">
        <v>4.0999999999999996</v>
      </c>
      <c r="T94" s="283" t="s">
        <v>1418</v>
      </c>
      <c r="U94" s="283">
        <v>22</v>
      </c>
      <c r="V94" s="283">
        <v>1</v>
      </c>
      <c r="W94" s="283">
        <v>19</v>
      </c>
      <c r="X94" s="283" t="s">
        <v>1418</v>
      </c>
      <c r="Y94" s="283"/>
      <c r="Z94" s="283"/>
      <c r="AA94" s="283"/>
      <c r="AB94" s="283"/>
      <c r="AC94" s="283"/>
      <c r="AD94" s="283"/>
      <c r="AE94" s="270"/>
    </row>
    <row r="95" spans="1:31" x14ac:dyDescent="0.25">
      <c r="A95" s="297" t="s">
        <v>74</v>
      </c>
      <c r="B95" s="298" t="s">
        <v>895</v>
      </c>
      <c r="C95" s="299">
        <v>20</v>
      </c>
      <c r="D95" s="173" t="s">
        <v>877</v>
      </c>
      <c r="E95" s="709" t="s">
        <v>249</v>
      </c>
      <c r="F95" s="710" t="s">
        <v>268</v>
      </c>
      <c r="G95" s="292">
        <v>29.434999999999999</v>
      </c>
      <c r="H95" s="292">
        <v>-63.618000000000002</v>
      </c>
      <c r="I95" s="292" t="s">
        <v>1201</v>
      </c>
      <c r="J95" s="174" t="str">
        <f t="shared" si="6"/>
        <v/>
      </c>
      <c r="K95" s="305">
        <v>4</v>
      </c>
      <c r="L95" s="293">
        <v>40019</v>
      </c>
      <c r="M95" s="284"/>
      <c r="N95" s="283"/>
      <c r="O95" s="283" t="s">
        <v>1419</v>
      </c>
      <c r="P95" s="283" t="s">
        <v>1419</v>
      </c>
      <c r="Q95" s="283">
        <v>5.4</v>
      </c>
      <c r="R95" s="283">
        <v>1</v>
      </c>
      <c r="S95" s="283">
        <v>4.0999999999999996</v>
      </c>
      <c r="T95" s="283" t="s">
        <v>1418</v>
      </c>
      <c r="U95" s="283">
        <v>21</v>
      </c>
      <c r="V95" s="283">
        <v>1</v>
      </c>
      <c r="W95" s="283">
        <v>19</v>
      </c>
      <c r="X95" s="283" t="s">
        <v>1418</v>
      </c>
      <c r="Y95" s="283"/>
      <c r="Z95" s="283"/>
      <c r="AA95" s="283"/>
      <c r="AB95" s="283"/>
      <c r="AC95" s="283"/>
      <c r="AD95" s="283"/>
      <c r="AE95" s="270"/>
    </row>
    <row r="96" spans="1:31" x14ac:dyDescent="0.25">
      <c r="A96" s="297" t="s">
        <v>74</v>
      </c>
      <c r="B96" s="298" t="s">
        <v>895</v>
      </c>
      <c r="C96" s="299">
        <v>19</v>
      </c>
      <c r="D96" s="173" t="s">
        <v>877</v>
      </c>
      <c r="E96" s="709" t="s">
        <v>250</v>
      </c>
      <c r="F96" s="710" t="s">
        <v>269</v>
      </c>
      <c r="G96" s="292">
        <v>28.343</v>
      </c>
      <c r="H96" s="292">
        <v>-67.027000000000001</v>
      </c>
      <c r="I96" s="292" t="s">
        <v>1201</v>
      </c>
      <c r="J96" s="174" t="str">
        <f t="shared" si="6"/>
        <v/>
      </c>
      <c r="K96" s="305">
        <v>4</v>
      </c>
      <c r="L96" s="293">
        <v>40019</v>
      </c>
      <c r="M96" s="284"/>
      <c r="N96" s="283"/>
      <c r="O96" s="283" t="s">
        <v>1419</v>
      </c>
      <c r="P96" s="283" t="s">
        <v>1419</v>
      </c>
      <c r="Q96" s="283">
        <v>6</v>
      </c>
      <c r="R96" s="283">
        <v>1</v>
      </c>
      <c r="S96" s="283">
        <v>4.0999999999999996</v>
      </c>
      <c r="T96" s="283" t="s">
        <v>1418</v>
      </c>
      <c r="U96" s="283">
        <v>32</v>
      </c>
      <c r="V96" s="283">
        <v>1</v>
      </c>
      <c r="W96" s="283">
        <v>19</v>
      </c>
      <c r="X96" s="283" t="s">
        <v>1418</v>
      </c>
      <c r="Y96" s="283"/>
      <c r="Z96" s="283"/>
      <c r="AA96" s="283"/>
      <c r="AB96" s="283"/>
      <c r="AC96" s="283"/>
      <c r="AD96" s="283"/>
      <c r="AE96" s="270"/>
    </row>
    <row r="97" spans="1:31" x14ac:dyDescent="0.25">
      <c r="A97" s="297" t="s">
        <v>74</v>
      </c>
      <c r="B97" s="298" t="s">
        <v>895</v>
      </c>
      <c r="C97" s="299">
        <v>18</v>
      </c>
      <c r="D97" s="173" t="s">
        <v>877</v>
      </c>
      <c r="E97" s="709" t="s">
        <v>251</v>
      </c>
      <c r="F97" s="710" t="s">
        <v>1232</v>
      </c>
      <c r="G97" s="292">
        <v>27.548999999999999</v>
      </c>
      <c r="H97" s="292">
        <v>-66.555000000000007</v>
      </c>
      <c r="I97" s="292" t="s">
        <v>1201</v>
      </c>
      <c r="J97" s="174" t="str">
        <f t="shared" si="6"/>
        <v/>
      </c>
      <c r="K97" s="305">
        <v>4</v>
      </c>
      <c r="L97" s="293">
        <v>40019</v>
      </c>
      <c r="M97" s="284"/>
      <c r="N97" s="283"/>
      <c r="O97" s="283" t="s">
        <v>1419</v>
      </c>
      <c r="P97" s="283" t="s">
        <v>1419</v>
      </c>
      <c r="Q97" s="283">
        <v>4.5</v>
      </c>
      <c r="R97" s="283">
        <v>1</v>
      </c>
      <c r="S97" s="283">
        <v>4.0999999999999996</v>
      </c>
      <c r="T97" s="283" t="s">
        <v>1418</v>
      </c>
      <c r="U97" s="283">
        <v>27</v>
      </c>
      <c r="V97" s="283">
        <v>1</v>
      </c>
      <c r="W97" s="283">
        <v>19</v>
      </c>
      <c r="X97" s="283" t="s">
        <v>1418</v>
      </c>
      <c r="Y97" s="283"/>
      <c r="Z97" s="283"/>
      <c r="AA97" s="283"/>
      <c r="AB97" s="283"/>
      <c r="AC97" s="283"/>
      <c r="AD97" s="283"/>
      <c r="AE97" s="270"/>
    </row>
    <row r="98" spans="1:31" x14ac:dyDescent="0.25">
      <c r="A98" s="297" t="s">
        <v>74</v>
      </c>
      <c r="B98" s="298" t="s">
        <v>895</v>
      </c>
      <c r="C98" s="299">
        <v>17</v>
      </c>
      <c r="D98" s="173" t="s">
        <v>877</v>
      </c>
      <c r="E98" s="709" t="s">
        <v>252</v>
      </c>
      <c r="F98" s="710" t="s">
        <v>270</v>
      </c>
      <c r="G98" s="292">
        <v>26.74</v>
      </c>
      <c r="H98" s="292">
        <v>-66.870999999999995</v>
      </c>
      <c r="I98" s="292" t="s">
        <v>1201</v>
      </c>
      <c r="J98" s="174" t="str">
        <f t="shared" si="6"/>
        <v/>
      </c>
      <c r="K98" s="305">
        <v>4</v>
      </c>
      <c r="L98" s="293">
        <v>40019</v>
      </c>
      <c r="M98" s="284"/>
      <c r="N98" s="283"/>
      <c r="O98" s="283" t="s">
        <v>1419</v>
      </c>
      <c r="P98" s="283" t="s">
        <v>1419</v>
      </c>
      <c r="Q98" s="283">
        <v>4.0999999999999996</v>
      </c>
      <c r="R98" s="283">
        <v>1</v>
      </c>
      <c r="S98" s="283">
        <v>4.0999999999999996</v>
      </c>
      <c r="T98" s="283" t="s">
        <v>1418</v>
      </c>
      <c r="U98" s="283">
        <v>23</v>
      </c>
      <c r="V98" s="283">
        <v>1</v>
      </c>
      <c r="W98" s="283">
        <v>19</v>
      </c>
      <c r="X98" s="283" t="s">
        <v>1418</v>
      </c>
      <c r="Y98" s="283"/>
      <c r="Z98" s="283"/>
      <c r="AA98" s="283"/>
      <c r="AB98" s="283"/>
      <c r="AC98" s="283"/>
      <c r="AD98" s="283"/>
      <c r="AE98" s="270"/>
    </row>
    <row r="99" spans="1:31" x14ac:dyDescent="0.25">
      <c r="A99" s="297" t="s">
        <v>74</v>
      </c>
      <c r="B99" s="298" t="s">
        <v>895</v>
      </c>
      <c r="C99" s="299">
        <v>16</v>
      </c>
      <c r="D99" s="173" t="s">
        <v>877</v>
      </c>
      <c r="E99" s="709" t="s">
        <v>253</v>
      </c>
      <c r="F99" s="710" t="s">
        <v>271</v>
      </c>
      <c r="G99" s="292">
        <v>25.838000000000001</v>
      </c>
      <c r="H99" s="292">
        <v>-65.605999999999995</v>
      </c>
      <c r="I99" s="292" t="s">
        <v>1201</v>
      </c>
      <c r="J99" s="174" t="str">
        <f t="shared" si="6"/>
        <v/>
      </c>
      <c r="K99" s="305">
        <v>4</v>
      </c>
      <c r="L99" s="293">
        <v>40018</v>
      </c>
      <c r="M99" s="284"/>
      <c r="N99" s="283"/>
      <c r="O99" s="283" t="s">
        <v>1419</v>
      </c>
      <c r="P99" s="283" t="s">
        <v>1419</v>
      </c>
      <c r="Q99" s="283">
        <v>4</v>
      </c>
      <c r="R99" s="283">
        <v>0</v>
      </c>
      <c r="S99" s="283">
        <v>4.0999999999999996</v>
      </c>
      <c r="T99" s="283" t="s">
        <v>1418</v>
      </c>
      <c r="U99" s="283">
        <v>21</v>
      </c>
      <c r="V99" s="283">
        <v>1</v>
      </c>
      <c r="W99" s="283">
        <v>19</v>
      </c>
      <c r="X99" s="283" t="s">
        <v>1418</v>
      </c>
      <c r="Y99" s="283"/>
      <c r="Z99" s="283"/>
      <c r="AA99" s="283"/>
      <c r="AB99" s="283"/>
      <c r="AC99" s="283"/>
      <c r="AD99" s="283"/>
      <c r="AE99" s="270"/>
    </row>
    <row r="100" spans="1:31" x14ac:dyDescent="0.25">
      <c r="A100" s="297" t="s">
        <v>74</v>
      </c>
      <c r="B100" s="298" t="s">
        <v>895</v>
      </c>
      <c r="C100" s="299">
        <v>15</v>
      </c>
      <c r="D100" s="173" t="s">
        <v>877</v>
      </c>
      <c r="E100" s="709" t="s">
        <v>254</v>
      </c>
      <c r="F100" s="710" t="s">
        <v>272</v>
      </c>
      <c r="G100" s="292">
        <v>22.437999999999999</v>
      </c>
      <c r="H100" s="292">
        <v>-63.82</v>
      </c>
      <c r="I100" s="292" t="s">
        <v>1201</v>
      </c>
      <c r="J100" s="174" t="str">
        <f t="shared" si="6"/>
        <v/>
      </c>
      <c r="K100" s="305">
        <v>4</v>
      </c>
      <c r="L100" s="293">
        <v>40017</v>
      </c>
      <c r="M100" s="284"/>
      <c r="N100" s="283"/>
      <c r="O100" s="283" t="s">
        <v>1419</v>
      </c>
      <c r="P100" s="283" t="s">
        <v>1419</v>
      </c>
      <c r="Q100" s="283">
        <v>4.7</v>
      </c>
      <c r="R100" s="283">
        <v>1</v>
      </c>
      <c r="S100" s="283">
        <v>4.0999999999999996</v>
      </c>
      <c r="T100" s="283" t="s">
        <v>1418</v>
      </c>
      <c r="U100" s="283">
        <v>21</v>
      </c>
      <c r="V100" s="283">
        <v>1</v>
      </c>
      <c r="W100" s="283">
        <v>19</v>
      </c>
      <c r="X100" s="283" t="s">
        <v>1418</v>
      </c>
      <c r="Y100" s="283"/>
      <c r="Z100" s="283"/>
      <c r="AA100" s="270"/>
      <c r="AB100" s="270"/>
      <c r="AC100" s="270"/>
      <c r="AD100" s="270"/>
      <c r="AE100" s="270"/>
    </row>
    <row r="101" spans="1:31" x14ac:dyDescent="0.25">
      <c r="A101" s="297" t="s">
        <v>120</v>
      </c>
      <c r="B101" s="298" t="s">
        <v>715</v>
      </c>
      <c r="C101" s="299">
        <v>11</v>
      </c>
      <c r="D101" s="173" t="s">
        <v>877</v>
      </c>
      <c r="E101" s="709" t="s">
        <v>1633</v>
      </c>
      <c r="F101" s="709" t="s">
        <v>1634</v>
      </c>
      <c r="G101" s="810">
        <v>8.4510000000000005</v>
      </c>
      <c r="H101" s="810">
        <v>-26.809166999999999</v>
      </c>
      <c r="I101" s="292" t="s">
        <v>1201</v>
      </c>
      <c r="J101" s="174" t="str">
        <f t="shared" si="6"/>
        <v/>
      </c>
      <c r="K101" s="811">
        <v>5</v>
      </c>
      <c r="L101" s="293">
        <v>39390</v>
      </c>
      <c r="M101" s="284">
        <v>1.7</v>
      </c>
      <c r="N101" s="283">
        <v>1</v>
      </c>
      <c r="O101" s="283" t="s">
        <v>1419</v>
      </c>
      <c r="P101" s="283" t="s">
        <v>1419</v>
      </c>
      <c r="Q101" s="283">
        <v>1.4</v>
      </c>
      <c r="R101" s="283">
        <v>0</v>
      </c>
      <c r="S101" s="283">
        <v>4.0999999999999996</v>
      </c>
      <c r="T101" s="283" t="s">
        <v>1418</v>
      </c>
      <c r="U101" s="283">
        <v>30</v>
      </c>
      <c r="V101" s="283">
        <v>1</v>
      </c>
      <c r="W101" s="283">
        <v>19</v>
      </c>
      <c r="X101" s="283" t="s">
        <v>1418</v>
      </c>
      <c r="Y101" s="283"/>
      <c r="Z101" s="283"/>
      <c r="AA101" s="270"/>
      <c r="AB101" s="270"/>
      <c r="AC101" s="270"/>
      <c r="AD101" s="270"/>
      <c r="AE101" s="270"/>
    </row>
    <row r="102" spans="1:31" x14ac:dyDescent="0.25">
      <c r="A102" s="297" t="s">
        <v>120</v>
      </c>
      <c r="B102" s="298" t="s">
        <v>715</v>
      </c>
      <c r="C102" s="299">
        <v>10</v>
      </c>
      <c r="D102" s="173" t="s">
        <v>877</v>
      </c>
      <c r="E102" s="709" t="s">
        <v>1635</v>
      </c>
      <c r="F102" s="709" t="s">
        <v>1636</v>
      </c>
      <c r="G102" s="810">
        <v>12.287000000000001</v>
      </c>
      <c r="H102" s="810">
        <v>-25.214167</v>
      </c>
      <c r="I102" s="292" t="s">
        <v>1201</v>
      </c>
      <c r="J102" s="174" t="str">
        <f t="shared" si="6"/>
        <v/>
      </c>
      <c r="K102" s="811">
        <v>5</v>
      </c>
      <c r="L102" s="293">
        <v>39388</v>
      </c>
      <c r="M102" s="284">
        <v>0</v>
      </c>
      <c r="N102" s="283">
        <v>0</v>
      </c>
      <c r="O102" s="283" t="s">
        <v>1419</v>
      </c>
      <c r="P102" s="283" t="s">
        <v>1419</v>
      </c>
      <c r="Q102" s="283">
        <v>5.2</v>
      </c>
      <c r="R102" s="283">
        <v>1</v>
      </c>
      <c r="S102" s="283">
        <v>4.0999999999999996</v>
      </c>
      <c r="T102" s="283" t="s">
        <v>1418</v>
      </c>
      <c r="U102" s="283">
        <v>52</v>
      </c>
      <c r="V102" s="283">
        <v>1</v>
      </c>
      <c r="W102" s="283">
        <v>19</v>
      </c>
      <c r="X102" s="283" t="s">
        <v>1418</v>
      </c>
      <c r="Y102" s="283"/>
      <c r="Z102" s="283"/>
      <c r="AA102" s="270"/>
      <c r="AB102" s="270"/>
      <c r="AC102" s="270"/>
      <c r="AD102" s="270"/>
      <c r="AE102" s="270"/>
    </row>
    <row r="103" spans="1:31" x14ac:dyDescent="0.25">
      <c r="A103" s="297" t="s">
        <v>74</v>
      </c>
      <c r="B103" s="298" t="s">
        <v>895</v>
      </c>
      <c r="C103" s="299">
        <v>14</v>
      </c>
      <c r="D103" s="173" t="s">
        <v>877</v>
      </c>
      <c r="E103" s="305" t="s">
        <v>255</v>
      </c>
      <c r="F103" s="292" t="s">
        <v>273</v>
      </c>
      <c r="G103" s="292">
        <v>11.412000000000001</v>
      </c>
      <c r="H103" s="292">
        <v>-56.46</v>
      </c>
      <c r="I103" s="292" t="s">
        <v>1201</v>
      </c>
      <c r="J103" s="174" t="str">
        <f t="shared" si="6"/>
        <v/>
      </c>
      <c r="K103" s="305">
        <v>5</v>
      </c>
      <c r="L103" s="293">
        <v>40012</v>
      </c>
      <c r="M103" s="284"/>
      <c r="N103" s="283"/>
      <c r="O103" s="283" t="s">
        <v>1419</v>
      </c>
      <c r="P103" s="283" t="s">
        <v>1419</v>
      </c>
      <c r="Q103" s="283">
        <v>3.1</v>
      </c>
      <c r="R103" s="283">
        <v>0</v>
      </c>
      <c r="S103" s="283">
        <v>4.0999999999999996</v>
      </c>
      <c r="T103" s="283" t="s">
        <v>1418</v>
      </c>
      <c r="U103" s="283">
        <v>24</v>
      </c>
      <c r="V103" s="283">
        <v>1</v>
      </c>
      <c r="W103" s="283">
        <v>19</v>
      </c>
      <c r="X103" s="283" t="s">
        <v>1418</v>
      </c>
      <c r="Y103" s="283"/>
      <c r="Z103" s="283"/>
      <c r="AA103" s="270"/>
      <c r="AB103" s="270"/>
      <c r="AC103" s="270"/>
      <c r="AD103" s="270"/>
      <c r="AE103" s="270"/>
    </row>
    <row r="104" spans="1:31" x14ac:dyDescent="0.25">
      <c r="A104" s="297" t="s">
        <v>74</v>
      </c>
      <c r="B104" s="298" t="s">
        <v>895</v>
      </c>
      <c r="C104" s="299">
        <v>13</v>
      </c>
      <c r="D104" s="173" t="s">
        <v>877</v>
      </c>
      <c r="E104" s="305" t="s">
        <v>1235</v>
      </c>
      <c r="F104" s="292" t="s">
        <v>274</v>
      </c>
      <c r="G104" s="292">
        <v>9.5359999999999996</v>
      </c>
      <c r="H104" s="292">
        <v>-52.825000000000003</v>
      </c>
      <c r="I104" s="292" t="s">
        <v>1201</v>
      </c>
      <c r="J104" s="174" t="str">
        <f t="shared" si="6"/>
        <v>yes</v>
      </c>
      <c r="K104" s="305">
        <v>5</v>
      </c>
      <c r="L104" s="293">
        <v>40011</v>
      </c>
      <c r="M104" s="284"/>
      <c r="N104" s="283"/>
      <c r="O104" s="283" t="s">
        <v>1419</v>
      </c>
      <c r="P104" s="283" t="s">
        <v>1419</v>
      </c>
      <c r="Q104" s="283">
        <v>1.4</v>
      </c>
      <c r="R104" s="283">
        <v>0</v>
      </c>
      <c r="S104" s="283">
        <v>4.0999999999999996</v>
      </c>
      <c r="T104" s="283" t="s">
        <v>1418</v>
      </c>
      <c r="U104" s="283">
        <v>13</v>
      </c>
      <c r="V104" s="283">
        <v>0</v>
      </c>
      <c r="W104" s="283">
        <v>19</v>
      </c>
      <c r="X104" s="283" t="s">
        <v>1418</v>
      </c>
      <c r="Y104" s="283"/>
      <c r="Z104" s="283"/>
      <c r="AA104" s="270"/>
      <c r="AB104" s="270"/>
      <c r="AC104" s="270"/>
      <c r="AD104" s="270"/>
      <c r="AE104" s="270"/>
    </row>
    <row r="105" spans="1:31" x14ac:dyDescent="0.25">
      <c r="A105" s="297" t="s">
        <v>74</v>
      </c>
      <c r="B105" s="298" t="s">
        <v>895</v>
      </c>
      <c r="C105" s="299">
        <v>12</v>
      </c>
      <c r="D105" s="173" t="s">
        <v>877</v>
      </c>
      <c r="E105" s="305" t="s">
        <v>1231</v>
      </c>
      <c r="F105" s="292" t="s">
        <v>275</v>
      </c>
      <c r="G105" s="214">
        <v>8.4670000000000005</v>
      </c>
      <c r="H105" s="214">
        <v>-50.893999999999998</v>
      </c>
      <c r="I105" s="292" t="s">
        <v>1201</v>
      </c>
      <c r="J105" s="174" t="str">
        <f t="shared" si="6"/>
        <v/>
      </c>
      <c r="K105" s="305">
        <v>5</v>
      </c>
      <c r="L105" s="293">
        <v>40010</v>
      </c>
      <c r="M105" s="284"/>
      <c r="N105" s="283"/>
      <c r="O105" s="283" t="s">
        <v>1419</v>
      </c>
      <c r="P105" s="283" t="s">
        <v>1419</v>
      </c>
      <c r="Q105" s="283">
        <v>4.9000000000000004</v>
      </c>
      <c r="R105" s="283">
        <v>1</v>
      </c>
      <c r="S105" s="283">
        <v>4.0999999999999996</v>
      </c>
      <c r="T105" s="283" t="s">
        <v>1418</v>
      </c>
      <c r="U105" s="283">
        <v>32</v>
      </c>
      <c r="V105" s="283">
        <v>1</v>
      </c>
      <c r="W105" s="283">
        <v>19</v>
      </c>
      <c r="X105" s="283" t="s">
        <v>1418</v>
      </c>
      <c r="Y105" s="283"/>
      <c r="Z105" s="283"/>
      <c r="AA105" s="270"/>
      <c r="AB105" s="270"/>
      <c r="AC105" s="270"/>
      <c r="AD105" s="270"/>
      <c r="AE105" s="270"/>
    </row>
    <row r="106" spans="1:31" x14ac:dyDescent="0.25">
      <c r="A106" s="297" t="s">
        <v>74</v>
      </c>
      <c r="B106" s="298" t="s">
        <v>895</v>
      </c>
      <c r="C106" s="299">
        <v>11</v>
      </c>
      <c r="D106" s="173" t="s">
        <v>877</v>
      </c>
      <c r="E106" s="305" t="s">
        <v>256</v>
      </c>
      <c r="F106" s="292" t="s">
        <v>276</v>
      </c>
      <c r="G106" s="292">
        <v>6.5289999999999999</v>
      </c>
      <c r="H106" s="292">
        <v>-47.363999999999997</v>
      </c>
      <c r="I106" s="292" t="s">
        <v>1201</v>
      </c>
      <c r="J106" s="174" t="str">
        <f t="shared" si="6"/>
        <v/>
      </c>
      <c r="K106" s="305">
        <v>5</v>
      </c>
      <c r="L106" s="293">
        <v>40009</v>
      </c>
      <c r="M106" s="284"/>
      <c r="N106" s="283"/>
      <c r="O106" s="283" t="s">
        <v>1419</v>
      </c>
      <c r="P106" s="283" t="s">
        <v>1419</v>
      </c>
      <c r="Q106" s="283">
        <v>2.7</v>
      </c>
      <c r="R106" s="283">
        <v>0</v>
      </c>
      <c r="S106" s="283">
        <v>4.0999999999999996</v>
      </c>
      <c r="T106" s="283" t="s">
        <v>1418</v>
      </c>
      <c r="U106" s="283">
        <v>20</v>
      </c>
      <c r="V106" s="283">
        <v>1</v>
      </c>
      <c r="W106" s="283">
        <v>19</v>
      </c>
      <c r="X106" s="283" t="s">
        <v>1418</v>
      </c>
      <c r="Y106" s="283"/>
      <c r="Z106" s="283"/>
      <c r="AA106" s="270"/>
      <c r="AB106" s="270"/>
      <c r="AC106" s="270"/>
      <c r="AD106" s="270"/>
      <c r="AE106" s="270"/>
    </row>
    <row r="107" spans="1:31" x14ac:dyDescent="0.25">
      <c r="A107" s="297" t="s">
        <v>74</v>
      </c>
      <c r="B107" s="298" t="s">
        <v>895</v>
      </c>
      <c r="C107" s="299">
        <v>10</v>
      </c>
      <c r="D107" s="173" t="s">
        <v>877</v>
      </c>
      <c r="E107" s="305" t="s">
        <v>257</v>
      </c>
      <c r="F107" s="292" t="s">
        <v>277</v>
      </c>
      <c r="G107" s="283">
        <v>4.0739999999999998</v>
      </c>
      <c r="H107" s="283">
        <v>-42.988999999999997</v>
      </c>
      <c r="I107" s="292" t="s">
        <v>1201</v>
      </c>
      <c r="J107" s="174" t="str">
        <f t="shared" si="6"/>
        <v>yes</v>
      </c>
      <c r="K107" s="305">
        <v>5</v>
      </c>
      <c r="L107" s="293">
        <v>40008</v>
      </c>
      <c r="M107" s="284"/>
      <c r="N107" s="283"/>
      <c r="O107" s="283" t="s">
        <v>1419</v>
      </c>
      <c r="P107" s="283" t="s">
        <v>1419</v>
      </c>
      <c r="Q107" s="283">
        <v>2.8</v>
      </c>
      <c r="R107" s="283">
        <v>0</v>
      </c>
      <c r="S107" s="283">
        <v>4.0999999999999996</v>
      </c>
      <c r="T107" s="283" t="s">
        <v>1418</v>
      </c>
      <c r="U107" s="283">
        <v>17</v>
      </c>
      <c r="V107" s="283">
        <v>0</v>
      </c>
      <c r="W107" s="283">
        <v>19</v>
      </c>
      <c r="X107" s="283" t="s">
        <v>1418</v>
      </c>
      <c r="Y107" s="283"/>
      <c r="Z107" s="283"/>
      <c r="AA107" s="270"/>
      <c r="AB107" s="270"/>
      <c r="AC107" s="270"/>
      <c r="AD107" s="270"/>
      <c r="AE107" s="270"/>
    </row>
    <row r="108" spans="1:31" x14ac:dyDescent="0.25">
      <c r="A108" s="297" t="s">
        <v>74</v>
      </c>
      <c r="B108" s="298" t="s">
        <v>895</v>
      </c>
      <c r="C108" s="299">
        <v>9</v>
      </c>
      <c r="D108" s="173" t="s">
        <v>877</v>
      </c>
      <c r="E108" s="305" t="s">
        <v>258</v>
      </c>
      <c r="F108" s="292" t="s">
        <v>278</v>
      </c>
      <c r="G108" s="283">
        <v>3.085</v>
      </c>
      <c r="H108" s="283">
        <v>-41.247999999999998</v>
      </c>
      <c r="I108" s="292" t="s">
        <v>1201</v>
      </c>
      <c r="J108" s="174" t="str">
        <f t="shared" si="6"/>
        <v>yes</v>
      </c>
      <c r="K108" s="305">
        <v>5</v>
      </c>
      <c r="L108" s="293">
        <v>40007</v>
      </c>
      <c r="M108" s="284"/>
      <c r="N108" s="283"/>
      <c r="O108" s="283" t="s">
        <v>1419</v>
      </c>
      <c r="P108" s="283" t="s">
        <v>1419</v>
      </c>
      <c r="Q108" s="283">
        <v>2</v>
      </c>
      <c r="R108" s="283">
        <v>0</v>
      </c>
      <c r="S108" s="283">
        <v>4.0999999999999996</v>
      </c>
      <c r="T108" s="283" t="s">
        <v>1418</v>
      </c>
      <c r="U108" s="283">
        <v>14</v>
      </c>
      <c r="V108" s="283">
        <v>0</v>
      </c>
      <c r="W108" s="283">
        <v>19</v>
      </c>
      <c r="X108" s="283" t="s">
        <v>1418</v>
      </c>
      <c r="Y108" s="283"/>
      <c r="Z108" s="283"/>
      <c r="AA108" s="270"/>
      <c r="AB108" s="270"/>
      <c r="AC108" s="270"/>
      <c r="AD108" s="270"/>
      <c r="AE108" s="270"/>
    </row>
    <row r="109" spans="1:31" x14ac:dyDescent="0.25">
      <c r="A109" s="297" t="s">
        <v>74</v>
      </c>
      <c r="B109" s="298" t="s">
        <v>895</v>
      </c>
      <c r="C109" s="299">
        <v>8</v>
      </c>
      <c r="D109" s="717" t="s">
        <v>878</v>
      </c>
      <c r="E109" s="170" t="s">
        <v>1607</v>
      </c>
      <c r="F109" s="283" t="s">
        <v>1608</v>
      </c>
      <c r="G109" s="808">
        <v>-3.8795000000000002</v>
      </c>
      <c r="H109" s="808">
        <v>-29.067</v>
      </c>
      <c r="I109" s="292" t="s">
        <v>1201</v>
      </c>
      <c r="J109" s="174"/>
      <c r="K109" s="809">
        <v>6</v>
      </c>
      <c r="L109" s="293">
        <v>40005</v>
      </c>
      <c r="M109" s="284"/>
      <c r="N109" s="283"/>
      <c r="O109" s="283" t="s">
        <v>1419</v>
      </c>
      <c r="P109" s="283" t="s">
        <v>1419</v>
      </c>
      <c r="Q109" s="283">
        <v>3</v>
      </c>
      <c r="R109" s="283">
        <v>0</v>
      </c>
      <c r="S109" s="283">
        <v>4.0999999999999996</v>
      </c>
      <c r="T109" s="283" t="s">
        <v>1418</v>
      </c>
      <c r="U109" s="283">
        <v>29</v>
      </c>
      <c r="V109" s="283">
        <v>1</v>
      </c>
      <c r="W109" s="283">
        <v>19</v>
      </c>
      <c r="X109" s="283" t="s">
        <v>1418</v>
      </c>
      <c r="Y109" s="283"/>
      <c r="Z109" s="283"/>
      <c r="AA109" s="270"/>
      <c r="AB109" s="270"/>
      <c r="AC109" s="270"/>
      <c r="AD109" s="270"/>
      <c r="AE109" s="270"/>
    </row>
    <row r="110" spans="1:31" x14ac:dyDescent="0.25">
      <c r="A110" s="297" t="s">
        <v>74</v>
      </c>
      <c r="B110" s="298" t="s">
        <v>895</v>
      </c>
      <c r="C110" s="299">
        <v>7</v>
      </c>
      <c r="D110" s="717" t="s">
        <v>878</v>
      </c>
      <c r="E110" s="170" t="s">
        <v>1609</v>
      </c>
      <c r="F110" s="283" t="s">
        <v>1610</v>
      </c>
      <c r="G110" s="808">
        <v>-4.8559999999999999</v>
      </c>
      <c r="H110" s="808">
        <v>-27.3445</v>
      </c>
      <c r="I110" s="292" t="s">
        <v>1201</v>
      </c>
      <c r="J110" s="174"/>
      <c r="K110" s="809">
        <v>6</v>
      </c>
      <c r="L110" s="293">
        <v>40004</v>
      </c>
      <c r="M110" s="284"/>
      <c r="N110" s="283"/>
      <c r="O110" s="283" t="s">
        <v>1419</v>
      </c>
      <c r="P110" s="283" t="s">
        <v>1419</v>
      </c>
      <c r="Q110" s="283">
        <v>3.3</v>
      </c>
      <c r="R110" s="283">
        <v>0</v>
      </c>
      <c r="S110" s="283">
        <v>4.0999999999999996</v>
      </c>
      <c r="T110" s="283" t="s">
        <v>1418</v>
      </c>
      <c r="U110" s="283">
        <v>24</v>
      </c>
      <c r="V110" s="283">
        <v>1</v>
      </c>
      <c r="W110" s="283">
        <v>19</v>
      </c>
      <c r="X110" s="283" t="s">
        <v>1418</v>
      </c>
      <c r="Y110" s="283"/>
      <c r="Z110" s="283"/>
      <c r="AA110" s="270"/>
      <c r="AB110" s="270"/>
      <c r="AC110" s="270"/>
      <c r="AD110" s="270"/>
      <c r="AE110" s="270"/>
    </row>
    <row r="111" spans="1:31" x14ac:dyDescent="0.25">
      <c r="A111" s="297" t="s">
        <v>74</v>
      </c>
      <c r="B111" s="298" t="s">
        <v>895</v>
      </c>
      <c r="C111" s="299">
        <v>6</v>
      </c>
      <c r="D111" s="717" t="s">
        <v>878</v>
      </c>
      <c r="E111" s="170" t="s">
        <v>1611</v>
      </c>
      <c r="F111" s="283" t="s">
        <v>1612</v>
      </c>
      <c r="G111" s="808">
        <v>-10.353</v>
      </c>
      <c r="H111" s="808">
        <v>-17.346</v>
      </c>
      <c r="I111" s="292" t="s">
        <v>1201</v>
      </c>
      <c r="J111" s="174"/>
      <c r="K111" s="809">
        <v>6</v>
      </c>
      <c r="L111" s="293">
        <v>40002</v>
      </c>
      <c r="M111" s="284"/>
      <c r="N111" s="283"/>
      <c r="O111" s="283" t="s">
        <v>1419</v>
      </c>
      <c r="P111" s="283" t="s">
        <v>1419</v>
      </c>
      <c r="Q111" s="283">
        <v>4.2</v>
      </c>
      <c r="R111" s="283">
        <v>1</v>
      </c>
      <c r="S111" s="283">
        <v>4.0999999999999996</v>
      </c>
      <c r="T111" s="283" t="s">
        <v>1418</v>
      </c>
      <c r="U111" s="283">
        <v>26</v>
      </c>
      <c r="V111" s="283">
        <v>1</v>
      </c>
      <c r="W111" s="283">
        <v>19</v>
      </c>
      <c r="X111" s="283" t="s">
        <v>1418</v>
      </c>
      <c r="Y111" s="283"/>
      <c r="Z111" s="283"/>
      <c r="AA111" s="270"/>
      <c r="AB111" s="270"/>
      <c r="AC111" s="270"/>
      <c r="AD111" s="270"/>
      <c r="AE111" s="270"/>
    </row>
    <row r="112" spans="1:31" x14ac:dyDescent="0.25">
      <c r="A112" s="297" t="s">
        <v>74</v>
      </c>
      <c r="B112" s="298" t="s">
        <v>895</v>
      </c>
      <c r="C112" s="299">
        <v>5</v>
      </c>
      <c r="D112" s="717" t="s">
        <v>878</v>
      </c>
      <c r="E112" s="170" t="s">
        <v>1613</v>
      </c>
      <c r="F112" s="283" t="s">
        <v>1614</v>
      </c>
      <c r="G112" s="808">
        <v>-12.009499999999999</v>
      </c>
      <c r="H112" s="808">
        <v>-13.763332999999999</v>
      </c>
      <c r="I112" s="292" t="s">
        <v>1201</v>
      </c>
      <c r="J112" s="174"/>
      <c r="K112" s="809">
        <v>6</v>
      </c>
      <c r="L112" s="293">
        <v>40001</v>
      </c>
      <c r="M112" s="284"/>
      <c r="N112" s="283"/>
      <c r="O112" s="283" t="s">
        <v>1419</v>
      </c>
      <c r="P112" s="283" t="s">
        <v>1419</v>
      </c>
      <c r="Q112" s="283">
        <v>2.7</v>
      </c>
      <c r="R112" s="283">
        <v>0</v>
      </c>
      <c r="S112" s="283">
        <v>4.0999999999999996</v>
      </c>
      <c r="T112" s="283" t="s">
        <v>1418</v>
      </c>
      <c r="U112" s="283">
        <v>18</v>
      </c>
      <c r="V112" s="283">
        <v>0</v>
      </c>
      <c r="W112" s="283">
        <v>19</v>
      </c>
      <c r="X112" s="283" t="s">
        <v>1418</v>
      </c>
      <c r="Y112" s="283"/>
      <c r="Z112" s="283"/>
      <c r="AA112" s="270"/>
      <c r="AB112" s="270"/>
      <c r="AC112" s="270"/>
      <c r="AD112" s="270"/>
      <c r="AE112" s="270"/>
    </row>
    <row r="113" spans="1:31" x14ac:dyDescent="0.25">
      <c r="A113" s="297" t="s">
        <v>74</v>
      </c>
      <c r="B113" s="298" t="s">
        <v>895</v>
      </c>
      <c r="C113" s="299">
        <v>4</v>
      </c>
      <c r="D113" s="717" t="s">
        <v>878</v>
      </c>
      <c r="E113" s="170" t="s">
        <v>1615</v>
      </c>
      <c r="F113" s="283" t="s">
        <v>1616</v>
      </c>
      <c r="G113" s="808">
        <v>-14.097833</v>
      </c>
      <c r="H113" s="808">
        <v>-9.6528329999999993</v>
      </c>
      <c r="I113" s="292" t="s">
        <v>1201</v>
      </c>
      <c r="J113" s="174"/>
      <c r="K113" s="809">
        <v>6</v>
      </c>
      <c r="L113" s="293">
        <v>40000</v>
      </c>
      <c r="M113" s="284"/>
      <c r="N113" s="283"/>
      <c r="O113" s="283" t="s">
        <v>1419</v>
      </c>
      <c r="P113" s="283" t="s">
        <v>1419</v>
      </c>
      <c r="Q113" s="283">
        <v>2.8</v>
      </c>
      <c r="R113" s="283">
        <v>0</v>
      </c>
      <c r="S113" s="283">
        <v>4.0999999999999996</v>
      </c>
      <c r="T113" s="283" t="s">
        <v>1418</v>
      </c>
      <c r="U113" s="283">
        <v>23</v>
      </c>
      <c r="V113" s="283">
        <v>1</v>
      </c>
      <c r="W113" s="283">
        <v>19</v>
      </c>
      <c r="X113" s="283" t="s">
        <v>1418</v>
      </c>
      <c r="Y113" s="283"/>
      <c r="Z113" s="283"/>
      <c r="AA113" s="270"/>
      <c r="AB113" s="270"/>
      <c r="AC113" s="270"/>
      <c r="AD113" s="270"/>
      <c r="AE113" s="270"/>
    </row>
    <row r="114" spans="1:31" x14ac:dyDescent="0.25">
      <c r="A114" s="297" t="s">
        <v>74</v>
      </c>
      <c r="B114" s="298" t="s">
        <v>895</v>
      </c>
      <c r="C114" s="299">
        <v>3</v>
      </c>
      <c r="D114" s="717" t="s">
        <v>878</v>
      </c>
      <c r="E114" s="170" t="s">
        <v>1617</v>
      </c>
      <c r="F114" s="283" t="s">
        <v>1618</v>
      </c>
      <c r="G114" s="808">
        <v>-17.573333000000002</v>
      </c>
      <c r="H114" s="808">
        <v>-0.97</v>
      </c>
      <c r="I114" s="292" t="s">
        <v>1201</v>
      </c>
      <c r="J114" s="174"/>
      <c r="K114" s="809">
        <v>6</v>
      </c>
      <c r="L114" s="293">
        <v>39998</v>
      </c>
      <c r="M114" s="284"/>
      <c r="N114" s="283"/>
      <c r="O114" s="283" t="s">
        <v>1419</v>
      </c>
      <c r="P114" s="283" t="s">
        <v>1419</v>
      </c>
      <c r="Q114" s="283">
        <v>4.5</v>
      </c>
      <c r="R114" s="283">
        <v>1</v>
      </c>
      <c r="S114" s="283">
        <v>4.0999999999999996</v>
      </c>
      <c r="T114" s="283" t="s">
        <v>1418</v>
      </c>
      <c r="U114" s="283">
        <v>20</v>
      </c>
      <c r="V114" s="283">
        <v>1</v>
      </c>
      <c r="W114" s="283">
        <v>19</v>
      </c>
      <c r="X114" s="283" t="s">
        <v>1418</v>
      </c>
      <c r="Y114" s="283"/>
      <c r="Z114" s="283"/>
      <c r="AA114" s="270"/>
      <c r="AB114" s="270"/>
      <c r="AC114" s="270"/>
      <c r="AD114" s="270"/>
      <c r="AE114" s="270"/>
    </row>
    <row r="115" spans="1:31" x14ac:dyDescent="0.25">
      <c r="A115" s="297" t="s">
        <v>74</v>
      </c>
      <c r="B115" s="298" t="s">
        <v>895</v>
      </c>
      <c r="C115" s="299">
        <v>2</v>
      </c>
      <c r="D115" s="717" t="s">
        <v>878</v>
      </c>
      <c r="E115" s="170" t="s">
        <v>1619</v>
      </c>
      <c r="F115" s="283" t="s">
        <v>1620</v>
      </c>
      <c r="G115" s="808">
        <v>-19.101666999999999</v>
      </c>
      <c r="H115" s="808">
        <v>3.4550000000000001</v>
      </c>
      <c r="I115" s="292" t="s">
        <v>1201</v>
      </c>
      <c r="J115" s="174"/>
      <c r="K115" s="809">
        <v>7</v>
      </c>
      <c r="L115" s="293">
        <v>39997</v>
      </c>
      <c r="M115" s="284"/>
      <c r="N115" s="283"/>
      <c r="O115" s="283" t="s">
        <v>1419</v>
      </c>
      <c r="P115" s="283" t="s">
        <v>1419</v>
      </c>
      <c r="Q115" s="283">
        <v>2.5</v>
      </c>
      <c r="R115" s="283">
        <v>0</v>
      </c>
      <c r="S115" s="283">
        <v>4.0999999999999996</v>
      </c>
      <c r="T115" s="283" t="s">
        <v>1418</v>
      </c>
      <c r="U115" s="283">
        <v>18</v>
      </c>
      <c r="V115" s="283">
        <v>0</v>
      </c>
      <c r="W115" s="283">
        <v>19</v>
      </c>
      <c r="X115" s="283" t="s">
        <v>1418</v>
      </c>
      <c r="Y115" s="283"/>
      <c r="Z115" s="283"/>
      <c r="AA115" s="270"/>
      <c r="AB115" s="270"/>
      <c r="AC115" s="270"/>
      <c r="AD115" s="270"/>
      <c r="AE115" s="270"/>
    </row>
    <row r="116" spans="1:31" x14ac:dyDescent="0.25">
      <c r="A116" s="297" t="s">
        <v>74</v>
      </c>
      <c r="B116" s="298" t="s">
        <v>895</v>
      </c>
      <c r="C116" s="299">
        <v>1</v>
      </c>
      <c r="D116" s="717" t="s">
        <v>878</v>
      </c>
      <c r="E116" s="170" t="s">
        <v>1621</v>
      </c>
      <c r="F116" s="283" t="s">
        <v>1622</v>
      </c>
      <c r="G116" s="808">
        <v>-21.183499999999999</v>
      </c>
      <c r="H116" s="808">
        <v>9.2668330000000001</v>
      </c>
      <c r="I116" s="292" t="s">
        <v>1201</v>
      </c>
      <c r="J116" s="174"/>
      <c r="K116" s="809">
        <v>7</v>
      </c>
      <c r="L116" s="293">
        <v>39996</v>
      </c>
      <c r="M116" s="284"/>
      <c r="N116" s="283"/>
      <c r="O116" s="283" t="s">
        <v>1419</v>
      </c>
      <c r="P116" s="283" t="s">
        <v>1419</v>
      </c>
      <c r="Q116" s="283">
        <v>2.5</v>
      </c>
      <c r="R116" s="283">
        <v>0</v>
      </c>
      <c r="S116" s="283">
        <v>4.0999999999999996</v>
      </c>
      <c r="T116" s="283" t="s">
        <v>1418</v>
      </c>
      <c r="U116" s="283">
        <v>30</v>
      </c>
      <c r="V116" s="283">
        <v>1</v>
      </c>
      <c r="W116" s="283">
        <v>19</v>
      </c>
      <c r="X116" s="283" t="s">
        <v>1418</v>
      </c>
      <c r="Y116" s="283"/>
      <c r="Z116" s="283"/>
      <c r="AA116" s="270"/>
      <c r="AB116" s="270"/>
      <c r="AC116" s="270"/>
      <c r="AD116" s="270"/>
      <c r="AE116" s="270"/>
    </row>
    <row r="117" spans="1:31" x14ac:dyDescent="0.25">
      <c r="A117" s="297" t="s">
        <v>166</v>
      </c>
      <c r="B117" s="298" t="s">
        <v>715</v>
      </c>
      <c r="C117" s="299">
        <v>17</v>
      </c>
      <c r="D117" s="271" t="s">
        <v>878</v>
      </c>
      <c r="E117" s="305" t="s">
        <v>363</v>
      </c>
      <c r="F117" s="292" t="s">
        <v>374</v>
      </c>
      <c r="G117" s="283">
        <v>-8.16</v>
      </c>
      <c r="H117" s="283">
        <v>-32.944000000000003</v>
      </c>
      <c r="I117" s="292" t="s">
        <v>1201</v>
      </c>
      <c r="J117" s="174" t="str">
        <f t="shared" si="6"/>
        <v/>
      </c>
      <c r="K117" s="305">
        <v>6</v>
      </c>
      <c r="L117" s="293">
        <v>39395</v>
      </c>
      <c r="M117" s="284">
        <v>50</v>
      </c>
      <c r="N117" s="283">
        <v>1</v>
      </c>
      <c r="O117" s="283" t="s">
        <v>1419</v>
      </c>
      <c r="P117" s="283" t="s">
        <v>1419</v>
      </c>
      <c r="Q117" s="283">
        <v>8</v>
      </c>
      <c r="R117" s="283">
        <v>1</v>
      </c>
      <c r="S117" s="283">
        <v>4.0999999999999996</v>
      </c>
      <c r="T117" s="283" t="s">
        <v>1418</v>
      </c>
      <c r="U117" s="283">
        <v>41</v>
      </c>
      <c r="V117" s="283">
        <v>1</v>
      </c>
      <c r="W117" s="283">
        <v>19</v>
      </c>
      <c r="X117" s="283" t="s">
        <v>1418</v>
      </c>
      <c r="Y117" s="283"/>
      <c r="Z117" s="283"/>
      <c r="AA117" s="283"/>
      <c r="AB117" s="283"/>
      <c r="AC117" s="283"/>
      <c r="AD117" s="283"/>
      <c r="AE117" s="270"/>
    </row>
    <row r="118" spans="1:31" x14ac:dyDescent="0.25">
      <c r="A118" s="297" t="s">
        <v>120</v>
      </c>
      <c r="B118" s="298" t="s">
        <v>715</v>
      </c>
      <c r="C118" s="299">
        <v>14</v>
      </c>
      <c r="D118" s="271" t="s">
        <v>878</v>
      </c>
      <c r="E118" s="305" t="s">
        <v>385</v>
      </c>
      <c r="F118" s="292" t="s">
        <v>386</v>
      </c>
      <c r="G118" s="283">
        <v>-6.3E-2</v>
      </c>
      <c r="H118" s="283">
        <v>-30.305</v>
      </c>
      <c r="I118" s="292" t="s">
        <v>1201</v>
      </c>
      <c r="J118" s="174" t="str">
        <f t="shared" si="6"/>
        <v/>
      </c>
      <c r="K118" s="305">
        <v>6</v>
      </c>
      <c r="L118" s="293">
        <v>39392</v>
      </c>
      <c r="M118" s="284"/>
      <c r="N118" s="283">
        <v>0</v>
      </c>
      <c r="O118" s="283" t="s">
        <v>1419</v>
      </c>
      <c r="P118" s="283" t="s">
        <v>1419</v>
      </c>
      <c r="Q118" s="283">
        <v>4.8</v>
      </c>
      <c r="R118" s="283">
        <v>1</v>
      </c>
      <c r="S118" s="283">
        <v>4.0999999999999996</v>
      </c>
      <c r="T118" s="283" t="s">
        <v>1418</v>
      </c>
      <c r="U118" s="283">
        <v>38</v>
      </c>
      <c r="V118" s="283">
        <v>1</v>
      </c>
      <c r="W118" s="283">
        <v>19</v>
      </c>
      <c r="X118" s="283" t="s">
        <v>1418</v>
      </c>
      <c r="Y118" s="283"/>
      <c r="Z118" s="283"/>
      <c r="AA118" s="270"/>
      <c r="AB118" s="270"/>
      <c r="AC118" s="270"/>
      <c r="AD118" s="270"/>
      <c r="AE118" s="270"/>
    </row>
    <row r="119" spans="1:31" x14ac:dyDescent="0.25">
      <c r="A119" s="297" t="s">
        <v>166</v>
      </c>
      <c r="B119" s="298" t="s">
        <v>715</v>
      </c>
      <c r="C119" s="299">
        <v>16</v>
      </c>
      <c r="D119" s="271" t="s">
        <v>878</v>
      </c>
      <c r="E119" s="305" t="s">
        <v>362</v>
      </c>
      <c r="F119" s="292" t="s">
        <v>373</v>
      </c>
      <c r="G119" s="283">
        <v>-5.1890000000000001</v>
      </c>
      <c r="H119" s="283">
        <v>-32.048000000000002</v>
      </c>
      <c r="I119" s="292" t="s">
        <v>1201</v>
      </c>
      <c r="J119" s="174" t="str">
        <f t="shared" si="6"/>
        <v>yes</v>
      </c>
      <c r="K119" s="305">
        <v>6</v>
      </c>
      <c r="L119" s="293">
        <v>39394</v>
      </c>
      <c r="M119" s="284"/>
      <c r="N119" s="283">
        <v>0</v>
      </c>
      <c r="O119" s="283" t="s">
        <v>1419</v>
      </c>
      <c r="P119" s="283" t="s">
        <v>1419</v>
      </c>
      <c r="Q119" s="283">
        <v>5</v>
      </c>
      <c r="R119" s="283">
        <v>1</v>
      </c>
      <c r="S119" s="283">
        <v>4.0999999999999996</v>
      </c>
      <c r="T119" s="283" t="s">
        <v>1418</v>
      </c>
      <c r="U119" s="283">
        <v>18</v>
      </c>
      <c r="V119" s="283">
        <v>0</v>
      </c>
      <c r="W119" s="283">
        <v>19</v>
      </c>
      <c r="X119" s="283" t="s">
        <v>1418</v>
      </c>
      <c r="Y119" s="283"/>
      <c r="Z119" s="283"/>
      <c r="AA119" s="283"/>
      <c r="AB119" s="283"/>
      <c r="AC119" s="283"/>
      <c r="AD119" s="283"/>
      <c r="AE119" s="270"/>
    </row>
    <row r="120" spans="1:31" x14ac:dyDescent="0.25">
      <c r="A120" s="297" t="s">
        <v>166</v>
      </c>
      <c r="B120" s="298" t="s">
        <v>715</v>
      </c>
      <c r="C120" s="299">
        <v>18</v>
      </c>
      <c r="D120" s="271" t="s">
        <v>878</v>
      </c>
      <c r="E120" s="305" t="s">
        <v>364</v>
      </c>
      <c r="F120" s="292" t="s">
        <v>375</v>
      </c>
      <c r="G120" s="283">
        <v>-11.361000000000001</v>
      </c>
      <c r="H120" s="283">
        <v>-34.476999999999997</v>
      </c>
      <c r="I120" s="292" t="s">
        <v>1201</v>
      </c>
      <c r="J120" s="174" t="str">
        <f t="shared" si="6"/>
        <v>yes</v>
      </c>
      <c r="K120" s="305">
        <v>6</v>
      </c>
      <c r="L120" s="293">
        <v>39396</v>
      </c>
      <c r="M120" s="284"/>
      <c r="N120" s="283">
        <v>0</v>
      </c>
      <c r="O120" s="283" t="s">
        <v>1419</v>
      </c>
      <c r="P120" s="283" t="s">
        <v>1419</v>
      </c>
      <c r="Q120" s="283">
        <v>2.2000000000000002</v>
      </c>
      <c r="R120" s="283">
        <v>1</v>
      </c>
      <c r="S120" s="283">
        <v>4.0999999999999996</v>
      </c>
      <c r="T120" s="283" t="s">
        <v>1418</v>
      </c>
      <c r="U120" s="283">
        <v>18</v>
      </c>
      <c r="V120" s="283">
        <v>0</v>
      </c>
      <c r="W120" s="283">
        <v>19</v>
      </c>
      <c r="X120" s="283" t="s">
        <v>1418</v>
      </c>
      <c r="Y120" s="283"/>
      <c r="Z120" s="283"/>
      <c r="AA120" s="283"/>
      <c r="AB120" s="283"/>
      <c r="AC120" s="283"/>
      <c r="AD120" s="283"/>
      <c r="AE120" s="270"/>
    </row>
    <row r="121" spans="1:31" x14ac:dyDescent="0.25">
      <c r="A121" s="297" t="s">
        <v>166</v>
      </c>
      <c r="B121" s="298" t="s">
        <v>715</v>
      </c>
      <c r="C121" s="299">
        <v>19</v>
      </c>
      <c r="D121" s="271" t="s">
        <v>878</v>
      </c>
      <c r="E121" s="305" t="s">
        <v>365</v>
      </c>
      <c r="F121" s="292" t="s">
        <v>376</v>
      </c>
      <c r="G121" s="283">
        <v>-15.066000000000001</v>
      </c>
      <c r="H121" s="283">
        <v>-36.048999999999999</v>
      </c>
      <c r="I121" s="292" t="s">
        <v>1201</v>
      </c>
      <c r="J121" s="174" t="str">
        <f t="shared" si="6"/>
        <v/>
      </c>
      <c r="K121" s="305">
        <v>6</v>
      </c>
      <c r="L121" s="293">
        <v>39397</v>
      </c>
      <c r="M121" s="284"/>
      <c r="N121" s="283">
        <v>0</v>
      </c>
      <c r="O121" s="283" t="s">
        <v>1419</v>
      </c>
      <c r="P121" s="283" t="s">
        <v>1419</v>
      </c>
      <c r="Q121" s="283"/>
      <c r="R121" s="283">
        <v>0</v>
      </c>
      <c r="S121" s="283">
        <v>4.0999999999999996</v>
      </c>
      <c r="T121" s="283" t="s">
        <v>1418</v>
      </c>
      <c r="U121" s="283">
        <v>33</v>
      </c>
      <c r="V121" s="283">
        <v>1</v>
      </c>
      <c r="W121" s="283">
        <v>19</v>
      </c>
      <c r="X121" s="283" t="s">
        <v>1418</v>
      </c>
      <c r="Y121" s="283"/>
      <c r="Z121" s="283"/>
      <c r="AA121" s="283"/>
      <c r="AB121" s="283"/>
      <c r="AC121" s="283"/>
      <c r="AD121" s="283"/>
      <c r="AE121" s="270"/>
    </row>
    <row r="122" spans="1:31" x14ac:dyDescent="0.25">
      <c r="A122" s="297" t="s">
        <v>166</v>
      </c>
      <c r="B122" s="298" t="s">
        <v>715</v>
      </c>
      <c r="C122" s="299">
        <v>20</v>
      </c>
      <c r="D122" s="271" t="s">
        <v>878</v>
      </c>
      <c r="E122" s="305" t="s">
        <v>1448</v>
      </c>
      <c r="F122" s="292" t="s">
        <v>377</v>
      </c>
      <c r="G122" s="283">
        <v>-19.099</v>
      </c>
      <c r="H122" s="283">
        <v>-37.548000000000002</v>
      </c>
      <c r="I122" s="292" t="s">
        <v>1201</v>
      </c>
      <c r="J122" s="174" t="str">
        <f t="shared" si="6"/>
        <v/>
      </c>
      <c r="K122" s="305">
        <v>6</v>
      </c>
      <c r="L122" s="293">
        <v>39398</v>
      </c>
      <c r="M122" s="284"/>
      <c r="N122" s="283">
        <v>0</v>
      </c>
      <c r="O122" s="283" t="s">
        <v>1419</v>
      </c>
      <c r="P122" s="283" t="s">
        <v>1419</v>
      </c>
      <c r="Q122" s="283"/>
      <c r="R122" s="283">
        <v>0</v>
      </c>
      <c r="S122" s="283">
        <v>4.0999999999999996</v>
      </c>
      <c r="T122" s="283" t="s">
        <v>1418</v>
      </c>
      <c r="U122" s="283">
        <v>23</v>
      </c>
      <c r="V122" s="283">
        <v>1</v>
      </c>
      <c r="W122" s="283">
        <v>19</v>
      </c>
      <c r="X122" s="283" t="s">
        <v>1418</v>
      </c>
      <c r="Y122" s="283"/>
      <c r="Z122" s="283"/>
      <c r="AA122" s="283"/>
      <c r="AB122" s="283"/>
      <c r="AC122" s="283"/>
      <c r="AD122" s="283"/>
      <c r="AE122" s="270"/>
    </row>
    <row r="123" spans="1:31" x14ac:dyDescent="0.25">
      <c r="A123" s="297" t="s">
        <v>166</v>
      </c>
      <c r="B123" s="298" t="s">
        <v>715</v>
      </c>
      <c r="C123" s="299">
        <v>21</v>
      </c>
      <c r="D123" s="271" t="s">
        <v>878</v>
      </c>
      <c r="E123" s="305" t="s">
        <v>366</v>
      </c>
      <c r="F123" s="292" t="s">
        <v>378</v>
      </c>
      <c r="G123" s="283">
        <v>-22.669</v>
      </c>
      <c r="H123" s="283">
        <v>-39.71</v>
      </c>
      <c r="I123" s="292" t="s">
        <v>1201</v>
      </c>
      <c r="J123" s="174" t="str">
        <f t="shared" si="6"/>
        <v/>
      </c>
      <c r="K123" s="305">
        <v>7</v>
      </c>
      <c r="L123" s="293">
        <v>39399</v>
      </c>
      <c r="M123" s="284"/>
      <c r="N123" s="283">
        <v>0</v>
      </c>
      <c r="O123" s="283" t="s">
        <v>1419</v>
      </c>
      <c r="P123" s="283" t="s">
        <v>1419</v>
      </c>
      <c r="Q123" s="283">
        <v>1.9</v>
      </c>
      <c r="R123" s="283">
        <v>1</v>
      </c>
      <c r="S123" s="283">
        <v>4.0999999999999996</v>
      </c>
      <c r="T123" s="283" t="s">
        <v>1418</v>
      </c>
      <c r="U123" s="283">
        <v>32</v>
      </c>
      <c r="V123" s="283">
        <v>1</v>
      </c>
      <c r="W123" s="283">
        <v>19</v>
      </c>
      <c r="X123" s="283" t="s">
        <v>1418</v>
      </c>
      <c r="Y123" s="283"/>
      <c r="Z123" s="283"/>
      <c r="AA123" s="283"/>
      <c r="AB123" s="283"/>
      <c r="AC123" s="283"/>
      <c r="AD123" s="283"/>
      <c r="AE123" s="270"/>
    </row>
    <row r="124" spans="1:31" x14ac:dyDescent="0.25">
      <c r="A124" s="297" t="s">
        <v>166</v>
      </c>
      <c r="B124" s="298" t="s">
        <v>715</v>
      </c>
      <c r="C124" s="299">
        <v>22</v>
      </c>
      <c r="D124" s="271" t="s">
        <v>878</v>
      </c>
      <c r="E124" s="305" t="s">
        <v>367</v>
      </c>
      <c r="F124" s="292" t="s">
        <v>379</v>
      </c>
      <c r="G124" s="283">
        <v>-25.469000000000001</v>
      </c>
      <c r="H124" s="283">
        <v>-42.67</v>
      </c>
      <c r="I124" s="292" t="s">
        <v>1201</v>
      </c>
      <c r="J124" s="174" t="str">
        <f t="shared" si="6"/>
        <v/>
      </c>
      <c r="K124" s="305">
        <v>7</v>
      </c>
      <c r="L124" s="293">
        <v>39400</v>
      </c>
      <c r="M124" s="284"/>
      <c r="N124" s="283">
        <v>0</v>
      </c>
      <c r="O124" s="283" t="s">
        <v>1419</v>
      </c>
      <c r="P124" s="283" t="s">
        <v>1419</v>
      </c>
      <c r="Q124" s="283">
        <v>2.2999999999999998</v>
      </c>
      <c r="R124" s="283">
        <v>1</v>
      </c>
      <c r="S124" s="283">
        <v>4.0999999999999996</v>
      </c>
      <c r="T124" s="283" t="s">
        <v>1418</v>
      </c>
      <c r="U124" s="283">
        <v>38</v>
      </c>
      <c r="V124" s="283">
        <v>1</v>
      </c>
      <c r="W124" s="283">
        <v>19</v>
      </c>
      <c r="X124" s="283" t="s">
        <v>1418</v>
      </c>
      <c r="Y124" s="283"/>
      <c r="Z124" s="283"/>
      <c r="AA124" s="283"/>
      <c r="AB124" s="283"/>
      <c r="AC124" s="283"/>
      <c r="AD124" s="283"/>
      <c r="AE124" s="270"/>
    </row>
    <row r="125" spans="1:31" x14ac:dyDescent="0.25">
      <c r="A125" s="297" t="s">
        <v>166</v>
      </c>
      <c r="B125" s="298" t="s">
        <v>715</v>
      </c>
      <c r="C125" s="299">
        <v>23</v>
      </c>
      <c r="D125" s="271" t="s">
        <v>878</v>
      </c>
      <c r="E125" s="305" t="s">
        <v>368</v>
      </c>
      <c r="F125" s="292" t="s">
        <v>380</v>
      </c>
      <c r="G125" s="283">
        <v>-28.917999999999999</v>
      </c>
      <c r="H125" s="283">
        <v>-46.558</v>
      </c>
      <c r="I125" s="292" t="s">
        <v>1201</v>
      </c>
      <c r="J125" s="174" t="str">
        <f t="shared" si="6"/>
        <v/>
      </c>
      <c r="K125" s="305">
        <v>7</v>
      </c>
      <c r="L125" s="293">
        <v>39402</v>
      </c>
      <c r="M125" s="284"/>
      <c r="N125" s="283">
        <v>0</v>
      </c>
      <c r="O125" s="283" t="s">
        <v>1419</v>
      </c>
      <c r="P125" s="283" t="s">
        <v>1419</v>
      </c>
      <c r="Q125" s="283"/>
      <c r="R125" s="283">
        <v>0</v>
      </c>
      <c r="S125" s="283">
        <v>4.0999999999999996</v>
      </c>
      <c r="T125" s="283" t="s">
        <v>1418</v>
      </c>
      <c r="U125" s="283">
        <v>24</v>
      </c>
      <c r="V125" s="283">
        <v>1</v>
      </c>
      <c r="W125" s="283">
        <v>19</v>
      </c>
      <c r="X125" s="283" t="s">
        <v>1418</v>
      </c>
      <c r="Y125" s="283"/>
      <c r="Z125" s="283"/>
      <c r="AA125" s="283"/>
      <c r="AB125" s="283"/>
      <c r="AC125" s="283"/>
      <c r="AD125" s="283"/>
      <c r="AE125" s="270"/>
    </row>
    <row r="126" spans="1:31" x14ac:dyDescent="0.25">
      <c r="A126" s="297" t="s">
        <v>166</v>
      </c>
      <c r="B126" s="298" t="s">
        <v>715</v>
      </c>
      <c r="C126" s="299">
        <v>27</v>
      </c>
      <c r="D126" s="271" t="s">
        <v>878</v>
      </c>
      <c r="E126" s="305" t="s">
        <v>369</v>
      </c>
      <c r="F126" s="292" t="s">
        <v>381</v>
      </c>
      <c r="G126" s="283">
        <v>-39.142000000000003</v>
      </c>
      <c r="H126" s="283">
        <v>-57.250999999999998</v>
      </c>
      <c r="I126" s="292" t="s">
        <v>1201</v>
      </c>
      <c r="J126" s="174" t="str">
        <f t="shared" si="6"/>
        <v/>
      </c>
      <c r="K126" s="305">
        <v>8</v>
      </c>
      <c r="L126" s="293">
        <v>39407</v>
      </c>
      <c r="M126" s="284"/>
      <c r="N126" s="283">
        <v>0</v>
      </c>
      <c r="O126" s="283" t="s">
        <v>1419</v>
      </c>
      <c r="P126" s="283" t="s">
        <v>1419</v>
      </c>
      <c r="Q126" s="283">
        <v>3.7</v>
      </c>
      <c r="R126" s="283">
        <v>1</v>
      </c>
      <c r="S126" s="283">
        <v>4.0999999999999996</v>
      </c>
      <c r="T126" s="283" t="s">
        <v>1418</v>
      </c>
      <c r="U126" s="283">
        <v>37</v>
      </c>
      <c r="V126" s="283">
        <v>1</v>
      </c>
      <c r="W126" s="283">
        <v>19</v>
      </c>
      <c r="X126" s="283" t="s">
        <v>1418</v>
      </c>
      <c r="Y126" s="283"/>
      <c r="Z126" s="283"/>
      <c r="AA126" s="283"/>
      <c r="AB126" s="283"/>
      <c r="AC126" s="283"/>
      <c r="AD126" s="283"/>
      <c r="AE126" s="270"/>
    </row>
    <row r="127" spans="1:31" x14ac:dyDescent="0.25">
      <c r="A127" s="297" t="s">
        <v>166</v>
      </c>
      <c r="B127" s="298" t="s">
        <v>715</v>
      </c>
      <c r="C127" s="299">
        <v>28</v>
      </c>
      <c r="D127" s="271" t="s">
        <v>878</v>
      </c>
      <c r="E127" s="305" t="s">
        <v>370</v>
      </c>
      <c r="F127" s="292" t="s">
        <v>382</v>
      </c>
      <c r="G127" s="283">
        <v>-42.646999999999998</v>
      </c>
      <c r="H127" s="283">
        <v>-60.997999999999998</v>
      </c>
      <c r="I127" s="292" t="s">
        <v>1201</v>
      </c>
      <c r="J127" s="174" t="str">
        <f t="shared" si="6"/>
        <v/>
      </c>
      <c r="K127" s="305">
        <v>8</v>
      </c>
      <c r="L127" s="293">
        <v>39408</v>
      </c>
      <c r="M127" s="284"/>
      <c r="N127" s="283">
        <v>0</v>
      </c>
      <c r="O127" s="283" t="s">
        <v>1419</v>
      </c>
      <c r="P127" s="283" t="s">
        <v>1419</v>
      </c>
      <c r="Q127" s="283"/>
      <c r="R127" s="283">
        <v>0</v>
      </c>
      <c r="S127" s="283">
        <v>4.0999999999999996</v>
      </c>
      <c r="T127" s="283" t="s">
        <v>1418</v>
      </c>
      <c r="U127" s="283">
        <v>45</v>
      </c>
      <c r="V127" s="283">
        <v>1</v>
      </c>
      <c r="W127" s="283">
        <v>19</v>
      </c>
      <c r="X127" s="283" t="s">
        <v>1418</v>
      </c>
      <c r="Y127" s="283"/>
      <c r="Z127" s="283"/>
      <c r="AA127" s="283"/>
      <c r="AB127" s="283"/>
      <c r="AC127" s="283"/>
      <c r="AD127" s="283"/>
      <c r="AE127" s="270"/>
    </row>
    <row r="128" spans="1:31" x14ac:dyDescent="0.25">
      <c r="A128" s="297" t="s">
        <v>166</v>
      </c>
      <c r="B128" s="298" t="s">
        <v>715</v>
      </c>
      <c r="C128" s="299">
        <v>29</v>
      </c>
      <c r="D128" s="271" t="s">
        <v>878</v>
      </c>
      <c r="E128" s="305" t="s">
        <v>371</v>
      </c>
      <c r="F128" s="292" t="s">
        <v>383</v>
      </c>
      <c r="G128" s="283">
        <v>-48.683999999999997</v>
      </c>
      <c r="H128" s="283">
        <v>-65.700999999999993</v>
      </c>
      <c r="I128" s="292" t="s">
        <v>1201</v>
      </c>
      <c r="J128" s="174" t="str">
        <f t="shared" si="6"/>
        <v/>
      </c>
      <c r="K128" s="305">
        <v>8</v>
      </c>
      <c r="L128" s="293">
        <v>39410</v>
      </c>
      <c r="M128" s="284"/>
      <c r="N128" s="283">
        <v>0</v>
      </c>
      <c r="O128" s="283" t="s">
        <v>1419</v>
      </c>
      <c r="P128" s="283" t="s">
        <v>1419</v>
      </c>
      <c r="Q128" s="283"/>
      <c r="R128" s="283">
        <v>0</v>
      </c>
      <c r="S128" s="283">
        <v>4.0999999999999996</v>
      </c>
      <c r="T128" s="283" t="s">
        <v>1418</v>
      </c>
      <c r="U128" s="283">
        <v>22</v>
      </c>
      <c r="V128" s="283">
        <v>1</v>
      </c>
      <c r="W128" s="283">
        <v>19</v>
      </c>
      <c r="X128" s="283" t="s">
        <v>1418</v>
      </c>
      <c r="Y128" s="283"/>
      <c r="Z128" s="283"/>
      <c r="AA128" s="283"/>
      <c r="AB128" s="283"/>
      <c r="AC128" s="283"/>
      <c r="AD128" s="283"/>
      <c r="AE128" s="270"/>
    </row>
    <row r="129" spans="1:31" x14ac:dyDescent="0.25">
      <c r="A129" s="297" t="s">
        <v>166</v>
      </c>
      <c r="B129" s="298" t="s">
        <v>715</v>
      </c>
      <c r="C129" s="299">
        <v>30</v>
      </c>
      <c r="D129" s="271" t="s">
        <v>878</v>
      </c>
      <c r="E129" s="305" t="s">
        <v>372</v>
      </c>
      <c r="F129" s="292" t="s">
        <v>384</v>
      </c>
      <c r="G129" s="292">
        <v>-51.933999999999997</v>
      </c>
      <c r="H129" s="292">
        <v>-67.567999999999998</v>
      </c>
      <c r="I129" s="292" t="s">
        <v>1201</v>
      </c>
      <c r="J129" s="174" t="str">
        <f t="shared" si="6"/>
        <v/>
      </c>
      <c r="K129" s="305">
        <v>8</v>
      </c>
      <c r="L129" s="293">
        <v>39411</v>
      </c>
      <c r="M129" s="284"/>
      <c r="N129" s="283">
        <v>0</v>
      </c>
      <c r="O129" s="283" t="s">
        <v>1419</v>
      </c>
      <c r="P129" s="283" t="s">
        <v>1419</v>
      </c>
      <c r="Q129" s="283">
        <v>1.7</v>
      </c>
      <c r="R129" s="283">
        <v>1</v>
      </c>
      <c r="S129" s="283">
        <v>4.0999999999999996</v>
      </c>
      <c r="T129" s="283" t="s">
        <v>1418</v>
      </c>
      <c r="U129" s="283">
        <v>19</v>
      </c>
      <c r="V129" s="283">
        <v>1</v>
      </c>
      <c r="W129" s="283">
        <v>19</v>
      </c>
      <c r="X129" s="283" t="s">
        <v>1418</v>
      </c>
      <c r="Y129" s="283"/>
      <c r="Z129" s="283"/>
      <c r="AA129" s="283"/>
      <c r="AB129" s="283"/>
      <c r="AC129" s="283"/>
      <c r="AD129" s="283"/>
      <c r="AE129" s="270"/>
    </row>
    <row r="130" spans="1:31" x14ac:dyDescent="0.25">
      <c r="A130" s="297" t="s">
        <v>166</v>
      </c>
      <c r="B130" s="298" t="s">
        <v>715</v>
      </c>
      <c r="C130" s="299">
        <v>24</v>
      </c>
      <c r="D130" s="271" t="s">
        <v>878</v>
      </c>
      <c r="E130" s="305" t="s">
        <v>1449</v>
      </c>
      <c r="F130" s="292" t="s">
        <v>1450</v>
      </c>
      <c r="G130" s="292">
        <v>-31.89</v>
      </c>
      <c r="H130" s="292">
        <v>-49.622</v>
      </c>
      <c r="I130" s="292" t="s">
        <v>1201</v>
      </c>
      <c r="J130" s="174" t="str">
        <f t="shared" si="6"/>
        <v/>
      </c>
      <c r="K130" s="305">
        <v>9</v>
      </c>
      <c r="L130" s="293">
        <v>39403</v>
      </c>
      <c r="M130" s="284"/>
      <c r="N130" s="283">
        <v>0</v>
      </c>
      <c r="O130" s="283" t="s">
        <v>1419</v>
      </c>
      <c r="P130" s="283" t="s">
        <v>1419</v>
      </c>
      <c r="Q130" s="283">
        <v>4.3</v>
      </c>
      <c r="R130" s="283">
        <v>1</v>
      </c>
      <c r="S130" s="283">
        <v>4.0999999999999996</v>
      </c>
      <c r="T130" s="283" t="s">
        <v>1418</v>
      </c>
      <c r="U130" s="283">
        <v>44</v>
      </c>
      <c r="V130" s="283">
        <v>1</v>
      </c>
      <c r="W130" s="283">
        <v>19</v>
      </c>
      <c r="X130" s="283" t="s">
        <v>1418</v>
      </c>
      <c r="Y130" s="283"/>
      <c r="Z130" s="283"/>
      <c r="AA130" s="283"/>
      <c r="AB130" s="283"/>
      <c r="AC130" s="283"/>
      <c r="AD130" s="283"/>
      <c r="AE130" s="270"/>
    </row>
    <row r="131" spans="1:31" x14ac:dyDescent="0.25">
      <c r="A131" s="618" t="s">
        <v>193</v>
      </c>
      <c r="B131" s="716" t="s">
        <v>714</v>
      </c>
      <c r="C131" s="619">
        <v>14</v>
      </c>
      <c r="D131" s="173" t="s">
        <v>877</v>
      </c>
      <c r="E131" s="304">
        <v>73.45</v>
      </c>
      <c r="F131" s="283">
        <v>13.55</v>
      </c>
      <c r="G131" s="283">
        <v>73.45</v>
      </c>
      <c r="H131" s="283">
        <v>-13.55</v>
      </c>
      <c r="I131" s="283" t="s">
        <v>1203</v>
      </c>
      <c r="J131" s="174" t="str">
        <f t="shared" si="6"/>
        <v>yes</v>
      </c>
      <c r="K131" s="304">
        <v>1</v>
      </c>
      <c r="L131" s="273">
        <v>40068</v>
      </c>
      <c r="M131" s="284"/>
      <c r="N131" s="283"/>
      <c r="O131" s="283"/>
      <c r="P131" s="283"/>
      <c r="Q131" s="283"/>
      <c r="R131" s="283">
        <v>0</v>
      </c>
      <c r="S131" s="283">
        <v>9.9</v>
      </c>
      <c r="T131" s="283">
        <v>33</v>
      </c>
      <c r="U131" s="283"/>
      <c r="V131" s="283">
        <v>0</v>
      </c>
      <c r="W131" s="283">
        <v>23</v>
      </c>
      <c r="X131" s="283">
        <v>76</v>
      </c>
      <c r="Y131" s="283"/>
      <c r="Z131" s="283">
        <v>0</v>
      </c>
      <c r="AA131" s="270"/>
      <c r="AB131" s="270"/>
      <c r="AC131" s="270"/>
      <c r="AD131" s="270"/>
      <c r="AE131" s="270"/>
    </row>
    <row r="132" spans="1:31" x14ac:dyDescent="0.25">
      <c r="A132" s="618" t="s">
        <v>193</v>
      </c>
      <c r="B132" s="716" t="s">
        <v>714</v>
      </c>
      <c r="C132" s="619">
        <v>15</v>
      </c>
      <c r="D132" s="173" t="s">
        <v>877</v>
      </c>
      <c r="E132" s="304">
        <v>73.8</v>
      </c>
      <c r="F132" s="283">
        <v>4.05</v>
      </c>
      <c r="G132" s="283">
        <v>73.8</v>
      </c>
      <c r="H132" s="283">
        <v>4.05</v>
      </c>
      <c r="I132" s="283" t="s">
        <v>1203</v>
      </c>
      <c r="J132" s="174" t="str">
        <f t="shared" si="6"/>
        <v>yes</v>
      </c>
      <c r="K132" s="304">
        <v>1</v>
      </c>
      <c r="L132" s="273">
        <v>40065</v>
      </c>
      <c r="M132" s="284"/>
      <c r="N132" s="283"/>
      <c r="O132" s="283"/>
      <c r="P132" s="283"/>
      <c r="Q132" s="283"/>
      <c r="R132" s="283">
        <v>0</v>
      </c>
      <c r="S132" s="283">
        <v>9.9</v>
      </c>
      <c r="T132" s="283">
        <v>33</v>
      </c>
      <c r="U132" s="283"/>
      <c r="V132" s="283">
        <v>0</v>
      </c>
      <c r="W132" s="283">
        <v>23</v>
      </c>
      <c r="X132" s="283">
        <v>76</v>
      </c>
      <c r="Y132" s="283"/>
      <c r="Z132" s="283">
        <v>0</v>
      </c>
      <c r="AA132" s="270"/>
      <c r="AB132" s="270"/>
      <c r="AC132" s="270"/>
      <c r="AD132" s="270"/>
      <c r="AE132" s="270"/>
    </row>
    <row r="133" spans="1:31" x14ac:dyDescent="0.25">
      <c r="A133" s="618" t="s">
        <v>193</v>
      </c>
      <c r="B133" s="716" t="s">
        <v>714</v>
      </c>
      <c r="C133" s="619">
        <v>16</v>
      </c>
      <c r="D133" s="173" t="s">
        <v>877</v>
      </c>
      <c r="E133" s="304">
        <v>73.98</v>
      </c>
      <c r="F133" s="283">
        <v>6.12</v>
      </c>
      <c r="G133" s="283">
        <v>73.98</v>
      </c>
      <c r="H133" s="283">
        <v>-6.12</v>
      </c>
      <c r="I133" s="283" t="s">
        <v>1203</v>
      </c>
      <c r="J133" s="174" t="str">
        <f t="shared" si="6"/>
        <v>yes</v>
      </c>
      <c r="K133" s="304">
        <v>1</v>
      </c>
      <c r="L133" s="273">
        <v>40066</v>
      </c>
      <c r="M133" s="284"/>
      <c r="N133" s="283"/>
      <c r="O133" s="283"/>
      <c r="P133" s="283"/>
      <c r="Q133" s="283"/>
      <c r="R133" s="283">
        <v>0</v>
      </c>
      <c r="S133" s="283">
        <v>9.9</v>
      </c>
      <c r="T133" s="283">
        <v>33</v>
      </c>
      <c r="U133" s="283"/>
      <c r="V133" s="283">
        <v>0</v>
      </c>
      <c r="W133" s="283">
        <v>23</v>
      </c>
      <c r="X133" s="283">
        <v>76</v>
      </c>
      <c r="Y133" s="283"/>
      <c r="Z133" s="283">
        <v>0</v>
      </c>
      <c r="AA133" s="270"/>
      <c r="AB133" s="270"/>
      <c r="AC133" s="270"/>
      <c r="AD133" s="270"/>
      <c r="AE133" s="270"/>
    </row>
    <row r="134" spans="1:31" x14ac:dyDescent="0.25">
      <c r="A134" s="618" t="s">
        <v>193</v>
      </c>
      <c r="B134" s="716" t="s">
        <v>714</v>
      </c>
      <c r="C134" s="619">
        <v>18</v>
      </c>
      <c r="D134" s="173" t="s">
        <v>877</v>
      </c>
      <c r="E134" s="304">
        <v>74.42</v>
      </c>
      <c r="F134" s="283">
        <v>9.64</v>
      </c>
      <c r="G134" s="283">
        <v>74.42</v>
      </c>
      <c r="H134" s="283">
        <v>-9.64</v>
      </c>
      <c r="I134" s="283" t="s">
        <v>1203</v>
      </c>
      <c r="J134" s="174" t="str">
        <f t="shared" si="6"/>
        <v>yes</v>
      </c>
      <c r="K134" s="304">
        <v>1</v>
      </c>
      <c r="L134" s="273">
        <v>40066</v>
      </c>
      <c r="M134" s="284"/>
      <c r="N134" s="283"/>
      <c r="O134" s="283"/>
      <c r="P134" s="283"/>
      <c r="Q134" s="283"/>
      <c r="R134" s="283">
        <v>0</v>
      </c>
      <c r="S134" s="283">
        <v>9.9</v>
      </c>
      <c r="T134" s="283">
        <v>33</v>
      </c>
      <c r="U134" s="283"/>
      <c r="V134" s="283">
        <v>0</v>
      </c>
      <c r="W134" s="283">
        <v>23</v>
      </c>
      <c r="X134" s="283">
        <v>76</v>
      </c>
      <c r="Y134" s="283"/>
      <c r="Z134" s="283">
        <v>0</v>
      </c>
      <c r="AA134" s="270"/>
      <c r="AB134" s="270"/>
      <c r="AC134" s="270"/>
      <c r="AD134" s="270"/>
      <c r="AE134" s="270"/>
    </row>
    <row r="135" spans="1:31" x14ac:dyDescent="0.25">
      <c r="A135" s="618" t="s">
        <v>193</v>
      </c>
      <c r="B135" s="716" t="s">
        <v>714</v>
      </c>
      <c r="C135" s="619">
        <v>19</v>
      </c>
      <c r="D135" s="173" t="s">
        <v>877</v>
      </c>
      <c r="E135" s="304">
        <v>74.63</v>
      </c>
      <c r="F135" s="283">
        <v>8.59</v>
      </c>
      <c r="G135" s="283">
        <v>74.63</v>
      </c>
      <c r="H135" s="283">
        <v>-8.59</v>
      </c>
      <c r="I135" s="283" t="s">
        <v>1203</v>
      </c>
      <c r="J135" s="174" t="str">
        <f t="shared" si="6"/>
        <v>yes</v>
      </c>
      <c r="K135" s="304">
        <v>1</v>
      </c>
      <c r="L135" s="273">
        <v>40065</v>
      </c>
      <c r="M135" s="284"/>
      <c r="N135" s="283"/>
      <c r="O135" s="283"/>
      <c r="P135" s="283"/>
      <c r="Q135" s="283"/>
      <c r="R135" s="283">
        <v>0</v>
      </c>
      <c r="S135" s="283">
        <v>9.9</v>
      </c>
      <c r="T135" s="283">
        <v>33</v>
      </c>
      <c r="U135" s="283"/>
      <c r="V135" s="283">
        <v>0</v>
      </c>
      <c r="W135" s="283">
        <v>23</v>
      </c>
      <c r="X135" s="283">
        <v>76</v>
      </c>
      <c r="Y135" s="283"/>
      <c r="Z135" s="283">
        <v>0</v>
      </c>
      <c r="AA135" s="270"/>
      <c r="AB135" s="270"/>
      <c r="AC135" s="270"/>
      <c r="AD135" s="270"/>
      <c r="AE135" s="270"/>
    </row>
    <row r="136" spans="1:31" x14ac:dyDescent="0.25">
      <c r="A136" s="618" t="s">
        <v>193</v>
      </c>
      <c r="B136" s="716" t="s">
        <v>714</v>
      </c>
      <c r="C136" s="619">
        <v>20</v>
      </c>
      <c r="D136" s="173" t="s">
        <v>877</v>
      </c>
      <c r="E136" s="304">
        <v>75.37</v>
      </c>
      <c r="F136" s="283">
        <v>-8.3000000000000007</v>
      </c>
      <c r="G136" s="283">
        <v>75.37</v>
      </c>
      <c r="H136" s="283">
        <v>8.3000000000000007</v>
      </c>
      <c r="I136" s="283" t="s">
        <v>1203</v>
      </c>
      <c r="J136" s="174" t="str">
        <f t="shared" si="6"/>
        <v>yes</v>
      </c>
      <c r="K136" s="304">
        <v>1</v>
      </c>
      <c r="L136" s="273">
        <v>40053</v>
      </c>
      <c r="M136" s="284"/>
      <c r="N136" s="283"/>
      <c r="O136" s="283"/>
      <c r="P136" s="283"/>
      <c r="Q136" s="283"/>
      <c r="R136" s="283">
        <v>0</v>
      </c>
      <c r="S136" s="283">
        <v>9.9</v>
      </c>
      <c r="T136" s="283">
        <v>33</v>
      </c>
      <c r="U136" s="283"/>
      <c r="V136" s="283">
        <v>0</v>
      </c>
      <c r="W136" s="283">
        <v>23</v>
      </c>
      <c r="X136" s="283">
        <v>76</v>
      </c>
      <c r="Y136" s="283"/>
      <c r="Z136" s="283">
        <v>0</v>
      </c>
      <c r="AA136" s="270"/>
      <c r="AB136" s="270"/>
      <c r="AC136" s="270"/>
      <c r="AD136" s="270"/>
      <c r="AE136" s="270"/>
    </row>
    <row r="137" spans="1:31" x14ac:dyDescent="0.25">
      <c r="A137" s="618" t="s">
        <v>193</v>
      </c>
      <c r="B137" s="716" t="s">
        <v>714</v>
      </c>
      <c r="C137" s="619">
        <v>22</v>
      </c>
      <c r="D137" s="173" t="s">
        <v>877</v>
      </c>
      <c r="E137" s="304">
        <v>76.180000000000007</v>
      </c>
      <c r="F137" s="283">
        <v>-6.74</v>
      </c>
      <c r="G137" s="283">
        <v>76.180000000000007</v>
      </c>
      <c r="H137" s="283">
        <v>6.74</v>
      </c>
      <c r="I137" s="283" t="s">
        <v>1203</v>
      </c>
      <c r="J137" s="174" t="str">
        <f t="shared" si="6"/>
        <v>yes</v>
      </c>
      <c r="K137" s="304">
        <v>1</v>
      </c>
      <c r="L137" s="273">
        <v>40052</v>
      </c>
      <c r="M137" s="284"/>
      <c r="N137" s="283"/>
      <c r="O137" s="283"/>
      <c r="P137" s="283"/>
      <c r="Q137" s="283"/>
      <c r="R137" s="283">
        <v>0</v>
      </c>
      <c r="S137" s="283">
        <v>9.9</v>
      </c>
      <c r="T137" s="283">
        <v>33</v>
      </c>
      <c r="U137" s="283"/>
      <c r="V137" s="283">
        <v>0</v>
      </c>
      <c r="W137" s="283">
        <v>23</v>
      </c>
      <c r="X137" s="283">
        <v>76</v>
      </c>
      <c r="Y137" s="283"/>
      <c r="Z137" s="283">
        <v>0</v>
      </c>
      <c r="AA137" s="270"/>
      <c r="AB137" s="270"/>
      <c r="AC137" s="270"/>
      <c r="AD137" s="270"/>
      <c r="AE137" s="270"/>
    </row>
    <row r="138" spans="1:31" x14ac:dyDescent="0.25">
      <c r="A138" s="618" t="s">
        <v>193</v>
      </c>
      <c r="B138" s="716" t="s">
        <v>714</v>
      </c>
      <c r="C138" s="619">
        <v>23</v>
      </c>
      <c r="D138" s="173" t="s">
        <v>877</v>
      </c>
      <c r="E138" s="304">
        <v>76.37</v>
      </c>
      <c r="F138" s="283">
        <v>-5.77</v>
      </c>
      <c r="G138" s="283">
        <v>76.37</v>
      </c>
      <c r="H138" s="283">
        <v>5.77</v>
      </c>
      <c r="I138" s="283" t="s">
        <v>1203</v>
      </c>
      <c r="J138" s="174" t="str">
        <f t="shared" ref="J138:J192" si="7">IF(V138=1,"","yes")</f>
        <v>yes</v>
      </c>
      <c r="K138" s="304">
        <v>1</v>
      </c>
      <c r="L138" s="273">
        <v>40052</v>
      </c>
      <c r="M138" s="284"/>
      <c r="N138" s="283"/>
      <c r="O138" s="283"/>
      <c r="P138" s="283"/>
      <c r="Q138" s="283"/>
      <c r="R138" s="283">
        <v>0</v>
      </c>
      <c r="S138" s="283">
        <v>9.9</v>
      </c>
      <c r="T138" s="283">
        <v>33</v>
      </c>
      <c r="U138" s="283"/>
      <c r="V138" s="283">
        <v>0</v>
      </c>
      <c r="W138" s="283">
        <v>23</v>
      </c>
      <c r="X138" s="283">
        <v>76</v>
      </c>
      <c r="Y138" s="283"/>
      <c r="Z138" s="283">
        <v>0</v>
      </c>
      <c r="AA138" s="270"/>
      <c r="AB138" s="270"/>
      <c r="AC138" s="270"/>
      <c r="AD138" s="270"/>
      <c r="AE138" s="270"/>
    </row>
    <row r="139" spans="1:31" x14ac:dyDescent="0.25">
      <c r="A139" s="618" t="s">
        <v>193</v>
      </c>
      <c r="B139" s="716" t="s">
        <v>714</v>
      </c>
      <c r="C139" s="619">
        <v>24</v>
      </c>
      <c r="D139" s="173" t="s">
        <v>877</v>
      </c>
      <c r="E139" s="304">
        <v>76.41</v>
      </c>
      <c r="F139" s="283">
        <v>-7.08</v>
      </c>
      <c r="G139" s="283">
        <v>76.41</v>
      </c>
      <c r="H139" s="283">
        <v>7.08</v>
      </c>
      <c r="I139" s="283" t="s">
        <v>1203</v>
      </c>
      <c r="J139" s="174" t="str">
        <f t="shared" si="7"/>
        <v>yes</v>
      </c>
      <c r="K139" s="304">
        <v>1</v>
      </c>
      <c r="L139" s="273">
        <v>40053</v>
      </c>
      <c r="M139" s="284"/>
      <c r="N139" s="283"/>
      <c r="O139" s="283"/>
      <c r="P139" s="283"/>
      <c r="Q139" s="283"/>
      <c r="R139" s="283">
        <v>0</v>
      </c>
      <c r="S139" s="283">
        <v>9.9</v>
      </c>
      <c r="T139" s="283">
        <v>33</v>
      </c>
      <c r="U139" s="283"/>
      <c r="V139" s="283">
        <v>0</v>
      </c>
      <c r="W139" s="283">
        <v>23</v>
      </c>
      <c r="X139" s="283">
        <v>76</v>
      </c>
      <c r="Y139" s="283"/>
      <c r="Z139" s="283">
        <v>0</v>
      </c>
      <c r="AA139" s="270"/>
      <c r="AB139" s="270"/>
      <c r="AC139" s="270"/>
      <c r="AD139" s="270"/>
      <c r="AE139" s="270"/>
    </row>
    <row r="140" spans="1:31" x14ac:dyDescent="0.25">
      <c r="A140" s="618" t="s">
        <v>193</v>
      </c>
      <c r="B140" s="716" t="s">
        <v>714</v>
      </c>
      <c r="C140" s="619">
        <v>26</v>
      </c>
      <c r="D140" s="173" t="s">
        <v>877</v>
      </c>
      <c r="E140" s="304">
        <v>76.849999999999994</v>
      </c>
      <c r="F140" s="283">
        <v>-3.12</v>
      </c>
      <c r="G140" s="283">
        <v>76.849999999999994</v>
      </c>
      <c r="H140" s="283">
        <v>3.12</v>
      </c>
      <c r="I140" s="283" t="s">
        <v>1203</v>
      </c>
      <c r="J140" s="174" t="str">
        <f t="shared" si="7"/>
        <v>yes</v>
      </c>
      <c r="K140" s="304">
        <v>1</v>
      </c>
      <c r="L140" s="273">
        <v>40054</v>
      </c>
      <c r="M140" s="284"/>
      <c r="N140" s="283"/>
      <c r="O140" s="283"/>
      <c r="P140" s="283"/>
      <c r="Q140" s="283"/>
      <c r="R140" s="283">
        <v>0</v>
      </c>
      <c r="S140" s="283">
        <v>9.9</v>
      </c>
      <c r="T140" s="283">
        <v>33</v>
      </c>
      <c r="U140" s="283"/>
      <c r="V140" s="283">
        <v>0</v>
      </c>
      <c r="W140" s="283">
        <v>23</v>
      </c>
      <c r="X140" s="283">
        <v>76</v>
      </c>
      <c r="Y140" s="283"/>
      <c r="Z140" s="283">
        <v>0</v>
      </c>
      <c r="AA140" s="270"/>
      <c r="AB140" s="270"/>
      <c r="AC140" s="270"/>
      <c r="AD140" s="270"/>
      <c r="AE140" s="270"/>
    </row>
    <row r="141" spans="1:31" x14ac:dyDescent="0.25">
      <c r="A141" s="618" t="s">
        <v>193</v>
      </c>
      <c r="B141" s="716" t="s">
        <v>714</v>
      </c>
      <c r="C141" s="619">
        <v>27</v>
      </c>
      <c r="D141" s="173" t="s">
        <v>877</v>
      </c>
      <c r="E141" s="304">
        <v>77.12</v>
      </c>
      <c r="F141" s="283">
        <v>-1.65</v>
      </c>
      <c r="G141" s="283">
        <v>77.12</v>
      </c>
      <c r="H141" s="283">
        <v>1.65</v>
      </c>
      <c r="I141" s="283" t="s">
        <v>1203</v>
      </c>
      <c r="J141" s="174" t="str">
        <f t="shared" si="7"/>
        <v>yes</v>
      </c>
      <c r="K141" s="304">
        <v>1</v>
      </c>
      <c r="L141" s="273">
        <v>40054</v>
      </c>
      <c r="M141" s="284"/>
      <c r="N141" s="283"/>
      <c r="O141" s="283"/>
      <c r="P141" s="283"/>
      <c r="Q141" s="283"/>
      <c r="R141" s="283">
        <v>0</v>
      </c>
      <c r="S141" s="283">
        <v>9.9</v>
      </c>
      <c r="T141" s="283">
        <v>33</v>
      </c>
      <c r="U141" s="283"/>
      <c r="V141" s="283">
        <v>0</v>
      </c>
      <c r="W141" s="283">
        <v>23</v>
      </c>
      <c r="X141" s="283">
        <v>76</v>
      </c>
      <c r="Y141" s="283"/>
      <c r="Z141" s="283">
        <v>0</v>
      </c>
      <c r="AA141" s="270"/>
      <c r="AB141" s="270"/>
      <c r="AC141" s="270"/>
      <c r="AD141" s="270"/>
      <c r="AE141" s="270"/>
    </row>
    <row r="142" spans="1:31" x14ac:dyDescent="0.25">
      <c r="A142" s="618" t="s">
        <v>193</v>
      </c>
      <c r="B142" s="716" t="s">
        <v>714</v>
      </c>
      <c r="C142" s="619">
        <v>28</v>
      </c>
      <c r="D142" s="173" t="s">
        <v>877</v>
      </c>
      <c r="E142" s="304">
        <v>77.22</v>
      </c>
      <c r="F142" s="283">
        <v>1.04</v>
      </c>
      <c r="G142" s="283">
        <v>77.22</v>
      </c>
      <c r="H142" s="283">
        <v>-1.04</v>
      </c>
      <c r="I142" s="283" t="s">
        <v>1203</v>
      </c>
      <c r="J142" s="174" t="str">
        <f t="shared" si="7"/>
        <v>yes</v>
      </c>
      <c r="K142" s="304">
        <v>1</v>
      </c>
      <c r="L142" s="273">
        <v>40051</v>
      </c>
      <c r="M142" s="284"/>
      <c r="N142" s="283"/>
      <c r="O142" s="283"/>
      <c r="P142" s="283"/>
      <c r="Q142" s="283"/>
      <c r="R142" s="283">
        <v>0</v>
      </c>
      <c r="S142" s="283">
        <v>9.9</v>
      </c>
      <c r="T142" s="283">
        <v>33</v>
      </c>
      <c r="U142" s="283">
        <v>31.29</v>
      </c>
      <c r="V142" s="283" t="s">
        <v>446</v>
      </c>
      <c r="W142" s="283">
        <v>23</v>
      </c>
      <c r="X142" s="283">
        <v>76</v>
      </c>
      <c r="Y142" s="283"/>
      <c r="Z142" s="283">
        <v>0</v>
      </c>
      <c r="AA142" s="270"/>
      <c r="AB142" s="270"/>
      <c r="AC142" s="270"/>
      <c r="AD142" s="270"/>
      <c r="AE142" s="270"/>
    </row>
    <row r="143" spans="1:31" x14ac:dyDescent="0.25">
      <c r="A143" s="618" t="s">
        <v>193</v>
      </c>
      <c r="B143" s="716" t="s">
        <v>714</v>
      </c>
      <c r="C143" s="619">
        <v>29</v>
      </c>
      <c r="D143" s="173" t="s">
        <v>877</v>
      </c>
      <c r="E143" s="304">
        <v>77.41</v>
      </c>
      <c r="F143" s="283">
        <v>0.05</v>
      </c>
      <c r="G143" s="283">
        <v>77.41</v>
      </c>
      <c r="H143" s="283">
        <v>-0.05</v>
      </c>
      <c r="I143" s="283" t="s">
        <v>1203</v>
      </c>
      <c r="J143" s="174" t="str">
        <f t="shared" si="7"/>
        <v>yes</v>
      </c>
      <c r="K143" s="304">
        <v>1</v>
      </c>
      <c r="L143" s="273">
        <v>40051</v>
      </c>
      <c r="M143" s="284"/>
      <c r="N143" s="283"/>
      <c r="O143" s="283"/>
      <c r="P143" s="283"/>
      <c r="Q143" s="283"/>
      <c r="R143" s="283">
        <v>0</v>
      </c>
      <c r="S143" s="283">
        <v>9.9</v>
      </c>
      <c r="T143" s="283">
        <v>33</v>
      </c>
      <c r="U143" s="283"/>
      <c r="V143" s="283">
        <v>0</v>
      </c>
      <c r="W143" s="283">
        <v>23</v>
      </c>
      <c r="X143" s="283">
        <v>76</v>
      </c>
      <c r="Y143" s="283"/>
      <c r="Z143" s="283">
        <v>0</v>
      </c>
      <c r="AA143" s="270"/>
      <c r="AB143" s="270"/>
      <c r="AC143" s="270"/>
      <c r="AD143" s="270"/>
      <c r="AE143" s="270"/>
    </row>
    <row r="144" spans="1:31" x14ac:dyDescent="0.25">
      <c r="A144" s="618" t="s">
        <v>193</v>
      </c>
      <c r="B144" s="716" t="s">
        <v>714</v>
      </c>
      <c r="C144" s="619">
        <v>30</v>
      </c>
      <c r="D144" s="173" t="s">
        <v>877</v>
      </c>
      <c r="E144" s="304">
        <v>78.209999999999994</v>
      </c>
      <c r="F144" s="283">
        <v>4.83</v>
      </c>
      <c r="G144" s="283">
        <v>78.209999999999994</v>
      </c>
      <c r="H144" s="283">
        <v>4.83</v>
      </c>
      <c r="I144" s="283" t="s">
        <v>1203</v>
      </c>
      <c r="J144" s="174" t="str">
        <f t="shared" si="7"/>
        <v>yes</v>
      </c>
      <c r="K144" s="304">
        <v>1</v>
      </c>
      <c r="L144" s="273">
        <v>40050</v>
      </c>
      <c r="M144" s="284"/>
      <c r="N144" s="283"/>
      <c r="O144" s="283"/>
      <c r="P144" s="283"/>
      <c r="Q144" s="283">
        <v>24.1</v>
      </c>
      <c r="R144" s="283">
        <v>0</v>
      </c>
      <c r="S144" s="283">
        <v>9.9</v>
      </c>
      <c r="T144" s="283">
        <v>33</v>
      </c>
      <c r="U144" s="283"/>
      <c r="V144" s="283">
        <v>0</v>
      </c>
      <c r="W144" s="283">
        <v>23</v>
      </c>
      <c r="X144" s="283">
        <v>76</v>
      </c>
      <c r="Y144" s="283"/>
      <c r="Z144" s="283">
        <v>0</v>
      </c>
      <c r="AA144" s="270"/>
      <c r="AB144" s="270"/>
      <c r="AC144" s="270"/>
      <c r="AD144" s="270"/>
      <c r="AE144" s="270"/>
    </row>
    <row r="145" spans="1:31" x14ac:dyDescent="0.25">
      <c r="A145" s="618" t="s">
        <v>193</v>
      </c>
      <c r="B145" s="716" t="s">
        <v>714</v>
      </c>
      <c r="C145" s="619">
        <v>33</v>
      </c>
      <c r="D145" s="173" t="s">
        <v>877</v>
      </c>
      <c r="E145" s="304">
        <v>79.11</v>
      </c>
      <c r="F145" s="283">
        <v>5.56</v>
      </c>
      <c r="G145" s="283">
        <v>79.11</v>
      </c>
      <c r="H145" s="283">
        <v>-5.56</v>
      </c>
      <c r="I145" s="283" t="s">
        <v>1203</v>
      </c>
      <c r="J145" s="174" t="str">
        <f t="shared" si="7"/>
        <v>yes</v>
      </c>
      <c r="K145" s="304">
        <v>1</v>
      </c>
      <c r="L145" s="273">
        <v>40049</v>
      </c>
      <c r="M145" s="284"/>
      <c r="N145" s="283"/>
      <c r="O145" s="283"/>
      <c r="P145" s="283"/>
      <c r="Q145" s="283"/>
      <c r="R145" s="283">
        <v>0</v>
      </c>
      <c r="S145" s="283">
        <v>9.9</v>
      </c>
      <c r="T145" s="283">
        <v>33</v>
      </c>
      <c r="U145" s="283"/>
      <c r="V145" s="283">
        <v>0</v>
      </c>
      <c r="W145" s="283">
        <v>23</v>
      </c>
      <c r="X145" s="283">
        <v>76</v>
      </c>
      <c r="Y145" s="283"/>
      <c r="Z145" s="283">
        <v>0</v>
      </c>
      <c r="AA145" s="270"/>
      <c r="AB145" s="270"/>
      <c r="AC145" s="270"/>
      <c r="AD145" s="270"/>
      <c r="AE145" s="270"/>
    </row>
    <row r="146" spans="1:31" x14ac:dyDescent="0.25">
      <c r="A146" s="618" t="s">
        <v>193</v>
      </c>
      <c r="B146" s="716" t="s">
        <v>714</v>
      </c>
      <c r="C146" s="619">
        <v>34</v>
      </c>
      <c r="D146" s="173" t="s">
        <v>877</v>
      </c>
      <c r="E146" s="304">
        <v>79.94</v>
      </c>
      <c r="F146" s="283">
        <v>2.17</v>
      </c>
      <c r="G146" s="283">
        <v>79.94</v>
      </c>
      <c r="H146" s="283">
        <v>-2.17</v>
      </c>
      <c r="I146" s="283" t="s">
        <v>1203</v>
      </c>
      <c r="J146" s="174" t="str">
        <f t="shared" si="7"/>
        <v>yes</v>
      </c>
      <c r="K146" s="304">
        <v>1</v>
      </c>
      <c r="L146" s="273">
        <v>40047</v>
      </c>
      <c r="M146" s="284"/>
      <c r="N146" s="283"/>
      <c r="O146" s="283"/>
      <c r="P146" s="283"/>
      <c r="Q146" s="283"/>
      <c r="R146" s="283">
        <v>0</v>
      </c>
      <c r="S146" s="283">
        <v>9.9</v>
      </c>
      <c r="T146" s="283">
        <v>33</v>
      </c>
      <c r="U146" s="283">
        <v>25.4</v>
      </c>
      <c r="V146" s="283" t="s">
        <v>446</v>
      </c>
      <c r="W146" s="283">
        <v>23</v>
      </c>
      <c r="X146" s="283">
        <v>76</v>
      </c>
      <c r="Y146" s="283"/>
      <c r="Z146" s="283">
        <v>0</v>
      </c>
      <c r="AA146" s="270"/>
      <c r="AB146" s="270"/>
      <c r="AC146" s="270"/>
      <c r="AD146" s="270"/>
      <c r="AE146" s="270"/>
    </row>
    <row r="147" spans="1:31" x14ac:dyDescent="0.25">
      <c r="A147" s="618" t="s">
        <v>193</v>
      </c>
      <c r="B147" s="716" t="s">
        <v>714</v>
      </c>
      <c r="C147" s="619">
        <v>1</v>
      </c>
      <c r="D147" s="173" t="s">
        <v>877</v>
      </c>
      <c r="E147" s="304">
        <v>67.510000000000005</v>
      </c>
      <c r="F147" s="283">
        <v>21.11</v>
      </c>
      <c r="G147" s="283">
        <v>67.510000000000005</v>
      </c>
      <c r="H147" s="283">
        <v>-21.11</v>
      </c>
      <c r="I147" s="283" t="s">
        <v>1203</v>
      </c>
      <c r="J147" s="174" t="str">
        <f t="shared" si="7"/>
        <v>yes</v>
      </c>
      <c r="K147" s="304">
        <v>2</v>
      </c>
      <c r="L147" s="273">
        <v>40031</v>
      </c>
      <c r="M147" s="284"/>
      <c r="N147" s="283"/>
      <c r="O147" s="283"/>
      <c r="P147" s="283"/>
      <c r="Q147" s="283">
        <v>10.7</v>
      </c>
      <c r="R147" s="283">
        <v>1</v>
      </c>
      <c r="S147" s="283">
        <v>9.9</v>
      </c>
      <c r="T147" s="283">
        <v>33</v>
      </c>
      <c r="U147" s="283">
        <v>42.64</v>
      </c>
      <c r="V147" s="283" t="s">
        <v>446</v>
      </c>
      <c r="W147" s="283">
        <v>23</v>
      </c>
      <c r="X147" s="283">
        <v>76</v>
      </c>
      <c r="Y147" s="283">
        <v>160.19999999999999</v>
      </c>
      <c r="Z147" s="283">
        <v>1</v>
      </c>
      <c r="AA147" s="270"/>
      <c r="AB147" s="270"/>
      <c r="AC147" s="270"/>
      <c r="AD147" s="270"/>
      <c r="AE147" s="270"/>
    </row>
    <row r="148" spans="1:31" x14ac:dyDescent="0.25">
      <c r="A148" s="618" t="s">
        <v>193</v>
      </c>
      <c r="B148" s="716" t="s">
        <v>714</v>
      </c>
      <c r="C148" s="619">
        <v>2</v>
      </c>
      <c r="D148" s="173" t="s">
        <v>877</v>
      </c>
      <c r="E148" s="304">
        <v>68.95</v>
      </c>
      <c r="F148" s="283">
        <v>17.05</v>
      </c>
      <c r="G148" s="283">
        <v>68.95</v>
      </c>
      <c r="H148" s="283">
        <v>-17.05</v>
      </c>
      <c r="I148" s="283" t="s">
        <v>1203</v>
      </c>
      <c r="J148" s="174" t="str">
        <f t="shared" si="7"/>
        <v>yes</v>
      </c>
      <c r="K148" s="304">
        <v>2</v>
      </c>
      <c r="L148" s="273">
        <v>40032</v>
      </c>
      <c r="M148" s="284"/>
      <c r="N148" s="283"/>
      <c r="O148" s="283"/>
      <c r="P148" s="283"/>
      <c r="Q148" s="283"/>
      <c r="R148" s="283">
        <v>0</v>
      </c>
      <c r="S148" s="283">
        <v>9.9</v>
      </c>
      <c r="T148" s="283">
        <v>33</v>
      </c>
      <c r="U148" s="283">
        <v>45.31</v>
      </c>
      <c r="V148" s="283" t="s">
        <v>446</v>
      </c>
      <c r="W148" s="283">
        <v>23</v>
      </c>
      <c r="X148" s="283">
        <v>76</v>
      </c>
      <c r="Y148" s="283">
        <v>74.2</v>
      </c>
      <c r="Z148" s="283">
        <v>1</v>
      </c>
      <c r="AA148" s="270"/>
      <c r="AB148" s="270"/>
      <c r="AC148" s="270"/>
      <c r="AD148" s="270"/>
      <c r="AE148" s="270"/>
    </row>
    <row r="149" spans="1:31" x14ac:dyDescent="0.25">
      <c r="A149" s="618" t="s">
        <v>193</v>
      </c>
      <c r="B149" s="716" t="s">
        <v>714</v>
      </c>
      <c r="C149" s="619">
        <v>3</v>
      </c>
      <c r="D149" s="173" t="s">
        <v>877</v>
      </c>
      <c r="E149" s="304">
        <v>69.459999999999994</v>
      </c>
      <c r="F149" s="283">
        <v>15.59</v>
      </c>
      <c r="G149" s="283">
        <v>69.459999999999994</v>
      </c>
      <c r="H149" s="283">
        <v>-15.59</v>
      </c>
      <c r="I149" s="283" t="s">
        <v>1203</v>
      </c>
      <c r="J149" s="174" t="str">
        <f t="shared" si="7"/>
        <v>yes</v>
      </c>
      <c r="K149" s="304">
        <v>2</v>
      </c>
      <c r="L149" s="273">
        <v>40032</v>
      </c>
      <c r="M149" s="284"/>
      <c r="N149" s="283"/>
      <c r="O149" s="283"/>
      <c r="P149" s="283"/>
      <c r="Q149" s="283"/>
      <c r="R149" s="283">
        <v>0</v>
      </c>
      <c r="S149" s="283">
        <v>9.9</v>
      </c>
      <c r="T149" s="283">
        <v>33</v>
      </c>
      <c r="U149" s="283"/>
      <c r="V149" s="283">
        <v>0</v>
      </c>
      <c r="W149" s="283">
        <v>23</v>
      </c>
      <c r="X149" s="283">
        <v>76</v>
      </c>
      <c r="Y149" s="283">
        <v>91.8</v>
      </c>
      <c r="Z149" s="283">
        <v>1</v>
      </c>
      <c r="AA149" s="270"/>
      <c r="AB149" s="270"/>
      <c r="AC149" s="270"/>
      <c r="AD149" s="270"/>
      <c r="AE149" s="270"/>
    </row>
    <row r="150" spans="1:31" x14ac:dyDescent="0.25">
      <c r="A150" s="618" t="s">
        <v>193</v>
      </c>
      <c r="B150" s="716" t="s">
        <v>714</v>
      </c>
      <c r="C150" s="619">
        <v>4</v>
      </c>
      <c r="D150" s="173" t="s">
        <v>877</v>
      </c>
      <c r="E150" s="304">
        <v>70.39</v>
      </c>
      <c r="F150" s="283">
        <v>15.62</v>
      </c>
      <c r="G150" s="283">
        <v>70.39</v>
      </c>
      <c r="H150" s="283">
        <v>-15.62</v>
      </c>
      <c r="I150" s="283" t="s">
        <v>1203</v>
      </c>
      <c r="J150" s="174" t="str">
        <f t="shared" si="7"/>
        <v>yes</v>
      </c>
      <c r="K150" s="304">
        <v>2</v>
      </c>
      <c r="L150" s="273">
        <v>40033</v>
      </c>
      <c r="M150" s="284"/>
      <c r="N150" s="283"/>
      <c r="O150" s="283"/>
      <c r="P150" s="283"/>
      <c r="Q150" s="283"/>
      <c r="R150" s="283">
        <v>0</v>
      </c>
      <c r="S150" s="283">
        <v>9.9</v>
      </c>
      <c r="T150" s="283">
        <v>33</v>
      </c>
      <c r="U150" s="283">
        <v>49.67</v>
      </c>
      <c r="V150" s="283" t="s">
        <v>446</v>
      </c>
      <c r="W150" s="283">
        <v>23</v>
      </c>
      <c r="X150" s="283">
        <v>76</v>
      </c>
      <c r="Y150" s="283">
        <v>51.5</v>
      </c>
      <c r="Z150" s="283">
        <v>1</v>
      </c>
      <c r="AA150" s="270"/>
      <c r="AB150" s="270"/>
      <c r="AC150" s="270"/>
      <c r="AD150" s="270"/>
      <c r="AE150" s="270"/>
    </row>
    <row r="151" spans="1:31" x14ac:dyDescent="0.25">
      <c r="A151" s="618" t="s">
        <v>193</v>
      </c>
      <c r="B151" s="716" t="s">
        <v>714</v>
      </c>
      <c r="C151" s="619">
        <v>5</v>
      </c>
      <c r="D151" s="173" t="s">
        <v>877</v>
      </c>
      <c r="E151" s="304">
        <v>70.45</v>
      </c>
      <c r="F151" s="283">
        <v>14.33</v>
      </c>
      <c r="G151" s="283">
        <v>70.45</v>
      </c>
      <c r="H151" s="283">
        <v>-14.33</v>
      </c>
      <c r="I151" s="283" t="s">
        <v>1203</v>
      </c>
      <c r="J151" s="174" t="str">
        <f t="shared" si="7"/>
        <v>yes</v>
      </c>
      <c r="K151" s="304">
        <v>2</v>
      </c>
      <c r="L151" s="273">
        <v>40032</v>
      </c>
      <c r="M151" s="284"/>
      <c r="N151" s="283"/>
      <c r="O151" s="283"/>
      <c r="P151" s="283"/>
      <c r="Q151" s="283"/>
      <c r="R151" s="283">
        <v>0</v>
      </c>
      <c r="S151" s="283">
        <v>9.9</v>
      </c>
      <c r="T151" s="283">
        <v>33</v>
      </c>
      <c r="U151" s="283">
        <v>25.36</v>
      </c>
      <c r="V151" s="283" t="s">
        <v>446</v>
      </c>
      <c r="W151" s="283">
        <v>23</v>
      </c>
      <c r="X151" s="283">
        <v>76</v>
      </c>
      <c r="Y151" s="283">
        <v>71.7</v>
      </c>
      <c r="Z151" s="283">
        <v>1</v>
      </c>
      <c r="AA151" s="270"/>
      <c r="AB151" s="270"/>
      <c r="AC151" s="270"/>
      <c r="AD151" s="270"/>
      <c r="AE151" s="270"/>
    </row>
    <row r="152" spans="1:31" x14ac:dyDescent="0.25">
      <c r="A152" s="618" t="s">
        <v>193</v>
      </c>
      <c r="B152" s="716" t="s">
        <v>714</v>
      </c>
      <c r="C152" s="619">
        <v>6</v>
      </c>
      <c r="D152" s="173" t="s">
        <v>877</v>
      </c>
      <c r="E152" s="304">
        <v>70.73</v>
      </c>
      <c r="F152" s="283">
        <v>17.02</v>
      </c>
      <c r="G152" s="283">
        <v>70.73</v>
      </c>
      <c r="H152" s="283">
        <v>-17.02</v>
      </c>
      <c r="I152" s="283" t="s">
        <v>1203</v>
      </c>
      <c r="J152" s="174" t="str">
        <f t="shared" si="7"/>
        <v>yes</v>
      </c>
      <c r="K152" s="304">
        <v>2</v>
      </c>
      <c r="L152" s="273">
        <v>40033</v>
      </c>
      <c r="M152" s="284"/>
      <c r="N152" s="283"/>
      <c r="O152" s="283"/>
      <c r="P152" s="283"/>
      <c r="Q152" s="283">
        <v>22.8</v>
      </c>
      <c r="R152" s="283">
        <v>0</v>
      </c>
      <c r="S152" s="283">
        <v>9.9</v>
      </c>
      <c r="T152" s="283">
        <v>33</v>
      </c>
      <c r="U152" s="283">
        <v>38.6</v>
      </c>
      <c r="V152" s="283" t="s">
        <v>446</v>
      </c>
      <c r="W152" s="283">
        <v>23</v>
      </c>
      <c r="X152" s="283">
        <v>76</v>
      </c>
      <c r="Y152" s="283">
        <v>28.7</v>
      </c>
      <c r="Z152" s="283">
        <v>1</v>
      </c>
      <c r="AA152" s="270"/>
      <c r="AB152" s="270"/>
      <c r="AC152" s="270"/>
      <c r="AD152" s="270"/>
      <c r="AE152" s="270"/>
    </row>
    <row r="153" spans="1:31" x14ac:dyDescent="0.25">
      <c r="A153" s="618" t="s">
        <v>193</v>
      </c>
      <c r="B153" s="716" t="s">
        <v>714</v>
      </c>
      <c r="C153" s="619">
        <v>7</v>
      </c>
      <c r="D153" s="173" t="s">
        <v>877</v>
      </c>
      <c r="E153" s="304">
        <v>70.86</v>
      </c>
      <c r="F153" s="283">
        <v>17.54</v>
      </c>
      <c r="G153" s="283">
        <v>70.86</v>
      </c>
      <c r="H153" s="283">
        <v>-17.54</v>
      </c>
      <c r="I153" s="283" t="s">
        <v>1203</v>
      </c>
      <c r="J153" s="174" t="str">
        <f t="shared" si="7"/>
        <v>yes</v>
      </c>
      <c r="K153" s="304">
        <v>2</v>
      </c>
      <c r="L153" s="273">
        <v>40039</v>
      </c>
      <c r="M153" s="284"/>
      <c r="N153" s="283"/>
      <c r="O153" s="283"/>
      <c r="P153" s="283"/>
      <c r="Q153" s="283"/>
      <c r="R153" s="283">
        <v>0</v>
      </c>
      <c r="S153" s="283">
        <v>9.9</v>
      </c>
      <c r="T153" s="283">
        <v>33</v>
      </c>
      <c r="U153" s="283">
        <v>54.48</v>
      </c>
      <c r="V153" s="283" t="s">
        <v>446</v>
      </c>
      <c r="W153" s="283">
        <v>23</v>
      </c>
      <c r="X153" s="283">
        <v>76</v>
      </c>
      <c r="Y153" s="283"/>
      <c r="Z153" s="283">
        <v>0</v>
      </c>
      <c r="AA153" s="270"/>
      <c r="AB153" s="270"/>
      <c r="AC153" s="270"/>
      <c r="AD153" s="270"/>
      <c r="AE153" s="270"/>
    </row>
    <row r="154" spans="1:31" x14ac:dyDescent="0.25">
      <c r="A154" s="618" t="s">
        <v>193</v>
      </c>
      <c r="B154" s="716" t="s">
        <v>714</v>
      </c>
      <c r="C154" s="619">
        <v>8</v>
      </c>
      <c r="D154" s="173" t="s">
        <v>877</v>
      </c>
      <c r="E154" s="304">
        <v>71.569999999999993</v>
      </c>
      <c r="F154" s="283">
        <v>20.63</v>
      </c>
      <c r="G154" s="283">
        <v>71.569999999999993</v>
      </c>
      <c r="H154" s="283">
        <v>-20.63</v>
      </c>
      <c r="I154" s="283" t="s">
        <v>1203</v>
      </c>
      <c r="J154" s="174" t="str">
        <f t="shared" si="7"/>
        <v>yes</v>
      </c>
      <c r="K154" s="304">
        <v>2</v>
      </c>
      <c r="L154" s="273">
        <v>40034</v>
      </c>
      <c r="M154" s="284"/>
      <c r="N154" s="283"/>
      <c r="O154" s="283"/>
      <c r="P154" s="283"/>
      <c r="Q154" s="283">
        <v>16.899999999999999</v>
      </c>
      <c r="R154" s="283">
        <v>1</v>
      </c>
      <c r="S154" s="283">
        <v>9.9</v>
      </c>
      <c r="T154" s="283">
        <v>33</v>
      </c>
      <c r="U154" s="283"/>
      <c r="V154" s="283">
        <v>0</v>
      </c>
      <c r="W154" s="283">
        <v>23</v>
      </c>
      <c r="X154" s="283">
        <v>76</v>
      </c>
      <c r="Y154" s="283">
        <v>34.6</v>
      </c>
      <c r="Z154" s="283">
        <v>1</v>
      </c>
      <c r="AA154" s="270"/>
      <c r="AB154" s="270"/>
      <c r="AC154" s="270"/>
      <c r="AD154" s="270"/>
      <c r="AE154" s="270"/>
    </row>
    <row r="155" spans="1:31" x14ac:dyDescent="0.25">
      <c r="A155" s="618" t="s">
        <v>193</v>
      </c>
      <c r="B155" s="716" t="s">
        <v>714</v>
      </c>
      <c r="C155" s="619">
        <v>9</v>
      </c>
      <c r="D155" s="173" t="s">
        <v>877</v>
      </c>
      <c r="E155" s="304">
        <v>72.03</v>
      </c>
      <c r="F155" s="283">
        <v>16.16</v>
      </c>
      <c r="G155" s="283">
        <v>72.03</v>
      </c>
      <c r="H155" s="283">
        <v>-16.16</v>
      </c>
      <c r="I155" s="283" t="s">
        <v>1203</v>
      </c>
      <c r="J155" s="174" t="str">
        <f t="shared" si="7"/>
        <v>yes</v>
      </c>
      <c r="K155" s="304">
        <v>2</v>
      </c>
      <c r="L155" s="273">
        <v>40069</v>
      </c>
      <c r="M155" s="284"/>
      <c r="N155" s="283"/>
      <c r="O155" s="283"/>
      <c r="P155" s="283"/>
      <c r="Q155" s="283"/>
      <c r="R155" s="283">
        <v>0</v>
      </c>
      <c r="S155" s="283">
        <v>9.9</v>
      </c>
      <c r="T155" s="283">
        <v>33</v>
      </c>
      <c r="U155" s="283"/>
      <c r="V155" s="283">
        <v>0</v>
      </c>
      <c r="W155" s="283">
        <v>23</v>
      </c>
      <c r="X155" s="283">
        <v>76</v>
      </c>
      <c r="Y155" s="283"/>
      <c r="Z155" s="283">
        <v>0</v>
      </c>
      <c r="AA155" s="270"/>
      <c r="AB155" s="270"/>
      <c r="AC155" s="270"/>
      <c r="AD155" s="270"/>
      <c r="AE155" s="270"/>
    </row>
    <row r="156" spans="1:31" x14ac:dyDescent="0.25">
      <c r="A156" s="294" t="s">
        <v>98</v>
      </c>
      <c r="B156" s="295" t="s">
        <v>894</v>
      </c>
      <c r="C156" s="296" t="s">
        <v>108</v>
      </c>
      <c r="D156" s="173" t="s">
        <v>877</v>
      </c>
      <c r="E156" s="305">
        <v>74.069999999999993</v>
      </c>
      <c r="F156" s="292">
        <v>157.30000000000001</v>
      </c>
      <c r="G156" s="292">
        <v>74.069999999999993</v>
      </c>
      <c r="H156" s="292">
        <v>-157.30000000000001</v>
      </c>
      <c r="I156" s="292" t="s">
        <v>1201</v>
      </c>
      <c r="J156" s="174" t="str">
        <f t="shared" si="7"/>
        <v>yes</v>
      </c>
      <c r="K156" s="305">
        <v>1</v>
      </c>
      <c r="L156" s="293">
        <v>40388</v>
      </c>
      <c r="M156" s="284">
        <v>56</v>
      </c>
      <c r="N156" s="283">
        <v>1</v>
      </c>
      <c r="O156" s="283">
        <v>10</v>
      </c>
      <c r="P156" s="283">
        <v>17</v>
      </c>
      <c r="Q156" s="283">
        <v>66</v>
      </c>
      <c r="R156" s="283">
        <v>0</v>
      </c>
      <c r="S156" s="283">
        <v>40</v>
      </c>
      <c r="T156" s="283">
        <v>66</v>
      </c>
      <c r="U156" s="283">
        <v>21</v>
      </c>
      <c r="V156" s="283">
        <v>0</v>
      </c>
      <c r="W156" s="283">
        <v>12</v>
      </c>
      <c r="X156" s="283">
        <v>21</v>
      </c>
      <c r="Y156" s="283"/>
      <c r="Z156" s="283"/>
      <c r="AA156" s="283">
        <v>6.3</v>
      </c>
      <c r="AB156" s="283">
        <v>0</v>
      </c>
      <c r="AC156" s="283">
        <v>4</v>
      </c>
      <c r="AD156" s="283">
        <v>6</v>
      </c>
      <c r="AE156" s="270"/>
    </row>
    <row r="157" spans="1:31" x14ac:dyDescent="0.25">
      <c r="A157" s="294" t="s">
        <v>98</v>
      </c>
      <c r="B157" s="295" t="s">
        <v>894</v>
      </c>
      <c r="C157" s="296" t="s">
        <v>106</v>
      </c>
      <c r="D157" s="173" t="s">
        <v>877</v>
      </c>
      <c r="E157" s="305">
        <v>72.7</v>
      </c>
      <c r="F157" s="292">
        <v>153.55000000000001</v>
      </c>
      <c r="G157" s="292">
        <v>72.7</v>
      </c>
      <c r="H157" s="292">
        <v>-153.55000000000001</v>
      </c>
      <c r="I157" s="292" t="s">
        <v>1203</v>
      </c>
      <c r="J157" s="174" t="str">
        <f t="shared" si="7"/>
        <v/>
      </c>
      <c r="K157" s="305">
        <v>1</v>
      </c>
      <c r="L157" s="293">
        <v>40386</v>
      </c>
      <c r="M157" s="284">
        <v>36</v>
      </c>
      <c r="N157" s="283">
        <v>1</v>
      </c>
      <c r="O157" s="283">
        <v>10</v>
      </c>
      <c r="P157" s="283">
        <v>17</v>
      </c>
      <c r="Q157" s="283">
        <v>66</v>
      </c>
      <c r="R157" s="283">
        <v>0</v>
      </c>
      <c r="S157" s="283">
        <v>40</v>
      </c>
      <c r="T157" s="283">
        <v>66</v>
      </c>
      <c r="U157" s="283">
        <v>53</v>
      </c>
      <c r="V157" s="283">
        <v>1</v>
      </c>
      <c r="W157" s="283">
        <v>12</v>
      </c>
      <c r="X157" s="283">
        <v>21</v>
      </c>
      <c r="Y157" s="283"/>
      <c r="Z157" s="283"/>
      <c r="AA157" s="283">
        <v>6.3</v>
      </c>
      <c r="AB157" s="283">
        <v>0</v>
      </c>
      <c r="AC157" s="283">
        <v>4</v>
      </c>
      <c r="AD157" s="283">
        <v>6</v>
      </c>
      <c r="AE157" s="270"/>
    </row>
    <row r="158" spans="1:31" x14ac:dyDescent="0.25">
      <c r="A158" s="294" t="s">
        <v>98</v>
      </c>
      <c r="B158" s="295" t="s">
        <v>894</v>
      </c>
      <c r="C158" s="296" t="s">
        <v>109</v>
      </c>
      <c r="D158" s="173" t="s">
        <v>877</v>
      </c>
      <c r="E158" s="305">
        <v>74.42</v>
      </c>
      <c r="F158" s="292">
        <v>158.13999999999999</v>
      </c>
      <c r="G158" s="292">
        <v>74.42</v>
      </c>
      <c r="H158" s="292">
        <v>-158.13999999999999</v>
      </c>
      <c r="I158" s="292" t="s">
        <v>1203</v>
      </c>
      <c r="J158" s="174" t="str">
        <f t="shared" si="7"/>
        <v>yes</v>
      </c>
      <c r="K158" s="305">
        <v>1</v>
      </c>
      <c r="L158" s="293">
        <v>40388</v>
      </c>
      <c r="M158" s="284">
        <v>20</v>
      </c>
      <c r="N158" s="283">
        <v>1</v>
      </c>
      <c r="O158" s="283">
        <v>10</v>
      </c>
      <c r="P158" s="283">
        <v>17</v>
      </c>
      <c r="Q158" s="283">
        <v>66</v>
      </c>
      <c r="R158" s="283">
        <v>0</v>
      </c>
      <c r="S158" s="283">
        <v>40</v>
      </c>
      <c r="T158" s="283">
        <v>66</v>
      </c>
      <c r="U158" s="283">
        <v>21</v>
      </c>
      <c r="V158" s="283">
        <v>0</v>
      </c>
      <c r="W158" s="283">
        <v>12</v>
      </c>
      <c r="X158" s="283">
        <v>21</v>
      </c>
      <c r="Y158" s="283"/>
      <c r="Z158" s="283"/>
      <c r="AA158" s="283">
        <v>6.3</v>
      </c>
      <c r="AB158" s="283">
        <v>0</v>
      </c>
      <c r="AC158" s="283">
        <v>4</v>
      </c>
      <c r="AD158" s="283">
        <v>6</v>
      </c>
      <c r="AE158" s="270"/>
    </row>
    <row r="159" spans="1:31" x14ac:dyDescent="0.25">
      <c r="A159" s="294" t="s">
        <v>98</v>
      </c>
      <c r="B159" s="295" t="s">
        <v>894</v>
      </c>
      <c r="C159" s="296" t="s">
        <v>105</v>
      </c>
      <c r="D159" s="173" t="s">
        <v>877</v>
      </c>
      <c r="E159" s="305">
        <v>72.25</v>
      </c>
      <c r="F159" s="292">
        <v>153.21</v>
      </c>
      <c r="G159" s="292">
        <v>72.25</v>
      </c>
      <c r="H159" s="292">
        <v>-153.21</v>
      </c>
      <c r="I159" s="292" t="s">
        <v>1203</v>
      </c>
      <c r="J159" s="174" t="str">
        <f t="shared" si="7"/>
        <v>yes</v>
      </c>
      <c r="K159" s="305">
        <v>1</v>
      </c>
      <c r="L159" s="293">
        <v>40385</v>
      </c>
      <c r="M159" s="284">
        <v>17</v>
      </c>
      <c r="N159" s="283">
        <v>0</v>
      </c>
      <c r="O159" s="283">
        <v>10</v>
      </c>
      <c r="P159" s="283">
        <v>17</v>
      </c>
      <c r="Q159" s="283">
        <v>66</v>
      </c>
      <c r="R159" s="283">
        <v>0</v>
      </c>
      <c r="S159" s="283">
        <v>40</v>
      </c>
      <c r="T159" s="283">
        <v>66</v>
      </c>
      <c r="U159" s="283">
        <v>21</v>
      </c>
      <c r="V159" s="283">
        <v>0</v>
      </c>
      <c r="W159" s="283">
        <v>12</v>
      </c>
      <c r="X159" s="283">
        <v>21</v>
      </c>
      <c r="Y159" s="283"/>
      <c r="Z159" s="283"/>
      <c r="AA159" s="283">
        <v>6.3</v>
      </c>
      <c r="AB159" s="283">
        <v>0</v>
      </c>
      <c r="AC159" s="283">
        <v>4</v>
      </c>
      <c r="AD159" s="283">
        <v>6</v>
      </c>
      <c r="AE159" s="270"/>
    </row>
    <row r="160" spans="1:31" x14ac:dyDescent="0.25">
      <c r="A160" s="294" t="s">
        <v>98</v>
      </c>
      <c r="B160" s="295" t="s">
        <v>894</v>
      </c>
      <c r="C160" s="296" t="s">
        <v>107</v>
      </c>
      <c r="D160" s="173" t="s">
        <v>877</v>
      </c>
      <c r="E160" s="305">
        <v>73.680000000000007</v>
      </c>
      <c r="F160" s="292">
        <v>156.37</v>
      </c>
      <c r="G160" s="292">
        <v>73.680000000000007</v>
      </c>
      <c r="H160" s="292">
        <v>-156.37</v>
      </c>
      <c r="I160" s="292" t="s">
        <v>1203</v>
      </c>
      <c r="J160" s="174" t="str">
        <f t="shared" si="7"/>
        <v>yes</v>
      </c>
      <c r="K160" s="305">
        <v>1</v>
      </c>
      <c r="L160" s="293">
        <v>40387</v>
      </c>
      <c r="M160" s="284">
        <v>17</v>
      </c>
      <c r="N160" s="283">
        <v>0</v>
      </c>
      <c r="O160" s="283">
        <v>10</v>
      </c>
      <c r="P160" s="283">
        <v>17</v>
      </c>
      <c r="Q160" s="283">
        <v>66</v>
      </c>
      <c r="R160" s="283">
        <v>0</v>
      </c>
      <c r="S160" s="283">
        <v>40</v>
      </c>
      <c r="T160" s="283">
        <v>66</v>
      </c>
      <c r="U160" s="283">
        <v>21</v>
      </c>
      <c r="V160" s="283">
        <v>0</v>
      </c>
      <c r="W160" s="283">
        <v>12</v>
      </c>
      <c r="X160" s="283">
        <v>21</v>
      </c>
      <c r="Y160" s="283"/>
      <c r="Z160" s="283"/>
      <c r="AA160" s="283">
        <v>6.3</v>
      </c>
      <c r="AB160" s="283">
        <v>0</v>
      </c>
      <c r="AC160" s="283">
        <v>4</v>
      </c>
      <c r="AD160" s="283">
        <v>6</v>
      </c>
      <c r="AE160" s="270"/>
    </row>
    <row r="161" spans="1:33" x14ac:dyDescent="0.25">
      <c r="A161" s="294" t="s">
        <v>98</v>
      </c>
      <c r="B161" s="295" t="s">
        <v>894</v>
      </c>
      <c r="C161" s="296" t="s">
        <v>110</v>
      </c>
      <c r="D161" s="173" t="s">
        <v>877</v>
      </c>
      <c r="E161" s="305">
        <v>74.55</v>
      </c>
      <c r="F161" s="292">
        <v>158.99</v>
      </c>
      <c r="G161" s="292">
        <v>74.55</v>
      </c>
      <c r="H161" s="292">
        <v>-158.99</v>
      </c>
      <c r="I161" s="292" t="s">
        <v>1203</v>
      </c>
      <c r="J161" s="174" t="str">
        <f t="shared" si="7"/>
        <v>yes</v>
      </c>
      <c r="K161" s="305">
        <v>1</v>
      </c>
      <c r="L161" s="293">
        <v>40388</v>
      </c>
      <c r="M161" s="284">
        <v>17</v>
      </c>
      <c r="N161" s="283">
        <v>0</v>
      </c>
      <c r="O161" s="283">
        <v>10</v>
      </c>
      <c r="P161" s="283">
        <v>17</v>
      </c>
      <c r="Q161" s="283">
        <v>66</v>
      </c>
      <c r="R161" s="283">
        <v>0</v>
      </c>
      <c r="S161" s="283">
        <v>40</v>
      </c>
      <c r="T161" s="283">
        <v>66</v>
      </c>
      <c r="U161" s="283">
        <v>21</v>
      </c>
      <c r="V161" s="283">
        <v>0</v>
      </c>
      <c r="W161" s="283">
        <v>12</v>
      </c>
      <c r="X161" s="283">
        <v>21</v>
      </c>
      <c r="Y161" s="283"/>
      <c r="Z161" s="283"/>
      <c r="AA161" s="283">
        <v>6.3</v>
      </c>
      <c r="AB161" s="283">
        <v>0</v>
      </c>
      <c r="AC161" s="283">
        <v>4</v>
      </c>
      <c r="AD161" s="283">
        <v>6</v>
      </c>
      <c r="AE161" s="270"/>
    </row>
    <row r="162" spans="1:33" x14ac:dyDescent="0.25">
      <c r="A162" s="294" t="s">
        <v>98</v>
      </c>
      <c r="B162" s="295" t="s">
        <v>894</v>
      </c>
      <c r="C162" s="296" t="s">
        <v>111</v>
      </c>
      <c r="D162" s="173" t="s">
        <v>877</v>
      </c>
      <c r="E162" s="305">
        <v>76.45</v>
      </c>
      <c r="F162" s="292">
        <v>158.9</v>
      </c>
      <c r="G162" s="292">
        <v>76.45</v>
      </c>
      <c r="H162" s="292">
        <v>-158.9</v>
      </c>
      <c r="I162" s="292" t="s">
        <v>1203</v>
      </c>
      <c r="J162" s="174" t="str">
        <f t="shared" si="7"/>
        <v>yes</v>
      </c>
      <c r="K162" s="305">
        <v>1</v>
      </c>
      <c r="L162" s="293">
        <v>40389</v>
      </c>
      <c r="M162" s="284">
        <v>17</v>
      </c>
      <c r="N162" s="283">
        <v>0</v>
      </c>
      <c r="O162" s="283">
        <v>10</v>
      </c>
      <c r="P162" s="283">
        <v>17</v>
      </c>
      <c r="Q162" s="283">
        <v>66</v>
      </c>
      <c r="R162" s="283">
        <v>0</v>
      </c>
      <c r="S162" s="283">
        <v>40</v>
      </c>
      <c r="T162" s="283">
        <v>66</v>
      </c>
      <c r="U162" s="283">
        <v>21</v>
      </c>
      <c r="V162" s="283">
        <v>0</v>
      </c>
      <c r="W162" s="283">
        <v>12</v>
      </c>
      <c r="X162" s="283">
        <v>21</v>
      </c>
      <c r="Y162" s="283"/>
      <c r="Z162" s="283"/>
      <c r="AA162" s="283">
        <v>6.3</v>
      </c>
      <c r="AB162" s="283">
        <v>0</v>
      </c>
      <c r="AC162" s="283">
        <v>4</v>
      </c>
      <c r="AD162" s="283">
        <v>6</v>
      </c>
      <c r="AE162" s="270"/>
    </row>
    <row r="163" spans="1:33" x14ac:dyDescent="0.25">
      <c r="A163" s="294" t="s">
        <v>98</v>
      </c>
      <c r="B163" s="295" t="s">
        <v>894</v>
      </c>
      <c r="C163" s="296" t="s">
        <v>104</v>
      </c>
      <c r="D163" s="173" t="s">
        <v>877</v>
      </c>
      <c r="E163" s="305">
        <v>71.930000000000007</v>
      </c>
      <c r="F163" s="292">
        <v>153.76</v>
      </c>
      <c r="G163" s="292">
        <v>71.930000000000007</v>
      </c>
      <c r="H163" s="292">
        <v>-153.76</v>
      </c>
      <c r="I163" s="292" t="s">
        <v>1203</v>
      </c>
      <c r="J163" s="174" t="str">
        <f t="shared" si="7"/>
        <v>yes</v>
      </c>
      <c r="K163" s="305">
        <v>2</v>
      </c>
      <c r="L163" s="293">
        <v>40385</v>
      </c>
      <c r="M163" s="284">
        <v>78</v>
      </c>
      <c r="N163" s="283">
        <v>1</v>
      </c>
      <c r="O163" s="283">
        <v>10</v>
      </c>
      <c r="P163" s="283">
        <v>17</v>
      </c>
      <c r="Q163" s="283">
        <v>66</v>
      </c>
      <c r="R163" s="283">
        <v>0</v>
      </c>
      <c r="S163" s="283">
        <v>40</v>
      </c>
      <c r="T163" s="283">
        <v>66</v>
      </c>
      <c r="U163" s="283">
        <v>21</v>
      </c>
      <c r="V163" s="283">
        <v>0</v>
      </c>
      <c r="W163" s="283">
        <v>12</v>
      </c>
      <c r="X163" s="283">
        <v>21</v>
      </c>
      <c r="Y163" s="283"/>
      <c r="Z163" s="283"/>
      <c r="AA163" s="283">
        <v>6.3</v>
      </c>
      <c r="AB163" s="283">
        <v>0</v>
      </c>
      <c r="AC163" s="283">
        <v>4</v>
      </c>
      <c r="AD163" s="283">
        <v>6</v>
      </c>
      <c r="AE163" s="270"/>
    </row>
    <row r="164" spans="1:33" s="239" customFormat="1" x14ac:dyDescent="0.25">
      <c r="A164" s="294" t="s">
        <v>98</v>
      </c>
      <c r="B164" s="295" t="s">
        <v>894</v>
      </c>
      <c r="C164" s="296" t="s">
        <v>101</v>
      </c>
      <c r="D164" s="173" t="s">
        <v>877</v>
      </c>
      <c r="E164" s="305">
        <v>69.98</v>
      </c>
      <c r="F164" s="292">
        <v>168.98</v>
      </c>
      <c r="G164" s="292">
        <v>69.98</v>
      </c>
      <c r="H164" s="292">
        <v>-168.98</v>
      </c>
      <c r="I164" s="292" t="s">
        <v>1201</v>
      </c>
      <c r="J164" s="174" t="str">
        <f t="shared" si="7"/>
        <v/>
      </c>
      <c r="K164" s="305">
        <v>2</v>
      </c>
      <c r="L164" s="293">
        <v>40381</v>
      </c>
      <c r="M164" s="284">
        <v>53</v>
      </c>
      <c r="N164" s="283">
        <v>1</v>
      </c>
      <c r="O164" s="283">
        <v>10</v>
      </c>
      <c r="P164" s="283">
        <v>17</v>
      </c>
      <c r="Q164" s="283">
        <v>66</v>
      </c>
      <c r="R164" s="283">
        <v>0</v>
      </c>
      <c r="S164" s="283">
        <v>40</v>
      </c>
      <c r="T164" s="283">
        <v>66</v>
      </c>
      <c r="U164" s="283">
        <v>30</v>
      </c>
      <c r="V164" s="283">
        <v>1</v>
      </c>
      <c r="W164" s="283">
        <v>12</v>
      </c>
      <c r="X164" s="283">
        <v>21</v>
      </c>
      <c r="Y164" s="283"/>
      <c r="Z164" s="283"/>
      <c r="AA164" s="283">
        <v>6.3</v>
      </c>
      <c r="AB164" s="283">
        <v>0</v>
      </c>
      <c r="AC164" s="283">
        <v>4</v>
      </c>
      <c r="AD164" s="283">
        <v>6</v>
      </c>
      <c r="AE164" s="270"/>
      <c r="AF164" s="1"/>
    </row>
    <row r="165" spans="1:33" x14ac:dyDescent="0.25">
      <c r="A165" s="294" t="s">
        <v>112</v>
      </c>
      <c r="B165" s="295" t="s">
        <v>894</v>
      </c>
      <c r="C165" s="296" t="s">
        <v>114</v>
      </c>
      <c r="D165" s="173" t="s">
        <v>877</v>
      </c>
      <c r="E165" s="305">
        <v>59</v>
      </c>
      <c r="F165" s="292">
        <v>-177.93</v>
      </c>
      <c r="G165" s="292">
        <v>59</v>
      </c>
      <c r="H165" s="292">
        <v>177.93</v>
      </c>
      <c r="I165" s="292" t="s">
        <v>1202</v>
      </c>
      <c r="J165" s="174" t="str">
        <f t="shared" si="7"/>
        <v/>
      </c>
      <c r="K165" s="305">
        <v>2</v>
      </c>
      <c r="L165" s="293">
        <v>40373</v>
      </c>
      <c r="M165" s="284">
        <v>26</v>
      </c>
      <c r="N165" s="283">
        <v>1</v>
      </c>
      <c r="O165" s="283">
        <v>10</v>
      </c>
      <c r="P165" s="283">
        <v>17</v>
      </c>
      <c r="Q165" s="283">
        <v>66</v>
      </c>
      <c r="R165" s="283">
        <v>0</v>
      </c>
      <c r="S165" s="283">
        <v>40</v>
      </c>
      <c r="T165" s="283">
        <v>66</v>
      </c>
      <c r="U165" s="283">
        <v>60</v>
      </c>
      <c r="V165" s="283">
        <v>1</v>
      </c>
      <c r="W165" s="283">
        <v>12</v>
      </c>
      <c r="X165" s="283">
        <v>21</v>
      </c>
      <c r="Y165" s="283"/>
      <c r="Z165" s="283"/>
      <c r="AA165" s="283">
        <v>6.3</v>
      </c>
      <c r="AB165" s="283">
        <v>0</v>
      </c>
      <c r="AC165" s="283">
        <v>4</v>
      </c>
      <c r="AD165" s="283">
        <v>6</v>
      </c>
      <c r="AE165" s="270"/>
    </row>
    <row r="166" spans="1:33" x14ac:dyDescent="0.25">
      <c r="A166" s="294" t="s">
        <v>98</v>
      </c>
      <c r="B166" s="295" t="s">
        <v>894</v>
      </c>
      <c r="C166" s="296" t="s">
        <v>99</v>
      </c>
      <c r="D166" s="173" t="s">
        <v>877</v>
      </c>
      <c r="E166" s="305">
        <v>67</v>
      </c>
      <c r="F166" s="292">
        <v>169.01</v>
      </c>
      <c r="G166" s="292">
        <v>67</v>
      </c>
      <c r="H166" s="292">
        <v>-169.01</v>
      </c>
      <c r="I166" s="292" t="s">
        <v>1203</v>
      </c>
      <c r="J166" s="174" t="str">
        <f t="shared" si="7"/>
        <v/>
      </c>
      <c r="K166" s="305">
        <v>2</v>
      </c>
      <c r="L166" s="293">
        <v>40379</v>
      </c>
      <c r="M166" s="284">
        <v>17</v>
      </c>
      <c r="N166" s="283">
        <v>0</v>
      </c>
      <c r="O166" s="283">
        <v>10</v>
      </c>
      <c r="P166" s="283">
        <v>17</v>
      </c>
      <c r="Q166" s="283">
        <v>66</v>
      </c>
      <c r="R166" s="283">
        <v>0</v>
      </c>
      <c r="S166" s="283">
        <v>40</v>
      </c>
      <c r="T166" s="283">
        <v>66</v>
      </c>
      <c r="U166" s="283">
        <v>36</v>
      </c>
      <c r="V166" s="283">
        <v>1</v>
      </c>
      <c r="W166" s="283">
        <v>12</v>
      </c>
      <c r="X166" s="283">
        <v>21</v>
      </c>
      <c r="Y166" s="283"/>
      <c r="Z166" s="283"/>
      <c r="AA166" s="283">
        <v>10</v>
      </c>
      <c r="AB166" s="283">
        <v>1</v>
      </c>
      <c r="AC166" s="283">
        <v>4</v>
      </c>
      <c r="AD166" s="283">
        <v>6</v>
      </c>
      <c r="AE166" s="270"/>
    </row>
    <row r="167" spans="1:33" x14ac:dyDescent="0.25">
      <c r="A167" s="294" t="s">
        <v>98</v>
      </c>
      <c r="B167" s="295" t="s">
        <v>894</v>
      </c>
      <c r="C167" s="296" t="s">
        <v>100</v>
      </c>
      <c r="D167" s="173" t="s">
        <v>877</v>
      </c>
      <c r="E167" s="305">
        <v>69.12</v>
      </c>
      <c r="F167" s="292">
        <v>167.34</v>
      </c>
      <c r="G167" s="292">
        <v>69.12</v>
      </c>
      <c r="H167" s="292">
        <v>-167.34</v>
      </c>
      <c r="I167" s="292" t="s">
        <v>1203</v>
      </c>
      <c r="J167" s="174" t="str">
        <f t="shared" si="7"/>
        <v/>
      </c>
      <c r="K167" s="305">
        <v>2</v>
      </c>
      <c r="L167" s="293">
        <v>40380</v>
      </c>
      <c r="M167" s="284">
        <v>17</v>
      </c>
      <c r="N167" s="283">
        <v>0</v>
      </c>
      <c r="O167" s="283">
        <v>10</v>
      </c>
      <c r="P167" s="283">
        <v>17</v>
      </c>
      <c r="Q167" s="283">
        <v>66</v>
      </c>
      <c r="R167" s="283">
        <v>0</v>
      </c>
      <c r="S167" s="283">
        <v>40</v>
      </c>
      <c r="T167" s="283">
        <v>66</v>
      </c>
      <c r="U167" s="283">
        <v>50</v>
      </c>
      <c r="V167" s="283">
        <v>1</v>
      </c>
      <c r="W167" s="283">
        <v>12</v>
      </c>
      <c r="X167" s="283">
        <v>21</v>
      </c>
      <c r="Y167" s="283"/>
      <c r="Z167" s="283"/>
      <c r="AA167" s="283">
        <v>6.3</v>
      </c>
      <c r="AB167" s="283">
        <v>0</v>
      </c>
      <c r="AC167" s="283">
        <v>4</v>
      </c>
      <c r="AD167" s="283">
        <v>6</v>
      </c>
      <c r="AE167" s="270"/>
    </row>
    <row r="168" spans="1:33" x14ac:dyDescent="0.25">
      <c r="A168" s="294" t="s">
        <v>98</v>
      </c>
      <c r="B168" s="295" t="s">
        <v>894</v>
      </c>
      <c r="C168" s="296" t="s">
        <v>102</v>
      </c>
      <c r="D168" s="173" t="s">
        <v>877</v>
      </c>
      <c r="E168" s="305">
        <v>70.760000000000005</v>
      </c>
      <c r="F168" s="292">
        <v>164.73</v>
      </c>
      <c r="G168" s="292">
        <v>70.760000000000005</v>
      </c>
      <c r="H168" s="292">
        <v>-164.73</v>
      </c>
      <c r="I168" s="292" t="s">
        <v>1203</v>
      </c>
      <c r="J168" s="174" t="str">
        <f t="shared" si="7"/>
        <v>yes</v>
      </c>
      <c r="K168" s="305">
        <v>2</v>
      </c>
      <c r="L168" s="293">
        <v>40383</v>
      </c>
      <c r="M168" s="284">
        <v>17</v>
      </c>
      <c r="N168" s="283">
        <v>0</v>
      </c>
      <c r="O168" s="283">
        <v>10</v>
      </c>
      <c r="P168" s="283">
        <v>17</v>
      </c>
      <c r="Q168" s="283">
        <v>66</v>
      </c>
      <c r="R168" s="283">
        <v>0</v>
      </c>
      <c r="S168" s="283">
        <v>40</v>
      </c>
      <c r="T168" s="283">
        <v>66</v>
      </c>
      <c r="U168" s="283">
        <v>21</v>
      </c>
      <c r="V168" s="283">
        <v>0</v>
      </c>
      <c r="W168" s="283">
        <v>12</v>
      </c>
      <c r="X168" s="283">
        <v>21</v>
      </c>
      <c r="Y168" s="283"/>
      <c r="Z168" s="283"/>
      <c r="AA168" s="283">
        <v>6.3</v>
      </c>
      <c r="AB168" s="283">
        <v>0</v>
      </c>
      <c r="AC168" s="283">
        <v>4</v>
      </c>
      <c r="AD168" s="283">
        <v>6</v>
      </c>
      <c r="AE168" s="270"/>
    </row>
    <row r="169" spans="1:33" x14ac:dyDescent="0.25">
      <c r="A169" s="294" t="s">
        <v>98</v>
      </c>
      <c r="B169" s="295" t="s">
        <v>894</v>
      </c>
      <c r="C169" s="296" t="s">
        <v>103</v>
      </c>
      <c r="D169" s="173" t="s">
        <v>877</v>
      </c>
      <c r="E169" s="305">
        <v>71.81</v>
      </c>
      <c r="F169" s="292">
        <v>159.71</v>
      </c>
      <c r="G169" s="292">
        <v>71.81</v>
      </c>
      <c r="H169" s="292">
        <v>-159.71</v>
      </c>
      <c r="I169" s="292" t="s">
        <v>1203</v>
      </c>
      <c r="J169" s="174" t="str">
        <f t="shared" si="7"/>
        <v>yes</v>
      </c>
      <c r="K169" s="305">
        <v>2</v>
      </c>
      <c r="L169" s="293">
        <v>40384</v>
      </c>
      <c r="M169" s="284">
        <v>17</v>
      </c>
      <c r="N169" s="283">
        <v>0</v>
      </c>
      <c r="O169" s="283">
        <v>10</v>
      </c>
      <c r="P169" s="283">
        <v>17</v>
      </c>
      <c r="Q169" s="283">
        <v>66</v>
      </c>
      <c r="R169" s="283">
        <v>0</v>
      </c>
      <c r="S169" s="283">
        <v>40</v>
      </c>
      <c r="T169" s="283">
        <v>66</v>
      </c>
      <c r="U169" s="283">
        <v>21</v>
      </c>
      <c r="V169" s="283">
        <v>0</v>
      </c>
      <c r="W169" s="283">
        <v>12</v>
      </c>
      <c r="X169" s="283">
        <v>21</v>
      </c>
      <c r="Y169" s="283"/>
      <c r="Z169" s="283"/>
      <c r="AA169" s="283">
        <v>6.3</v>
      </c>
      <c r="AB169" s="283">
        <v>0</v>
      </c>
      <c r="AC169" s="283">
        <v>4</v>
      </c>
      <c r="AD169" s="283">
        <v>6</v>
      </c>
      <c r="AE169" s="270"/>
    </row>
    <row r="170" spans="1:33" x14ac:dyDescent="0.25">
      <c r="A170" s="294" t="s">
        <v>112</v>
      </c>
      <c r="B170" s="295" t="s">
        <v>894</v>
      </c>
      <c r="C170" s="296" t="s">
        <v>113</v>
      </c>
      <c r="D170" s="173" t="s">
        <v>877</v>
      </c>
      <c r="E170" s="305">
        <v>55.94</v>
      </c>
      <c r="F170" s="292">
        <v>-173.13</v>
      </c>
      <c r="G170" s="292">
        <v>55.94</v>
      </c>
      <c r="H170" s="292">
        <v>173.13</v>
      </c>
      <c r="I170" s="292" t="s">
        <v>1202</v>
      </c>
      <c r="J170" s="174" t="str">
        <f t="shared" si="7"/>
        <v>yes</v>
      </c>
      <c r="K170" s="305">
        <v>2</v>
      </c>
      <c r="L170" s="293">
        <v>40371</v>
      </c>
      <c r="M170" s="284">
        <v>17</v>
      </c>
      <c r="N170" s="283">
        <v>0</v>
      </c>
      <c r="O170" s="283">
        <v>10</v>
      </c>
      <c r="P170" s="283">
        <v>17</v>
      </c>
      <c r="Q170" s="283">
        <v>66</v>
      </c>
      <c r="R170" s="283">
        <v>0</v>
      </c>
      <c r="S170" s="283">
        <v>40</v>
      </c>
      <c r="T170" s="283">
        <v>66</v>
      </c>
      <c r="U170" s="283">
        <v>21</v>
      </c>
      <c r="V170" s="283">
        <v>0</v>
      </c>
      <c r="W170" s="283">
        <v>12</v>
      </c>
      <c r="X170" s="283">
        <v>21</v>
      </c>
      <c r="Y170" s="283"/>
      <c r="Z170" s="283"/>
      <c r="AA170" s="283">
        <v>6.3</v>
      </c>
      <c r="AB170" s="283">
        <v>0</v>
      </c>
      <c r="AC170" s="283">
        <v>4</v>
      </c>
      <c r="AD170" s="283">
        <v>6</v>
      </c>
      <c r="AE170" s="270"/>
    </row>
    <row r="171" spans="1:33" x14ac:dyDescent="0.25">
      <c r="A171" s="294" t="s">
        <v>112</v>
      </c>
      <c r="B171" s="295" t="s">
        <v>894</v>
      </c>
      <c r="C171" s="296" t="s">
        <v>115</v>
      </c>
      <c r="D171" s="173" t="s">
        <v>877</v>
      </c>
      <c r="E171" s="305">
        <v>64.33</v>
      </c>
      <c r="F171" s="292">
        <v>169.5</v>
      </c>
      <c r="G171" s="292">
        <v>64.33</v>
      </c>
      <c r="H171" s="292">
        <v>169.5</v>
      </c>
      <c r="I171" s="292" t="s">
        <v>1202</v>
      </c>
      <c r="J171" s="174" t="str">
        <f t="shared" si="7"/>
        <v/>
      </c>
      <c r="K171" s="305">
        <v>2</v>
      </c>
      <c r="L171" s="620">
        <v>40378</v>
      </c>
      <c r="M171" s="283">
        <v>17</v>
      </c>
      <c r="N171" s="283">
        <v>0</v>
      </c>
      <c r="O171" s="283">
        <v>10</v>
      </c>
      <c r="P171" s="283">
        <v>17</v>
      </c>
      <c r="Q171" s="283">
        <v>66</v>
      </c>
      <c r="R171" s="283">
        <v>0</v>
      </c>
      <c r="S171" s="283">
        <v>40</v>
      </c>
      <c r="T171" s="283">
        <v>66</v>
      </c>
      <c r="U171" s="283">
        <v>38</v>
      </c>
      <c r="V171" s="283">
        <v>1</v>
      </c>
      <c r="W171" s="283">
        <v>12</v>
      </c>
      <c r="X171" s="283">
        <v>21</v>
      </c>
      <c r="Y171" s="283"/>
      <c r="Z171" s="283"/>
      <c r="AA171" s="283">
        <v>10</v>
      </c>
      <c r="AB171" s="283">
        <v>1</v>
      </c>
      <c r="AC171" s="283">
        <v>4</v>
      </c>
      <c r="AD171" s="283">
        <v>6</v>
      </c>
      <c r="AE171" s="270"/>
      <c r="AF171" s="5"/>
      <c r="AG171" s="5"/>
    </row>
    <row r="172" spans="1:33" x14ac:dyDescent="0.25">
      <c r="A172" s="294" t="s">
        <v>112</v>
      </c>
      <c r="B172" s="295" t="s">
        <v>894</v>
      </c>
      <c r="C172" s="296" t="s">
        <v>116</v>
      </c>
      <c r="D172" s="173" t="s">
        <v>877</v>
      </c>
      <c r="E172" s="305">
        <v>57.09</v>
      </c>
      <c r="F172" s="635">
        <v>-166.23</v>
      </c>
      <c r="G172" s="305">
        <v>57.09</v>
      </c>
      <c r="H172" s="305">
        <v>166.23</v>
      </c>
      <c r="I172" s="292" t="s">
        <v>1202</v>
      </c>
      <c r="J172" s="174" t="str">
        <f t="shared" si="7"/>
        <v>yes</v>
      </c>
      <c r="K172" s="305">
        <v>2</v>
      </c>
      <c r="L172" s="620">
        <v>40425</v>
      </c>
      <c r="M172" s="283">
        <v>17</v>
      </c>
      <c r="N172" s="283">
        <v>0</v>
      </c>
      <c r="O172" s="283">
        <v>10</v>
      </c>
      <c r="P172" s="283">
        <v>17</v>
      </c>
      <c r="Q172" s="283">
        <v>66</v>
      </c>
      <c r="R172" s="283">
        <v>0</v>
      </c>
      <c r="S172" s="283">
        <v>40</v>
      </c>
      <c r="T172" s="283">
        <v>66</v>
      </c>
      <c r="U172" s="283">
        <v>21</v>
      </c>
      <c r="V172" s="283">
        <v>0</v>
      </c>
      <c r="W172" s="283">
        <v>12</v>
      </c>
      <c r="X172" s="283">
        <v>21</v>
      </c>
      <c r="Y172" s="283"/>
      <c r="Z172" s="283"/>
      <c r="AA172" s="283">
        <v>6.3</v>
      </c>
      <c r="AB172" s="283">
        <v>0</v>
      </c>
      <c r="AC172" s="283">
        <v>4</v>
      </c>
      <c r="AD172" s="283">
        <v>6</v>
      </c>
      <c r="AE172" s="270"/>
      <c r="AF172" s="5"/>
      <c r="AG172" s="5"/>
    </row>
    <row r="173" spans="1:33" x14ac:dyDescent="0.25">
      <c r="A173" s="294" t="s">
        <v>112</v>
      </c>
      <c r="B173" s="295" t="s">
        <v>894</v>
      </c>
      <c r="C173" s="296" t="s">
        <v>117</v>
      </c>
      <c r="D173" s="173" t="s">
        <v>877</v>
      </c>
      <c r="E173" s="305">
        <v>51.13</v>
      </c>
      <c r="F173" s="635">
        <v>-158.68</v>
      </c>
      <c r="G173" s="305">
        <v>51.13</v>
      </c>
      <c r="H173" s="305">
        <v>158.68</v>
      </c>
      <c r="I173" s="292" t="s">
        <v>1202</v>
      </c>
      <c r="J173" s="174" t="str">
        <f t="shared" si="7"/>
        <v/>
      </c>
      <c r="K173" s="305">
        <v>3</v>
      </c>
      <c r="L173" s="293">
        <v>40426</v>
      </c>
      <c r="M173" s="284">
        <v>17</v>
      </c>
      <c r="N173" s="283">
        <v>0</v>
      </c>
      <c r="O173" s="283">
        <v>10</v>
      </c>
      <c r="P173" s="283">
        <v>17</v>
      </c>
      <c r="Q173" s="283">
        <v>66</v>
      </c>
      <c r="R173" s="283">
        <v>0</v>
      </c>
      <c r="S173" s="283">
        <v>40</v>
      </c>
      <c r="T173" s="283">
        <v>66</v>
      </c>
      <c r="U173" s="283">
        <v>35</v>
      </c>
      <c r="V173" s="283">
        <v>1</v>
      </c>
      <c r="W173" s="283">
        <v>12</v>
      </c>
      <c r="X173" s="283">
        <v>21</v>
      </c>
      <c r="Y173" s="283"/>
      <c r="Z173" s="283"/>
      <c r="AA173" s="283">
        <v>10</v>
      </c>
      <c r="AB173" s="283">
        <v>1</v>
      </c>
      <c r="AC173" s="283">
        <v>4</v>
      </c>
      <c r="AD173" s="283">
        <v>6</v>
      </c>
      <c r="AE173" s="270"/>
    </row>
    <row r="174" spans="1:33" x14ac:dyDescent="0.25">
      <c r="A174" s="294" t="s">
        <v>112</v>
      </c>
      <c r="B174" s="295" t="s">
        <v>894</v>
      </c>
      <c r="C174" s="296" t="s">
        <v>118</v>
      </c>
      <c r="D174" s="173" t="s">
        <v>877</v>
      </c>
      <c r="E174" s="305">
        <v>46.13</v>
      </c>
      <c r="F174" s="635">
        <v>-153.77000000000001</v>
      </c>
      <c r="G174" s="305">
        <v>46.13</v>
      </c>
      <c r="H174" s="305">
        <v>153.77000000000001</v>
      </c>
      <c r="I174" s="292" t="s">
        <v>1202</v>
      </c>
      <c r="J174" s="174" t="str">
        <f t="shared" si="7"/>
        <v>yes</v>
      </c>
      <c r="K174" s="305">
        <v>3</v>
      </c>
      <c r="L174" s="293">
        <v>40427</v>
      </c>
      <c r="M174" s="284">
        <v>17</v>
      </c>
      <c r="N174" s="283">
        <v>0</v>
      </c>
      <c r="O174" s="283">
        <v>10</v>
      </c>
      <c r="P174" s="283">
        <v>17</v>
      </c>
      <c r="Q174" s="283">
        <v>66</v>
      </c>
      <c r="R174" s="283">
        <v>0</v>
      </c>
      <c r="S174" s="283">
        <v>40</v>
      </c>
      <c r="T174" s="283">
        <v>66</v>
      </c>
      <c r="U174" s="283">
        <v>21</v>
      </c>
      <c r="V174" s="283">
        <v>0</v>
      </c>
      <c r="W174" s="283">
        <v>12</v>
      </c>
      <c r="X174" s="283">
        <v>21</v>
      </c>
      <c r="Y174" s="283"/>
      <c r="Z174" s="283"/>
      <c r="AA174" s="283">
        <v>17</v>
      </c>
      <c r="AB174" s="283">
        <v>1</v>
      </c>
      <c r="AC174" s="283">
        <v>4</v>
      </c>
      <c r="AD174" s="283">
        <v>6</v>
      </c>
      <c r="AE174" s="270"/>
    </row>
    <row r="175" spans="1:33" x14ac:dyDescent="0.25">
      <c r="A175" s="294" t="s">
        <v>112</v>
      </c>
      <c r="B175" s="295" t="s">
        <v>894</v>
      </c>
      <c r="C175" s="296" t="s">
        <v>119</v>
      </c>
      <c r="D175" s="173" t="s">
        <v>877</v>
      </c>
      <c r="E175" s="305">
        <v>41.51</v>
      </c>
      <c r="F175" s="635">
        <v>-150.24</v>
      </c>
      <c r="G175" s="305">
        <v>41.51</v>
      </c>
      <c r="H175" s="305">
        <v>150.24</v>
      </c>
      <c r="I175" s="292" t="s">
        <v>1202</v>
      </c>
      <c r="J175" s="174" t="str">
        <f t="shared" si="7"/>
        <v>yes</v>
      </c>
      <c r="K175" s="305">
        <v>3</v>
      </c>
      <c r="L175" s="293">
        <v>40429</v>
      </c>
      <c r="M175" s="284">
        <v>17</v>
      </c>
      <c r="N175" s="283">
        <v>0</v>
      </c>
      <c r="O175" s="283">
        <v>10</v>
      </c>
      <c r="P175" s="283">
        <v>17</v>
      </c>
      <c r="Q175" s="283">
        <v>66</v>
      </c>
      <c r="R175" s="283">
        <v>0</v>
      </c>
      <c r="S175" s="283">
        <v>40</v>
      </c>
      <c r="T175" s="283">
        <v>66</v>
      </c>
      <c r="U175" s="283">
        <v>21</v>
      </c>
      <c r="V175" s="283">
        <v>0</v>
      </c>
      <c r="W175" s="283">
        <v>12</v>
      </c>
      <c r="X175" s="283">
        <v>21</v>
      </c>
      <c r="Y175" s="283"/>
      <c r="Z175" s="283"/>
      <c r="AA175" s="283">
        <v>17</v>
      </c>
      <c r="AB175" s="283">
        <v>1</v>
      </c>
      <c r="AC175" s="283">
        <v>4</v>
      </c>
      <c r="AD175" s="283">
        <v>6</v>
      </c>
      <c r="AE175" s="270"/>
    </row>
    <row r="176" spans="1:33" x14ac:dyDescent="0.25">
      <c r="A176" s="300" t="s">
        <v>669</v>
      </c>
      <c r="B176" s="301" t="s">
        <v>742</v>
      </c>
      <c r="C176" s="283" t="s">
        <v>745</v>
      </c>
      <c r="D176" s="173" t="s">
        <v>877</v>
      </c>
      <c r="E176" s="305" t="s">
        <v>749</v>
      </c>
      <c r="F176" s="292" t="s">
        <v>1236</v>
      </c>
      <c r="G176" s="292">
        <v>58</v>
      </c>
      <c r="H176" s="292">
        <v>3</v>
      </c>
      <c r="I176" s="283" t="s">
        <v>1200</v>
      </c>
      <c r="J176" s="697" t="s">
        <v>1458</v>
      </c>
      <c r="K176" s="304">
        <v>2</v>
      </c>
      <c r="L176" s="273">
        <v>38584</v>
      </c>
      <c r="M176" s="284">
        <v>101</v>
      </c>
      <c r="N176" s="283">
        <v>1</v>
      </c>
      <c r="O176" s="283" t="s">
        <v>1427</v>
      </c>
      <c r="P176" s="283">
        <v>15</v>
      </c>
      <c r="Q176" s="283">
        <v>55</v>
      </c>
      <c r="R176" s="283">
        <v>1</v>
      </c>
      <c r="S176" s="283" t="s">
        <v>1427</v>
      </c>
      <c r="T176" s="283">
        <v>15</v>
      </c>
      <c r="U176" s="283">
        <v>189</v>
      </c>
      <c r="V176" s="283">
        <v>1</v>
      </c>
      <c r="W176" s="283" t="s">
        <v>1427</v>
      </c>
      <c r="X176" s="283">
        <v>21</v>
      </c>
      <c r="Y176" s="283"/>
      <c r="Z176" s="283"/>
      <c r="AA176" s="270"/>
      <c r="AB176" s="270"/>
      <c r="AC176" s="270"/>
      <c r="AD176" s="270"/>
      <c r="AE176" s="270"/>
    </row>
    <row r="177" spans="1:35" x14ac:dyDescent="0.25">
      <c r="A177" s="300" t="s">
        <v>669</v>
      </c>
      <c r="B177" s="301" t="s">
        <v>742</v>
      </c>
      <c r="C177" s="283" t="s">
        <v>746</v>
      </c>
      <c r="D177" s="173" t="s">
        <v>877</v>
      </c>
      <c r="E177" s="305" t="s">
        <v>750</v>
      </c>
      <c r="F177" s="292" t="s">
        <v>1237</v>
      </c>
      <c r="G177" s="292">
        <v>56.997999999999998</v>
      </c>
      <c r="H177" s="292">
        <v>3.5070000000000001</v>
      </c>
      <c r="I177" s="283" t="s">
        <v>1200</v>
      </c>
      <c r="J177" s="697" t="s">
        <v>1458</v>
      </c>
      <c r="K177" s="304">
        <v>2</v>
      </c>
      <c r="L177" s="273">
        <v>38586</v>
      </c>
      <c r="M177" s="284">
        <v>95</v>
      </c>
      <c r="N177" s="283">
        <v>1</v>
      </c>
      <c r="O177" s="283" t="s">
        <v>1427</v>
      </c>
      <c r="P177" s="283">
        <v>15</v>
      </c>
      <c r="Q177" s="283">
        <v>45</v>
      </c>
      <c r="R177" s="283">
        <v>1</v>
      </c>
      <c r="S177" s="283" t="s">
        <v>1427</v>
      </c>
      <c r="T177" s="283">
        <v>15</v>
      </c>
      <c r="U177" s="283">
        <v>139</v>
      </c>
      <c r="V177" s="283">
        <v>1</v>
      </c>
      <c r="W177" s="283" t="s">
        <v>1427</v>
      </c>
      <c r="X177" s="283">
        <v>21</v>
      </c>
      <c r="Y177" s="283"/>
      <c r="Z177" s="283"/>
      <c r="AA177" s="270"/>
      <c r="AB177" s="270"/>
      <c r="AC177" s="270"/>
      <c r="AD177" s="270"/>
      <c r="AE177" s="270"/>
    </row>
    <row r="178" spans="1:35" x14ac:dyDescent="0.25">
      <c r="A178" s="300" t="s">
        <v>669</v>
      </c>
      <c r="B178" s="301" t="s">
        <v>742</v>
      </c>
      <c r="C178" s="283" t="s">
        <v>744</v>
      </c>
      <c r="D178" s="173" t="s">
        <v>877</v>
      </c>
      <c r="E178" s="305" t="s">
        <v>748</v>
      </c>
      <c r="F178" s="292" t="s">
        <v>1238</v>
      </c>
      <c r="G178" s="292">
        <v>60</v>
      </c>
      <c r="H178" s="292">
        <v>2</v>
      </c>
      <c r="I178" s="283" t="s">
        <v>1200</v>
      </c>
      <c r="J178" s="697" t="s">
        <v>1458</v>
      </c>
      <c r="K178" s="304">
        <v>2</v>
      </c>
      <c r="L178" s="273">
        <v>38582</v>
      </c>
      <c r="M178" s="284">
        <v>70</v>
      </c>
      <c r="N178" s="283">
        <v>1</v>
      </c>
      <c r="O178" s="283" t="s">
        <v>1427</v>
      </c>
      <c r="P178" s="283">
        <v>15</v>
      </c>
      <c r="Q178" s="283">
        <v>35</v>
      </c>
      <c r="R178" s="283">
        <v>1</v>
      </c>
      <c r="S178" s="283" t="s">
        <v>1427</v>
      </c>
      <c r="T178" s="283">
        <v>15</v>
      </c>
      <c r="U178" s="283">
        <v>151</v>
      </c>
      <c r="V178" s="283">
        <v>1</v>
      </c>
      <c r="W178" s="283" t="s">
        <v>1427</v>
      </c>
      <c r="X178" s="283">
        <v>21</v>
      </c>
      <c r="Y178" s="283"/>
      <c r="Z178" s="283"/>
      <c r="AA178" s="270"/>
      <c r="AB178" s="270"/>
      <c r="AC178" s="270"/>
      <c r="AD178" s="270"/>
      <c r="AE178" s="270"/>
    </row>
    <row r="179" spans="1:35" x14ac:dyDescent="0.25">
      <c r="A179" s="300" t="s">
        <v>669</v>
      </c>
      <c r="B179" s="301" t="s">
        <v>742</v>
      </c>
      <c r="C179" s="283" t="s">
        <v>747</v>
      </c>
      <c r="D179" s="173" t="s">
        <v>877</v>
      </c>
      <c r="E179" s="305" t="s">
        <v>751</v>
      </c>
      <c r="F179" s="292" t="s">
        <v>1236</v>
      </c>
      <c r="G179" s="292">
        <v>56</v>
      </c>
      <c r="H179" s="292">
        <v>3</v>
      </c>
      <c r="I179" s="292" t="s">
        <v>1200</v>
      </c>
      <c r="J179" s="697" t="s">
        <v>1458</v>
      </c>
      <c r="K179" s="304">
        <v>2</v>
      </c>
      <c r="L179" s="273">
        <v>38588</v>
      </c>
      <c r="M179" s="284">
        <v>15</v>
      </c>
      <c r="N179" s="283">
        <v>0</v>
      </c>
      <c r="O179" s="283" t="s">
        <v>1427</v>
      </c>
      <c r="P179" s="283">
        <v>15</v>
      </c>
      <c r="Q179" s="283">
        <v>15</v>
      </c>
      <c r="R179" s="283">
        <v>0</v>
      </c>
      <c r="S179" s="283" t="s">
        <v>1427</v>
      </c>
      <c r="T179" s="283">
        <v>15</v>
      </c>
      <c r="U179" s="283">
        <v>87</v>
      </c>
      <c r="V179" s="283">
        <v>1</v>
      </c>
      <c r="W179" s="283" t="s">
        <v>1427</v>
      </c>
      <c r="X179" s="283">
        <v>21</v>
      </c>
      <c r="Y179" s="283"/>
      <c r="Z179" s="283"/>
      <c r="AA179" s="270"/>
      <c r="AB179" s="270"/>
      <c r="AC179" s="270"/>
      <c r="AD179" s="270"/>
      <c r="AE179" s="270"/>
    </row>
    <row r="180" spans="1:35" x14ac:dyDescent="0.25">
      <c r="A180" s="276" t="s">
        <v>71</v>
      </c>
      <c r="B180" s="277" t="s">
        <v>712</v>
      </c>
      <c r="C180" s="278" t="s">
        <v>72</v>
      </c>
      <c r="D180" s="173" t="s">
        <v>877</v>
      </c>
      <c r="E180" s="303" t="s">
        <v>866</v>
      </c>
      <c r="F180" s="272"/>
      <c r="G180" s="272">
        <v>131.78899999999999</v>
      </c>
      <c r="H180" s="272">
        <v>27.204999999999998</v>
      </c>
      <c r="I180" s="272" t="s">
        <v>1202</v>
      </c>
      <c r="J180" s="174" t="str">
        <f t="shared" si="7"/>
        <v/>
      </c>
      <c r="K180" s="303">
        <v>4</v>
      </c>
      <c r="L180" s="273">
        <v>38353</v>
      </c>
      <c r="M180" s="279">
        <v>70.2</v>
      </c>
      <c r="N180" s="274">
        <v>1</v>
      </c>
      <c r="O180" s="283" t="s">
        <v>1427</v>
      </c>
      <c r="P180" s="274">
        <v>5</v>
      </c>
      <c r="Q180" s="274">
        <v>5</v>
      </c>
      <c r="R180" s="274">
        <v>0</v>
      </c>
      <c r="S180" s="283" t="s">
        <v>1427</v>
      </c>
      <c r="T180" s="274">
        <v>5</v>
      </c>
      <c r="U180" s="274">
        <v>71.7</v>
      </c>
      <c r="V180" s="274">
        <v>1</v>
      </c>
      <c r="W180" s="283" t="s">
        <v>1427</v>
      </c>
      <c r="X180" s="274">
        <v>5</v>
      </c>
      <c r="Y180" s="274"/>
      <c r="Z180" s="274"/>
      <c r="AA180" s="274"/>
      <c r="AB180" s="274"/>
      <c r="AC180" s="274"/>
      <c r="AD180" s="274"/>
      <c r="AE180" s="275" t="s">
        <v>861</v>
      </c>
    </row>
    <row r="181" spans="1:35" x14ac:dyDescent="0.25">
      <c r="A181" s="276" t="s">
        <v>150</v>
      </c>
      <c r="B181" s="277" t="s">
        <v>712</v>
      </c>
      <c r="C181" s="278" t="s">
        <v>163</v>
      </c>
      <c r="D181" s="271" t="s">
        <v>878</v>
      </c>
      <c r="E181" s="303" t="s">
        <v>1239</v>
      </c>
      <c r="F181" s="303" t="s">
        <v>1239</v>
      </c>
      <c r="G181" s="272">
        <v>-45.491</v>
      </c>
      <c r="H181" s="272">
        <v>150.68299999999999</v>
      </c>
      <c r="I181" s="272" t="s">
        <v>1204</v>
      </c>
      <c r="J181" s="174" t="str">
        <f t="shared" si="7"/>
        <v/>
      </c>
      <c r="K181" s="303">
        <v>8</v>
      </c>
      <c r="L181" s="273">
        <v>38353</v>
      </c>
      <c r="M181" s="284">
        <v>25</v>
      </c>
      <c r="N181" s="283">
        <v>0</v>
      </c>
      <c r="O181" s="283" t="s">
        <v>1427</v>
      </c>
      <c r="P181" s="283">
        <v>25</v>
      </c>
      <c r="Q181" s="283">
        <v>5</v>
      </c>
      <c r="R181" s="283">
        <v>0</v>
      </c>
      <c r="S181" s="283" t="s">
        <v>1427</v>
      </c>
      <c r="T181" s="283">
        <v>5</v>
      </c>
      <c r="U181" s="283">
        <v>21.1</v>
      </c>
      <c r="V181" s="283">
        <v>1</v>
      </c>
      <c r="W181" s="283" t="s">
        <v>1427</v>
      </c>
      <c r="X181" s="274">
        <v>5</v>
      </c>
      <c r="Y181" s="283"/>
      <c r="Z181" s="283"/>
      <c r="AA181" s="283"/>
      <c r="AB181" s="283"/>
      <c r="AC181" s="283"/>
      <c r="AD181" s="283"/>
      <c r="AE181" s="275" t="s">
        <v>861</v>
      </c>
    </row>
    <row r="182" spans="1:35" x14ac:dyDescent="0.25">
      <c r="A182" s="276" t="s">
        <v>150</v>
      </c>
      <c r="B182" s="277" t="s">
        <v>712</v>
      </c>
      <c r="C182" s="278" t="s">
        <v>164</v>
      </c>
      <c r="D182" s="271" t="s">
        <v>878</v>
      </c>
      <c r="E182" s="303" t="s">
        <v>1239</v>
      </c>
      <c r="F182" s="303" t="s">
        <v>1239</v>
      </c>
      <c r="G182" s="272">
        <v>-51.765000000000001</v>
      </c>
      <c r="H182" s="272">
        <v>150.87200000000001</v>
      </c>
      <c r="I182" s="272" t="s">
        <v>1204</v>
      </c>
      <c r="J182" s="174" t="str">
        <f t="shared" si="7"/>
        <v/>
      </c>
      <c r="K182" s="303">
        <v>8</v>
      </c>
      <c r="L182" s="273">
        <v>38353</v>
      </c>
      <c r="M182" s="284">
        <v>25</v>
      </c>
      <c r="N182" s="283">
        <v>0</v>
      </c>
      <c r="O182" s="283" t="s">
        <v>1427</v>
      </c>
      <c r="P182" s="283">
        <v>25</v>
      </c>
      <c r="Q182" s="283">
        <v>5</v>
      </c>
      <c r="R182" s="283">
        <v>0</v>
      </c>
      <c r="S182" s="283" t="s">
        <v>1427</v>
      </c>
      <c r="T182" s="283">
        <v>5</v>
      </c>
      <c r="U182" s="283">
        <v>12.4</v>
      </c>
      <c r="V182" s="283">
        <v>1</v>
      </c>
      <c r="W182" s="283" t="s">
        <v>1427</v>
      </c>
      <c r="X182" s="274">
        <v>5</v>
      </c>
      <c r="Y182" s="283"/>
      <c r="Z182" s="283"/>
      <c r="AA182" s="283"/>
      <c r="AB182" s="283"/>
      <c r="AC182" s="283"/>
      <c r="AD182" s="283"/>
      <c r="AE182" s="275" t="s">
        <v>861</v>
      </c>
    </row>
    <row r="183" spans="1:35" x14ac:dyDescent="0.25">
      <c r="A183" s="276" t="s">
        <v>150</v>
      </c>
      <c r="B183" s="277" t="s">
        <v>712</v>
      </c>
      <c r="C183" s="278" t="s">
        <v>156</v>
      </c>
      <c r="D183" s="271" t="s">
        <v>878</v>
      </c>
      <c r="E183" s="303" t="s">
        <v>1239</v>
      </c>
      <c r="F183" s="303" t="s">
        <v>1239</v>
      </c>
      <c r="G183" s="272">
        <v>-48.503999999999998</v>
      </c>
      <c r="H183" s="272">
        <v>115.398</v>
      </c>
      <c r="I183" s="272" t="s">
        <v>1204</v>
      </c>
      <c r="J183" s="174" t="str">
        <f t="shared" si="7"/>
        <v/>
      </c>
      <c r="K183" s="303">
        <v>8</v>
      </c>
      <c r="L183" s="273">
        <v>38353</v>
      </c>
      <c r="M183" s="284">
        <v>5</v>
      </c>
      <c r="N183" s="283">
        <v>0</v>
      </c>
      <c r="O183" s="283" t="s">
        <v>1427</v>
      </c>
      <c r="P183" s="284">
        <v>5</v>
      </c>
      <c r="Q183" s="283">
        <v>5</v>
      </c>
      <c r="R183" s="283">
        <v>0</v>
      </c>
      <c r="S183" s="283" t="s">
        <v>1427</v>
      </c>
      <c r="T183" s="283">
        <v>5</v>
      </c>
      <c r="U183" s="283">
        <v>6.5</v>
      </c>
      <c r="V183" s="283">
        <v>1</v>
      </c>
      <c r="W183" s="283" t="s">
        <v>1427</v>
      </c>
      <c r="X183" s="274">
        <v>5</v>
      </c>
      <c r="Y183" s="283"/>
      <c r="Z183" s="283"/>
      <c r="AA183" s="283"/>
      <c r="AB183" s="283"/>
      <c r="AC183" s="283"/>
      <c r="AD183" s="283"/>
      <c r="AE183" s="275" t="s">
        <v>861</v>
      </c>
    </row>
    <row r="184" spans="1:35" x14ac:dyDescent="0.25">
      <c r="A184" s="276" t="s">
        <v>150</v>
      </c>
      <c r="B184" s="277" t="s">
        <v>712</v>
      </c>
      <c r="C184" s="278" t="s">
        <v>160</v>
      </c>
      <c r="D184" s="271" t="s">
        <v>878</v>
      </c>
      <c r="E184" s="303" t="s">
        <v>1239</v>
      </c>
      <c r="F184" s="303" t="s">
        <v>1239</v>
      </c>
      <c r="G184" s="173">
        <v>-48.567</v>
      </c>
      <c r="H184" s="173">
        <v>83.305000000000007</v>
      </c>
      <c r="I184" s="272" t="s">
        <v>1204</v>
      </c>
      <c r="J184" s="174" t="str">
        <f t="shared" si="7"/>
        <v>yes</v>
      </c>
      <c r="K184" s="303">
        <v>8</v>
      </c>
      <c r="L184" s="273">
        <v>38353</v>
      </c>
      <c r="M184" s="284">
        <v>5</v>
      </c>
      <c r="N184" s="283">
        <v>0</v>
      </c>
      <c r="O184" s="283" t="s">
        <v>1427</v>
      </c>
      <c r="P184" s="284">
        <v>5</v>
      </c>
      <c r="Q184" s="283">
        <v>5</v>
      </c>
      <c r="R184" s="283">
        <v>0</v>
      </c>
      <c r="S184" s="283" t="s">
        <v>1427</v>
      </c>
      <c r="T184" s="283">
        <v>5</v>
      </c>
      <c r="U184" s="283">
        <v>5</v>
      </c>
      <c r="V184" s="283">
        <v>0</v>
      </c>
      <c r="W184" s="283" t="s">
        <v>1427</v>
      </c>
      <c r="X184" s="274">
        <v>5</v>
      </c>
      <c r="Y184" s="283"/>
      <c r="Z184" s="283"/>
      <c r="AA184" s="283"/>
      <c r="AB184" s="283"/>
      <c r="AC184" s="283"/>
      <c r="AD184" s="283"/>
      <c r="AE184" s="275" t="s">
        <v>861</v>
      </c>
    </row>
    <row r="185" spans="1:35" x14ac:dyDescent="0.25">
      <c r="A185" s="323" t="s">
        <v>150</v>
      </c>
      <c r="B185" s="324" t="s">
        <v>712</v>
      </c>
      <c r="C185" s="204" t="s">
        <v>162</v>
      </c>
      <c r="D185" s="271" t="s">
        <v>878</v>
      </c>
      <c r="E185" s="303" t="s">
        <v>1239</v>
      </c>
      <c r="F185" s="303" t="s">
        <v>1239</v>
      </c>
      <c r="G185" s="272">
        <v>-36.185000000000002</v>
      </c>
      <c r="H185" s="272">
        <v>99.492000000000004</v>
      </c>
      <c r="I185" s="272" t="s">
        <v>1204</v>
      </c>
      <c r="J185" s="174" t="str">
        <f t="shared" si="7"/>
        <v>yes</v>
      </c>
      <c r="K185" s="169">
        <v>8</v>
      </c>
      <c r="L185" s="177">
        <v>38353</v>
      </c>
      <c r="M185" s="174">
        <v>5</v>
      </c>
      <c r="N185" s="174">
        <v>0</v>
      </c>
      <c r="O185" s="283" t="s">
        <v>1427</v>
      </c>
      <c r="P185" s="174">
        <v>5</v>
      </c>
      <c r="Q185" s="174">
        <v>5</v>
      </c>
      <c r="R185" s="174">
        <v>0</v>
      </c>
      <c r="S185" s="283" t="s">
        <v>1427</v>
      </c>
      <c r="T185" s="174">
        <v>5</v>
      </c>
      <c r="U185" s="174">
        <v>5</v>
      </c>
      <c r="V185" s="174">
        <v>0</v>
      </c>
      <c r="W185" s="283" t="s">
        <v>1427</v>
      </c>
      <c r="X185" s="274">
        <v>5</v>
      </c>
      <c r="Y185" s="174"/>
      <c r="Z185" s="174"/>
      <c r="AA185" s="174"/>
      <c r="AB185" s="174"/>
      <c r="AC185" s="174"/>
      <c r="AD185" s="174"/>
      <c r="AE185" s="322" t="s">
        <v>861</v>
      </c>
    </row>
    <row r="186" spans="1:35" x14ac:dyDescent="0.25">
      <c r="A186" s="323" t="s">
        <v>150</v>
      </c>
      <c r="B186" s="324" t="s">
        <v>712</v>
      </c>
      <c r="C186" s="204" t="s">
        <v>151</v>
      </c>
      <c r="D186" s="271" t="s">
        <v>878</v>
      </c>
      <c r="E186" s="303" t="s">
        <v>1239</v>
      </c>
      <c r="F186" s="303" t="s">
        <v>1239</v>
      </c>
      <c r="G186" s="214">
        <v>-75.808999999999997</v>
      </c>
      <c r="H186" s="214">
        <v>70.477000000000004</v>
      </c>
      <c r="I186" s="272" t="s">
        <v>1204</v>
      </c>
      <c r="J186" s="174" t="str">
        <f t="shared" si="7"/>
        <v/>
      </c>
      <c r="K186" s="169">
        <v>9</v>
      </c>
      <c r="L186" s="177">
        <v>38353</v>
      </c>
      <c r="M186" s="174">
        <v>5</v>
      </c>
      <c r="N186" s="174">
        <v>0</v>
      </c>
      <c r="O186" s="283" t="s">
        <v>1427</v>
      </c>
      <c r="P186" s="174">
        <v>5</v>
      </c>
      <c r="Q186" s="174">
        <v>5</v>
      </c>
      <c r="R186" s="174">
        <v>0</v>
      </c>
      <c r="S186" s="283" t="s">
        <v>1427</v>
      </c>
      <c r="T186" s="174">
        <v>5</v>
      </c>
      <c r="U186" s="174">
        <v>10.8</v>
      </c>
      <c r="V186" s="174">
        <v>1</v>
      </c>
      <c r="W186" s="283" t="s">
        <v>1427</v>
      </c>
      <c r="X186" s="274">
        <v>5</v>
      </c>
      <c r="Y186" s="174"/>
      <c r="Z186" s="174"/>
      <c r="AA186" s="174"/>
      <c r="AB186" s="174"/>
      <c r="AC186" s="174"/>
      <c r="AD186" s="174"/>
      <c r="AE186" s="322" t="s">
        <v>861</v>
      </c>
      <c r="AG186" s="150">
        <v>1</v>
      </c>
      <c r="AH186" s="153" t="s">
        <v>64</v>
      </c>
    </row>
    <row r="187" spans="1:35" x14ac:dyDescent="0.25">
      <c r="A187" s="323" t="s">
        <v>150</v>
      </c>
      <c r="B187" s="324" t="s">
        <v>712</v>
      </c>
      <c r="C187" s="204" t="s">
        <v>153</v>
      </c>
      <c r="D187" s="271" t="s">
        <v>878</v>
      </c>
      <c r="E187" s="303" t="s">
        <v>1239</v>
      </c>
      <c r="F187" s="303" t="s">
        <v>1239</v>
      </c>
      <c r="G187" s="173">
        <v>-66.608999999999995</v>
      </c>
      <c r="H187" s="173">
        <v>67.287999999999997</v>
      </c>
      <c r="I187" s="272" t="s">
        <v>1204</v>
      </c>
      <c r="J187" s="174" t="str">
        <f t="shared" si="7"/>
        <v/>
      </c>
      <c r="K187" s="169">
        <v>9</v>
      </c>
      <c r="L187" s="177">
        <v>38353</v>
      </c>
      <c r="M187" s="174">
        <v>5</v>
      </c>
      <c r="N187" s="174">
        <v>0</v>
      </c>
      <c r="O187" s="283" t="s">
        <v>1427</v>
      </c>
      <c r="P187" s="174">
        <v>5</v>
      </c>
      <c r="Q187" s="174">
        <v>5</v>
      </c>
      <c r="R187" s="174">
        <v>0</v>
      </c>
      <c r="S187" s="283" t="s">
        <v>1427</v>
      </c>
      <c r="T187" s="174">
        <v>5</v>
      </c>
      <c r="U187" s="174">
        <v>22.6</v>
      </c>
      <c r="V187" s="174">
        <v>1</v>
      </c>
      <c r="W187" s="283" t="s">
        <v>1427</v>
      </c>
      <c r="X187" s="274">
        <v>5</v>
      </c>
      <c r="Y187" s="174"/>
      <c r="Z187" s="174"/>
      <c r="AA187" s="174"/>
      <c r="AB187" s="174"/>
      <c r="AC187" s="174"/>
      <c r="AD187" s="174"/>
      <c r="AE187" s="322" t="s">
        <v>861</v>
      </c>
      <c r="AG187" s="154">
        <v>2</v>
      </c>
      <c r="AH187" s="153" t="s">
        <v>66</v>
      </c>
    </row>
    <row r="188" spans="1:35" x14ac:dyDescent="0.25">
      <c r="A188" s="323" t="s">
        <v>150</v>
      </c>
      <c r="B188" s="324" t="s">
        <v>712</v>
      </c>
      <c r="C188" s="204" t="s">
        <v>154</v>
      </c>
      <c r="D188" s="271" t="s">
        <v>878</v>
      </c>
      <c r="E188" s="303" t="s">
        <v>1239</v>
      </c>
      <c r="F188" s="303" t="s">
        <v>1239</v>
      </c>
      <c r="G188" s="173">
        <v>-69.926000000000002</v>
      </c>
      <c r="H188" s="173">
        <v>67.2</v>
      </c>
      <c r="I188" s="272" t="s">
        <v>1204</v>
      </c>
      <c r="J188" s="174" t="str">
        <f t="shared" si="7"/>
        <v/>
      </c>
      <c r="K188" s="169">
        <v>9</v>
      </c>
      <c r="L188" s="177">
        <v>38353</v>
      </c>
      <c r="M188" s="174">
        <v>5</v>
      </c>
      <c r="N188" s="174">
        <v>0</v>
      </c>
      <c r="O188" s="283" t="s">
        <v>1427</v>
      </c>
      <c r="P188" s="174">
        <v>5</v>
      </c>
      <c r="Q188" s="174">
        <v>5</v>
      </c>
      <c r="R188" s="174">
        <v>0</v>
      </c>
      <c r="S188" s="283" t="s">
        <v>1427</v>
      </c>
      <c r="T188" s="174">
        <v>5</v>
      </c>
      <c r="U188" s="174">
        <v>8.3000000000000007</v>
      </c>
      <c r="V188" s="174">
        <v>1</v>
      </c>
      <c r="W188" s="283" t="s">
        <v>1427</v>
      </c>
      <c r="X188" s="274">
        <v>5</v>
      </c>
      <c r="Y188" s="174"/>
      <c r="Z188" s="174"/>
      <c r="AA188" s="174"/>
      <c r="AB188" s="174"/>
      <c r="AC188" s="174"/>
      <c r="AD188" s="174"/>
      <c r="AE188" s="322" t="s">
        <v>861</v>
      </c>
      <c r="AG188" s="155">
        <v>3</v>
      </c>
      <c r="AH188" s="153" t="s">
        <v>67</v>
      </c>
    </row>
    <row r="189" spans="1:35" x14ac:dyDescent="0.25">
      <c r="A189" s="323" t="s">
        <v>150</v>
      </c>
      <c r="B189" s="324" t="s">
        <v>712</v>
      </c>
      <c r="C189" s="204" t="s">
        <v>157</v>
      </c>
      <c r="D189" s="271" t="s">
        <v>878</v>
      </c>
      <c r="E189" s="303" t="s">
        <v>1239</v>
      </c>
      <c r="F189" s="303" t="s">
        <v>1239</v>
      </c>
      <c r="G189" s="173">
        <v>-57.43</v>
      </c>
      <c r="H189" s="173">
        <v>108.965</v>
      </c>
      <c r="I189" s="272" t="s">
        <v>1204</v>
      </c>
      <c r="J189" s="174" t="str">
        <f t="shared" si="7"/>
        <v/>
      </c>
      <c r="K189" s="169">
        <v>9</v>
      </c>
      <c r="L189" s="177">
        <v>38353</v>
      </c>
      <c r="M189" s="174">
        <v>5</v>
      </c>
      <c r="N189" s="174">
        <v>0</v>
      </c>
      <c r="O189" s="283" t="s">
        <v>1427</v>
      </c>
      <c r="P189" s="174">
        <v>5</v>
      </c>
      <c r="Q189" s="174">
        <v>5</v>
      </c>
      <c r="R189" s="174">
        <v>0</v>
      </c>
      <c r="S189" s="283" t="s">
        <v>1427</v>
      </c>
      <c r="T189" s="174">
        <v>5</v>
      </c>
      <c r="U189" s="174">
        <v>8.6</v>
      </c>
      <c r="V189" s="174">
        <v>1</v>
      </c>
      <c r="W189" s="283" t="s">
        <v>1427</v>
      </c>
      <c r="X189" s="274">
        <v>5</v>
      </c>
      <c r="Y189" s="174"/>
      <c r="Z189" s="174"/>
      <c r="AA189" s="174"/>
      <c r="AB189" s="174"/>
      <c r="AC189" s="174"/>
      <c r="AD189" s="174"/>
      <c r="AE189" s="322" t="s">
        <v>861</v>
      </c>
      <c r="AG189" s="156">
        <v>4</v>
      </c>
      <c r="AH189" s="153" t="s">
        <v>69</v>
      </c>
      <c r="AI189" s="157"/>
    </row>
    <row r="190" spans="1:35" x14ac:dyDescent="0.25">
      <c r="A190" s="323" t="s">
        <v>150</v>
      </c>
      <c r="B190" s="324" t="s">
        <v>712</v>
      </c>
      <c r="C190" s="204" t="s">
        <v>158</v>
      </c>
      <c r="D190" s="271" t="s">
        <v>878</v>
      </c>
      <c r="E190" s="303" t="s">
        <v>1239</v>
      </c>
      <c r="F190" s="303" t="s">
        <v>1239</v>
      </c>
      <c r="G190" s="173">
        <v>-66.899000000000001</v>
      </c>
      <c r="H190" s="173">
        <v>83.363</v>
      </c>
      <c r="I190" s="272" t="s">
        <v>1204</v>
      </c>
      <c r="J190" s="174" t="str">
        <f t="shared" si="7"/>
        <v>yes</v>
      </c>
      <c r="K190" s="169">
        <v>9</v>
      </c>
      <c r="L190" s="177">
        <v>38353</v>
      </c>
      <c r="M190" s="174">
        <v>5</v>
      </c>
      <c r="N190" s="174">
        <v>0</v>
      </c>
      <c r="O190" s="283" t="s">
        <v>1427</v>
      </c>
      <c r="P190" s="174">
        <v>5</v>
      </c>
      <c r="Q190" s="174">
        <v>5</v>
      </c>
      <c r="R190" s="174">
        <v>0</v>
      </c>
      <c r="S190" s="283" t="s">
        <v>1427</v>
      </c>
      <c r="T190" s="174">
        <v>5</v>
      </c>
      <c r="U190" s="174">
        <v>5</v>
      </c>
      <c r="V190" s="174">
        <v>0</v>
      </c>
      <c r="W190" s="283" t="s">
        <v>1427</v>
      </c>
      <c r="X190" s="274">
        <v>5</v>
      </c>
      <c r="Y190" s="174"/>
      <c r="Z190" s="174"/>
      <c r="AA190" s="174"/>
      <c r="AB190" s="174"/>
      <c r="AC190" s="174"/>
      <c r="AD190" s="174"/>
      <c r="AE190" s="322" t="s">
        <v>861</v>
      </c>
      <c r="AG190" s="158">
        <v>5</v>
      </c>
      <c r="AH190" s="159" t="s">
        <v>70</v>
      </c>
    </row>
    <row r="191" spans="1:35" x14ac:dyDescent="0.25">
      <c r="A191" s="323" t="s">
        <v>150</v>
      </c>
      <c r="B191" s="324" t="s">
        <v>712</v>
      </c>
      <c r="C191" s="204" t="s">
        <v>155</v>
      </c>
      <c r="D191" s="271" t="s">
        <v>878</v>
      </c>
      <c r="E191" s="303" t="s">
        <v>1239</v>
      </c>
      <c r="F191" s="303" t="s">
        <v>1239</v>
      </c>
      <c r="G191" s="173">
        <v>-72.972999999999999</v>
      </c>
      <c r="H191" s="173">
        <v>73.331999999999994</v>
      </c>
      <c r="I191" s="173" t="s">
        <v>1204</v>
      </c>
      <c r="J191" s="174" t="str">
        <f t="shared" si="7"/>
        <v/>
      </c>
      <c r="K191" s="169">
        <v>9</v>
      </c>
      <c r="L191" s="177">
        <v>38353</v>
      </c>
      <c r="M191" s="174">
        <v>2.9</v>
      </c>
      <c r="N191" s="174">
        <v>1</v>
      </c>
      <c r="O191" s="283" t="s">
        <v>1427</v>
      </c>
      <c r="P191" s="174">
        <v>1</v>
      </c>
      <c r="Q191" s="174">
        <v>1</v>
      </c>
      <c r="R191" s="174">
        <v>0</v>
      </c>
      <c r="S191" s="283" t="s">
        <v>1427</v>
      </c>
      <c r="T191" s="174">
        <v>1</v>
      </c>
      <c r="U191" s="174">
        <v>7.6</v>
      </c>
      <c r="V191" s="174">
        <v>1</v>
      </c>
      <c r="W191" s="283" t="s">
        <v>1427</v>
      </c>
      <c r="X191" s="274">
        <v>5</v>
      </c>
      <c r="Y191" s="174"/>
      <c r="Z191" s="174"/>
      <c r="AA191" s="174"/>
      <c r="AB191" s="174"/>
      <c r="AC191" s="174"/>
      <c r="AD191" s="174"/>
      <c r="AE191" s="322" t="s">
        <v>861</v>
      </c>
      <c r="AG191" s="160">
        <v>6</v>
      </c>
      <c r="AH191" s="159" t="s">
        <v>73</v>
      </c>
    </row>
    <row r="192" spans="1:35" x14ac:dyDescent="0.25">
      <c r="A192" s="323" t="s">
        <v>150</v>
      </c>
      <c r="B192" s="324" t="s">
        <v>712</v>
      </c>
      <c r="C192" s="204" t="s">
        <v>152</v>
      </c>
      <c r="D192" s="271" t="s">
        <v>878</v>
      </c>
      <c r="E192" s="303" t="s">
        <v>1239</v>
      </c>
      <c r="F192" s="303" t="s">
        <v>1239</v>
      </c>
      <c r="G192" s="173">
        <v>-69.603999999999999</v>
      </c>
      <c r="H192" s="173">
        <v>60.777999999999999</v>
      </c>
      <c r="I192" s="272" t="s">
        <v>1204</v>
      </c>
      <c r="J192" s="174" t="str">
        <f t="shared" si="7"/>
        <v/>
      </c>
      <c r="K192" s="169">
        <v>9</v>
      </c>
      <c r="L192" s="177">
        <v>38353</v>
      </c>
      <c r="M192" s="174">
        <v>1</v>
      </c>
      <c r="N192" s="174">
        <v>0</v>
      </c>
      <c r="O192" s="283" t="s">
        <v>1427</v>
      </c>
      <c r="P192" s="174">
        <v>1</v>
      </c>
      <c r="Q192" s="174">
        <v>1</v>
      </c>
      <c r="R192" s="174">
        <v>0</v>
      </c>
      <c r="S192" s="283" t="s">
        <v>1427</v>
      </c>
      <c r="T192" s="174">
        <v>1</v>
      </c>
      <c r="U192" s="174">
        <v>5.0999999999999996</v>
      </c>
      <c r="V192" s="174">
        <v>1</v>
      </c>
      <c r="W192" s="283" t="s">
        <v>1427</v>
      </c>
      <c r="X192" s="274">
        <v>5</v>
      </c>
      <c r="Y192" s="174"/>
      <c r="Z192" s="174"/>
      <c r="AA192" s="174"/>
      <c r="AB192" s="174"/>
      <c r="AC192" s="174"/>
      <c r="AD192" s="174"/>
      <c r="AE192" s="322" t="s">
        <v>861</v>
      </c>
      <c r="AG192" s="166">
        <v>7</v>
      </c>
      <c r="AH192" s="162" t="s">
        <v>159</v>
      </c>
    </row>
    <row r="193" spans="1:34" x14ac:dyDescent="0.25">
      <c r="A193" s="629" t="s">
        <v>63</v>
      </c>
      <c r="B193" s="631" t="s">
        <v>711</v>
      </c>
      <c r="C193" s="209" t="s">
        <v>870</v>
      </c>
      <c r="D193" s="173" t="s">
        <v>877</v>
      </c>
      <c r="E193" s="168" t="s">
        <v>864</v>
      </c>
      <c r="F193" s="168"/>
      <c r="G193" s="711"/>
      <c r="H193" s="711"/>
      <c r="I193" s="272" t="s">
        <v>1202</v>
      </c>
      <c r="J193" s="697" t="s">
        <v>1458</v>
      </c>
      <c r="K193" s="169">
        <v>3</v>
      </c>
      <c r="L193" s="177">
        <v>37622</v>
      </c>
      <c r="M193" s="151"/>
      <c r="N193" s="151"/>
      <c r="O193" s="151"/>
      <c r="P193" s="151"/>
      <c r="Q193" s="152">
        <v>0.1</v>
      </c>
      <c r="R193" s="152">
        <v>1</v>
      </c>
      <c r="S193" s="152"/>
      <c r="T193" s="152"/>
      <c r="U193" s="152">
        <v>1.1000000000000001</v>
      </c>
      <c r="V193" s="152">
        <v>1</v>
      </c>
      <c r="W193" s="152"/>
      <c r="X193" s="152"/>
      <c r="Y193" s="152"/>
      <c r="Z193" s="152"/>
      <c r="AA193" s="151"/>
      <c r="AB193" s="151"/>
      <c r="AC193" s="151"/>
      <c r="AD193" s="151"/>
      <c r="AE193" s="322" t="s">
        <v>862</v>
      </c>
      <c r="AG193" s="167">
        <v>8</v>
      </c>
      <c r="AH193" s="162" t="s">
        <v>161</v>
      </c>
    </row>
    <row r="194" spans="1:34" x14ac:dyDescent="0.25">
      <c r="A194" s="629" t="s">
        <v>63</v>
      </c>
      <c r="B194" s="631" t="s">
        <v>711</v>
      </c>
      <c r="C194" s="209" t="s">
        <v>871</v>
      </c>
      <c r="D194" s="173" t="s">
        <v>877</v>
      </c>
      <c r="E194" s="168" t="s">
        <v>864</v>
      </c>
      <c r="F194" s="168"/>
      <c r="G194" s="711"/>
      <c r="H194" s="711"/>
      <c r="I194" s="173" t="s">
        <v>1202</v>
      </c>
      <c r="J194" s="697" t="s">
        <v>1458</v>
      </c>
      <c r="K194" s="169">
        <v>3</v>
      </c>
      <c r="L194" s="177">
        <v>37622</v>
      </c>
      <c r="M194" s="151"/>
      <c r="N194" s="151"/>
      <c r="O194" s="151"/>
      <c r="P194" s="151"/>
      <c r="Q194" s="152">
        <v>1.6</v>
      </c>
      <c r="R194" s="152">
        <v>1</v>
      </c>
      <c r="S194" s="152"/>
      <c r="T194" s="152"/>
      <c r="U194" s="152">
        <v>20</v>
      </c>
      <c r="V194" s="152">
        <v>1</v>
      </c>
      <c r="W194" s="152"/>
      <c r="X194" s="152"/>
      <c r="Y194" s="152"/>
      <c r="Z194" s="152"/>
      <c r="AA194" s="151"/>
      <c r="AB194" s="151"/>
      <c r="AC194" s="151"/>
      <c r="AD194" s="151"/>
      <c r="AE194" s="322" t="s">
        <v>863</v>
      </c>
      <c r="AG194" s="161">
        <v>9</v>
      </c>
      <c r="AH194" s="162" t="s">
        <v>75</v>
      </c>
    </row>
    <row r="195" spans="1:34" x14ac:dyDescent="0.25">
      <c r="A195" s="629" t="s">
        <v>65</v>
      </c>
      <c r="B195" s="631" t="s">
        <v>711</v>
      </c>
      <c r="C195" s="209" t="s">
        <v>872</v>
      </c>
      <c r="D195" s="173" t="s">
        <v>877</v>
      </c>
      <c r="E195" s="168" t="s">
        <v>864</v>
      </c>
      <c r="F195" s="168"/>
      <c r="G195" s="711"/>
      <c r="H195" s="711"/>
      <c r="I195" s="175" t="s">
        <v>1201</v>
      </c>
      <c r="J195" s="697" t="s">
        <v>1458</v>
      </c>
      <c r="K195" s="169">
        <v>3</v>
      </c>
      <c r="L195" s="177">
        <v>37622</v>
      </c>
      <c r="M195" s="151"/>
      <c r="N195" s="151"/>
      <c r="O195" s="151"/>
      <c r="P195" s="151"/>
      <c r="Q195" s="152">
        <v>4.0999999999999996</v>
      </c>
      <c r="R195" s="152">
        <v>1</v>
      </c>
      <c r="S195" s="152"/>
      <c r="T195" s="152"/>
      <c r="U195" s="152">
        <v>8.6</v>
      </c>
      <c r="V195" s="152">
        <v>1</v>
      </c>
      <c r="W195" s="152"/>
      <c r="X195" s="152"/>
      <c r="Y195" s="152"/>
      <c r="Z195" s="152"/>
      <c r="AA195" s="151"/>
      <c r="AB195" s="151"/>
      <c r="AC195" s="151"/>
      <c r="AD195" s="151"/>
      <c r="AE195" s="322" t="s">
        <v>862</v>
      </c>
      <c r="AG195" s="163">
        <v>10</v>
      </c>
      <c r="AH195" s="162" t="s">
        <v>76</v>
      </c>
    </row>
    <row r="196" spans="1:34" x14ac:dyDescent="0.25">
      <c r="A196" s="629" t="s">
        <v>65</v>
      </c>
      <c r="B196" s="631" t="s">
        <v>711</v>
      </c>
      <c r="C196" s="209" t="s">
        <v>873</v>
      </c>
      <c r="D196" s="173" t="s">
        <v>877</v>
      </c>
      <c r="E196" s="168" t="s">
        <v>864</v>
      </c>
      <c r="F196" s="168"/>
      <c r="G196" s="711"/>
      <c r="H196" s="711"/>
      <c r="I196" s="292" t="s">
        <v>1201</v>
      </c>
      <c r="J196" s="697" t="s">
        <v>1458</v>
      </c>
      <c r="K196" s="169">
        <v>3</v>
      </c>
      <c r="L196" s="177">
        <v>37622</v>
      </c>
      <c r="M196" s="151"/>
      <c r="N196" s="151"/>
      <c r="O196" s="151"/>
      <c r="P196" s="151"/>
      <c r="Q196" s="152">
        <v>6.1</v>
      </c>
      <c r="R196" s="152">
        <v>1</v>
      </c>
      <c r="S196" s="152"/>
      <c r="T196" s="152"/>
      <c r="U196" s="152">
        <v>36</v>
      </c>
      <c r="V196" s="152">
        <v>1</v>
      </c>
      <c r="W196" s="152"/>
      <c r="X196" s="152"/>
      <c r="Y196" s="152"/>
      <c r="Z196" s="152"/>
      <c r="AA196" s="151"/>
      <c r="AB196" s="151"/>
      <c r="AC196" s="151"/>
      <c r="AD196" s="151"/>
      <c r="AE196" s="322" t="s">
        <v>863</v>
      </c>
      <c r="AG196" s="164">
        <v>11</v>
      </c>
      <c r="AH196" s="162" t="s">
        <v>77</v>
      </c>
    </row>
    <row r="197" spans="1:34" x14ac:dyDescent="0.25">
      <c r="A197" s="629" t="s">
        <v>68</v>
      </c>
      <c r="B197" s="631" t="s">
        <v>711</v>
      </c>
      <c r="C197" s="209" t="s">
        <v>874</v>
      </c>
      <c r="D197" s="173" t="s">
        <v>877</v>
      </c>
      <c r="E197" s="168" t="s">
        <v>865</v>
      </c>
      <c r="F197" s="173"/>
      <c r="G197" s="711"/>
      <c r="H197" s="711"/>
      <c r="I197" s="292" t="s">
        <v>1201</v>
      </c>
      <c r="J197" s="697" t="s">
        <v>1458</v>
      </c>
      <c r="K197" s="169">
        <v>5</v>
      </c>
      <c r="L197" s="177">
        <v>37622</v>
      </c>
      <c r="M197" s="151"/>
      <c r="N197" s="151"/>
      <c r="O197" s="151"/>
      <c r="P197" s="151"/>
      <c r="Q197" s="152">
        <v>2.6</v>
      </c>
      <c r="R197" s="152">
        <v>1</v>
      </c>
      <c r="S197" s="152"/>
      <c r="T197" s="152"/>
      <c r="U197" s="152">
        <v>37</v>
      </c>
      <c r="V197" s="152">
        <v>1</v>
      </c>
      <c r="W197" s="152"/>
      <c r="X197" s="152"/>
      <c r="Y197" s="152"/>
      <c r="Z197" s="152"/>
      <c r="AA197" s="151"/>
      <c r="AB197" s="151"/>
      <c r="AC197" s="151"/>
      <c r="AD197" s="151"/>
      <c r="AE197" s="322" t="s">
        <v>862</v>
      </c>
      <c r="AG197" s="179">
        <v>12</v>
      </c>
      <c r="AH197" s="1" t="s">
        <v>387</v>
      </c>
    </row>
    <row r="198" spans="1:34" x14ac:dyDescent="0.25">
      <c r="A198" s="629" t="s">
        <v>68</v>
      </c>
      <c r="B198" s="631" t="s">
        <v>711</v>
      </c>
      <c r="C198" s="209" t="s">
        <v>875</v>
      </c>
      <c r="D198" s="173" t="s">
        <v>877</v>
      </c>
      <c r="E198" s="168" t="s">
        <v>865</v>
      </c>
      <c r="F198" s="173"/>
      <c r="G198" s="711"/>
      <c r="H198" s="711"/>
      <c r="I198" s="292" t="s">
        <v>1201</v>
      </c>
      <c r="J198" s="697" t="s">
        <v>1458</v>
      </c>
      <c r="K198" s="169">
        <v>5</v>
      </c>
      <c r="L198" s="177">
        <v>37622</v>
      </c>
      <c r="M198" s="151"/>
      <c r="N198" s="151"/>
      <c r="O198" s="151"/>
      <c r="P198" s="151"/>
      <c r="Q198" s="152">
        <v>12</v>
      </c>
      <c r="R198" s="152">
        <v>1</v>
      </c>
      <c r="S198" s="152"/>
      <c r="T198" s="152"/>
      <c r="U198" s="152">
        <v>73</v>
      </c>
      <c r="V198" s="152">
        <v>1</v>
      </c>
      <c r="W198" s="152"/>
      <c r="X198" s="152"/>
      <c r="Y198" s="152"/>
      <c r="Z198" s="152"/>
      <c r="AA198" s="151"/>
      <c r="AB198" s="151"/>
      <c r="AC198" s="151"/>
      <c r="AD198" s="151"/>
      <c r="AE198" s="322" t="s">
        <v>863</v>
      </c>
    </row>
    <row r="199" spans="1:34" x14ac:dyDescent="0.25">
      <c r="A199" s="622" t="s">
        <v>121</v>
      </c>
      <c r="B199" s="626" t="s">
        <v>716</v>
      </c>
      <c r="C199" s="174" t="s">
        <v>135</v>
      </c>
      <c r="D199" s="173" t="s">
        <v>877</v>
      </c>
      <c r="E199" s="170">
        <v>78.302000000000007</v>
      </c>
      <c r="F199" s="174">
        <v>10.337999999999999</v>
      </c>
      <c r="G199" s="170">
        <v>78.302000000000007</v>
      </c>
      <c r="H199" s="174">
        <v>-10.337999999999999</v>
      </c>
      <c r="I199" s="292" t="s">
        <v>1201</v>
      </c>
      <c r="J199" s="174" t="str">
        <f t="shared" ref="J199:J250" si="8">IF(V199=1,"","yes")</f>
        <v>yes</v>
      </c>
      <c r="K199" s="171">
        <v>1</v>
      </c>
      <c r="L199" s="177">
        <v>40043</v>
      </c>
      <c r="M199" s="174">
        <v>62</v>
      </c>
      <c r="N199" s="174">
        <v>1</v>
      </c>
      <c r="O199" s="174">
        <v>51</v>
      </c>
      <c r="P199" s="174" t="s">
        <v>1427</v>
      </c>
      <c r="Q199" s="174">
        <v>39</v>
      </c>
      <c r="R199" s="174">
        <v>1</v>
      </c>
      <c r="S199" s="174">
        <v>6.5</v>
      </c>
      <c r="T199" s="283" t="s">
        <v>1427</v>
      </c>
      <c r="U199" s="174">
        <v>20</v>
      </c>
      <c r="V199" s="174">
        <v>0</v>
      </c>
      <c r="W199" s="174">
        <v>20</v>
      </c>
      <c r="X199" s="283" t="s">
        <v>1427</v>
      </c>
      <c r="Y199" s="174"/>
      <c r="Z199" s="174"/>
      <c r="AA199" s="5"/>
      <c r="AB199" s="5"/>
      <c r="AC199" s="5"/>
      <c r="AD199" s="5"/>
      <c r="AE199" s="5"/>
    </row>
    <row r="200" spans="1:34" x14ac:dyDescent="0.25">
      <c r="A200" s="622" t="s">
        <v>121</v>
      </c>
      <c r="B200" s="626" t="s">
        <v>716</v>
      </c>
      <c r="C200" s="174" t="s">
        <v>137</v>
      </c>
      <c r="D200" s="173" t="s">
        <v>877</v>
      </c>
      <c r="E200" s="170">
        <v>79.954999999999998</v>
      </c>
      <c r="F200" s="174">
        <v>1.3779999999999999</v>
      </c>
      <c r="G200" s="170">
        <v>79.954999999999998</v>
      </c>
      <c r="H200" s="174">
        <v>-1.3779999999999999</v>
      </c>
      <c r="I200" s="175" t="s">
        <v>1201</v>
      </c>
      <c r="J200" s="174" t="str">
        <f t="shared" si="8"/>
        <v>yes</v>
      </c>
      <c r="K200" s="171">
        <v>1</v>
      </c>
      <c r="L200" s="177">
        <v>40048</v>
      </c>
      <c r="M200" s="174">
        <v>51</v>
      </c>
      <c r="N200" s="174">
        <v>0</v>
      </c>
      <c r="O200" s="174">
        <v>51</v>
      </c>
      <c r="P200" s="174" t="s">
        <v>1427</v>
      </c>
      <c r="Q200" s="174">
        <v>27</v>
      </c>
      <c r="R200" s="174">
        <v>1</v>
      </c>
      <c r="S200" s="174">
        <v>6.5</v>
      </c>
      <c r="T200" s="283" t="s">
        <v>1427</v>
      </c>
      <c r="U200" s="174">
        <v>20</v>
      </c>
      <c r="V200" s="174">
        <v>0</v>
      </c>
      <c r="W200" s="174">
        <v>20</v>
      </c>
      <c r="X200" s="283" t="s">
        <v>1427</v>
      </c>
      <c r="Y200" s="174"/>
      <c r="Z200" s="174"/>
      <c r="AA200" s="5"/>
      <c r="AB200" s="5"/>
      <c r="AC200" s="5"/>
      <c r="AD200" s="5"/>
      <c r="AE200" s="5"/>
    </row>
    <row r="201" spans="1:34" x14ac:dyDescent="0.25">
      <c r="A201" s="622" t="s">
        <v>121</v>
      </c>
      <c r="B201" s="626" t="s">
        <v>716</v>
      </c>
      <c r="C201" s="174" t="s">
        <v>138</v>
      </c>
      <c r="D201" s="173" t="s">
        <v>877</v>
      </c>
      <c r="E201" s="170">
        <v>79.179000000000002</v>
      </c>
      <c r="F201" s="174">
        <v>-5.2060000000000004</v>
      </c>
      <c r="G201" s="170">
        <v>79.179000000000002</v>
      </c>
      <c r="H201" s="174">
        <v>5.2060000000000004</v>
      </c>
      <c r="I201" s="175" t="s">
        <v>1201</v>
      </c>
      <c r="J201" s="174" t="str">
        <f t="shared" si="8"/>
        <v>yes</v>
      </c>
      <c r="K201" s="171">
        <v>1</v>
      </c>
      <c r="L201" s="177">
        <v>40049</v>
      </c>
      <c r="M201" s="174">
        <v>51</v>
      </c>
      <c r="N201" s="174">
        <v>0</v>
      </c>
      <c r="O201" s="174">
        <v>51</v>
      </c>
      <c r="P201" s="174" t="s">
        <v>1427</v>
      </c>
      <c r="Q201" s="174">
        <v>111</v>
      </c>
      <c r="R201" s="174">
        <v>1</v>
      </c>
      <c r="S201" s="174">
        <v>6.5</v>
      </c>
      <c r="T201" s="283" t="s">
        <v>1427</v>
      </c>
      <c r="U201" s="174">
        <v>20</v>
      </c>
      <c r="V201" s="174">
        <v>0</v>
      </c>
      <c r="W201" s="174">
        <v>20</v>
      </c>
      <c r="X201" s="283" t="s">
        <v>1427</v>
      </c>
      <c r="Y201" s="174"/>
      <c r="Z201" s="174"/>
      <c r="AA201" s="5"/>
      <c r="AB201" s="5"/>
      <c r="AC201" s="5"/>
      <c r="AD201" s="5"/>
      <c r="AE201" s="5"/>
    </row>
    <row r="202" spans="1:34" x14ac:dyDescent="0.25">
      <c r="A202" s="622" t="s">
        <v>121</v>
      </c>
      <c r="B202" s="626" t="s">
        <v>716</v>
      </c>
      <c r="C202" s="174" t="s">
        <v>139</v>
      </c>
      <c r="D202" s="173" t="s">
        <v>877</v>
      </c>
      <c r="E202" s="170">
        <v>77.400999999999996</v>
      </c>
      <c r="F202" s="174">
        <v>-1.2999999999999999E-2</v>
      </c>
      <c r="G202" s="170">
        <v>77.400999999999996</v>
      </c>
      <c r="H202" s="174">
        <v>1.2999999999999999E-2</v>
      </c>
      <c r="I202" s="175" t="s">
        <v>1201</v>
      </c>
      <c r="J202" s="174" t="str">
        <f t="shared" si="8"/>
        <v>yes</v>
      </c>
      <c r="K202" s="171">
        <v>1</v>
      </c>
      <c r="L202" s="177">
        <v>40051</v>
      </c>
      <c r="M202" s="174">
        <v>51</v>
      </c>
      <c r="N202" s="174">
        <v>0</v>
      </c>
      <c r="O202" s="174">
        <v>51</v>
      </c>
      <c r="P202" s="174" t="s">
        <v>1427</v>
      </c>
      <c r="Q202" s="174">
        <v>12</v>
      </c>
      <c r="R202" s="174">
        <v>1</v>
      </c>
      <c r="S202" s="174">
        <v>6.5</v>
      </c>
      <c r="T202" s="283" t="s">
        <v>1427</v>
      </c>
      <c r="U202" s="174">
        <v>20</v>
      </c>
      <c r="V202" s="174">
        <v>0</v>
      </c>
      <c r="W202" s="174">
        <v>20</v>
      </c>
      <c r="X202" s="283" t="s">
        <v>1427</v>
      </c>
      <c r="Y202" s="174"/>
      <c r="Z202" s="174"/>
      <c r="AA202" s="5"/>
      <c r="AB202" s="5"/>
      <c r="AC202" s="5"/>
      <c r="AD202" s="5"/>
      <c r="AE202" s="5"/>
    </row>
    <row r="203" spans="1:34" x14ac:dyDescent="0.25">
      <c r="A203" s="622" t="s">
        <v>121</v>
      </c>
      <c r="B203" s="626" t="s">
        <v>716</v>
      </c>
      <c r="C203" s="174" t="s">
        <v>140</v>
      </c>
      <c r="D203" s="173" t="s">
        <v>877</v>
      </c>
      <c r="E203" s="170">
        <v>76.320999999999998</v>
      </c>
      <c r="F203" s="174">
        <v>-7.319</v>
      </c>
      <c r="G203" s="170">
        <v>76.320999999999998</v>
      </c>
      <c r="H203" s="174">
        <v>7.319</v>
      </c>
      <c r="I203" s="175" t="s">
        <v>1201</v>
      </c>
      <c r="J203" s="174" t="str">
        <f t="shared" si="8"/>
        <v>yes</v>
      </c>
      <c r="K203" s="171">
        <v>1</v>
      </c>
      <c r="L203" s="177">
        <v>40053</v>
      </c>
      <c r="M203" s="174">
        <v>51</v>
      </c>
      <c r="N203" s="174">
        <v>0</v>
      </c>
      <c r="O203" s="174">
        <v>51</v>
      </c>
      <c r="P203" s="174" t="s">
        <v>1427</v>
      </c>
      <c r="Q203" s="174">
        <v>7.5</v>
      </c>
      <c r="R203" s="174">
        <v>1</v>
      </c>
      <c r="S203" s="174">
        <v>6.5</v>
      </c>
      <c r="T203" s="283" t="s">
        <v>1427</v>
      </c>
      <c r="U203" s="174">
        <v>20</v>
      </c>
      <c r="V203" s="174">
        <v>0</v>
      </c>
      <c r="W203" s="174">
        <v>20</v>
      </c>
      <c r="X203" s="283" t="s">
        <v>1427</v>
      </c>
      <c r="Y203" s="174"/>
      <c r="Z203" s="174"/>
      <c r="AA203" s="5"/>
      <c r="AB203" s="5"/>
      <c r="AC203" s="5"/>
      <c r="AD203" s="5"/>
      <c r="AE203" s="5"/>
    </row>
    <row r="204" spans="1:34" x14ac:dyDescent="0.25">
      <c r="A204" s="622" t="s">
        <v>121</v>
      </c>
      <c r="B204" s="626" t="s">
        <v>716</v>
      </c>
      <c r="C204" s="174" t="s">
        <v>141</v>
      </c>
      <c r="D204" s="173" t="s">
        <v>877</v>
      </c>
      <c r="E204" s="170">
        <v>76.802999999999997</v>
      </c>
      <c r="F204" s="174">
        <v>-3.4</v>
      </c>
      <c r="G204" s="170">
        <v>76.802999999999997</v>
      </c>
      <c r="H204" s="174">
        <v>3.4</v>
      </c>
      <c r="I204" s="175" t="s">
        <v>1201</v>
      </c>
      <c r="J204" s="174" t="str">
        <f t="shared" si="8"/>
        <v>yes</v>
      </c>
      <c r="K204" s="171">
        <v>1</v>
      </c>
      <c r="L204" s="177">
        <v>40054</v>
      </c>
      <c r="M204" s="174">
        <v>51</v>
      </c>
      <c r="N204" s="174">
        <v>0</v>
      </c>
      <c r="O204" s="174">
        <v>51</v>
      </c>
      <c r="P204" s="174" t="s">
        <v>1427</v>
      </c>
      <c r="Q204" s="174">
        <v>6.5</v>
      </c>
      <c r="R204" s="174">
        <v>0</v>
      </c>
      <c r="S204" s="174">
        <v>6.5</v>
      </c>
      <c r="T204" s="283" t="s">
        <v>1427</v>
      </c>
      <c r="U204" s="174">
        <v>20</v>
      </c>
      <c r="V204" s="174">
        <v>0</v>
      </c>
      <c r="W204" s="174">
        <v>20</v>
      </c>
      <c r="X204" s="283" t="s">
        <v>1427</v>
      </c>
      <c r="Y204" s="174"/>
      <c r="Z204" s="174"/>
      <c r="AA204" s="5"/>
      <c r="AB204" s="5"/>
      <c r="AC204" s="5"/>
      <c r="AD204" s="5"/>
      <c r="AE204" s="5"/>
    </row>
    <row r="205" spans="1:34" x14ac:dyDescent="0.25">
      <c r="A205" s="622" t="s">
        <v>121</v>
      </c>
      <c r="B205" s="626" t="s">
        <v>716</v>
      </c>
      <c r="C205" s="174" t="s">
        <v>142</v>
      </c>
      <c r="D205" s="717" t="s">
        <v>877</v>
      </c>
      <c r="E205" s="170">
        <v>78.063000000000002</v>
      </c>
      <c r="F205" s="174">
        <v>3.9129999999999998</v>
      </c>
      <c r="G205" s="170">
        <v>78.063000000000002</v>
      </c>
      <c r="H205" s="174">
        <v>-3.9129999999999998</v>
      </c>
      <c r="I205" s="637" t="s">
        <v>1201</v>
      </c>
      <c r="J205" s="174" t="str">
        <f t="shared" si="8"/>
        <v>yes</v>
      </c>
      <c r="K205" s="171">
        <v>1</v>
      </c>
      <c r="L205" s="177">
        <v>40055</v>
      </c>
      <c r="M205" s="174">
        <v>51</v>
      </c>
      <c r="N205" s="174">
        <v>0</v>
      </c>
      <c r="O205" s="174">
        <v>51</v>
      </c>
      <c r="P205" s="174" t="s">
        <v>1427</v>
      </c>
      <c r="Q205" s="174">
        <v>17</v>
      </c>
      <c r="R205" s="174">
        <v>1</v>
      </c>
      <c r="S205" s="174">
        <v>6.5</v>
      </c>
      <c r="T205" s="283" t="s">
        <v>1427</v>
      </c>
      <c r="U205" s="174">
        <v>20</v>
      </c>
      <c r="V205" s="174">
        <v>0</v>
      </c>
      <c r="W205" s="174">
        <v>20</v>
      </c>
      <c r="X205" s="283" t="s">
        <v>1427</v>
      </c>
      <c r="Y205" s="174"/>
      <c r="Z205" s="174"/>
      <c r="AA205" s="5"/>
      <c r="AB205" s="5"/>
      <c r="AC205" s="5"/>
      <c r="AD205" s="5"/>
      <c r="AE205" s="5"/>
    </row>
    <row r="206" spans="1:34" x14ac:dyDescent="0.25">
      <c r="A206" s="622" t="s">
        <v>121</v>
      </c>
      <c r="B206" s="626" t="s">
        <v>716</v>
      </c>
      <c r="C206" s="174" t="s">
        <v>143</v>
      </c>
      <c r="D206" s="173" t="s">
        <v>877</v>
      </c>
      <c r="E206" s="170">
        <v>79.933000000000007</v>
      </c>
      <c r="F206" s="174">
        <v>7.9379999999999997</v>
      </c>
      <c r="G206" s="170">
        <v>79.933000000000007</v>
      </c>
      <c r="H206" s="174">
        <v>7.9379999999999997</v>
      </c>
      <c r="I206" s="175" t="s">
        <v>1201</v>
      </c>
      <c r="J206" s="174" t="str">
        <f t="shared" si="8"/>
        <v>yes</v>
      </c>
      <c r="K206" s="171">
        <v>1</v>
      </c>
      <c r="L206" s="177">
        <v>40056</v>
      </c>
      <c r="M206" s="174">
        <v>51</v>
      </c>
      <c r="N206" s="174">
        <v>0</v>
      </c>
      <c r="O206" s="174">
        <v>51</v>
      </c>
      <c r="P206" s="174" t="s">
        <v>1427</v>
      </c>
      <c r="Q206" s="174">
        <v>29</v>
      </c>
      <c r="R206" s="174">
        <v>1</v>
      </c>
      <c r="S206" s="174">
        <v>6.5</v>
      </c>
      <c r="T206" s="283" t="s">
        <v>1427</v>
      </c>
      <c r="U206" s="174">
        <v>20</v>
      </c>
      <c r="V206" s="174">
        <v>0</v>
      </c>
      <c r="W206" s="174">
        <v>20</v>
      </c>
      <c r="X206" s="283" t="s">
        <v>1427</v>
      </c>
      <c r="Y206" s="174"/>
      <c r="Z206" s="174"/>
      <c r="AA206" s="5"/>
      <c r="AB206" s="5"/>
      <c r="AC206" s="5"/>
      <c r="AD206" s="5"/>
      <c r="AE206" s="5"/>
    </row>
    <row r="207" spans="1:34" x14ac:dyDescent="0.25">
      <c r="A207" s="622" t="s">
        <v>121</v>
      </c>
      <c r="B207" s="626" t="s">
        <v>716</v>
      </c>
      <c r="C207" s="174" t="s">
        <v>144</v>
      </c>
      <c r="D207" s="173" t="s">
        <v>877</v>
      </c>
      <c r="E207" s="170">
        <v>79.453000000000003</v>
      </c>
      <c r="F207" s="174">
        <v>9.7040000000000006</v>
      </c>
      <c r="G207" s="170">
        <v>79.453000000000003</v>
      </c>
      <c r="H207" s="174">
        <v>-9.7040000000000006</v>
      </c>
      <c r="I207" s="175" t="s">
        <v>1201</v>
      </c>
      <c r="J207" s="174" t="str">
        <f t="shared" si="8"/>
        <v>yes</v>
      </c>
      <c r="K207" s="171">
        <v>1</v>
      </c>
      <c r="L207" s="177">
        <v>40058</v>
      </c>
      <c r="M207" s="174">
        <v>51</v>
      </c>
      <c r="N207" s="174">
        <v>0</v>
      </c>
      <c r="O207" s="174">
        <v>51</v>
      </c>
      <c r="P207" s="174" t="s">
        <v>1427</v>
      </c>
      <c r="Q207" s="174">
        <v>30</v>
      </c>
      <c r="R207" s="174">
        <v>1</v>
      </c>
      <c r="S207" s="174">
        <v>6.5</v>
      </c>
      <c r="T207" s="283" t="s">
        <v>1427</v>
      </c>
      <c r="U207" s="174">
        <v>20</v>
      </c>
      <c r="V207" s="174">
        <v>0</v>
      </c>
      <c r="W207" s="174">
        <v>20</v>
      </c>
      <c r="X207" s="283" t="s">
        <v>1427</v>
      </c>
      <c r="Y207" s="174"/>
      <c r="Z207" s="174"/>
      <c r="AA207" s="5"/>
      <c r="AB207" s="5"/>
      <c r="AC207" s="5"/>
      <c r="AD207" s="5"/>
      <c r="AE207" s="5"/>
    </row>
    <row r="208" spans="1:34" x14ac:dyDescent="0.25">
      <c r="A208" s="622" t="s">
        <v>121</v>
      </c>
      <c r="B208" s="626" t="s">
        <v>716</v>
      </c>
      <c r="C208" s="174" t="s">
        <v>145</v>
      </c>
      <c r="D208" s="173" t="s">
        <v>877</v>
      </c>
      <c r="E208" s="170">
        <v>74.885999999999996</v>
      </c>
      <c r="F208" s="174">
        <v>8.2170000000000005</v>
      </c>
      <c r="G208" s="170">
        <v>74.885999999999996</v>
      </c>
      <c r="H208" s="174">
        <v>-8.2170000000000005</v>
      </c>
      <c r="I208" s="175" t="s">
        <v>1201</v>
      </c>
      <c r="J208" s="174" t="str">
        <f t="shared" si="8"/>
        <v>yes</v>
      </c>
      <c r="K208" s="171">
        <v>1</v>
      </c>
      <c r="L208" s="177">
        <v>40065</v>
      </c>
      <c r="M208" s="174">
        <v>51</v>
      </c>
      <c r="N208" s="174">
        <v>0</v>
      </c>
      <c r="O208" s="174">
        <v>51</v>
      </c>
      <c r="P208" s="174" t="s">
        <v>1427</v>
      </c>
      <c r="Q208" s="174">
        <v>6.5</v>
      </c>
      <c r="R208" s="174">
        <v>0</v>
      </c>
      <c r="S208" s="174">
        <v>6.5</v>
      </c>
      <c r="T208" s="283" t="s">
        <v>1427</v>
      </c>
      <c r="U208" s="174">
        <v>20</v>
      </c>
      <c r="V208" s="174">
        <v>0</v>
      </c>
      <c r="W208" s="174">
        <v>20</v>
      </c>
      <c r="X208" s="283" t="s">
        <v>1427</v>
      </c>
      <c r="Y208" s="174"/>
      <c r="Z208" s="174"/>
      <c r="AA208" s="5"/>
      <c r="AB208" s="5"/>
      <c r="AC208" s="5"/>
      <c r="AD208" s="5"/>
      <c r="AE208" s="5"/>
    </row>
    <row r="209" spans="1:31" x14ac:dyDescent="0.25">
      <c r="A209" s="622" t="s">
        <v>121</v>
      </c>
      <c r="B209" s="626" t="s">
        <v>716</v>
      </c>
      <c r="C209" s="174" t="s">
        <v>146</v>
      </c>
      <c r="D209" s="173" t="s">
        <v>877</v>
      </c>
      <c r="E209" s="170">
        <v>73.828000000000003</v>
      </c>
      <c r="F209" s="174">
        <v>4.9139999999999997</v>
      </c>
      <c r="G209" s="170">
        <v>73.828000000000003</v>
      </c>
      <c r="H209" s="174">
        <v>-4.9139999999999997</v>
      </c>
      <c r="I209" s="175" t="s">
        <v>1201</v>
      </c>
      <c r="J209" s="174" t="str">
        <f t="shared" si="8"/>
        <v/>
      </c>
      <c r="K209" s="171">
        <v>1</v>
      </c>
      <c r="L209" s="177">
        <v>40066</v>
      </c>
      <c r="M209" s="174">
        <v>51</v>
      </c>
      <c r="N209" s="174">
        <v>0</v>
      </c>
      <c r="O209" s="174">
        <v>51</v>
      </c>
      <c r="P209" s="174" t="s">
        <v>1427</v>
      </c>
      <c r="Q209" s="174">
        <v>15</v>
      </c>
      <c r="R209" s="174">
        <v>1</v>
      </c>
      <c r="S209" s="174">
        <v>6.5</v>
      </c>
      <c r="T209" s="283" t="s">
        <v>1427</v>
      </c>
      <c r="U209" s="174">
        <v>25</v>
      </c>
      <c r="V209" s="174">
        <v>1</v>
      </c>
      <c r="W209" s="174">
        <v>20</v>
      </c>
      <c r="X209" s="283" t="s">
        <v>1427</v>
      </c>
      <c r="Y209" s="174"/>
      <c r="Z209" s="174"/>
      <c r="AA209" s="5"/>
      <c r="AB209" s="5"/>
      <c r="AC209" s="5"/>
      <c r="AD209" s="5"/>
      <c r="AE209" s="5"/>
    </row>
    <row r="210" spans="1:31" x14ac:dyDescent="0.25">
      <c r="A210" s="622" t="s">
        <v>121</v>
      </c>
      <c r="B210" s="626" t="s">
        <v>716</v>
      </c>
      <c r="C210" s="174" t="s">
        <v>147</v>
      </c>
      <c r="D210" s="173" t="s">
        <v>877</v>
      </c>
      <c r="E210" s="170">
        <v>74.805000000000007</v>
      </c>
      <c r="F210" s="174">
        <v>12.804</v>
      </c>
      <c r="G210" s="170">
        <v>74.805000000000007</v>
      </c>
      <c r="H210" s="174">
        <v>12.804</v>
      </c>
      <c r="I210" s="175" t="s">
        <v>1201</v>
      </c>
      <c r="J210" s="174" t="str">
        <f t="shared" si="8"/>
        <v>yes</v>
      </c>
      <c r="K210" s="171">
        <v>1</v>
      </c>
      <c r="L210" s="177">
        <v>40067</v>
      </c>
      <c r="M210" s="174">
        <v>51</v>
      </c>
      <c r="N210" s="174">
        <v>0</v>
      </c>
      <c r="O210" s="174">
        <v>51</v>
      </c>
      <c r="P210" s="174" t="s">
        <v>1427</v>
      </c>
      <c r="Q210" s="174">
        <v>35</v>
      </c>
      <c r="R210" s="174">
        <v>1</v>
      </c>
      <c r="S210" s="174">
        <v>6.5</v>
      </c>
      <c r="T210" s="283" t="s">
        <v>1427</v>
      </c>
      <c r="U210" s="174">
        <v>20</v>
      </c>
      <c r="V210" s="174">
        <v>0</v>
      </c>
      <c r="W210" s="174">
        <v>20</v>
      </c>
      <c r="X210" s="283" t="s">
        <v>1427</v>
      </c>
      <c r="Y210" s="174"/>
      <c r="Z210" s="174"/>
      <c r="AA210" s="5"/>
      <c r="AB210" s="5"/>
      <c r="AC210" s="5"/>
      <c r="AD210" s="5"/>
      <c r="AE210" s="5"/>
    </row>
    <row r="211" spans="1:31" x14ac:dyDescent="0.25">
      <c r="A211" s="622" t="s">
        <v>121</v>
      </c>
      <c r="B211" s="626" t="s">
        <v>716</v>
      </c>
      <c r="C211" s="174" t="s">
        <v>148</v>
      </c>
      <c r="D211" s="173" t="s">
        <v>877</v>
      </c>
      <c r="E211" s="170">
        <v>73.5</v>
      </c>
      <c r="F211" s="174">
        <v>13.314</v>
      </c>
      <c r="G211" s="170">
        <v>73.5</v>
      </c>
      <c r="H211" s="174">
        <v>-13.314</v>
      </c>
      <c r="I211" s="175" t="s">
        <v>1201</v>
      </c>
      <c r="J211" s="174" t="str">
        <f t="shared" si="8"/>
        <v>yes</v>
      </c>
      <c r="K211" s="171">
        <v>1</v>
      </c>
      <c r="L211" s="177">
        <v>40068</v>
      </c>
      <c r="M211" s="174">
        <v>51</v>
      </c>
      <c r="N211" s="174">
        <v>0</v>
      </c>
      <c r="O211" s="174">
        <v>51</v>
      </c>
      <c r="P211" s="174" t="s">
        <v>1427</v>
      </c>
      <c r="Q211" s="174">
        <v>9.1</v>
      </c>
      <c r="R211" s="174">
        <v>1</v>
      </c>
      <c r="S211" s="174">
        <v>6.5</v>
      </c>
      <c r="T211" s="283" t="s">
        <v>1427</v>
      </c>
      <c r="U211" s="174">
        <v>20</v>
      </c>
      <c r="V211" s="174">
        <v>0</v>
      </c>
      <c r="W211" s="174">
        <v>20</v>
      </c>
      <c r="X211" s="283" t="s">
        <v>1427</v>
      </c>
      <c r="Y211" s="174"/>
      <c r="Z211" s="174"/>
      <c r="AA211" s="5"/>
      <c r="AB211" s="5"/>
      <c r="AC211" s="5"/>
      <c r="AD211" s="5"/>
      <c r="AE211" s="5"/>
    </row>
    <row r="212" spans="1:31" x14ac:dyDescent="0.25">
      <c r="A212" s="622" t="s">
        <v>121</v>
      </c>
      <c r="B212" s="626" t="s">
        <v>716</v>
      </c>
      <c r="C212" s="174" t="s">
        <v>136</v>
      </c>
      <c r="D212" s="173" t="s">
        <v>877</v>
      </c>
      <c r="E212" s="170">
        <v>80.2</v>
      </c>
      <c r="F212" s="174">
        <v>5.444</v>
      </c>
      <c r="G212" s="170">
        <v>80.2</v>
      </c>
      <c r="H212" s="174">
        <v>-5.444</v>
      </c>
      <c r="I212" s="175" t="s">
        <v>1201</v>
      </c>
      <c r="J212" s="174" t="str">
        <f t="shared" si="8"/>
        <v>yes</v>
      </c>
      <c r="K212" s="171">
        <v>1</v>
      </c>
      <c r="L212" s="177">
        <v>40046</v>
      </c>
      <c r="M212" s="174">
        <v>36</v>
      </c>
      <c r="N212" s="174">
        <v>1</v>
      </c>
      <c r="O212" s="174">
        <v>51</v>
      </c>
      <c r="P212" s="174" t="s">
        <v>1427</v>
      </c>
      <c r="Q212" s="174">
        <v>45</v>
      </c>
      <c r="R212" s="174">
        <v>1</v>
      </c>
      <c r="S212" s="174">
        <v>6.5</v>
      </c>
      <c r="T212" s="283" t="s">
        <v>1427</v>
      </c>
      <c r="U212" s="174">
        <v>20</v>
      </c>
      <c r="V212" s="174">
        <v>0</v>
      </c>
      <c r="W212" s="174">
        <v>20</v>
      </c>
      <c r="X212" s="283" t="s">
        <v>1427</v>
      </c>
      <c r="Y212" s="174"/>
      <c r="Z212" s="174"/>
      <c r="AA212" s="5"/>
      <c r="AB212" s="5"/>
      <c r="AC212" s="5"/>
      <c r="AD212" s="5"/>
      <c r="AE212" s="5"/>
    </row>
    <row r="213" spans="1:31" x14ac:dyDescent="0.25">
      <c r="A213" s="622" t="s">
        <v>121</v>
      </c>
      <c r="B213" s="626" t="s">
        <v>716</v>
      </c>
      <c r="C213" s="174" t="s">
        <v>134</v>
      </c>
      <c r="D213" s="173" t="s">
        <v>877</v>
      </c>
      <c r="E213" s="170">
        <v>76.167000000000002</v>
      </c>
      <c r="F213" s="174">
        <v>15.288</v>
      </c>
      <c r="G213" s="170">
        <v>76.167000000000002</v>
      </c>
      <c r="H213" s="174">
        <v>-15.288</v>
      </c>
      <c r="I213" s="175" t="s">
        <v>1201</v>
      </c>
      <c r="J213" s="174" t="str">
        <f t="shared" si="8"/>
        <v>yes</v>
      </c>
      <c r="K213" s="171">
        <v>1</v>
      </c>
      <c r="L213" s="177">
        <v>40042</v>
      </c>
      <c r="M213" s="174">
        <v>35</v>
      </c>
      <c r="N213" s="174">
        <v>1</v>
      </c>
      <c r="O213" s="174">
        <v>51</v>
      </c>
      <c r="P213" s="174" t="s">
        <v>1427</v>
      </c>
      <c r="Q213" s="174">
        <v>31</v>
      </c>
      <c r="R213" s="174">
        <v>1</v>
      </c>
      <c r="S213" s="174">
        <v>6.5</v>
      </c>
      <c r="T213" s="283" t="s">
        <v>1427</v>
      </c>
      <c r="U213" s="174">
        <v>20</v>
      </c>
      <c r="V213" s="174">
        <v>0</v>
      </c>
      <c r="W213" s="174">
        <v>20</v>
      </c>
      <c r="X213" s="283" t="s">
        <v>1427</v>
      </c>
      <c r="Y213" s="174"/>
      <c r="Z213" s="174"/>
      <c r="AA213" s="5"/>
      <c r="AB213" s="5"/>
      <c r="AC213" s="5"/>
      <c r="AD213" s="5"/>
      <c r="AE213" s="5"/>
    </row>
    <row r="214" spans="1:31" x14ac:dyDescent="0.25">
      <c r="A214" s="622" t="s">
        <v>121</v>
      </c>
      <c r="B214" s="626" t="s">
        <v>716</v>
      </c>
      <c r="C214" s="174" t="s">
        <v>132</v>
      </c>
      <c r="D214" s="173" t="s">
        <v>877</v>
      </c>
      <c r="E214" s="170">
        <v>68.95</v>
      </c>
      <c r="F214" s="174">
        <v>17.097000000000001</v>
      </c>
      <c r="G214" s="170">
        <v>68.95</v>
      </c>
      <c r="H214" s="174">
        <v>-17.097000000000001</v>
      </c>
      <c r="I214" s="175" t="s">
        <v>1201</v>
      </c>
      <c r="J214" s="174" t="str">
        <f t="shared" si="8"/>
        <v>yes</v>
      </c>
      <c r="K214" s="171">
        <v>2</v>
      </c>
      <c r="L214" s="177">
        <v>40032</v>
      </c>
      <c r="M214" s="174">
        <v>51</v>
      </c>
      <c r="N214" s="174">
        <v>0</v>
      </c>
      <c r="O214" s="174">
        <v>51</v>
      </c>
      <c r="P214" s="174" t="s">
        <v>1427</v>
      </c>
      <c r="Q214" s="174">
        <v>6.5</v>
      </c>
      <c r="R214" s="174">
        <v>0</v>
      </c>
      <c r="S214" s="174">
        <v>6.5</v>
      </c>
      <c r="T214" s="283" t="s">
        <v>1427</v>
      </c>
      <c r="U214" s="174">
        <v>20</v>
      </c>
      <c r="V214" s="174">
        <v>0</v>
      </c>
      <c r="W214" s="174">
        <v>20</v>
      </c>
      <c r="X214" s="283" t="s">
        <v>1427</v>
      </c>
      <c r="Y214" s="174"/>
      <c r="Z214" s="174"/>
      <c r="AA214" s="5"/>
      <c r="AB214" s="5"/>
      <c r="AC214" s="5"/>
      <c r="AD214" s="5"/>
      <c r="AE214" s="5"/>
    </row>
    <row r="215" spans="1:31" x14ac:dyDescent="0.25">
      <c r="A215" s="622" t="s">
        <v>121</v>
      </c>
      <c r="B215" s="626" t="s">
        <v>716</v>
      </c>
      <c r="C215" s="174" t="s">
        <v>133</v>
      </c>
      <c r="D215" s="173" t="s">
        <v>877</v>
      </c>
      <c r="E215" s="170">
        <v>70.72</v>
      </c>
      <c r="F215" s="174">
        <v>16.983000000000001</v>
      </c>
      <c r="G215" s="170">
        <v>70.72</v>
      </c>
      <c r="H215" s="174">
        <v>-16.983000000000001</v>
      </c>
      <c r="I215" s="175" t="s">
        <v>1201</v>
      </c>
      <c r="J215" s="174" t="str">
        <f t="shared" si="8"/>
        <v>yes</v>
      </c>
      <c r="K215" s="171">
        <v>2</v>
      </c>
      <c r="L215" s="177">
        <v>40033</v>
      </c>
      <c r="M215" s="174">
        <v>51</v>
      </c>
      <c r="N215" s="174">
        <v>0</v>
      </c>
      <c r="O215" s="174">
        <v>51</v>
      </c>
      <c r="P215" s="174" t="s">
        <v>1427</v>
      </c>
      <c r="Q215" s="174">
        <v>17</v>
      </c>
      <c r="R215" s="174">
        <v>1</v>
      </c>
      <c r="S215" s="174">
        <v>6.5</v>
      </c>
      <c r="T215" s="283" t="s">
        <v>1427</v>
      </c>
      <c r="U215" s="174">
        <v>20</v>
      </c>
      <c r="V215" s="174">
        <v>0</v>
      </c>
      <c r="W215" s="174">
        <v>20</v>
      </c>
      <c r="X215" s="283" t="s">
        <v>1427</v>
      </c>
      <c r="Y215" s="174"/>
      <c r="Z215" s="174"/>
      <c r="AA215" s="5"/>
      <c r="AB215" s="5"/>
      <c r="AC215" s="5"/>
      <c r="AD215" s="5"/>
      <c r="AE215" s="5"/>
    </row>
    <row r="216" spans="1:31" x14ac:dyDescent="0.25">
      <c r="A216" s="622" t="s">
        <v>121</v>
      </c>
      <c r="B216" s="626" t="s">
        <v>716</v>
      </c>
      <c r="C216" s="174" t="s">
        <v>149</v>
      </c>
      <c r="D216" s="173" t="s">
        <v>877</v>
      </c>
      <c r="E216" s="170">
        <v>71.97</v>
      </c>
      <c r="F216" s="174">
        <v>15.971</v>
      </c>
      <c r="G216" s="170">
        <v>71.97</v>
      </c>
      <c r="H216" s="174">
        <v>-15.971</v>
      </c>
      <c r="I216" s="175" t="s">
        <v>1201</v>
      </c>
      <c r="J216" s="174" t="str">
        <f t="shared" si="8"/>
        <v>yes</v>
      </c>
      <c r="K216" s="171">
        <v>2</v>
      </c>
      <c r="L216" s="177">
        <v>40068</v>
      </c>
      <c r="M216" s="174">
        <v>51</v>
      </c>
      <c r="N216" s="174">
        <v>0</v>
      </c>
      <c r="O216" s="174">
        <v>51</v>
      </c>
      <c r="P216" s="174" t="s">
        <v>1427</v>
      </c>
      <c r="Q216" s="174">
        <v>16</v>
      </c>
      <c r="R216" s="174">
        <v>1</v>
      </c>
      <c r="S216" s="174">
        <v>6.5</v>
      </c>
      <c r="T216" s="283" t="s">
        <v>1427</v>
      </c>
      <c r="U216" s="174">
        <v>20</v>
      </c>
      <c r="V216" s="174">
        <v>0</v>
      </c>
      <c r="W216" s="174">
        <v>20</v>
      </c>
      <c r="X216" s="283" t="s">
        <v>1427</v>
      </c>
      <c r="Y216" s="174"/>
      <c r="Z216" s="174"/>
      <c r="AA216" s="5"/>
      <c r="AB216" s="5"/>
      <c r="AC216" s="5"/>
      <c r="AD216" s="5"/>
      <c r="AE216" s="5"/>
    </row>
    <row r="217" spans="1:31" x14ac:dyDescent="0.25">
      <c r="A217" s="622" t="s">
        <v>121</v>
      </c>
      <c r="B217" s="626" t="s">
        <v>716</v>
      </c>
      <c r="C217" s="174" t="s">
        <v>122</v>
      </c>
      <c r="D217" s="173" t="s">
        <v>877</v>
      </c>
      <c r="E217" s="172">
        <v>35</v>
      </c>
      <c r="F217" s="175">
        <v>12.9</v>
      </c>
      <c r="G217" s="172">
        <v>35</v>
      </c>
      <c r="H217" s="175">
        <v>-12.9</v>
      </c>
      <c r="I217" s="175" t="s">
        <v>1201</v>
      </c>
      <c r="J217" s="174" t="str">
        <f t="shared" si="8"/>
        <v/>
      </c>
      <c r="K217" s="171">
        <v>4</v>
      </c>
      <c r="L217" s="178">
        <v>40485</v>
      </c>
      <c r="M217" s="174">
        <v>51</v>
      </c>
      <c r="N217" s="174">
        <v>0</v>
      </c>
      <c r="O217" s="174">
        <v>51</v>
      </c>
      <c r="P217" s="174" t="s">
        <v>1427</v>
      </c>
      <c r="Q217" s="174">
        <v>10</v>
      </c>
      <c r="R217" s="174">
        <v>1</v>
      </c>
      <c r="S217" s="174">
        <v>6.5</v>
      </c>
      <c r="T217" s="283" t="s">
        <v>1427</v>
      </c>
      <c r="U217" s="174">
        <v>65</v>
      </c>
      <c r="V217" s="174">
        <v>1</v>
      </c>
      <c r="W217" s="174">
        <v>20</v>
      </c>
      <c r="X217" s="283" t="s">
        <v>1427</v>
      </c>
      <c r="Y217" s="174"/>
      <c r="Z217" s="174"/>
      <c r="AA217" s="5"/>
      <c r="AB217" s="5"/>
      <c r="AC217" s="5"/>
      <c r="AD217" s="5"/>
      <c r="AE217" s="5"/>
    </row>
    <row r="218" spans="1:31" x14ac:dyDescent="0.25">
      <c r="A218" s="622" t="s">
        <v>121</v>
      </c>
      <c r="B218" s="626" t="s">
        <v>716</v>
      </c>
      <c r="C218" s="174" t="s">
        <v>123</v>
      </c>
      <c r="D218" s="173" t="s">
        <v>877</v>
      </c>
      <c r="E218" s="172">
        <v>32.387999999999998</v>
      </c>
      <c r="F218" s="175">
        <v>13.988</v>
      </c>
      <c r="G218" s="172">
        <v>32.387999999999998</v>
      </c>
      <c r="H218" s="175">
        <v>-13.988</v>
      </c>
      <c r="I218" s="175" t="s">
        <v>1201</v>
      </c>
      <c r="J218" s="174" t="str">
        <f t="shared" si="8"/>
        <v/>
      </c>
      <c r="K218" s="171">
        <v>4</v>
      </c>
      <c r="L218" s="178">
        <v>40487</v>
      </c>
      <c r="M218" s="174">
        <v>51</v>
      </c>
      <c r="N218" s="174">
        <v>0</v>
      </c>
      <c r="O218" s="174">
        <v>51</v>
      </c>
      <c r="P218" s="174" t="s">
        <v>1427</v>
      </c>
      <c r="Q218" s="174">
        <v>28</v>
      </c>
      <c r="R218" s="174">
        <v>1</v>
      </c>
      <c r="S218" s="174">
        <v>6.5</v>
      </c>
      <c r="T218" s="283" t="s">
        <v>1427</v>
      </c>
      <c r="U218" s="174">
        <v>63</v>
      </c>
      <c r="V218" s="174">
        <v>1</v>
      </c>
      <c r="W218" s="174">
        <v>20</v>
      </c>
      <c r="X218" s="283" t="s">
        <v>1427</v>
      </c>
      <c r="Y218" s="174"/>
      <c r="Z218" s="174"/>
      <c r="AA218" s="5"/>
      <c r="AB218" s="5"/>
      <c r="AC218" s="5"/>
      <c r="AD218" s="5"/>
      <c r="AE218" s="5"/>
    </row>
    <row r="219" spans="1:31" x14ac:dyDescent="0.25">
      <c r="A219" s="622" t="s">
        <v>121</v>
      </c>
      <c r="B219" s="626" t="s">
        <v>716</v>
      </c>
      <c r="C219" s="174" t="s">
        <v>124</v>
      </c>
      <c r="D219" s="173" t="s">
        <v>877</v>
      </c>
      <c r="E219" s="172">
        <v>27.459</v>
      </c>
      <c r="F219" s="175">
        <v>15.792999999999999</v>
      </c>
      <c r="G219" s="172">
        <v>27.459</v>
      </c>
      <c r="H219" s="175">
        <v>-15.792999999999999</v>
      </c>
      <c r="I219" s="175" t="s">
        <v>1201</v>
      </c>
      <c r="J219" s="697" t="s">
        <v>1458</v>
      </c>
      <c r="K219" s="171">
        <v>4</v>
      </c>
      <c r="L219" s="177">
        <v>40488</v>
      </c>
      <c r="M219" s="174">
        <v>51</v>
      </c>
      <c r="N219" s="174">
        <v>0</v>
      </c>
      <c r="O219" s="174">
        <v>51</v>
      </c>
      <c r="P219" s="174" t="s">
        <v>1427</v>
      </c>
      <c r="Q219" s="174">
        <v>25</v>
      </c>
      <c r="R219" s="174">
        <v>1</v>
      </c>
      <c r="S219" s="174">
        <v>6.5</v>
      </c>
      <c r="T219" s="283" t="s">
        <v>1427</v>
      </c>
      <c r="U219" s="174">
        <v>47</v>
      </c>
      <c r="V219" s="174">
        <v>1</v>
      </c>
      <c r="W219" s="174">
        <v>20</v>
      </c>
      <c r="X219" s="283" t="s">
        <v>1427</v>
      </c>
      <c r="Y219" s="174"/>
      <c r="Z219" s="174"/>
      <c r="AA219" s="5"/>
      <c r="AB219" s="5"/>
      <c r="AC219" s="5"/>
      <c r="AD219" s="5"/>
      <c r="AE219" s="5"/>
    </row>
    <row r="220" spans="1:31" x14ac:dyDescent="0.25">
      <c r="A220" s="622" t="s">
        <v>121</v>
      </c>
      <c r="B220" s="626" t="s">
        <v>716</v>
      </c>
      <c r="C220" s="174" t="s">
        <v>125</v>
      </c>
      <c r="D220" s="173" t="s">
        <v>877</v>
      </c>
      <c r="E220" s="172">
        <v>24.370999999999999</v>
      </c>
      <c r="F220" s="175">
        <v>20.442</v>
      </c>
      <c r="G220" s="172">
        <v>24.370999999999999</v>
      </c>
      <c r="H220" s="175">
        <v>-20.442</v>
      </c>
      <c r="I220" s="175" t="s">
        <v>1201</v>
      </c>
      <c r="J220" s="174" t="str">
        <f t="shared" si="8"/>
        <v/>
      </c>
      <c r="K220" s="171">
        <v>4</v>
      </c>
      <c r="L220" s="177">
        <v>40489</v>
      </c>
      <c r="M220" s="174">
        <v>51</v>
      </c>
      <c r="N220" s="174">
        <v>0</v>
      </c>
      <c r="O220" s="174">
        <v>51</v>
      </c>
      <c r="P220" s="174" t="s">
        <v>1427</v>
      </c>
      <c r="Q220" s="174">
        <v>12</v>
      </c>
      <c r="R220" s="174">
        <v>1</v>
      </c>
      <c r="S220" s="174">
        <v>6.5</v>
      </c>
      <c r="T220" s="283" t="s">
        <v>1427</v>
      </c>
      <c r="U220" s="174">
        <v>51</v>
      </c>
      <c r="V220" s="174">
        <v>1</v>
      </c>
      <c r="W220" s="174">
        <v>20</v>
      </c>
      <c r="X220" s="283" t="s">
        <v>1427</v>
      </c>
      <c r="Y220" s="174"/>
      <c r="Z220" s="174"/>
      <c r="AA220" s="5"/>
      <c r="AB220" s="5"/>
      <c r="AC220" s="5"/>
      <c r="AD220" s="5"/>
      <c r="AE220" s="5"/>
    </row>
    <row r="221" spans="1:31" x14ac:dyDescent="0.25">
      <c r="A221" s="622" t="s">
        <v>121</v>
      </c>
      <c r="B221" s="626" t="s">
        <v>716</v>
      </c>
      <c r="C221" s="174" t="s">
        <v>126</v>
      </c>
      <c r="D221" s="173" t="s">
        <v>877</v>
      </c>
      <c r="E221" s="172">
        <v>20.568000000000001</v>
      </c>
      <c r="F221" s="175">
        <v>21</v>
      </c>
      <c r="G221" s="172">
        <v>20.568000000000001</v>
      </c>
      <c r="H221" s="175">
        <v>-21</v>
      </c>
      <c r="I221" s="175" t="s">
        <v>1201</v>
      </c>
      <c r="J221" s="174" t="str">
        <f t="shared" si="8"/>
        <v/>
      </c>
      <c r="K221" s="171">
        <v>4</v>
      </c>
      <c r="L221" s="177">
        <v>40490</v>
      </c>
      <c r="M221" s="174">
        <v>51</v>
      </c>
      <c r="N221" s="174">
        <v>0</v>
      </c>
      <c r="O221" s="174">
        <v>51</v>
      </c>
      <c r="P221" s="174" t="s">
        <v>1427</v>
      </c>
      <c r="Q221" s="174">
        <v>6.5</v>
      </c>
      <c r="R221" s="174">
        <v>0</v>
      </c>
      <c r="S221" s="174">
        <v>6.5</v>
      </c>
      <c r="T221" s="283" t="s">
        <v>1427</v>
      </c>
      <c r="U221" s="174">
        <v>50</v>
      </c>
      <c r="V221" s="174">
        <v>1</v>
      </c>
      <c r="W221" s="174">
        <v>20</v>
      </c>
      <c r="X221" s="283" t="s">
        <v>1427</v>
      </c>
      <c r="Y221" s="174"/>
      <c r="Z221" s="174"/>
      <c r="AA221" s="5"/>
      <c r="AB221" s="5"/>
      <c r="AC221" s="5"/>
      <c r="AD221" s="5"/>
      <c r="AE221" s="5"/>
    </row>
    <row r="222" spans="1:31" x14ac:dyDescent="0.25">
      <c r="A222" s="622" t="s">
        <v>121</v>
      </c>
      <c r="B222" s="626" t="s">
        <v>716</v>
      </c>
      <c r="C222" s="174" t="s">
        <v>127</v>
      </c>
      <c r="D222" s="173" t="s">
        <v>877</v>
      </c>
      <c r="E222" s="172">
        <v>15.888999999999999</v>
      </c>
      <c r="F222" s="175">
        <v>21</v>
      </c>
      <c r="G222" s="172">
        <v>15.888999999999999</v>
      </c>
      <c r="H222" s="175">
        <v>-21</v>
      </c>
      <c r="I222" s="175" t="s">
        <v>1201</v>
      </c>
      <c r="J222" s="174" t="str">
        <f t="shared" si="8"/>
        <v/>
      </c>
      <c r="K222" s="171">
        <v>5</v>
      </c>
      <c r="L222" s="177">
        <v>40491</v>
      </c>
      <c r="M222" s="174">
        <v>51</v>
      </c>
      <c r="N222" s="174">
        <v>0</v>
      </c>
      <c r="O222" s="174">
        <v>51</v>
      </c>
      <c r="P222" s="174" t="s">
        <v>1427</v>
      </c>
      <c r="Q222" s="174">
        <v>6.5</v>
      </c>
      <c r="R222" s="174">
        <v>0</v>
      </c>
      <c r="S222" s="174">
        <v>6.5</v>
      </c>
      <c r="T222" s="283" t="s">
        <v>1427</v>
      </c>
      <c r="U222" s="174">
        <v>52</v>
      </c>
      <c r="V222" s="174">
        <v>1</v>
      </c>
      <c r="W222" s="174">
        <v>20</v>
      </c>
      <c r="X222" s="283" t="s">
        <v>1427</v>
      </c>
      <c r="Y222" s="174"/>
      <c r="Z222" s="174"/>
      <c r="AA222" s="5"/>
      <c r="AB222" s="5"/>
      <c r="AC222" s="5"/>
      <c r="AD222" s="5"/>
      <c r="AE222" s="5"/>
    </row>
    <row r="223" spans="1:31" x14ac:dyDescent="0.25">
      <c r="A223" s="622" t="s">
        <v>121</v>
      </c>
      <c r="B223" s="626" t="s">
        <v>716</v>
      </c>
      <c r="C223" s="174" t="s">
        <v>128</v>
      </c>
      <c r="D223" s="173" t="s">
        <v>877</v>
      </c>
      <c r="E223" s="172">
        <v>11.051</v>
      </c>
      <c r="F223" s="175">
        <v>21</v>
      </c>
      <c r="G223" s="172">
        <v>11.051</v>
      </c>
      <c r="H223" s="175">
        <v>-21</v>
      </c>
      <c r="I223" s="175" t="s">
        <v>1201</v>
      </c>
      <c r="J223" s="174" t="str">
        <f t="shared" si="8"/>
        <v/>
      </c>
      <c r="K223" s="171">
        <v>5</v>
      </c>
      <c r="L223" s="177">
        <v>40492</v>
      </c>
      <c r="M223" s="174">
        <v>51</v>
      </c>
      <c r="N223" s="174">
        <v>0</v>
      </c>
      <c r="O223" s="174">
        <v>51</v>
      </c>
      <c r="P223" s="174" t="s">
        <v>1427</v>
      </c>
      <c r="Q223" s="174">
        <v>12</v>
      </c>
      <c r="R223" s="174">
        <v>1</v>
      </c>
      <c r="S223" s="174">
        <v>6.5</v>
      </c>
      <c r="T223" s="283" t="s">
        <v>1427</v>
      </c>
      <c r="U223" s="174">
        <v>50</v>
      </c>
      <c r="V223" s="174">
        <v>1</v>
      </c>
      <c r="W223" s="174">
        <v>20</v>
      </c>
      <c r="X223" s="283" t="s">
        <v>1427</v>
      </c>
      <c r="Y223" s="174"/>
      <c r="Z223" s="174"/>
      <c r="AA223" s="5"/>
      <c r="AB223" s="5"/>
      <c r="AC223" s="5"/>
      <c r="AD223" s="5"/>
      <c r="AE223" s="5"/>
    </row>
    <row r="224" spans="1:31" x14ac:dyDescent="0.25">
      <c r="A224" s="622" t="s">
        <v>121</v>
      </c>
      <c r="B224" s="626" t="s">
        <v>716</v>
      </c>
      <c r="C224" s="174" t="s">
        <v>130</v>
      </c>
      <c r="D224" s="173" t="s">
        <v>877</v>
      </c>
      <c r="E224" s="172">
        <v>2.2930000000000001</v>
      </c>
      <c r="F224" s="175">
        <v>19.285</v>
      </c>
      <c r="G224" s="172">
        <v>2.2930000000000001</v>
      </c>
      <c r="H224" s="175">
        <v>-19.285</v>
      </c>
      <c r="I224" s="175" t="s">
        <v>1201</v>
      </c>
      <c r="J224" s="174" t="str">
        <f t="shared" si="8"/>
        <v/>
      </c>
      <c r="K224" s="171">
        <v>5</v>
      </c>
      <c r="L224" s="177">
        <v>40494</v>
      </c>
      <c r="M224" s="174">
        <v>51</v>
      </c>
      <c r="N224" s="174">
        <v>0</v>
      </c>
      <c r="O224" s="174">
        <v>51</v>
      </c>
      <c r="P224" s="174" t="s">
        <v>1427</v>
      </c>
      <c r="Q224" s="174">
        <v>10</v>
      </c>
      <c r="R224" s="174">
        <v>1</v>
      </c>
      <c r="S224" s="174">
        <v>6.5</v>
      </c>
      <c r="T224" s="283" t="s">
        <v>1427</v>
      </c>
      <c r="U224" s="174">
        <v>40</v>
      </c>
      <c r="V224" s="174">
        <v>1</v>
      </c>
      <c r="W224" s="174">
        <v>20</v>
      </c>
      <c r="X224" s="283" t="s">
        <v>1427</v>
      </c>
      <c r="Y224" s="174"/>
      <c r="Z224" s="174"/>
      <c r="AA224" s="5"/>
      <c r="AB224" s="5"/>
      <c r="AC224" s="5"/>
      <c r="AD224" s="5"/>
      <c r="AE224" s="5"/>
    </row>
    <row r="225" spans="1:31" x14ac:dyDescent="0.25">
      <c r="A225" s="622" t="s">
        <v>121</v>
      </c>
      <c r="B225" s="626" t="s">
        <v>716</v>
      </c>
      <c r="C225" s="174" t="s">
        <v>129</v>
      </c>
      <c r="D225" s="173" t="s">
        <v>877</v>
      </c>
      <c r="E225" s="172">
        <v>6.6130000000000004</v>
      </c>
      <c r="F225" s="175">
        <v>20.576000000000001</v>
      </c>
      <c r="G225" s="172">
        <v>6.6130000000000004</v>
      </c>
      <c r="H225" s="175">
        <v>-20.576000000000001</v>
      </c>
      <c r="I225" s="292" t="s">
        <v>1201</v>
      </c>
      <c r="J225" s="174" t="str">
        <f t="shared" si="8"/>
        <v/>
      </c>
      <c r="K225" s="171">
        <v>5</v>
      </c>
      <c r="L225" s="177">
        <v>40493</v>
      </c>
      <c r="M225" s="174">
        <v>32</v>
      </c>
      <c r="N225" s="174">
        <v>1</v>
      </c>
      <c r="O225" s="174">
        <v>51</v>
      </c>
      <c r="P225" s="174" t="s">
        <v>1427</v>
      </c>
      <c r="Q225" s="174">
        <v>7.8</v>
      </c>
      <c r="R225" s="174">
        <v>1</v>
      </c>
      <c r="S225" s="174">
        <v>6.5</v>
      </c>
      <c r="T225" s="283" t="s">
        <v>1427</v>
      </c>
      <c r="U225" s="174">
        <v>44</v>
      </c>
      <c r="V225" s="174">
        <v>1</v>
      </c>
      <c r="W225" s="174">
        <v>20</v>
      </c>
      <c r="X225" s="283" t="s">
        <v>1427</v>
      </c>
      <c r="Y225" s="174"/>
      <c r="Z225" s="174"/>
      <c r="AA225" s="5"/>
      <c r="AB225" s="5"/>
      <c r="AC225" s="5"/>
      <c r="AD225" s="5"/>
      <c r="AE225" s="5"/>
    </row>
    <row r="226" spans="1:31" x14ac:dyDescent="0.25">
      <c r="A226" s="622" t="s">
        <v>121</v>
      </c>
      <c r="B226" s="626" t="s">
        <v>716</v>
      </c>
      <c r="C226" s="174" t="s">
        <v>131</v>
      </c>
      <c r="D226" s="271" t="s">
        <v>878</v>
      </c>
      <c r="E226" s="172">
        <v>0.20699999999999999</v>
      </c>
      <c r="F226" s="175">
        <v>18.433</v>
      </c>
      <c r="G226" s="172">
        <v>-0.20699999999999999</v>
      </c>
      <c r="H226" s="175">
        <v>-18.433</v>
      </c>
      <c r="I226" s="292" t="s">
        <v>1201</v>
      </c>
      <c r="J226" s="174" t="str">
        <f t="shared" si="8"/>
        <v/>
      </c>
      <c r="K226" s="171">
        <v>6</v>
      </c>
      <c r="L226" s="177">
        <v>40499</v>
      </c>
      <c r="M226" s="174">
        <v>51</v>
      </c>
      <c r="N226" s="174">
        <v>0</v>
      </c>
      <c r="O226" s="174">
        <v>51</v>
      </c>
      <c r="P226" s="174" t="s">
        <v>1427</v>
      </c>
      <c r="Q226" s="174">
        <v>6.5</v>
      </c>
      <c r="R226" s="174">
        <v>0</v>
      </c>
      <c r="S226" s="174">
        <v>6.5</v>
      </c>
      <c r="T226" s="283" t="s">
        <v>1427</v>
      </c>
      <c r="U226" s="174">
        <v>24</v>
      </c>
      <c r="V226" s="174">
        <v>1</v>
      </c>
      <c r="W226" s="174">
        <v>20</v>
      </c>
      <c r="X226" s="283" t="s">
        <v>1427</v>
      </c>
      <c r="Y226" s="174"/>
      <c r="Z226" s="174"/>
      <c r="AA226" s="5"/>
      <c r="AB226" s="5"/>
      <c r="AC226" s="5"/>
      <c r="AD226" s="5"/>
      <c r="AE226" s="5"/>
    </row>
    <row r="227" spans="1:31" x14ac:dyDescent="0.25">
      <c r="A227" s="622" t="s">
        <v>167</v>
      </c>
      <c r="B227" s="626" t="s">
        <v>716</v>
      </c>
      <c r="C227" s="174" t="s">
        <v>168</v>
      </c>
      <c r="D227" s="271" t="s">
        <v>878</v>
      </c>
      <c r="E227" s="170">
        <v>2.8279999999999998</v>
      </c>
      <c r="F227" s="174">
        <v>15.254</v>
      </c>
      <c r="G227" s="170">
        <v>-2.8279999999999998</v>
      </c>
      <c r="H227" s="174">
        <v>-15.254</v>
      </c>
      <c r="I227" s="292" t="s">
        <v>1201</v>
      </c>
      <c r="J227" s="174" t="str">
        <f t="shared" si="8"/>
        <v/>
      </c>
      <c r="K227" s="171">
        <v>6</v>
      </c>
      <c r="L227" s="177">
        <v>40500</v>
      </c>
      <c r="M227" s="174">
        <v>51</v>
      </c>
      <c r="N227" s="174">
        <v>0</v>
      </c>
      <c r="O227" s="174">
        <v>51</v>
      </c>
      <c r="P227" s="174" t="s">
        <v>1427</v>
      </c>
      <c r="Q227" s="174">
        <v>6.5</v>
      </c>
      <c r="R227" s="174">
        <v>0</v>
      </c>
      <c r="S227" s="174">
        <v>6.5</v>
      </c>
      <c r="T227" s="283" t="s">
        <v>1427</v>
      </c>
      <c r="U227" s="174">
        <v>25</v>
      </c>
      <c r="V227" s="174">
        <v>1</v>
      </c>
      <c r="W227" s="174">
        <v>20</v>
      </c>
      <c r="X227" s="283" t="s">
        <v>1427</v>
      </c>
      <c r="Y227" s="174"/>
      <c r="Z227" s="174"/>
      <c r="AA227" s="174"/>
      <c r="AB227" s="174"/>
      <c r="AC227" s="174"/>
      <c r="AD227" s="174"/>
      <c r="AE227" s="5"/>
    </row>
    <row r="228" spans="1:31" x14ac:dyDescent="0.25">
      <c r="A228" s="622" t="s">
        <v>167</v>
      </c>
      <c r="B228" s="626" t="s">
        <v>716</v>
      </c>
      <c r="C228" s="174" t="s">
        <v>169</v>
      </c>
      <c r="D228" s="271" t="s">
        <v>878</v>
      </c>
      <c r="E228" s="170">
        <v>6.9329999999999998</v>
      </c>
      <c r="F228" s="174">
        <v>11.023999999999999</v>
      </c>
      <c r="G228" s="170">
        <v>-6.9329999999999998</v>
      </c>
      <c r="H228" s="174">
        <v>-11.023999999999999</v>
      </c>
      <c r="I228" s="292" t="s">
        <v>1201</v>
      </c>
      <c r="J228" s="174" t="str">
        <f t="shared" si="8"/>
        <v>yes</v>
      </c>
      <c r="K228" s="171">
        <v>6</v>
      </c>
      <c r="L228" s="177">
        <v>40502</v>
      </c>
      <c r="M228" s="174">
        <v>51</v>
      </c>
      <c r="N228" s="174">
        <v>0</v>
      </c>
      <c r="O228" s="174">
        <v>51</v>
      </c>
      <c r="P228" s="174" t="s">
        <v>1427</v>
      </c>
      <c r="Q228" s="174">
        <v>6.5</v>
      </c>
      <c r="R228" s="174">
        <v>0</v>
      </c>
      <c r="S228" s="174">
        <v>6.5</v>
      </c>
      <c r="T228" s="283" t="s">
        <v>1427</v>
      </c>
      <c r="U228" s="174">
        <v>20</v>
      </c>
      <c r="V228" s="174">
        <v>0</v>
      </c>
      <c r="W228" s="174">
        <v>20</v>
      </c>
      <c r="X228" s="283" t="s">
        <v>1427</v>
      </c>
      <c r="Y228" s="174"/>
      <c r="Z228" s="174"/>
      <c r="AA228" s="174"/>
      <c r="AB228" s="174"/>
      <c r="AC228" s="174"/>
      <c r="AD228" s="174"/>
      <c r="AE228" s="5"/>
    </row>
    <row r="229" spans="1:31" x14ac:dyDescent="0.25">
      <c r="A229" s="622" t="s">
        <v>167</v>
      </c>
      <c r="B229" s="626" t="s">
        <v>716</v>
      </c>
      <c r="C229" s="174" t="s">
        <v>170</v>
      </c>
      <c r="D229" s="271" t="s">
        <v>878</v>
      </c>
      <c r="E229" s="170">
        <v>10.409000000000001</v>
      </c>
      <c r="F229" s="174">
        <v>7.415</v>
      </c>
      <c r="G229" s="170">
        <v>-10.409000000000001</v>
      </c>
      <c r="H229" s="174">
        <v>-7.415</v>
      </c>
      <c r="I229" s="292" t="s">
        <v>1201</v>
      </c>
      <c r="J229" s="174" t="str">
        <f t="shared" si="8"/>
        <v>yes</v>
      </c>
      <c r="K229" s="171">
        <v>6</v>
      </c>
      <c r="L229" s="177">
        <v>40504</v>
      </c>
      <c r="M229" s="174">
        <v>51</v>
      </c>
      <c r="N229" s="174">
        <v>0</v>
      </c>
      <c r="O229" s="174">
        <v>51</v>
      </c>
      <c r="P229" s="174" t="s">
        <v>1427</v>
      </c>
      <c r="Q229" s="174">
        <v>6.5</v>
      </c>
      <c r="R229" s="174">
        <v>0</v>
      </c>
      <c r="S229" s="174">
        <v>6.5</v>
      </c>
      <c r="T229" s="283" t="s">
        <v>1427</v>
      </c>
      <c r="U229" s="174">
        <v>20</v>
      </c>
      <c r="V229" s="174">
        <v>0</v>
      </c>
      <c r="W229" s="174">
        <v>20</v>
      </c>
      <c r="X229" s="283" t="s">
        <v>1427</v>
      </c>
      <c r="Y229" s="174"/>
      <c r="Z229" s="174"/>
      <c r="AA229" s="174"/>
      <c r="AB229" s="174"/>
      <c r="AC229" s="174"/>
      <c r="AD229" s="174"/>
      <c r="AE229" s="5"/>
    </row>
    <row r="230" spans="1:31" x14ac:dyDescent="0.25">
      <c r="A230" s="622" t="s">
        <v>167</v>
      </c>
      <c r="B230" s="626" t="s">
        <v>716</v>
      </c>
      <c r="C230" s="174" t="s">
        <v>171</v>
      </c>
      <c r="D230" s="271" t="s">
        <v>878</v>
      </c>
      <c r="E230" s="170">
        <v>13.552</v>
      </c>
      <c r="F230" s="174">
        <v>4.1159999999999997</v>
      </c>
      <c r="G230" s="170">
        <v>-13.552</v>
      </c>
      <c r="H230" s="174">
        <v>-4.1159999999999997</v>
      </c>
      <c r="I230" s="292" t="s">
        <v>1201</v>
      </c>
      <c r="J230" s="174" t="str">
        <f t="shared" si="8"/>
        <v>yes</v>
      </c>
      <c r="K230" s="171">
        <v>6</v>
      </c>
      <c r="L230" s="177">
        <v>40511</v>
      </c>
      <c r="M230" s="174">
        <v>51</v>
      </c>
      <c r="N230" s="174">
        <v>0</v>
      </c>
      <c r="O230" s="174">
        <v>51</v>
      </c>
      <c r="P230" s="174" t="s">
        <v>1427</v>
      </c>
      <c r="Q230" s="174">
        <v>8</v>
      </c>
      <c r="R230" s="174">
        <v>1</v>
      </c>
      <c r="S230" s="174">
        <v>6.5</v>
      </c>
      <c r="T230" s="283" t="s">
        <v>1427</v>
      </c>
      <c r="U230" s="174">
        <v>20</v>
      </c>
      <c r="V230" s="174">
        <v>0</v>
      </c>
      <c r="W230" s="174">
        <v>20</v>
      </c>
      <c r="X230" s="283" t="s">
        <v>1427</v>
      </c>
      <c r="Y230" s="174"/>
      <c r="Z230" s="174"/>
      <c r="AA230" s="174"/>
      <c r="AB230" s="174"/>
      <c r="AC230" s="174"/>
      <c r="AD230" s="174"/>
      <c r="AE230" s="5"/>
    </row>
    <row r="231" spans="1:31" x14ac:dyDescent="0.25">
      <c r="A231" s="622" t="s">
        <v>167</v>
      </c>
      <c r="B231" s="626" t="s">
        <v>716</v>
      </c>
      <c r="C231" s="174" t="s">
        <v>172</v>
      </c>
      <c r="D231" s="271" t="s">
        <v>878</v>
      </c>
      <c r="E231" s="170">
        <v>16.556999999999999</v>
      </c>
      <c r="F231" s="174">
        <v>0.51600000000000001</v>
      </c>
      <c r="G231" s="170">
        <v>-16.556999999999999</v>
      </c>
      <c r="H231" s="174">
        <v>-0.51600000000000001</v>
      </c>
      <c r="I231" s="292" t="s">
        <v>1201</v>
      </c>
      <c r="J231" s="174" t="str">
        <f t="shared" si="8"/>
        <v>yes</v>
      </c>
      <c r="K231" s="171">
        <v>6</v>
      </c>
      <c r="L231" s="177">
        <v>40512</v>
      </c>
      <c r="M231" s="174">
        <v>51</v>
      </c>
      <c r="N231" s="174">
        <v>0</v>
      </c>
      <c r="O231" s="174">
        <v>51</v>
      </c>
      <c r="P231" s="174" t="s">
        <v>1427</v>
      </c>
      <c r="Q231" s="174">
        <v>6.5</v>
      </c>
      <c r="R231" s="174">
        <v>0</v>
      </c>
      <c r="S231" s="174">
        <v>6.5</v>
      </c>
      <c r="T231" s="283" t="s">
        <v>1427</v>
      </c>
      <c r="U231" s="174">
        <v>20</v>
      </c>
      <c r="V231" s="174">
        <v>0</v>
      </c>
      <c r="W231" s="174">
        <v>20</v>
      </c>
      <c r="X231" s="283" t="s">
        <v>1427</v>
      </c>
      <c r="Y231" s="174"/>
      <c r="Z231" s="174"/>
      <c r="AA231" s="174"/>
      <c r="AB231" s="174"/>
      <c r="AC231" s="174"/>
      <c r="AD231" s="174"/>
      <c r="AE231" s="5"/>
    </row>
    <row r="232" spans="1:31" x14ac:dyDescent="0.25">
      <c r="A232" s="622" t="s">
        <v>167</v>
      </c>
      <c r="B232" s="626" t="s">
        <v>716</v>
      </c>
      <c r="C232" s="174" t="s">
        <v>173</v>
      </c>
      <c r="D232" s="271" t="s">
        <v>878</v>
      </c>
      <c r="E232" s="170">
        <v>20.867999999999999</v>
      </c>
      <c r="F232" s="174">
        <v>-5.8040000000000003</v>
      </c>
      <c r="G232" s="170">
        <v>-20.867999999999999</v>
      </c>
      <c r="H232" s="174">
        <v>5.8040000000000003</v>
      </c>
      <c r="I232" s="292" t="s">
        <v>1201</v>
      </c>
      <c r="J232" s="174" t="str">
        <f t="shared" si="8"/>
        <v>yes</v>
      </c>
      <c r="K232" s="171">
        <v>7</v>
      </c>
      <c r="L232" s="177">
        <v>40513</v>
      </c>
      <c r="M232" s="174">
        <v>51</v>
      </c>
      <c r="N232" s="174">
        <v>0</v>
      </c>
      <c r="O232" s="174">
        <v>51</v>
      </c>
      <c r="P232" s="174" t="s">
        <v>1427</v>
      </c>
      <c r="Q232" s="174">
        <v>6.5</v>
      </c>
      <c r="R232" s="174">
        <v>0</v>
      </c>
      <c r="S232" s="174">
        <v>6.5</v>
      </c>
      <c r="T232" s="283" t="s">
        <v>1427</v>
      </c>
      <c r="U232" s="174">
        <v>20</v>
      </c>
      <c r="V232" s="174">
        <v>0</v>
      </c>
      <c r="W232" s="174">
        <v>20</v>
      </c>
      <c r="X232" s="283" t="s">
        <v>1427</v>
      </c>
      <c r="Y232" s="174"/>
      <c r="Z232" s="174"/>
      <c r="AA232" s="174"/>
      <c r="AB232" s="174"/>
      <c r="AC232" s="174"/>
      <c r="AD232" s="174"/>
      <c r="AE232" s="5"/>
    </row>
    <row r="233" spans="1:31" x14ac:dyDescent="0.25">
      <c r="A233" s="622" t="s">
        <v>167</v>
      </c>
      <c r="B233" s="626" t="s">
        <v>716</v>
      </c>
      <c r="C233" s="174" t="s">
        <v>174</v>
      </c>
      <c r="D233" s="271" t="s">
        <v>878</v>
      </c>
      <c r="E233" s="170">
        <v>25.672000000000001</v>
      </c>
      <c r="F233" s="174">
        <v>-10.308</v>
      </c>
      <c r="G233" s="170">
        <v>-25.672000000000001</v>
      </c>
      <c r="H233" s="174">
        <v>10.308</v>
      </c>
      <c r="I233" s="292" t="s">
        <v>1201</v>
      </c>
      <c r="J233" s="174" t="str">
        <f t="shared" si="8"/>
        <v>yes</v>
      </c>
      <c r="K233" s="171">
        <v>7</v>
      </c>
      <c r="L233" s="177">
        <v>40514</v>
      </c>
      <c r="M233" s="174">
        <v>51</v>
      </c>
      <c r="N233" s="174">
        <v>0</v>
      </c>
      <c r="O233" s="174">
        <v>51</v>
      </c>
      <c r="P233" s="174" t="s">
        <v>1427</v>
      </c>
      <c r="Q233" s="174">
        <v>6.5</v>
      </c>
      <c r="R233" s="174">
        <v>0</v>
      </c>
      <c r="S233" s="174">
        <v>6.5</v>
      </c>
      <c r="T233" s="283" t="s">
        <v>1427</v>
      </c>
      <c r="U233" s="174">
        <v>20</v>
      </c>
      <c r="V233" s="174">
        <v>0</v>
      </c>
      <c r="W233" s="174">
        <v>20</v>
      </c>
      <c r="X233" s="283" t="s">
        <v>1427</v>
      </c>
      <c r="Y233" s="174"/>
      <c r="Z233" s="174"/>
      <c r="AA233" s="174"/>
      <c r="AB233" s="174"/>
      <c r="AC233" s="174"/>
      <c r="AD233" s="174"/>
      <c r="AE233" s="5"/>
    </row>
    <row r="234" spans="1:31" x14ac:dyDescent="0.25">
      <c r="A234" s="622" t="s">
        <v>167</v>
      </c>
      <c r="B234" s="626" t="s">
        <v>716</v>
      </c>
      <c r="C234" s="174" t="s">
        <v>175</v>
      </c>
      <c r="D234" s="271" t="s">
        <v>878</v>
      </c>
      <c r="E234" s="170">
        <v>35.482999999999997</v>
      </c>
      <c r="F234" s="174">
        <v>-15.646000000000001</v>
      </c>
      <c r="G234" s="170">
        <v>-35.482999999999997</v>
      </c>
      <c r="H234" s="174">
        <v>15.646000000000001</v>
      </c>
      <c r="I234" s="292" t="s">
        <v>1201</v>
      </c>
      <c r="J234" s="174" t="str">
        <f t="shared" si="8"/>
        <v>yes</v>
      </c>
      <c r="K234" s="171">
        <v>7</v>
      </c>
      <c r="L234" s="177">
        <v>40515</v>
      </c>
      <c r="M234" s="174">
        <v>51</v>
      </c>
      <c r="N234" s="174">
        <v>0</v>
      </c>
      <c r="O234" s="174">
        <v>51</v>
      </c>
      <c r="P234" s="174" t="s">
        <v>1427</v>
      </c>
      <c r="Q234" s="174">
        <v>6.5</v>
      </c>
      <c r="R234" s="174">
        <v>0</v>
      </c>
      <c r="S234" s="174">
        <v>6.5</v>
      </c>
      <c r="T234" s="283" t="s">
        <v>1427</v>
      </c>
      <c r="U234" s="174">
        <v>20</v>
      </c>
      <c r="V234" s="174">
        <v>0</v>
      </c>
      <c r="W234" s="174">
        <v>20</v>
      </c>
      <c r="X234" s="283" t="s">
        <v>1427</v>
      </c>
      <c r="Y234" s="5"/>
      <c r="Z234" s="5"/>
      <c r="AA234" s="5"/>
      <c r="AB234" s="5"/>
      <c r="AC234" s="5"/>
      <c r="AD234" s="5"/>
      <c r="AE234" s="5"/>
    </row>
    <row r="235" spans="1:31" x14ac:dyDescent="0.25">
      <c r="A235" s="622" t="s">
        <v>167</v>
      </c>
      <c r="B235" s="626" t="s">
        <v>716</v>
      </c>
      <c r="C235" s="174" t="s">
        <v>176</v>
      </c>
      <c r="D235" s="271" t="s">
        <v>878</v>
      </c>
      <c r="E235" s="170">
        <v>37.097999999999999</v>
      </c>
      <c r="F235" s="174">
        <v>-12.756</v>
      </c>
      <c r="G235" s="170">
        <v>-37.097999999999999</v>
      </c>
      <c r="H235" s="174">
        <v>12.756</v>
      </c>
      <c r="I235" s="292" t="s">
        <v>1201</v>
      </c>
      <c r="J235" s="174" t="str">
        <f t="shared" si="8"/>
        <v>yes</v>
      </c>
      <c r="K235" s="171">
        <v>8</v>
      </c>
      <c r="L235" s="177">
        <v>40517</v>
      </c>
      <c r="M235" s="174">
        <v>51</v>
      </c>
      <c r="N235" s="174">
        <v>0</v>
      </c>
      <c r="O235" s="174">
        <v>51</v>
      </c>
      <c r="P235" s="174" t="s">
        <v>1427</v>
      </c>
      <c r="Q235" s="174">
        <v>6.5</v>
      </c>
      <c r="R235" s="174">
        <v>0</v>
      </c>
      <c r="S235" s="174">
        <v>6.5</v>
      </c>
      <c r="T235" s="283" t="s">
        <v>1427</v>
      </c>
      <c r="U235" s="174">
        <v>20</v>
      </c>
      <c r="V235" s="174">
        <v>0</v>
      </c>
      <c r="W235" s="174">
        <v>20</v>
      </c>
      <c r="X235" s="283" t="s">
        <v>1427</v>
      </c>
      <c r="Y235" s="5"/>
      <c r="Z235" s="5"/>
      <c r="AA235" s="5"/>
      <c r="AB235" s="5"/>
      <c r="AC235" s="5"/>
      <c r="AD235" s="5"/>
      <c r="AE235" s="5"/>
    </row>
    <row r="236" spans="1:31" x14ac:dyDescent="0.25">
      <c r="A236" s="622" t="s">
        <v>167</v>
      </c>
      <c r="B236" s="626" t="s">
        <v>716</v>
      </c>
      <c r="C236" s="174" t="s">
        <v>177</v>
      </c>
      <c r="D236" s="271" t="s">
        <v>878</v>
      </c>
      <c r="E236" s="170">
        <v>39.216999999999999</v>
      </c>
      <c r="F236" s="174">
        <v>-11.323</v>
      </c>
      <c r="G236" s="170">
        <v>-39.216999999999999</v>
      </c>
      <c r="H236" s="174">
        <v>11.323</v>
      </c>
      <c r="I236" s="292" t="s">
        <v>1201</v>
      </c>
      <c r="J236" s="174" t="str">
        <f t="shared" si="8"/>
        <v>yes</v>
      </c>
      <c r="K236" s="171">
        <v>8</v>
      </c>
      <c r="L236" s="177">
        <v>40519</v>
      </c>
      <c r="M236" s="174">
        <v>51</v>
      </c>
      <c r="N236" s="174">
        <v>0</v>
      </c>
      <c r="O236" s="174">
        <v>51</v>
      </c>
      <c r="P236" s="174" t="s">
        <v>1427</v>
      </c>
      <c r="Q236" s="174">
        <v>6.5</v>
      </c>
      <c r="R236" s="174">
        <v>0</v>
      </c>
      <c r="S236" s="174">
        <v>6.5</v>
      </c>
      <c r="T236" s="283" t="s">
        <v>1427</v>
      </c>
      <c r="U236" s="174">
        <v>20</v>
      </c>
      <c r="V236" s="174">
        <v>0</v>
      </c>
      <c r="W236" s="174">
        <v>20</v>
      </c>
      <c r="X236" s="283" t="s">
        <v>1427</v>
      </c>
      <c r="Y236" s="5"/>
      <c r="Z236" s="5"/>
      <c r="AA236" s="5"/>
      <c r="AB236" s="5"/>
      <c r="AC236" s="5"/>
      <c r="AD236" s="5"/>
      <c r="AE236" s="5"/>
    </row>
    <row r="237" spans="1:31" x14ac:dyDescent="0.25">
      <c r="A237" s="622" t="s">
        <v>167</v>
      </c>
      <c r="B237" s="626" t="s">
        <v>716</v>
      </c>
      <c r="C237" s="174" t="s">
        <v>178</v>
      </c>
      <c r="D237" s="271" t="s">
        <v>878</v>
      </c>
      <c r="E237" s="170">
        <v>41.314999999999998</v>
      </c>
      <c r="F237" s="174">
        <v>-9.8520000000000003</v>
      </c>
      <c r="G237" s="170">
        <v>-41.314999999999998</v>
      </c>
      <c r="H237" s="174">
        <v>9.8520000000000003</v>
      </c>
      <c r="I237" s="292" t="s">
        <v>1201</v>
      </c>
      <c r="J237" s="174" t="str">
        <f t="shared" si="8"/>
        <v>yes</v>
      </c>
      <c r="K237" s="171">
        <v>8</v>
      </c>
      <c r="L237" s="177">
        <v>40521</v>
      </c>
      <c r="M237" s="174">
        <v>51</v>
      </c>
      <c r="N237" s="174">
        <v>0</v>
      </c>
      <c r="O237" s="174">
        <v>51</v>
      </c>
      <c r="P237" s="174" t="s">
        <v>1427</v>
      </c>
      <c r="Q237" s="174">
        <v>6.5</v>
      </c>
      <c r="R237" s="174">
        <v>0</v>
      </c>
      <c r="S237" s="174">
        <v>6.5</v>
      </c>
      <c r="T237" s="283" t="s">
        <v>1427</v>
      </c>
      <c r="U237" s="174">
        <v>20</v>
      </c>
      <c r="V237" s="174">
        <v>0</v>
      </c>
      <c r="W237" s="174">
        <v>20</v>
      </c>
      <c r="X237" s="283" t="s">
        <v>1427</v>
      </c>
      <c r="Y237" s="5"/>
      <c r="Z237" s="5"/>
      <c r="AA237" s="5"/>
      <c r="AB237" s="5"/>
      <c r="AC237" s="5"/>
      <c r="AD237" s="5"/>
      <c r="AE237" s="5"/>
    </row>
    <row r="238" spans="1:31" x14ac:dyDescent="0.25">
      <c r="A238" s="622" t="s">
        <v>167</v>
      </c>
      <c r="B238" s="626" t="s">
        <v>716</v>
      </c>
      <c r="C238" s="174" t="s">
        <v>179</v>
      </c>
      <c r="D238" s="271" t="s">
        <v>878</v>
      </c>
      <c r="E238" s="170">
        <v>44.482999999999997</v>
      </c>
      <c r="F238" s="174">
        <v>-7.2519999999999998</v>
      </c>
      <c r="G238" s="170">
        <v>-44.482999999999997</v>
      </c>
      <c r="H238" s="174">
        <v>7.2519999999999998</v>
      </c>
      <c r="I238" s="292" t="s">
        <v>1201</v>
      </c>
      <c r="J238" s="174" t="str">
        <f t="shared" si="8"/>
        <v>yes</v>
      </c>
      <c r="K238" s="171">
        <v>8</v>
      </c>
      <c r="L238" s="177">
        <v>40523</v>
      </c>
      <c r="M238" s="174">
        <v>51</v>
      </c>
      <c r="N238" s="174">
        <v>0</v>
      </c>
      <c r="O238" s="174">
        <v>51</v>
      </c>
      <c r="P238" s="174" t="s">
        <v>1427</v>
      </c>
      <c r="Q238" s="174">
        <v>6.5</v>
      </c>
      <c r="R238" s="174">
        <v>0</v>
      </c>
      <c r="S238" s="174">
        <v>6.5</v>
      </c>
      <c r="T238" s="283" t="s">
        <v>1427</v>
      </c>
      <c r="U238" s="174">
        <v>20</v>
      </c>
      <c r="V238" s="174">
        <v>0</v>
      </c>
      <c r="W238" s="174">
        <v>20</v>
      </c>
      <c r="X238" s="283" t="s">
        <v>1427</v>
      </c>
      <c r="Y238" s="5"/>
      <c r="Z238" s="5"/>
      <c r="AA238" s="5"/>
      <c r="AB238" s="5"/>
      <c r="AC238" s="5"/>
      <c r="AD238" s="5"/>
      <c r="AE238" s="5"/>
    </row>
    <row r="239" spans="1:31" x14ac:dyDescent="0.25">
      <c r="A239" s="622" t="s">
        <v>167</v>
      </c>
      <c r="B239" s="626" t="s">
        <v>716</v>
      </c>
      <c r="C239" s="174" t="s">
        <v>180</v>
      </c>
      <c r="D239" s="271" t="s">
        <v>878</v>
      </c>
      <c r="E239" s="170">
        <v>47.79</v>
      </c>
      <c r="F239" s="174">
        <v>-4.1180000000000003</v>
      </c>
      <c r="G239" s="170">
        <v>-47.79</v>
      </c>
      <c r="H239" s="174">
        <v>4.1180000000000003</v>
      </c>
      <c r="I239" s="292" t="s">
        <v>1201</v>
      </c>
      <c r="J239" s="174" t="str">
        <f t="shared" si="8"/>
        <v>yes</v>
      </c>
      <c r="K239" s="171">
        <v>8</v>
      </c>
      <c r="L239" s="177">
        <v>40525</v>
      </c>
      <c r="M239" s="174">
        <v>51</v>
      </c>
      <c r="N239" s="174">
        <v>0</v>
      </c>
      <c r="O239" s="174">
        <v>51</v>
      </c>
      <c r="P239" s="174" t="s">
        <v>1427</v>
      </c>
      <c r="Q239" s="174">
        <v>6.5</v>
      </c>
      <c r="R239" s="174">
        <v>0</v>
      </c>
      <c r="S239" s="174">
        <v>6.5</v>
      </c>
      <c r="T239" s="283" t="s">
        <v>1427</v>
      </c>
      <c r="U239" s="174">
        <v>20</v>
      </c>
      <c r="V239" s="174">
        <v>0</v>
      </c>
      <c r="W239" s="174">
        <v>20</v>
      </c>
      <c r="X239" s="283" t="s">
        <v>1427</v>
      </c>
      <c r="Y239" s="5"/>
      <c r="Z239" s="5"/>
      <c r="AA239" s="5"/>
      <c r="AB239" s="5"/>
      <c r="AC239" s="5"/>
      <c r="AD239" s="5"/>
      <c r="AE239" s="5"/>
    </row>
    <row r="240" spans="1:31" x14ac:dyDescent="0.25">
      <c r="A240" s="622" t="s">
        <v>167</v>
      </c>
      <c r="B240" s="626" t="s">
        <v>716</v>
      </c>
      <c r="C240" s="174" t="s">
        <v>181</v>
      </c>
      <c r="D240" s="271" t="s">
        <v>878</v>
      </c>
      <c r="E240" s="170">
        <v>51.822000000000003</v>
      </c>
      <c r="F240" s="174">
        <v>-1E-3</v>
      </c>
      <c r="G240" s="170">
        <v>-51.822000000000003</v>
      </c>
      <c r="H240" s="174">
        <v>1E-3</v>
      </c>
      <c r="I240" s="292" t="s">
        <v>1201</v>
      </c>
      <c r="J240" s="174" t="str">
        <f t="shared" si="8"/>
        <v>yes</v>
      </c>
      <c r="K240" s="171">
        <v>8</v>
      </c>
      <c r="L240" s="177">
        <v>40529</v>
      </c>
      <c r="M240" s="174">
        <v>51</v>
      </c>
      <c r="N240" s="174">
        <v>0</v>
      </c>
      <c r="O240" s="174">
        <v>51</v>
      </c>
      <c r="P240" s="174" t="s">
        <v>1427</v>
      </c>
      <c r="Q240" s="174">
        <v>6.5</v>
      </c>
      <c r="R240" s="174">
        <v>0</v>
      </c>
      <c r="S240" s="174">
        <v>6.5</v>
      </c>
      <c r="T240" s="283" t="s">
        <v>1427</v>
      </c>
      <c r="U240" s="174">
        <v>20</v>
      </c>
      <c r="V240" s="174">
        <v>0</v>
      </c>
      <c r="W240" s="174">
        <v>20</v>
      </c>
      <c r="X240" s="283" t="s">
        <v>1427</v>
      </c>
      <c r="Y240" s="5"/>
      <c r="Z240" s="5"/>
      <c r="AA240" s="5"/>
      <c r="AB240" s="5"/>
      <c r="AC240" s="5"/>
      <c r="AD240" s="5"/>
      <c r="AE240" s="5"/>
    </row>
    <row r="241" spans="1:31" x14ac:dyDescent="0.25">
      <c r="A241" s="622" t="s">
        <v>167</v>
      </c>
      <c r="B241" s="626" t="s">
        <v>716</v>
      </c>
      <c r="C241" s="174" t="s">
        <v>182</v>
      </c>
      <c r="D241" s="271" t="s">
        <v>878</v>
      </c>
      <c r="E241" s="170">
        <v>55.771000000000001</v>
      </c>
      <c r="F241" s="174">
        <v>1E-3</v>
      </c>
      <c r="G241" s="170">
        <v>-55.771000000000001</v>
      </c>
      <c r="H241" s="174">
        <v>-1E-3</v>
      </c>
      <c r="I241" s="292" t="s">
        <v>1201</v>
      </c>
      <c r="J241" s="174" t="str">
        <f t="shared" si="8"/>
        <v>yes</v>
      </c>
      <c r="K241" s="171">
        <v>9</v>
      </c>
      <c r="L241" s="177">
        <v>40530</v>
      </c>
      <c r="M241" s="174">
        <v>51</v>
      </c>
      <c r="N241" s="174">
        <v>0</v>
      </c>
      <c r="O241" s="174">
        <v>51</v>
      </c>
      <c r="P241" s="174" t="s">
        <v>1427</v>
      </c>
      <c r="Q241" s="174">
        <v>6.5</v>
      </c>
      <c r="R241" s="174">
        <v>0</v>
      </c>
      <c r="S241" s="174">
        <v>6.5</v>
      </c>
      <c r="T241" s="283" t="s">
        <v>1427</v>
      </c>
      <c r="U241" s="174">
        <v>20</v>
      </c>
      <c r="V241" s="174">
        <v>0</v>
      </c>
      <c r="W241" s="174">
        <v>20</v>
      </c>
      <c r="X241" s="283" t="s">
        <v>1427</v>
      </c>
      <c r="Y241" s="5"/>
      <c r="Z241" s="5"/>
      <c r="AA241" s="5"/>
      <c r="AB241" s="5"/>
      <c r="AC241" s="5"/>
      <c r="AD241" s="5"/>
      <c r="AE241" s="5"/>
    </row>
    <row r="242" spans="1:31" x14ac:dyDescent="0.25">
      <c r="A242" s="622" t="s">
        <v>167</v>
      </c>
      <c r="B242" s="626" t="s">
        <v>716</v>
      </c>
      <c r="C242" s="174" t="s">
        <v>183</v>
      </c>
      <c r="D242" s="271" t="s">
        <v>878</v>
      </c>
      <c r="E242" s="170">
        <v>59.158000000000001</v>
      </c>
      <c r="F242" s="174">
        <v>3.3000000000000002E-2</v>
      </c>
      <c r="G242" s="170">
        <v>-59.158000000000001</v>
      </c>
      <c r="H242" s="174">
        <v>-3.3000000000000002E-2</v>
      </c>
      <c r="I242" s="292" t="s">
        <v>1201</v>
      </c>
      <c r="J242" s="174" t="str">
        <f t="shared" si="8"/>
        <v>yes</v>
      </c>
      <c r="K242" s="171">
        <v>9</v>
      </c>
      <c r="L242" s="177">
        <v>40534</v>
      </c>
      <c r="M242" s="174">
        <v>51</v>
      </c>
      <c r="N242" s="174">
        <v>0</v>
      </c>
      <c r="O242" s="174">
        <v>51</v>
      </c>
      <c r="P242" s="174" t="s">
        <v>1427</v>
      </c>
      <c r="Q242" s="174">
        <v>6.5</v>
      </c>
      <c r="R242" s="174">
        <v>0</v>
      </c>
      <c r="S242" s="174">
        <v>6.5</v>
      </c>
      <c r="T242" s="283" t="s">
        <v>1427</v>
      </c>
      <c r="U242" s="174">
        <v>20</v>
      </c>
      <c r="V242" s="174">
        <v>0</v>
      </c>
      <c r="W242" s="174">
        <v>20</v>
      </c>
      <c r="X242" s="283" t="s">
        <v>1427</v>
      </c>
      <c r="Y242" s="5"/>
      <c r="Z242" s="5"/>
      <c r="AA242" s="5"/>
      <c r="AB242" s="5"/>
      <c r="AC242" s="5"/>
      <c r="AD242" s="5"/>
      <c r="AE242" s="5"/>
    </row>
    <row r="243" spans="1:31" x14ac:dyDescent="0.25">
      <c r="A243" s="622" t="s">
        <v>184</v>
      </c>
      <c r="B243" s="626" t="s">
        <v>716</v>
      </c>
      <c r="C243" s="174" t="s">
        <v>185</v>
      </c>
      <c r="D243" s="271" t="s">
        <v>878</v>
      </c>
      <c r="E243" s="170">
        <v>63.456000000000003</v>
      </c>
      <c r="F243" s="174">
        <v>1.7000000000000001E-2</v>
      </c>
      <c r="G243" s="170">
        <v>-63.456000000000003</v>
      </c>
      <c r="H243" s="174">
        <v>-1.7000000000000001E-2</v>
      </c>
      <c r="I243" s="283" t="s">
        <v>1204</v>
      </c>
      <c r="J243" s="174" t="str">
        <f t="shared" si="8"/>
        <v>yes</v>
      </c>
      <c r="K243" s="171">
        <v>9</v>
      </c>
      <c r="L243" s="177">
        <v>40536</v>
      </c>
      <c r="M243" s="174">
        <v>51</v>
      </c>
      <c r="N243" s="174">
        <v>0</v>
      </c>
      <c r="O243" s="174">
        <v>51</v>
      </c>
      <c r="P243" s="174" t="s">
        <v>1427</v>
      </c>
      <c r="Q243" s="174">
        <v>6.5</v>
      </c>
      <c r="R243" s="174">
        <v>0</v>
      </c>
      <c r="S243" s="174">
        <v>6.5</v>
      </c>
      <c r="T243" s="283" t="s">
        <v>1427</v>
      </c>
      <c r="U243" s="174">
        <v>20</v>
      </c>
      <c r="V243" s="174">
        <v>0</v>
      </c>
      <c r="W243" s="174">
        <v>20</v>
      </c>
      <c r="X243" s="283" t="s">
        <v>1427</v>
      </c>
      <c r="Y243" s="5"/>
      <c r="Z243" s="5"/>
      <c r="AA243" s="5"/>
      <c r="AB243" s="5"/>
      <c r="AC243" s="5"/>
      <c r="AD243" s="5"/>
      <c r="AE243" s="5"/>
    </row>
    <row r="244" spans="1:31" x14ac:dyDescent="0.25">
      <c r="A244" s="622" t="s">
        <v>184</v>
      </c>
      <c r="B244" s="626" t="s">
        <v>716</v>
      </c>
      <c r="C244" s="174" t="s">
        <v>186</v>
      </c>
      <c r="D244" s="271" t="s">
        <v>878</v>
      </c>
      <c r="E244" s="170">
        <v>66.817999999999998</v>
      </c>
      <c r="F244" s="174">
        <v>1E-3</v>
      </c>
      <c r="G244" s="170">
        <v>-66.817999999999998</v>
      </c>
      <c r="H244" s="174">
        <v>-1E-3</v>
      </c>
      <c r="I244" s="283" t="s">
        <v>1204</v>
      </c>
      <c r="J244" s="174" t="str">
        <f t="shared" si="8"/>
        <v>yes</v>
      </c>
      <c r="K244" s="171">
        <v>9</v>
      </c>
      <c r="L244" s="177">
        <v>40538</v>
      </c>
      <c r="M244" s="174">
        <v>51</v>
      </c>
      <c r="N244" s="174">
        <v>0</v>
      </c>
      <c r="O244" s="174">
        <v>51</v>
      </c>
      <c r="P244" s="174" t="s">
        <v>1427</v>
      </c>
      <c r="Q244" s="174">
        <v>6.5</v>
      </c>
      <c r="R244" s="174">
        <v>0</v>
      </c>
      <c r="S244" s="174">
        <v>6.5</v>
      </c>
      <c r="T244" s="283" t="s">
        <v>1427</v>
      </c>
      <c r="U244" s="174">
        <v>20</v>
      </c>
      <c r="V244" s="174">
        <v>0</v>
      </c>
      <c r="W244" s="174">
        <v>20</v>
      </c>
      <c r="X244" s="283" t="s">
        <v>1427</v>
      </c>
      <c r="Y244" s="5"/>
      <c r="Z244" s="5"/>
      <c r="AA244" s="5"/>
      <c r="AB244" s="5"/>
      <c r="AC244" s="5"/>
      <c r="AD244" s="5"/>
      <c r="AE244" s="5"/>
    </row>
    <row r="245" spans="1:31" x14ac:dyDescent="0.25">
      <c r="A245" s="622" t="s">
        <v>184</v>
      </c>
      <c r="B245" s="626" t="s">
        <v>716</v>
      </c>
      <c r="C245" s="174" t="s">
        <v>187</v>
      </c>
      <c r="D245" s="271" t="s">
        <v>878</v>
      </c>
      <c r="E245" s="170">
        <v>68.501000000000005</v>
      </c>
      <c r="F245" s="174">
        <v>0</v>
      </c>
      <c r="G245" s="170">
        <v>-68.501000000000005</v>
      </c>
      <c r="H245" s="174">
        <v>0</v>
      </c>
      <c r="I245" s="283" t="s">
        <v>1204</v>
      </c>
      <c r="J245" s="174" t="str">
        <f t="shared" si="8"/>
        <v>yes</v>
      </c>
      <c r="K245" s="171">
        <v>9</v>
      </c>
      <c r="L245" s="177">
        <v>40543</v>
      </c>
      <c r="M245" s="174">
        <v>51</v>
      </c>
      <c r="N245" s="174">
        <v>0</v>
      </c>
      <c r="O245" s="174">
        <v>51</v>
      </c>
      <c r="P245" s="174" t="s">
        <v>1427</v>
      </c>
      <c r="Q245" s="174">
        <v>6.5</v>
      </c>
      <c r="R245" s="174">
        <v>0</v>
      </c>
      <c r="S245" s="174">
        <v>6.5</v>
      </c>
      <c r="T245" s="283" t="s">
        <v>1427</v>
      </c>
      <c r="U245" s="174">
        <v>20</v>
      </c>
      <c r="V245" s="174">
        <v>0</v>
      </c>
      <c r="W245" s="174">
        <v>20</v>
      </c>
      <c r="X245" s="283" t="s">
        <v>1427</v>
      </c>
      <c r="Y245" s="5"/>
      <c r="Z245" s="5"/>
      <c r="AA245" s="5"/>
      <c r="AB245" s="5"/>
      <c r="AC245" s="5"/>
      <c r="AD245" s="5"/>
      <c r="AE245" s="5"/>
    </row>
    <row r="246" spans="1:31" x14ac:dyDescent="0.25">
      <c r="A246" s="622" t="s">
        <v>184</v>
      </c>
      <c r="B246" s="626" t="s">
        <v>716</v>
      </c>
      <c r="C246" s="174" t="s">
        <v>188</v>
      </c>
      <c r="D246" s="271" t="s">
        <v>878</v>
      </c>
      <c r="E246" s="170">
        <v>70.34</v>
      </c>
      <c r="F246" s="174">
        <v>7.9539999999999997</v>
      </c>
      <c r="G246" s="170">
        <v>-70.34</v>
      </c>
      <c r="H246" s="174">
        <v>-7.9539999999999997</v>
      </c>
      <c r="I246" s="283" t="s">
        <v>1204</v>
      </c>
      <c r="J246" s="174" t="str">
        <f t="shared" si="8"/>
        <v>yes</v>
      </c>
      <c r="K246" s="171">
        <v>9</v>
      </c>
      <c r="L246" s="177">
        <v>40544</v>
      </c>
      <c r="M246" s="174">
        <v>51</v>
      </c>
      <c r="N246" s="174">
        <v>0</v>
      </c>
      <c r="O246" s="174">
        <v>51</v>
      </c>
      <c r="P246" s="174" t="s">
        <v>1427</v>
      </c>
      <c r="Q246" s="174">
        <v>6.5</v>
      </c>
      <c r="R246" s="174">
        <v>0</v>
      </c>
      <c r="S246" s="174">
        <v>6.5</v>
      </c>
      <c r="T246" s="283" t="s">
        <v>1427</v>
      </c>
      <c r="U246" s="174">
        <v>20</v>
      </c>
      <c r="V246" s="174">
        <v>0</v>
      </c>
      <c r="W246" s="174">
        <v>20</v>
      </c>
      <c r="X246" s="283" t="s">
        <v>1427</v>
      </c>
      <c r="Y246" s="5"/>
      <c r="Z246" s="5"/>
      <c r="AA246" s="5"/>
      <c r="AB246" s="5"/>
      <c r="AC246" s="5"/>
      <c r="AD246" s="5"/>
      <c r="AE246" s="5"/>
    </row>
    <row r="247" spans="1:31" x14ac:dyDescent="0.25">
      <c r="A247" s="622" t="s">
        <v>184</v>
      </c>
      <c r="B247" s="626" t="s">
        <v>716</v>
      </c>
      <c r="C247" s="174" t="s">
        <v>189</v>
      </c>
      <c r="D247" s="271" t="s">
        <v>878</v>
      </c>
      <c r="E247" s="170">
        <v>70.852999999999994</v>
      </c>
      <c r="F247" s="174">
        <v>11.827999999999999</v>
      </c>
      <c r="G247" s="170">
        <v>-70.852999999999994</v>
      </c>
      <c r="H247" s="174">
        <v>-11.827999999999999</v>
      </c>
      <c r="I247" s="283" t="s">
        <v>1204</v>
      </c>
      <c r="J247" s="174" t="str">
        <f t="shared" si="8"/>
        <v>yes</v>
      </c>
      <c r="K247" s="171">
        <v>9</v>
      </c>
      <c r="L247" s="177">
        <v>40547</v>
      </c>
      <c r="M247" s="174">
        <v>51</v>
      </c>
      <c r="N247" s="174">
        <v>0</v>
      </c>
      <c r="O247" s="174">
        <v>51</v>
      </c>
      <c r="P247" s="174" t="s">
        <v>1427</v>
      </c>
      <c r="Q247" s="174">
        <v>6.5</v>
      </c>
      <c r="R247" s="174">
        <v>0</v>
      </c>
      <c r="S247" s="174">
        <v>6.5</v>
      </c>
      <c r="T247" s="283" t="s">
        <v>1427</v>
      </c>
      <c r="U247" s="174">
        <v>20</v>
      </c>
      <c r="V247" s="174">
        <v>0</v>
      </c>
      <c r="W247" s="174">
        <v>20</v>
      </c>
      <c r="X247" s="283" t="s">
        <v>1427</v>
      </c>
      <c r="Y247" s="5"/>
      <c r="Z247" s="5"/>
      <c r="AA247" s="5"/>
      <c r="AB247" s="5"/>
      <c r="AC247" s="5"/>
      <c r="AD247" s="5"/>
      <c r="AE247" s="5"/>
    </row>
    <row r="248" spans="1:31" x14ac:dyDescent="0.25">
      <c r="A248" s="622" t="s">
        <v>184</v>
      </c>
      <c r="B248" s="626" t="s">
        <v>716</v>
      </c>
      <c r="C248" s="174" t="s">
        <v>190</v>
      </c>
      <c r="D248" s="271" t="s">
        <v>878</v>
      </c>
      <c r="E248" s="170">
        <v>69.522000000000006</v>
      </c>
      <c r="F248" s="174">
        <v>16.148</v>
      </c>
      <c r="G248" s="170">
        <v>-69.522000000000006</v>
      </c>
      <c r="H248" s="174">
        <v>-16.148</v>
      </c>
      <c r="I248" s="283" t="s">
        <v>1204</v>
      </c>
      <c r="J248" s="174" t="str">
        <f t="shared" si="8"/>
        <v>yes</v>
      </c>
      <c r="K248" s="171">
        <v>9</v>
      </c>
      <c r="L248" s="177">
        <v>40548</v>
      </c>
      <c r="M248" s="174">
        <v>51</v>
      </c>
      <c r="N248" s="174">
        <v>0</v>
      </c>
      <c r="O248" s="174">
        <v>51</v>
      </c>
      <c r="P248" s="174" t="s">
        <v>1427</v>
      </c>
      <c r="Q248" s="174">
        <v>6.5</v>
      </c>
      <c r="R248" s="174">
        <v>0</v>
      </c>
      <c r="S248" s="174">
        <v>6.5</v>
      </c>
      <c r="T248" s="283" t="s">
        <v>1427</v>
      </c>
      <c r="U248" s="174">
        <v>20</v>
      </c>
      <c r="V248" s="174">
        <v>0</v>
      </c>
      <c r="W248" s="174">
        <v>20</v>
      </c>
      <c r="X248" s="283" t="s">
        <v>1427</v>
      </c>
      <c r="Y248" s="5"/>
      <c r="Z248" s="5"/>
      <c r="AA248" s="5"/>
      <c r="AB248" s="5"/>
      <c r="AC248" s="5"/>
      <c r="AD248" s="5"/>
      <c r="AE248" s="5"/>
    </row>
    <row r="249" spans="1:31" x14ac:dyDescent="0.25">
      <c r="A249" s="622" t="s">
        <v>184</v>
      </c>
      <c r="B249" s="626" t="s">
        <v>716</v>
      </c>
      <c r="C249" s="174" t="s">
        <v>191</v>
      </c>
      <c r="D249" s="271" t="s">
        <v>878</v>
      </c>
      <c r="E249" s="170">
        <v>65.712000000000003</v>
      </c>
      <c r="F249" s="174">
        <v>35.506</v>
      </c>
      <c r="G249" s="170">
        <v>-65.712000000000003</v>
      </c>
      <c r="H249" s="174">
        <v>-35.506</v>
      </c>
      <c r="I249" s="283" t="s">
        <v>1204</v>
      </c>
      <c r="J249" s="174" t="str">
        <f t="shared" si="8"/>
        <v>yes</v>
      </c>
      <c r="K249" s="171">
        <v>9</v>
      </c>
      <c r="L249" s="177">
        <v>40551</v>
      </c>
      <c r="M249" s="174">
        <v>51</v>
      </c>
      <c r="N249" s="174">
        <v>0</v>
      </c>
      <c r="O249" s="174">
        <v>51</v>
      </c>
      <c r="P249" s="174" t="s">
        <v>1427</v>
      </c>
      <c r="Q249" s="174">
        <v>6.5</v>
      </c>
      <c r="R249" s="174">
        <v>0</v>
      </c>
      <c r="S249" s="174">
        <v>6.5</v>
      </c>
      <c r="T249" s="283" t="s">
        <v>1427</v>
      </c>
      <c r="U249" s="174">
        <v>20</v>
      </c>
      <c r="V249" s="174">
        <v>0</v>
      </c>
      <c r="W249" s="174">
        <v>20</v>
      </c>
      <c r="X249" s="283" t="s">
        <v>1427</v>
      </c>
      <c r="Y249" s="5"/>
      <c r="Z249" s="5"/>
      <c r="AA249" s="5"/>
      <c r="AB249" s="5"/>
      <c r="AC249" s="5"/>
      <c r="AD249" s="5"/>
      <c r="AE249" s="5"/>
    </row>
    <row r="250" spans="1:31" x14ac:dyDescent="0.25">
      <c r="A250" s="622" t="s">
        <v>184</v>
      </c>
      <c r="B250" s="626" t="s">
        <v>716</v>
      </c>
      <c r="C250" s="174" t="s">
        <v>192</v>
      </c>
      <c r="D250" s="271" t="s">
        <v>878</v>
      </c>
      <c r="E250" s="170">
        <v>61.494999999999997</v>
      </c>
      <c r="F250" s="174">
        <v>64.489000000000004</v>
      </c>
      <c r="G250" s="170">
        <v>-61.494999999999997</v>
      </c>
      <c r="H250" s="174">
        <v>-64.489000000000004</v>
      </c>
      <c r="I250" s="283" t="s">
        <v>1204</v>
      </c>
      <c r="J250" s="174" t="str">
        <f t="shared" si="8"/>
        <v>yes</v>
      </c>
      <c r="K250" s="171">
        <v>9</v>
      </c>
      <c r="L250" s="177">
        <v>40554</v>
      </c>
      <c r="M250" s="174">
        <v>51</v>
      </c>
      <c r="N250" s="174">
        <v>0</v>
      </c>
      <c r="O250" s="174">
        <v>51</v>
      </c>
      <c r="P250" s="174" t="s">
        <v>1427</v>
      </c>
      <c r="Q250" s="174">
        <v>6.5</v>
      </c>
      <c r="R250" s="174">
        <v>0</v>
      </c>
      <c r="S250" s="174">
        <v>6.5</v>
      </c>
      <c r="T250" s="283" t="s">
        <v>1427</v>
      </c>
      <c r="U250" s="174">
        <v>20</v>
      </c>
      <c r="V250" s="174">
        <v>0</v>
      </c>
      <c r="W250" s="174">
        <v>20</v>
      </c>
      <c r="X250" s="283" t="s">
        <v>1427</v>
      </c>
      <c r="Y250" s="5"/>
      <c r="Z250" s="5"/>
      <c r="AA250" s="5"/>
      <c r="AB250" s="5"/>
      <c r="AC250" s="5"/>
      <c r="AD250" s="5"/>
      <c r="AE250" s="5"/>
    </row>
    <row r="251" spans="1:31" x14ac:dyDescent="0.25">
      <c r="A251" s="622" t="s">
        <v>669</v>
      </c>
      <c r="B251" s="626" t="s">
        <v>753</v>
      </c>
      <c r="C251" s="174">
        <v>14</v>
      </c>
      <c r="D251" s="173" t="s">
        <v>877</v>
      </c>
      <c r="E251" s="170">
        <v>55.165999999999997</v>
      </c>
      <c r="F251" s="174">
        <v>5.0369999999999999</v>
      </c>
      <c r="G251" s="170">
        <v>55.165999999999997</v>
      </c>
      <c r="H251" s="174">
        <v>5.0369999999999999</v>
      </c>
      <c r="I251" s="283" t="s">
        <v>1200</v>
      </c>
      <c r="J251" s="700" t="s">
        <v>1458</v>
      </c>
      <c r="K251" s="171">
        <v>2</v>
      </c>
      <c r="L251" s="177">
        <v>40714</v>
      </c>
      <c r="M251" s="174">
        <v>2900</v>
      </c>
      <c r="N251" s="174">
        <v>1</v>
      </c>
      <c r="O251" s="174">
        <v>30</v>
      </c>
      <c r="P251" s="174" t="s">
        <v>1427</v>
      </c>
      <c r="Q251" s="174">
        <v>510</v>
      </c>
      <c r="R251" s="174">
        <v>1</v>
      </c>
      <c r="S251" s="174">
        <v>30</v>
      </c>
      <c r="T251" s="283" t="s">
        <v>1427</v>
      </c>
      <c r="U251" s="174">
        <v>220</v>
      </c>
      <c r="V251" s="174">
        <v>1</v>
      </c>
      <c r="W251" s="174">
        <v>70</v>
      </c>
      <c r="X251" s="283" t="s">
        <v>1427</v>
      </c>
      <c r="Y251" s="174"/>
      <c r="Z251" s="174"/>
      <c r="AA251" s="5"/>
      <c r="AB251" s="5"/>
      <c r="AC251" s="5"/>
      <c r="AD251" s="5"/>
      <c r="AE251" s="5"/>
    </row>
    <row r="252" spans="1:31" x14ac:dyDescent="0.25">
      <c r="A252" s="622" t="s">
        <v>669</v>
      </c>
      <c r="B252" s="626" t="s">
        <v>753</v>
      </c>
      <c r="C252" s="174">
        <v>14</v>
      </c>
      <c r="D252" s="173" t="s">
        <v>877</v>
      </c>
      <c r="E252" s="170">
        <v>55.165999999999997</v>
      </c>
      <c r="F252" s="174">
        <v>5.0369999999999999</v>
      </c>
      <c r="G252" s="170">
        <v>55.165999999999997</v>
      </c>
      <c r="H252" s="174">
        <v>5.0369999999999999</v>
      </c>
      <c r="I252" s="283" t="s">
        <v>1200</v>
      </c>
      <c r="J252" s="700" t="s">
        <v>1458</v>
      </c>
      <c r="K252" s="171">
        <v>2</v>
      </c>
      <c r="L252" s="177">
        <v>40805</v>
      </c>
      <c r="M252" s="174">
        <v>2900</v>
      </c>
      <c r="N252" s="174">
        <v>1</v>
      </c>
      <c r="O252" s="174">
        <v>30</v>
      </c>
      <c r="P252" s="174" t="s">
        <v>1427</v>
      </c>
      <c r="Q252" s="174">
        <v>170</v>
      </c>
      <c r="R252" s="174">
        <v>1</v>
      </c>
      <c r="S252" s="174">
        <v>30</v>
      </c>
      <c r="T252" s="283" t="s">
        <v>1427</v>
      </c>
      <c r="U252" s="174">
        <v>410</v>
      </c>
      <c r="V252" s="174">
        <v>1</v>
      </c>
      <c r="W252" s="174">
        <v>70</v>
      </c>
      <c r="X252" s="283" t="s">
        <v>1427</v>
      </c>
      <c r="Y252" s="174"/>
      <c r="Z252" s="174"/>
      <c r="AA252" s="5"/>
      <c r="AB252" s="5"/>
      <c r="AC252" s="5"/>
      <c r="AD252" s="5"/>
      <c r="AE252" s="5"/>
    </row>
    <row r="253" spans="1:31" x14ac:dyDescent="0.25">
      <c r="A253" s="622" t="s">
        <v>669</v>
      </c>
      <c r="B253" s="626" t="s">
        <v>753</v>
      </c>
      <c r="C253" s="174">
        <v>14</v>
      </c>
      <c r="D253" s="173" t="s">
        <v>877</v>
      </c>
      <c r="E253" s="170">
        <v>55.165999999999997</v>
      </c>
      <c r="F253" s="174">
        <v>5.0369999999999999</v>
      </c>
      <c r="G253" s="170">
        <v>55.165999999999997</v>
      </c>
      <c r="H253" s="174">
        <v>5.0369999999999999</v>
      </c>
      <c r="I253" s="283" t="s">
        <v>1200</v>
      </c>
      <c r="J253" s="700" t="s">
        <v>1458</v>
      </c>
      <c r="K253" s="171">
        <v>2</v>
      </c>
      <c r="L253" s="177">
        <v>40639</v>
      </c>
      <c r="M253" s="174">
        <v>1800</v>
      </c>
      <c r="N253" s="174">
        <v>1</v>
      </c>
      <c r="O253" s="174">
        <v>30</v>
      </c>
      <c r="P253" s="174" t="s">
        <v>1427</v>
      </c>
      <c r="Q253" s="174">
        <v>280</v>
      </c>
      <c r="R253" s="174">
        <v>1</v>
      </c>
      <c r="S253" s="174">
        <v>30</v>
      </c>
      <c r="T253" s="283" t="s">
        <v>1427</v>
      </c>
      <c r="U253" s="174">
        <v>400</v>
      </c>
      <c r="V253" s="174">
        <v>1</v>
      </c>
      <c r="W253" s="174">
        <v>70</v>
      </c>
      <c r="X253" s="283" t="s">
        <v>1427</v>
      </c>
      <c r="Y253" s="174"/>
      <c r="Z253" s="174"/>
      <c r="AA253" s="5"/>
      <c r="AB253" s="5"/>
      <c r="AC253" s="5"/>
      <c r="AD253" s="5"/>
      <c r="AE253" s="322" t="s">
        <v>755</v>
      </c>
    </row>
    <row r="254" spans="1:31" x14ac:dyDescent="0.25">
      <c r="A254" s="622" t="s">
        <v>669</v>
      </c>
      <c r="B254" s="626" t="s">
        <v>753</v>
      </c>
      <c r="C254" s="174">
        <v>12</v>
      </c>
      <c r="D254" s="173" t="s">
        <v>877</v>
      </c>
      <c r="E254" s="170">
        <v>55.006999999999998</v>
      </c>
      <c r="F254" s="174">
        <v>6.359</v>
      </c>
      <c r="G254" s="170">
        <v>55.006999999999998</v>
      </c>
      <c r="H254" s="174">
        <v>6.359</v>
      </c>
      <c r="I254" s="283" t="s">
        <v>1200</v>
      </c>
      <c r="J254" s="700" t="s">
        <v>1458</v>
      </c>
      <c r="K254" s="171">
        <v>2</v>
      </c>
      <c r="L254" s="177">
        <v>40712</v>
      </c>
      <c r="M254" s="174">
        <v>430</v>
      </c>
      <c r="N254" s="174">
        <v>1</v>
      </c>
      <c r="O254" s="174">
        <v>30</v>
      </c>
      <c r="P254" s="174" t="s">
        <v>1427</v>
      </c>
      <c r="Q254" s="174">
        <v>30</v>
      </c>
      <c r="R254" s="174">
        <v>1</v>
      </c>
      <c r="S254" s="174">
        <v>30</v>
      </c>
      <c r="T254" s="283" t="s">
        <v>1427</v>
      </c>
      <c r="U254" s="174">
        <v>110</v>
      </c>
      <c r="V254" s="174">
        <v>1</v>
      </c>
      <c r="W254" s="174">
        <v>70</v>
      </c>
      <c r="X254" s="283" t="s">
        <v>1427</v>
      </c>
      <c r="Y254" s="174"/>
      <c r="Z254" s="174"/>
      <c r="AA254" s="5"/>
      <c r="AB254" s="5"/>
      <c r="AC254" s="5"/>
      <c r="AD254" s="5"/>
      <c r="AE254" s="5"/>
    </row>
    <row r="255" spans="1:31" ht="17" customHeight="1" x14ac:dyDescent="0.25">
      <c r="A255" s="622" t="s">
        <v>669</v>
      </c>
      <c r="B255" s="626" t="s">
        <v>753</v>
      </c>
      <c r="C255" s="174">
        <v>13</v>
      </c>
      <c r="D255" s="173" t="s">
        <v>877</v>
      </c>
      <c r="E255" s="170">
        <v>55.399000000000001</v>
      </c>
      <c r="F255" s="174">
        <v>6.2930000000000001</v>
      </c>
      <c r="G255" s="170">
        <v>55.399000000000001</v>
      </c>
      <c r="H255" s="174">
        <v>6.2930000000000001</v>
      </c>
      <c r="I255" s="283" t="s">
        <v>1200</v>
      </c>
      <c r="J255" s="700" t="s">
        <v>1458</v>
      </c>
      <c r="K255" s="171">
        <v>2</v>
      </c>
      <c r="L255" s="177">
        <v>40642</v>
      </c>
      <c r="M255" s="174">
        <v>160</v>
      </c>
      <c r="N255" s="174">
        <v>1</v>
      </c>
      <c r="O255" s="174">
        <v>30</v>
      </c>
      <c r="P255" s="174" t="s">
        <v>1427</v>
      </c>
      <c r="Q255" s="174">
        <v>30</v>
      </c>
      <c r="R255" s="174">
        <v>1</v>
      </c>
      <c r="S255" s="174">
        <v>30</v>
      </c>
      <c r="T255" s="283" t="s">
        <v>1427</v>
      </c>
      <c r="U255" s="174">
        <v>70</v>
      </c>
      <c r="V255" s="174">
        <v>0</v>
      </c>
      <c r="W255" s="174">
        <v>70</v>
      </c>
      <c r="X255" s="283" t="s">
        <v>1427</v>
      </c>
      <c r="Y255" s="174"/>
      <c r="Z255" s="174"/>
      <c r="AA255" s="5"/>
      <c r="AB255" s="5"/>
      <c r="AC255" s="5"/>
      <c r="AD255" s="5"/>
      <c r="AE255" s="5"/>
    </row>
    <row r="256" spans="1:31" x14ac:dyDescent="0.25">
      <c r="A256" s="622" t="s">
        <v>669</v>
      </c>
      <c r="B256" s="626" t="s">
        <v>753</v>
      </c>
      <c r="C256" s="174">
        <v>13</v>
      </c>
      <c r="D256" s="173" t="s">
        <v>877</v>
      </c>
      <c r="E256" s="170">
        <v>55.399000000000001</v>
      </c>
      <c r="F256" s="174">
        <v>6.2930000000000001</v>
      </c>
      <c r="G256" s="170">
        <v>55.399000000000001</v>
      </c>
      <c r="H256" s="174">
        <v>6.2930000000000001</v>
      </c>
      <c r="I256" s="283" t="s">
        <v>1200</v>
      </c>
      <c r="J256" s="700" t="s">
        <v>1458</v>
      </c>
      <c r="K256" s="171">
        <v>2</v>
      </c>
      <c r="L256" s="177">
        <v>40711</v>
      </c>
      <c r="M256" s="174">
        <v>50</v>
      </c>
      <c r="N256" s="174">
        <v>1</v>
      </c>
      <c r="O256" s="174">
        <v>30</v>
      </c>
      <c r="P256" s="174" t="s">
        <v>1427</v>
      </c>
      <c r="Q256" s="174">
        <v>30</v>
      </c>
      <c r="R256" s="174">
        <v>0</v>
      </c>
      <c r="S256" s="174">
        <v>30</v>
      </c>
      <c r="T256" s="283" t="s">
        <v>1427</v>
      </c>
      <c r="U256" s="174">
        <v>70</v>
      </c>
      <c r="V256" s="174">
        <v>0</v>
      </c>
      <c r="W256" s="174">
        <v>70</v>
      </c>
      <c r="X256" s="283" t="s">
        <v>1427</v>
      </c>
      <c r="Y256" s="174"/>
      <c r="Z256" s="174"/>
      <c r="AA256" s="5"/>
      <c r="AB256" s="5"/>
      <c r="AC256" s="5"/>
      <c r="AD256" s="5"/>
      <c r="AE256" s="5"/>
    </row>
    <row r="257" spans="1:31" x14ac:dyDescent="0.25">
      <c r="A257" s="622" t="s">
        <v>669</v>
      </c>
      <c r="B257" s="626" t="s">
        <v>753</v>
      </c>
      <c r="C257" s="174">
        <v>12</v>
      </c>
      <c r="D257" s="173" t="s">
        <v>877</v>
      </c>
      <c r="E257" s="170">
        <v>55.006999999999998</v>
      </c>
      <c r="F257" s="174">
        <v>6.359</v>
      </c>
      <c r="G257" s="170">
        <v>55.006999999999998</v>
      </c>
      <c r="H257" s="174">
        <v>6.359</v>
      </c>
      <c r="I257" s="283" t="s">
        <v>1200</v>
      </c>
      <c r="J257" s="700" t="s">
        <v>1458</v>
      </c>
      <c r="K257" s="171">
        <v>2</v>
      </c>
      <c r="L257" s="177">
        <v>40803</v>
      </c>
      <c r="M257" s="174">
        <v>50</v>
      </c>
      <c r="N257" s="174">
        <v>1</v>
      </c>
      <c r="O257" s="174">
        <v>30</v>
      </c>
      <c r="P257" s="174" t="s">
        <v>1427</v>
      </c>
      <c r="Q257" s="174">
        <v>30</v>
      </c>
      <c r="R257" s="174">
        <v>0</v>
      </c>
      <c r="S257" s="174">
        <v>30</v>
      </c>
      <c r="T257" s="283" t="s">
        <v>1427</v>
      </c>
      <c r="U257" s="174">
        <v>70</v>
      </c>
      <c r="V257" s="174">
        <v>0</v>
      </c>
      <c r="W257" s="174">
        <v>70</v>
      </c>
      <c r="X257" s="283" t="s">
        <v>1427</v>
      </c>
      <c r="Y257" s="174"/>
      <c r="Z257" s="174"/>
      <c r="AA257" s="5"/>
      <c r="AB257" s="5"/>
      <c r="AC257" s="5"/>
      <c r="AD257" s="5"/>
      <c r="AE257" s="5"/>
    </row>
    <row r="258" spans="1:31" x14ac:dyDescent="0.25">
      <c r="A258" s="622" t="s">
        <v>669</v>
      </c>
      <c r="B258" s="626" t="s">
        <v>753</v>
      </c>
      <c r="C258" s="174">
        <v>12</v>
      </c>
      <c r="D258" s="173" t="s">
        <v>877</v>
      </c>
      <c r="E258" s="170">
        <v>55.006999999999998</v>
      </c>
      <c r="F258" s="174">
        <v>6.359</v>
      </c>
      <c r="G258" s="170">
        <v>55.006999999999998</v>
      </c>
      <c r="H258" s="174">
        <v>6.359</v>
      </c>
      <c r="I258" s="283" t="s">
        <v>1200</v>
      </c>
      <c r="J258" s="700" t="s">
        <v>1458</v>
      </c>
      <c r="K258" s="171">
        <v>2</v>
      </c>
      <c r="L258" s="177">
        <v>40642</v>
      </c>
      <c r="M258" s="174">
        <v>40</v>
      </c>
      <c r="N258" s="174">
        <v>1</v>
      </c>
      <c r="O258" s="174">
        <v>30</v>
      </c>
      <c r="P258" s="174" t="s">
        <v>1427</v>
      </c>
      <c r="Q258" s="174">
        <v>30</v>
      </c>
      <c r="R258" s="174">
        <v>0</v>
      </c>
      <c r="S258" s="174">
        <v>30</v>
      </c>
      <c r="T258" s="283" t="s">
        <v>1427</v>
      </c>
      <c r="U258" s="174">
        <v>70</v>
      </c>
      <c r="V258" s="174">
        <v>0</v>
      </c>
      <c r="W258" s="174">
        <v>70</v>
      </c>
      <c r="X258" s="283" t="s">
        <v>1427</v>
      </c>
      <c r="Y258" s="174"/>
      <c r="Z258" s="174"/>
      <c r="AA258" s="5"/>
      <c r="AB258" s="5"/>
      <c r="AC258" s="5"/>
      <c r="AD258" s="5"/>
      <c r="AE258" s="5"/>
    </row>
    <row r="259" spans="1:31" x14ac:dyDescent="0.25">
      <c r="A259" s="622" t="s">
        <v>669</v>
      </c>
      <c r="B259" s="626" t="s">
        <v>753</v>
      </c>
      <c r="C259" s="174">
        <v>13</v>
      </c>
      <c r="D259" s="173" t="s">
        <v>877</v>
      </c>
      <c r="E259" s="170">
        <v>55.399000000000001</v>
      </c>
      <c r="F259" s="174">
        <v>6.2930000000000001</v>
      </c>
      <c r="G259" s="170">
        <v>55.399000000000001</v>
      </c>
      <c r="H259" s="174">
        <v>6.2930000000000001</v>
      </c>
      <c r="I259" s="283" t="s">
        <v>1200</v>
      </c>
      <c r="J259" s="700" t="s">
        <v>1458</v>
      </c>
      <c r="K259" s="171">
        <v>2</v>
      </c>
      <c r="L259" s="177">
        <v>40802</v>
      </c>
      <c r="M259" s="174">
        <v>30</v>
      </c>
      <c r="N259" s="174">
        <v>0</v>
      </c>
      <c r="O259" s="174">
        <v>30</v>
      </c>
      <c r="P259" s="174" t="s">
        <v>1427</v>
      </c>
      <c r="Q259" s="174">
        <v>30</v>
      </c>
      <c r="R259" s="174">
        <v>0</v>
      </c>
      <c r="S259" s="174">
        <v>30</v>
      </c>
      <c r="T259" s="283" t="s">
        <v>1427</v>
      </c>
      <c r="U259" s="174">
        <v>70</v>
      </c>
      <c r="V259" s="174">
        <v>0</v>
      </c>
      <c r="W259" s="174">
        <v>70</v>
      </c>
      <c r="X259" s="283" t="s">
        <v>1427</v>
      </c>
      <c r="Y259" s="174"/>
      <c r="Z259" s="174"/>
      <c r="AA259" s="5"/>
      <c r="AB259" s="5"/>
      <c r="AC259" s="5"/>
      <c r="AD259" s="5"/>
      <c r="AE259" s="5"/>
    </row>
    <row r="260" spans="1:31" x14ac:dyDescent="0.25">
      <c r="A260" s="206" t="str">
        <f>Table3[[#This Row],[ocean]]</f>
        <v>atlantic</v>
      </c>
      <c r="B260" s="1013" t="s">
        <v>1912</v>
      </c>
      <c r="C260" s="147">
        <v>2</v>
      </c>
      <c r="D260" s="1009" t="str">
        <f t="shared" ref="D260:D324" si="9">IF(G260&gt;0,"Northern","Southern")</f>
        <v>Northern</v>
      </c>
      <c r="G260" s="214">
        <v>34.003</v>
      </c>
      <c r="H260" s="214">
        <v>-12.782</v>
      </c>
      <c r="I260" s="214" t="s">
        <v>1201</v>
      </c>
      <c r="J260" s="174" t="str">
        <f t="shared" ref="J260:J320" si="10">IF(V260=1,"","yes")</f>
        <v/>
      </c>
      <c r="K260" s="1009">
        <f>IF(G260&gt;$AH$23,$AG$23,IF(G260&gt;$AH$24,$AG$24,IF(G260&gt;$AH$25,$AG$25,IF(G260&gt;$AH$26,$AG$26,IF(G260&gt;$AH$27,$AG$27,IF(G260&gt;$AH$29,$AG$28,IF(G260&gt;$AH$30,$AG$29,IF(G260&gt;$AH$31,$AG$30,IF(G260&gt;$AH$32,$AG$31,$AG$32)))))))))</f>
        <v>4</v>
      </c>
      <c r="L260" s="147" t="s">
        <v>1913</v>
      </c>
      <c r="M260" s="147">
        <v>81.7</v>
      </c>
      <c r="N260" s="147">
        <f>IF(M260&gt;P260,1,0)</f>
        <v>1</v>
      </c>
      <c r="O260" s="1009">
        <v>0.32</v>
      </c>
      <c r="P260" s="1009">
        <v>1.17</v>
      </c>
      <c r="Q260" s="147">
        <v>18.2</v>
      </c>
      <c r="R260" s="1009">
        <f>IF(Q260&gt;T260,1,0)</f>
        <v>1</v>
      </c>
      <c r="S260" s="1009">
        <v>0.59</v>
      </c>
      <c r="T260" s="1009">
        <v>1.9</v>
      </c>
      <c r="U260" s="147">
        <v>61.4</v>
      </c>
      <c r="V260" s="1009">
        <f>IF(U260&gt;X260,1,0)</f>
        <v>1</v>
      </c>
      <c r="W260" s="1009">
        <v>0.06</v>
      </c>
      <c r="X260" s="1009">
        <v>0.42</v>
      </c>
    </row>
    <row r="261" spans="1:31" x14ac:dyDescent="0.25">
      <c r="A261" s="206" t="str">
        <f>Table3[[#This Row],[ocean]]</f>
        <v>atlantic</v>
      </c>
      <c r="B261" s="1013" t="s">
        <v>1912</v>
      </c>
      <c r="C261" s="147">
        <v>3</v>
      </c>
      <c r="D261" s="1009" t="str">
        <f t="shared" si="9"/>
        <v>Northern</v>
      </c>
      <c r="G261" s="214">
        <v>29.686</v>
      </c>
      <c r="H261" s="214">
        <v>-17.285</v>
      </c>
      <c r="I261" s="214" t="s">
        <v>1201</v>
      </c>
      <c r="J261" s="700" t="s">
        <v>1458</v>
      </c>
      <c r="K261" s="1009">
        <f t="shared" ref="K261:K324" si="11">IF(G261&gt;$AH$23,$AG$23,IF(G261&gt;$AH$24,$AG$24,IF(G261&gt;$AH$25,$AG$25,IF(G261&gt;$AH$26,$AG$26,IF(G261&gt;$AH$27,$AG$27,IF(G261&gt;$AH$29,$AG$28,IF(G261&gt;$AH$30,$AG$29,IF(G261&gt;$AH$31,$AG$30,IF(G261&gt;$AH$32,$AG$31,$AG$32)))))))))</f>
        <v>4</v>
      </c>
      <c r="L261" s="147" t="s">
        <v>1914</v>
      </c>
      <c r="M261" s="147">
        <v>34.5</v>
      </c>
      <c r="N261" s="1009">
        <f t="shared" ref="N261:N324" si="12">IF(M261&gt;P261,1,0)</f>
        <v>1</v>
      </c>
      <c r="O261" s="1009">
        <v>0.32</v>
      </c>
      <c r="P261" s="1009">
        <v>1.17</v>
      </c>
      <c r="Q261" s="147">
        <v>8.39</v>
      </c>
      <c r="R261" s="1009">
        <f t="shared" ref="R261:R324" si="13">IF(Q261&gt;T261,1,0)</f>
        <v>1</v>
      </c>
      <c r="S261" s="1009">
        <v>0.59</v>
      </c>
      <c r="T261" s="1009">
        <v>1.9</v>
      </c>
      <c r="U261" s="147">
        <v>14.8</v>
      </c>
      <c r="V261" s="1009">
        <f t="shared" ref="V261:V324" si="14">IF(U261&gt;X261,1,0)</f>
        <v>1</v>
      </c>
      <c r="W261" s="1009">
        <v>0.06</v>
      </c>
      <c r="X261" s="1009">
        <v>0.42</v>
      </c>
    </row>
    <row r="262" spans="1:31" x14ac:dyDescent="0.25">
      <c r="A262" s="206" t="str">
        <f>Table3[[#This Row],[ocean]]</f>
        <v>atlantic</v>
      </c>
      <c r="B262" s="1013" t="s">
        <v>1912</v>
      </c>
      <c r="C262" s="1009">
        <v>5</v>
      </c>
      <c r="D262" s="1009" t="str">
        <f t="shared" si="9"/>
        <v>Northern</v>
      </c>
      <c r="E262" s="170"/>
      <c r="F262" s="1009"/>
      <c r="G262" s="1009">
        <v>25.004999999999999</v>
      </c>
      <c r="H262" s="1009">
        <v>-21.027999999999999</v>
      </c>
      <c r="I262" s="1014" t="s">
        <v>1201</v>
      </c>
      <c r="J262" s="174" t="str">
        <f t="shared" si="10"/>
        <v/>
      </c>
      <c r="K262" s="1009">
        <f t="shared" si="11"/>
        <v>4</v>
      </c>
      <c r="L262" s="177" t="s">
        <v>1915</v>
      </c>
      <c r="M262" s="1009">
        <v>80.2</v>
      </c>
      <c r="N262" s="1009">
        <f t="shared" si="12"/>
        <v>1</v>
      </c>
      <c r="O262" s="1009">
        <v>0.32</v>
      </c>
      <c r="P262" s="1009">
        <v>1.17</v>
      </c>
      <c r="Q262" s="1009">
        <v>10.8</v>
      </c>
      <c r="R262" s="1009">
        <f t="shared" si="13"/>
        <v>1</v>
      </c>
      <c r="S262" s="1009">
        <v>0.59</v>
      </c>
      <c r="T262" s="1009">
        <v>1.9</v>
      </c>
      <c r="U262" s="1009">
        <v>43.6</v>
      </c>
      <c r="V262" s="1009">
        <f t="shared" si="14"/>
        <v>1</v>
      </c>
      <c r="W262" s="1009">
        <v>0.06</v>
      </c>
      <c r="X262" s="1009">
        <v>0.42</v>
      </c>
      <c r="Y262" s="1009"/>
      <c r="Z262" s="1009"/>
      <c r="AA262" s="1009"/>
      <c r="AB262" s="1009"/>
      <c r="AC262" s="1009"/>
      <c r="AD262" s="1009"/>
    </row>
    <row r="263" spans="1:31" x14ac:dyDescent="0.25">
      <c r="A263" s="206" t="str">
        <f>Table3[[#This Row],[ocean]]</f>
        <v>atlantic</v>
      </c>
      <c r="B263" s="1013" t="s">
        <v>1912</v>
      </c>
      <c r="C263" s="1009">
        <v>7</v>
      </c>
      <c r="D263" s="1009" t="str">
        <f t="shared" si="9"/>
        <v>Northern</v>
      </c>
      <c r="E263" s="170"/>
      <c r="F263" s="1009"/>
      <c r="G263" s="1009">
        <v>21.446999999999999</v>
      </c>
      <c r="H263" s="1009">
        <v>-23.452999999999999</v>
      </c>
      <c r="I263" s="1014" t="s">
        <v>1201</v>
      </c>
      <c r="J263" s="174" t="str">
        <f t="shared" si="10"/>
        <v/>
      </c>
      <c r="K263" s="1009">
        <f t="shared" si="11"/>
        <v>4</v>
      </c>
      <c r="L263" s="177" t="s">
        <v>1916</v>
      </c>
      <c r="M263" s="1009">
        <v>26.4</v>
      </c>
      <c r="N263" s="1009">
        <f t="shared" si="12"/>
        <v>1</v>
      </c>
      <c r="O263" s="1009">
        <v>0.32</v>
      </c>
      <c r="P263" s="1009">
        <v>1.17</v>
      </c>
      <c r="Q263" s="1009">
        <v>7.3</v>
      </c>
      <c r="R263" s="1009">
        <f t="shared" si="13"/>
        <v>1</v>
      </c>
      <c r="S263" s="1009">
        <v>0.59</v>
      </c>
      <c r="T263" s="1009">
        <v>1.9</v>
      </c>
      <c r="U263" s="1009">
        <v>56.3</v>
      </c>
      <c r="V263" s="1009">
        <f t="shared" si="14"/>
        <v>1</v>
      </c>
      <c r="W263" s="1009">
        <v>0.06</v>
      </c>
      <c r="X263" s="1009">
        <v>0.42</v>
      </c>
      <c r="Y263" s="1009"/>
      <c r="Z263" s="1009"/>
      <c r="AA263" s="1009"/>
      <c r="AB263" s="1009"/>
      <c r="AC263" s="1009"/>
      <c r="AD263" s="1009"/>
    </row>
    <row r="264" spans="1:31" x14ac:dyDescent="0.25">
      <c r="A264" s="206" t="str">
        <f>Table3[[#This Row],[ocean]]</f>
        <v>atlantic</v>
      </c>
      <c r="B264" s="1013" t="s">
        <v>1912</v>
      </c>
      <c r="C264" s="1009">
        <v>8</v>
      </c>
      <c r="D264" s="1009" t="str">
        <f t="shared" si="9"/>
        <v>Northern</v>
      </c>
      <c r="E264" s="170"/>
      <c r="F264" s="1009"/>
      <c r="G264" s="1009">
        <v>20.260000000000002</v>
      </c>
      <c r="H264" s="1009">
        <v>-24.303999999999998</v>
      </c>
      <c r="I264" s="1014" t="s">
        <v>1201</v>
      </c>
      <c r="J264" s="174" t="str">
        <f t="shared" si="10"/>
        <v/>
      </c>
      <c r="K264" s="1009">
        <f t="shared" si="11"/>
        <v>4</v>
      </c>
      <c r="L264" s="177" t="s">
        <v>1917</v>
      </c>
      <c r="M264" s="1009">
        <v>36.200000000000003</v>
      </c>
      <c r="N264" s="1009">
        <f t="shared" si="12"/>
        <v>1</v>
      </c>
      <c r="O264" s="1009">
        <v>0.32</v>
      </c>
      <c r="P264" s="1009">
        <v>1.17</v>
      </c>
      <c r="Q264" s="1009">
        <v>6.44</v>
      </c>
      <c r="R264" s="1009">
        <f t="shared" si="13"/>
        <v>1</v>
      </c>
      <c r="S264" s="1009">
        <v>0.59</v>
      </c>
      <c r="T264" s="1009">
        <v>1.9</v>
      </c>
      <c r="U264" s="1009">
        <v>43</v>
      </c>
      <c r="V264" s="1009">
        <f t="shared" si="14"/>
        <v>1</v>
      </c>
      <c r="W264" s="1009">
        <v>0.06</v>
      </c>
      <c r="X264" s="1009">
        <v>0.42</v>
      </c>
      <c r="Y264" s="1009"/>
      <c r="Z264" s="1009"/>
      <c r="AA264" s="1009"/>
      <c r="AB264" s="1009"/>
      <c r="AC264" s="1009"/>
      <c r="AD264" s="1009"/>
    </row>
    <row r="265" spans="1:31" x14ac:dyDescent="0.25">
      <c r="A265" s="206" t="str">
        <f>Table3[[#This Row],[ocean]]</f>
        <v>atlantic</v>
      </c>
      <c r="B265" s="1013" t="s">
        <v>1912</v>
      </c>
      <c r="C265" s="1009">
        <v>9</v>
      </c>
      <c r="D265" s="1009" t="str">
        <f t="shared" si="9"/>
        <v>Northern</v>
      </c>
      <c r="E265" s="170"/>
      <c r="F265" s="1009"/>
      <c r="G265" s="1009">
        <v>16.143000000000001</v>
      </c>
      <c r="H265" s="1009">
        <v>-26.01</v>
      </c>
      <c r="I265" s="1014" t="s">
        <v>1201</v>
      </c>
      <c r="J265" s="700" t="s">
        <v>1458</v>
      </c>
      <c r="K265" s="1009">
        <f t="shared" si="11"/>
        <v>5</v>
      </c>
      <c r="L265" s="177" t="s">
        <v>1918</v>
      </c>
      <c r="M265" s="1009">
        <v>46.9</v>
      </c>
      <c r="N265" s="1009">
        <f t="shared" si="12"/>
        <v>1</v>
      </c>
      <c r="O265" s="1009">
        <v>0.32</v>
      </c>
      <c r="P265" s="1009">
        <v>1.17</v>
      </c>
      <c r="Q265" s="1009">
        <v>6.59</v>
      </c>
      <c r="R265" s="1009">
        <f t="shared" si="13"/>
        <v>1</v>
      </c>
      <c r="S265" s="1009">
        <v>0.59</v>
      </c>
      <c r="T265" s="1009">
        <v>1.9</v>
      </c>
      <c r="U265" s="1009">
        <v>74.900000000000006</v>
      </c>
      <c r="V265" s="1009">
        <f t="shared" si="14"/>
        <v>1</v>
      </c>
      <c r="W265" s="1009">
        <v>0.06</v>
      </c>
      <c r="X265" s="1009">
        <v>0.42</v>
      </c>
      <c r="Y265" s="1009"/>
      <c r="Z265" s="1009"/>
      <c r="AA265" s="1009"/>
      <c r="AB265" s="1009"/>
      <c r="AC265" s="1009"/>
      <c r="AD265" s="1009"/>
    </row>
    <row r="266" spans="1:31" x14ac:dyDescent="0.25">
      <c r="A266" s="206" t="str">
        <f>Table3[[#This Row],[ocean]]</f>
        <v>atlantic</v>
      </c>
      <c r="B266" s="1013" t="s">
        <v>1912</v>
      </c>
      <c r="C266" s="1009">
        <v>11</v>
      </c>
      <c r="D266" s="1009" t="str">
        <f t="shared" si="9"/>
        <v>Northern</v>
      </c>
      <c r="E266" s="170"/>
      <c r="F266" s="1009"/>
      <c r="G266" s="1009">
        <v>14.519</v>
      </c>
      <c r="H266" s="1009">
        <v>-26.004999999999999</v>
      </c>
      <c r="I266" s="1014" t="s">
        <v>1201</v>
      </c>
      <c r="J266" s="174" t="str">
        <f t="shared" si="10"/>
        <v/>
      </c>
      <c r="K266" s="1009">
        <f t="shared" si="11"/>
        <v>5</v>
      </c>
      <c r="L266" s="177" t="s">
        <v>1919</v>
      </c>
      <c r="M266" s="1009">
        <v>68.400000000000006</v>
      </c>
      <c r="N266" s="1009">
        <f t="shared" si="12"/>
        <v>1</v>
      </c>
      <c r="O266" s="1009">
        <v>0.32</v>
      </c>
      <c r="P266" s="1009">
        <v>1.17</v>
      </c>
      <c r="Q266" s="1009">
        <v>5.45</v>
      </c>
      <c r="R266" s="1009">
        <f t="shared" si="13"/>
        <v>1</v>
      </c>
      <c r="S266" s="1009">
        <v>0.59</v>
      </c>
      <c r="T266" s="1009">
        <v>1.9</v>
      </c>
      <c r="U266" s="1009">
        <v>29</v>
      </c>
      <c r="V266" s="1009">
        <f t="shared" si="14"/>
        <v>1</v>
      </c>
      <c r="W266" s="1009">
        <v>0.06</v>
      </c>
      <c r="X266" s="1009">
        <v>0.42</v>
      </c>
      <c r="Y266" s="1009"/>
      <c r="Z266" s="1009"/>
      <c r="AA266" s="1009"/>
      <c r="AB266" s="1009"/>
      <c r="AC266" s="1009"/>
      <c r="AD266" s="1009"/>
    </row>
    <row r="267" spans="1:31" x14ac:dyDescent="0.25">
      <c r="A267" s="206" t="str">
        <f>Table3[[#This Row],[ocean]]</f>
        <v>atlantic</v>
      </c>
      <c r="B267" s="1013" t="s">
        <v>1912</v>
      </c>
      <c r="C267" s="1009">
        <v>12</v>
      </c>
      <c r="D267" s="1009" t="str">
        <f t="shared" si="9"/>
        <v>Northern</v>
      </c>
      <c r="E267" s="170"/>
      <c r="F267" s="1009"/>
      <c r="G267" s="1009">
        <v>9.5640000000000001</v>
      </c>
      <c r="H267" s="1009">
        <v>-25.994</v>
      </c>
      <c r="I267" s="1014" t="s">
        <v>1201</v>
      </c>
      <c r="J267" s="174" t="str">
        <f t="shared" si="10"/>
        <v/>
      </c>
      <c r="K267" s="1009">
        <f t="shared" si="11"/>
        <v>5</v>
      </c>
      <c r="L267" s="177" t="s">
        <v>1920</v>
      </c>
      <c r="M267" s="1009">
        <v>64.3</v>
      </c>
      <c r="N267" s="1009">
        <f t="shared" si="12"/>
        <v>1</v>
      </c>
      <c r="O267" s="1009">
        <v>0.32</v>
      </c>
      <c r="P267" s="1009">
        <v>1.17</v>
      </c>
      <c r="Q267" s="1009">
        <v>5.54</v>
      </c>
      <c r="R267" s="1009">
        <f t="shared" si="13"/>
        <v>1</v>
      </c>
      <c r="S267" s="1009">
        <v>0.59</v>
      </c>
      <c r="T267" s="1009">
        <v>1.9</v>
      </c>
      <c r="U267" s="1009">
        <v>76.2</v>
      </c>
      <c r="V267" s="1009">
        <f t="shared" si="14"/>
        <v>1</v>
      </c>
      <c r="W267" s="1009">
        <v>0.06</v>
      </c>
      <c r="X267" s="1009">
        <v>0.42</v>
      </c>
      <c r="Y267" s="1009"/>
      <c r="Z267" s="1009"/>
      <c r="AA267" s="1009"/>
      <c r="AB267" s="1009"/>
      <c r="AC267" s="1009"/>
      <c r="AD267" s="1009"/>
    </row>
    <row r="268" spans="1:31" x14ac:dyDescent="0.25">
      <c r="A268" s="206" t="str">
        <f>Table3[[#This Row],[ocean]]</f>
        <v>atlantic</v>
      </c>
      <c r="B268" s="1013" t="s">
        <v>1912</v>
      </c>
      <c r="C268" s="1009">
        <v>13</v>
      </c>
      <c r="D268" s="1009" t="str">
        <f t="shared" si="9"/>
        <v>Northern</v>
      </c>
      <c r="E268" s="170"/>
      <c r="F268" s="1009"/>
      <c r="G268" s="1009">
        <v>7.3259999999999996</v>
      </c>
      <c r="H268" s="1009">
        <v>-25.995999999999999</v>
      </c>
      <c r="I268" s="1014" t="s">
        <v>1201</v>
      </c>
      <c r="J268" s="174" t="str">
        <f t="shared" si="10"/>
        <v/>
      </c>
      <c r="K268" s="1009">
        <f t="shared" si="11"/>
        <v>5</v>
      </c>
      <c r="L268" s="177" t="s">
        <v>1921</v>
      </c>
      <c r="M268" s="1009">
        <v>67.099999999999994</v>
      </c>
      <c r="N268" s="1009">
        <f t="shared" si="12"/>
        <v>1</v>
      </c>
      <c r="O268" s="1009">
        <v>0.32</v>
      </c>
      <c r="P268" s="1009">
        <v>1.17</v>
      </c>
      <c r="Q268" s="1009">
        <v>23.3</v>
      </c>
      <c r="R268" s="1009">
        <f t="shared" si="13"/>
        <v>1</v>
      </c>
      <c r="S268" s="1009">
        <v>0.59</v>
      </c>
      <c r="T268" s="1009">
        <v>1.9</v>
      </c>
      <c r="U268" s="1009">
        <v>124</v>
      </c>
      <c r="V268" s="1009">
        <f t="shared" si="14"/>
        <v>1</v>
      </c>
      <c r="W268" s="1009">
        <v>0.06</v>
      </c>
      <c r="X268" s="1009">
        <v>0.42</v>
      </c>
      <c r="Y268" s="1009"/>
      <c r="Z268" s="1009"/>
      <c r="AA268" s="1009"/>
      <c r="AB268" s="1009"/>
      <c r="AC268" s="1009"/>
      <c r="AD268" s="1009"/>
    </row>
    <row r="269" spans="1:31" x14ac:dyDescent="0.25">
      <c r="A269" s="206" t="str">
        <f>Table3[[#This Row],[ocean]]</f>
        <v>atlantic</v>
      </c>
      <c r="B269" s="1013" t="s">
        <v>1912</v>
      </c>
      <c r="C269" s="1009">
        <v>14</v>
      </c>
      <c r="D269" s="1009" t="str">
        <f t="shared" si="9"/>
        <v>Northern</v>
      </c>
      <c r="E269" s="170"/>
      <c r="F269" s="1009"/>
      <c r="G269" s="1009">
        <v>5.0110000000000001</v>
      </c>
      <c r="H269" s="1009">
        <v>-26.033000000000001</v>
      </c>
      <c r="I269" s="1014" t="s">
        <v>1201</v>
      </c>
      <c r="J269" s="174" t="str">
        <f t="shared" si="10"/>
        <v/>
      </c>
      <c r="K269" s="1009">
        <f t="shared" si="11"/>
        <v>5</v>
      </c>
      <c r="L269" s="177" t="s">
        <v>1922</v>
      </c>
      <c r="M269" s="1009">
        <v>38.5</v>
      </c>
      <c r="N269" s="1009">
        <f t="shared" si="12"/>
        <v>1</v>
      </c>
      <c r="O269" s="1009">
        <v>0.32</v>
      </c>
      <c r="P269" s="1009">
        <v>1.17</v>
      </c>
      <c r="Q269" s="1009">
        <v>11.2</v>
      </c>
      <c r="R269" s="1009">
        <f t="shared" si="13"/>
        <v>1</v>
      </c>
      <c r="S269" s="1009">
        <v>0.59</v>
      </c>
      <c r="T269" s="1009">
        <v>1.9</v>
      </c>
      <c r="U269" s="1009">
        <v>118</v>
      </c>
      <c r="V269" s="1009">
        <f t="shared" si="14"/>
        <v>1</v>
      </c>
      <c r="W269" s="1009">
        <v>0.06</v>
      </c>
      <c r="X269" s="1009">
        <v>0.42</v>
      </c>
      <c r="Y269" s="1009"/>
      <c r="Z269" s="1009"/>
      <c r="AA269" s="1009"/>
      <c r="AB269" s="1009"/>
      <c r="AC269" s="1009"/>
      <c r="AD269" s="1009"/>
    </row>
    <row r="270" spans="1:31" x14ac:dyDescent="0.25">
      <c r="A270" s="206" t="str">
        <f>Table3[[#This Row],[ocean]]</f>
        <v>atlantic</v>
      </c>
      <c r="B270" s="1013" t="s">
        <v>1912</v>
      </c>
      <c r="C270" s="1009">
        <v>15</v>
      </c>
      <c r="D270" s="1009" t="str">
        <f t="shared" si="9"/>
        <v>Northern</v>
      </c>
      <c r="E270" s="170"/>
      <c r="F270" s="1009"/>
      <c r="G270" s="1009">
        <v>2.472</v>
      </c>
      <c r="H270" s="1009">
        <v>-26.032</v>
      </c>
      <c r="I270" s="1014" t="s">
        <v>1201</v>
      </c>
      <c r="J270" s="174" t="str">
        <f t="shared" si="10"/>
        <v/>
      </c>
      <c r="K270" s="1009">
        <f t="shared" si="11"/>
        <v>5</v>
      </c>
      <c r="L270" s="177" t="s">
        <v>1923</v>
      </c>
      <c r="M270" s="1009">
        <v>6.59</v>
      </c>
      <c r="N270" s="1009">
        <f t="shared" si="12"/>
        <v>1</v>
      </c>
      <c r="O270" s="1009">
        <v>0.32</v>
      </c>
      <c r="P270" s="1009">
        <v>1.17</v>
      </c>
      <c r="Q270" s="1009">
        <v>1.27</v>
      </c>
      <c r="R270" s="1009">
        <f t="shared" si="13"/>
        <v>0</v>
      </c>
      <c r="S270" s="1009">
        <v>0.59</v>
      </c>
      <c r="T270" s="1009">
        <v>1.9</v>
      </c>
      <c r="U270" s="1009">
        <v>22</v>
      </c>
      <c r="V270" s="1009">
        <f t="shared" si="14"/>
        <v>1</v>
      </c>
      <c r="W270" s="1009">
        <v>0.06</v>
      </c>
      <c r="X270" s="1009">
        <v>0.42</v>
      </c>
      <c r="Y270" s="1009"/>
      <c r="Z270" s="1009"/>
      <c r="AA270" s="1009"/>
      <c r="AB270" s="1009"/>
      <c r="AC270" s="1009"/>
      <c r="AD270" s="1009"/>
    </row>
    <row r="271" spans="1:31" x14ac:dyDescent="0.25">
      <c r="A271" s="206" t="str">
        <f>Table3[[#This Row],[ocean]]</f>
        <v>atlantic</v>
      </c>
      <c r="B271" s="1013" t="s">
        <v>1912</v>
      </c>
      <c r="C271" s="1009">
        <v>17</v>
      </c>
      <c r="D271" s="1009" t="str">
        <f t="shared" si="9"/>
        <v>Southern</v>
      </c>
      <c r="E271" s="170"/>
      <c r="F271" s="1009"/>
      <c r="G271" s="1009">
        <v>-3.03</v>
      </c>
      <c r="H271" s="1009">
        <v>-27.327000000000002</v>
      </c>
      <c r="I271" s="1014" t="s">
        <v>1201</v>
      </c>
      <c r="J271" s="700" t="s">
        <v>1458</v>
      </c>
      <c r="K271" s="1009">
        <f t="shared" si="11"/>
        <v>6</v>
      </c>
      <c r="L271" s="177" t="s">
        <v>1924</v>
      </c>
      <c r="M271" s="1009">
        <v>269</v>
      </c>
      <c r="N271" s="1009">
        <f t="shared" si="12"/>
        <v>1</v>
      </c>
      <c r="O271" s="1009">
        <v>0.32</v>
      </c>
      <c r="P271" s="1009">
        <v>1.17</v>
      </c>
      <c r="Q271" s="1009">
        <v>1420</v>
      </c>
      <c r="R271" s="1009">
        <f t="shared" si="13"/>
        <v>1</v>
      </c>
      <c r="S271" s="1009">
        <v>0.59</v>
      </c>
      <c r="T271" s="1009">
        <v>1.9</v>
      </c>
      <c r="U271" s="1009">
        <v>6560</v>
      </c>
      <c r="V271" s="1009">
        <f t="shared" si="14"/>
        <v>1</v>
      </c>
      <c r="W271" s="1009">
        <v>0.06</v>
      </c>
      <c r="X271" s="1009">
        <v>0.42</v>
      </c>
      <c r="Y271" s="1009"/>
      <c r="Z271" s="1009"/>
      <c r="AA271" s="1009"/>
      <c r="AB271" s="1009"/>
      <c r="AC271" s="1009"/>
      <c r="AD271" s="1009"/>
    </row>
    <row r="272" spans="1:31" x14ac:dyDescent="0.25">
      <c r="A272" s="206" t="str">
        <f>Table3[[#This Row],[ocean]]</f>
        <v>atlantic</v>
      </c>
      <c r="B272" s="1013" t="s">
        <v>1912</v>
      </c>
      <c r="C272" s="1009">
        <v>18</v>
      </c>
      <c r="D272" s="1009" t="str">
        <f t="shared" si="9"/>
        <v>Southern</v>
      </c>
      <c r="E272" s="170"/>
      <c r="F272" s="1009"/>
      <c r="G272" s="1009">
        <v>-4.7729999999999997</v>
      </c>
      <c r="H272" s="1009">
        <v>-28.173999999999999</v>
      </c>
      <c r="I272" s="1014" t="s">
        <v>1201</v>
      </c>
      <c r="J272" s="700" t="s">
        <v>1458</v>
      </c>
      <c r="K272" s="1009">
        <f t="shared" si="11"/>
        <v>6</v>
      </c>
      <c r="L272" s="177" t="s">
        <v>1925</v>
      </c>
      <c r="M272" s="1009">
        <v>139</v>
      </c>
      <c r="N272" s="1009">
        <f t="shared" si="12"/>
        <v>1</v>
      </c>
      <c r="O272" s="1009">
        <v>0.32</v>
      </c>
      <c r="P272" s="1009">
        <v>1.17</v>
      </c>
      <c r="Q272" s="1009">
        <v>652</v>
      </c>
      <c r="R272" s="1009">
        <f t="shared" si="13"/>
        <v>1</v>
      </c>
      <c r="S272" s="1009">
        <v>0.59</v>
      </c>
      <c r="T272" s="1009">
        <v>1.9</v>
      </c>
      <c r="U272" s="1009">
        <v>4250</v>
      </c>
      <c r="V272" s="1009">
        <f t="shared" si="14"/>
        <v>1</v>
      </c>
      <c r="W272" s="1009">
        <v>0.06</v>
      </c>
      <c r="X272" s="1009">
        <v>0.42</v>
      </c>
      <c r="Y272" s="1009"/>
      <c r="Z272" s="1009"/>
      <c r="AA272" s="1009"/>
      <c r="AB272" s="1009"/>
      <c r="AC272" s="1009"/>
      <c r="AD272" s="1009"/>
    </row>
    <row r="273" spans="1:30" x14ac:dyDescent="0.25">
      <c r="A273" s="206" t="str">
        <f>Table3[[#This Row],[ocean]]</f>
        <v>atlantic</v>
      </c>
      <c r="B273" s="1013" t="s">
        <v>1912</v>
      </c>
      <c r="C273" s="1009">
        <v>20</v>
      </c>
      <c r="D273" s="1009" t="str">
        <f t="shared" si="9"/>
        <v>Southern</v>
      </c>
      <c r="E273" s="170"/>
      <c r="F273" s="1009"/>
      <c r="G273" s="1009">
        <v>-9.11</v>
      </c>
      <c r="H273" s="1009">
        <v>-30.189</v>
      </c>
      <c r="I273" s="1014" t="s">
        <v>1201</v>
      </c>
      <c r="J273" s="700" t="s">
        <v>1458</v>
      </c>
      <c r="K273" s="1009">
        <f t="shared" si="11"/>
        <v>6</v>
      </c>
      <c r="L273" s="177" t="s">
        <v>1926</v>
      </c>
      <c r="M273" s="1009">
        <v>154</v>
      </c>
      <c r="N273" s="1009">
        <f t="shared" si="12"/>
        <v>1</v>
      </c>
      <c r="O273" s="1009">
        <v>0.32</v>
      </c>
      <c r="P273" s="1009">
        <v>1.17</v>
      </c>
      <c r="Q273" s="1009">
        <v>366</v>
      </c>
      <c r="R273" s="1009">
        <f t="shared" si="13"/>
        <v>1</v>
      </c>
      <c r="S273" s="1009">
        <v>0.59</v>
      </c>
      <c r="T273" s="1009">
        <v>1.9</v>
      </c>
      <c r="U273" s="1009">
        <v>3420</v>
      </c>
      <c r="V273" s="1009">
        <f t="shared" si="14"/>
        <v>1</v>
      </c>
      <c r="W273" s="1009">
        <v>0.06</v>
      </c>
      <c r="X273" s="1009">
        <v>0.42</v>
      </c>
      <c r="Y273" s="1009"/>
      <c r="Z273" s="1009"/>
      <c r="AA273" s="1009"/>
      <c r="AB273" s="1009"/>
      <c r="AC273" s="1009"/>
      <c r="AD273" s="1009"/>
    </row>
    <row r="274" spans="1:30" x14ac:dyDescent="0.25">
      <c r="A274" s="206" t="str">
        <f>Table3[[#This Row],[ocean]]</f>
        <v>atlantic</v>
      </c>
      <c r="B274" s="1013" t="s">
        <v>1912</v>
      </c>
      <c r="C274" s="1009">
        <v>21</v>
      </c>
      <c r="D274" s="1009" t="str">
        <f t="shared" si="9"/>
        <v>Southern</v>
      </c>
      <c r="E274" s="170"/>
      <c r="F274" s="1009"/>
      <c r="G274" s="1009">
        <v>-11.568</v>
      </c>
      <c r="H274" s="1009">
        <v>-31.411999999999999</v>
      </c>
      <c r="I274" s="1014" t="s">
        <v>1201</v>
      </c>
      <c r="J274" s="700" t="s">
        <v>1458</v>
      </c>
      <c r="K274" s="1009">
        <f t="shared" si="11"/>
        <v>6</v>
      </c>
      <c r="L274" s="177" t="s">
        <v>1927</v>
      </c>
      <c r="M274" s="1009">
        <v>249</v>
      </c>
      <c r="N274" s="1009">
        <f t="shared" si="12"/>
        <v>1</v>
      </c>
      <c r="O274" s="1009">
        <v>0.32</v>
      </c>
      <c r="P274" s="1009">
        <v>1.17</v>
      </c>
      <c r="Q274" s="1009">
        <v>717</v>
      </c>
      <c r="R274" s="1009">
        <f t="shared" si="13"/>
        <v>1</v>
      </c>
      <c r="S274" s="1009">
        <v>0.59</v>
      </c>
      <c r="T274" s="1009">
        <v>1.9</v>
      </c>
      <c r="U274" s="1009">
        <v>3240</v>
      </c>
      <c r="V274" s="1009">
        <f t="shared" si="14"/>
        <v>1</v>
      </c>
      <c r="W274" s="1009">
        <v>0.06</v>
      </c>
      <c r="X274" s="1009">
        <v>0.42</v>
      </c>
      <c r="Y274" s="1009"/>
      <c r="Z274" s="1009"/>
      <c r="AA274" s="1009"/>
      <c r="AB274" s="1009"/>
      <c r="AC274" s="1009"/>
      <c r="AD274" s="1009"/>
    </row>
    <row r="275" spans="1:30" x14ac:dyDescent="0.25">
      <c r="A275" s="206" t="str">
        <f>Table3[[#This Row],[ocean]]</f>
        <v>atlantic</v>
      </c>
      <c r="B275" s="1013" t="s">
        <v>1912</v>
      </c>
      <c r="C275" s="1009">
        <v>23</v>
      </c>
      <c r="D275" s="1009" t="str">
        <f t="shared" si="9"/>
        <v>Southern</v>
      </c>
      <c r="E275" s="170"/>
      <c r="F275" s="1009"/>
      <c r="G275" s="1009">
        <v>-15.824</v>
      </c>
      <c r="H275" s="1009">
        <v>-33.411999999999999</v>
      </c>
      <c r="I275" s="1014" t="s">
        <v>1201</v>
      </c>
      <c r="J275" s="700" t="s">
        <v>1458</v>
      </c>
      <c r="K275" s="1009">
        <f t="shared" si="11"/>
        <v>6</v>
      </c>
      <c r="L275" s="177" t="s">
        <v>1928</v>
      </c>
      <c r="M275" s="1009">
        <v>100</v>
      </c>
      <c r="N275" s="1009">
        <f t="shared" si="12"/>
        <v>1</v>
      </c>
      <c r="O275" s="1009">
        <v>0.32</v>
      </c>
      <c r="P275" s="1009">
        <v>1.17</v>
      </c>
      <c r="Q275" s="1009">
        <v>125</v>
      </c>
      <c r="R275" s="1009">
        <f t="shared" si="13"/>
        <v>1</v>
      </c>
      <c r="S275" s="1009">
        <v>0.59</v>
      </c>
      <c r="T275" s="1009">
        <v>1.9</v>
      </c>
      <c r="U275" s="1009">
        <v>793</v>
      </c>
      <c r="V275" s="1009">
        <f t="shared" si="14"/>
        <v>1</v>
      </c>
      <c r="W275" s="1009">
        <v>0.06</v>
      </c>
      <c r="X275" s="1009">
        <v>0.42</v>
      </c>
      <c r="Y275" s="1009"/>
      <c r="Z275" s="1009"/>
      <c r="AA275" s="1009"/>
      <c r="AB275" s="1009"/>
      <c r="AC275" s="1009"/>
      <c r="AD275" s="1009"/>
    </row>
    <row r="276" spans="1:30" x14ac:dyDescent="0.25">
      <c r="A276" s="206" t="str">
        <f>Table3[[#This Row],[ocean]]</f>
        <v>atlantic</v>
      </c>
      <c r="B276" s="1013" t="s">
        <v>1912</v>
      </c>
      <c r="C276" s="1009">
        <v>24</v>
      </c>
      <c r="D276" s="1009" t="str">
        <f t="shared" si="9"/>
        <v>Southern</v>
      </c>
      <c r="E276" s="170"/>
      <c r="F276" s="1009"/>
      <c r="G276" s="1009">
        <v>-18.399000000000001</v>
      </c>
      <c r="H276" s="1009">
        <v>-34.674999999999997</v>
      </c>
      <c r="I276" s="1014" t="s">
        <v>1201</v>
      </c>
      <c r="J276" s="700" t="s">
        <v>1458</v>
      </c>
      <c r="K276" s="1009">
        <f t="shared" si="11"/>
        <v>7</v>
      </c>
      <c r="L276" s="177" t="s">
        <v>1929</v>
      </c>
      <c r="M276" s="1009">
        <v>118</v>
      </c>
      <c r="N276" s="1009">
        <f t="shared" si="12"/>
        <v>1</v>
      </c>
      <c r="O276" s="1009">
        <v>0.32</v>
      </c>
      <c r="P276" s="1009">
        <v>1.17</v>
      </c>
      <c r="Q276" s="1009">
        <v>140</v>
      </c>
      <c r="R276" s="1009">
        <f t="shared" si="13"/>
        <v>1</v>
      </c>
      <c r="S276" s="1009">
        <v>0.59</v>
      </c>
      <c r="T276" s="1009">
        <v>1.9</v>
      </c>
      <c r="U276" s="1009">
        <v>1240</v>
      </c>
      <c r="V276" s="1009">
        <f t="shared" si="14"/>
        <v>1</v>
      </c>
      <c r="W276" s="1009">
        <v>0.06</v>
      </c>
      <c r="X276" s="1009">
        <v>0.42</v>
      </c>
      <c r="Y276" s="1009"/>
      <c r="Z276" s="1009"/>
      <c r="AA276" s="1009"/>
      <c r="AB276" s="1009"/>
      <c r="AC276" s="1009"/>
      <c r="AD276" s="1009"/>
    </row>
    <row r="277" spans="1:30" x14ac:dyDescent="0.25">
      <c r="A277" s="206" t="str">
        <f>Table3[[#This Row],[ocean]]</f>
        <v>atlantic</v>
      </c>
      <c r="B277" s="1013" t="s">
        <v>1912</v>
      </c>
      <c r="C277" s="1009">
        <v>26</v>
      </c>
      <c r="D277" s="1009" t="str">
        <f t="shared" si="9"/>
        <v>Southern</v>
      </c>
      <c r="E277" s="170"/>
      <c r="F277" s="1009"/>
      <c r="G277" s="1009">
        <v>-23.021000000000001</v>
      </c>
      <c r="H277" s="1009">
        <v>-36.987000000000002</v>
      </c>
      <c r="I277" s="1014" t="s">
        <v>1201</v>
      </c>
      <c r="J277" s="700" t="s">
        <v>1458</v>
      </c>
      <c r="K277" s="1009">
        <f t="shared" si="11"/>
        <v>7</v>
      </c>
      <c r="L277" s="177" t="s">
        <v>1930</v>
      </c>
      <c r="M277" s="1009">
        <v>5.29</v>
      </c>
      <c r="N277" s="1009">
        <f t="shared" si="12"/>
        <v>1</v>
      </c>
      <c r="O277" s="1009">
        <v>0.32</v>
      </c>
      <c r="P277" s="1009">
        <v>1.17</v>
      </c>
      <c r="Q277" s="1009">
        <v>31.1</v>
      </c>
      <c r="R277" s="1009">
        <f t="shared" si="13"/>
        <v>1</v>
      </c>
      <c r="S277" s="1009">
        <v>0.59</v>
      </c>
      <c r="T277" s="1009">
        <v>1.9</v>
      </c>
      <c r="U277" s="1009">
        <v>310</v>
      </c>
      <c r="V277" s="1009">
        <f t="shared" si="14"/>
        <v>1</v>
      </c>
      <c r="W277" s="1009">
        <v>0.06</v>
      </c>
      <c r="X277" s="1009">
        <v>0.42</v>
      </c>
      <c r="Y277" s="1009"/>
      <c r="Z277" s="1009"/>
      <c r="AA277" s="1009"/>
      <c r="AB277" s="1009"/>
      <c r="AC277" s="1009"/>
      <c r="AD277" s="1009"/>
    </row>
    <row r="278" spans="1:30" x14ac:dyDescent="0.25">
      <c r="A278" s="206" t="str">
        <f>Table3[[#This Row],[ocean]]</f>
        <v>atlantic</v>
      </c>
      <c r="B278" s="1013" t="s">
        <v>1912</v>
      </c>
      <c r="C278" s="1009">
        <v>28</v>
      </c>
      <c r="D278" s="1009" t="str">
        <f t="shared" si="9"/>
        <v>Southern</v>
      </c>
      <c r="E278" s="170"/>
      <c r="F278" s="1009"/>
      <c r="G278" s="1009">
        <v>-24.852</v>
      </c>
      <c r="H278" s="1009">
        <v>-33.094999999999999</v>
      </c>
      <c r="I278" s="1014" t="s">
        <v>1201</v>
      </c>
      <c r="J278" s="700" t="s">
        <v>1458</v>
      </c>
      <c r="K278" s="1009">
        <f t="shared" si="11"/>
        <v>7</v>
      </c>
      <c r="L278" s="177" t="s">
        <v>1931</v>
      </c>
      <c r="M278" s="1009">
        <v>18.600000000000001</v>
      </c>
      <c r="N278" s="1009">
        <f t="shared" si="12"/>
        <v>1</v>
      </c>
      <c r="O278" s="1009">
        <v>0.32</v>
      </c>
      <c r="P278" s="1009">
        <v>1.17</v>
      </c>
      <c r="Q278" s="1009">
        <v>46.5</v>
      </c>
      <c r="R278" s="1009">
        <f t="shared" si="13"/>
        <v>1</v>
      </c>
      <c r="S278" s="1009">
        <v>0.59</v>
      </c>
      <c r="T278" s="1009">
        <v>1.9</v>
      </c>
      <c r="U278" s="1009">
        <v>952</v>
      </c>
      <c r="V278" s="1009">
        <f t="shared" si="14"/>
        <v>1</v>
      </c>
      <c r="W278" s="1009">
        <v>0.06</v>
      </c>
      <c r="X278" s="1009">
        <v>0.42</v>
      </c>
      <c r="Y278" s="1009"/>
      <c r="Z278" s="1009"/>
      <c r="AA278" s="1009"/>
      <c r="AB278" s="1009"/>
      <c r="AC278" s="1009"/>
      <c r="AD278" s="1009"/>
    </row>
    <row r="279" spans="1:30" x14ac:dyDescent="0.25">
      <c r="A279" s="206" t="str">
        <f>Table3[[#This Row],[ocean]]</f>
        <v>atlantic</v>
      </c>
      <c r="B279" s="1013" t="s">
        <v>1912</v>
      </c>
      <c r="C279" s="1009">
        <v>29</v>
      </c>
      <c r="D279" s="1009" t="str">
        <f t="shared" si="9"/>
        <v>Southern</v>
      </c>
      <c r="E279" s="170"/>
      <c r="F279" s="1009"/>
      <c r="G279" s="1009">
        <v>-25.4</v>
      </c>
      <c r="H279" s="1009">
        <v>-30.131</v>
      </c>
      <c r="I279" s="1014" t="s">
        <v>1201</v>
      </c>
      <c r="J279" s="700" t="s">
        <v>1458</v>
      </c>
      <c r="K279" s="1009">
        <f t="shared" si="11"/>
        <v>7</v>
      </c>
      <c r="L279" s="177" t="s">
        <v>1932</v>
      </c>
      <c r="M279" s="1009">
        <v>67</v>
      </c>
      <c r="N279" s="1009">
        <f t="shared" si="12"/>
        <v>1</v>
      </c>
      <c r="O279" s="1009">
        <v>0.32</v>
      </c>
      <c r="P279" s="1009">
        <v>1.17</v>
      </c>
      <c r="Q279" s="1009">
        <v>226</v>
      </c>
      <c r="R279" s="1009">
        <f t="shared" si="13"/>
        <v>1</v>
      </c>
      <c r="S279" s="1009">
        <v>0.59</v>
      </c>
      <c r="T279" s="1009">
        <v>1.9</v>
      </c>
      <c r="U279" s="1009">
        <v>2730</v>
      </c>
      <c r="V279" s="1009">
        <f t="shared" si="14"/>
        <v>1</v>
      </c>
      <c r="W279" s="1009">
        <v>0.06</v>
      </c>
      <c r="X279" s="1009">
        <v>0.42</v>
      </c>
      <c r="Y279" s="1009"/>
      <c r="Z279" s="1009"/>
      <c r="AA279" s="1009"/>
      <c r="AB279" s="1009"/>
      <c r="AC279" s="1009"/>
      <c r="AD279" s="1009"/>
    </row>
    <row r="280" spans="1:30" x14ac:dyDescent="0.25">
      <c r="A280" s="206" t="str">
        <f>Table3[[#This Row],[ocean]]</f>
        <v>atlantic</v>
      </c>
      <c r="B280" s="1013" t="s">
        <v>1912</v>
      </c>
      <c r="C280" s="1009">
        <v>30</v>
      </c>
      <c r="D280" s="1009" t="str">
        <f t="shared" si="9"/>
        <v>Southern</v>
      </c>
      <c r="E280" s="170"/>
      <c r="F280" s="1009"/>
      <c r="G280" s="1009">
        <v>-25.863</v>
      </c>
      <c r="H280" s="1009">
        <v>-27.588999999999999</v>
      </c>
      <c r="I280" s="1014" t="s">
        <v>1201</v>
      </c>
      <c r="J280" s="700" t="s">
        <v>1458</v>
      </c>
      <c r="K280" s="1009">
        <f t="shared" si="11"/>
        <v>7</v>
      </c>
      <c r="L280" s="177" t="s">
        <v>1933</v>
      </c>
      <c r="M280" s="1009">
        <v>36</v>
      </c>
      <c r="N280" s="1009">
        <f t="shared" si="12"/>
        <v>1</v>
      </c>
      <c r="O280" s="1009">
        <v>0.32</v>
      </c>
      <c r="P280" s="1009">
        <v>1.17</v>
      </c>
      <c r="Q280" s="1009">
        <v>123</v>
      </c>
      <c r="R280" s="1009">
        <f t="shared" si="13"/>
        <v>1</v>
      </c>
      <c r="S280" s="1009">
        <v>0.59</v>
      </c>
      <c r="T280" s="1009">
        <v>1.9</v>
      </c>
      <c r="U280" s="1009">
        <v>2340</v>
      </c>
      <c r="V280" s="1009">
        <f t="shared" si="14"/>
        <v>1</v>
      </c>
      <c r="W280" s="1009">
        <v>0.06</v>
      </c>
      <c r="X280" s="1009">
        <v>0.42</v>
      </c>
      <c r="Y280" s="1009"/>
      <c r="Z280" s="1009"/>
      <c r="AA280" s="1009"/>
      <c r="AB280" s="1009"/>
      <c r="AC280" s="1009"/>
      <c r="AD280" s="1009"/>
    </row>
    <row r="281" spans="1:30" x14ac:dyDescent="0.25">
      <c r="A281" s="206" t="str">
        <f>Table3[[#This Row],[ocean]]</f>
        <v>atlantic</v>
      </c>
      <c r="B281" s="1013" t="s">
        <v>1912</v>
      </c>
      <c r="C281" s="1009">
        <v>31</v>
      </c>
      <c r="D281" s="1009" t="str">
        <f t="shared" si="9"/>
        <v>Southern</v>
      </c>
      <c r="E281" s="170"/>
      <c r="F281" s="1009"/>
      <c r="G281" s="1009">
        <v>-26.423999999999999</v>
      </c>
      <c r="H281" s="1009">
        <v>-24.242999999999999</v>
      </c>
      <c r="I281" s="1014" t="s">
        <v>1201</v>
      </c>
      <c r="J281" s="700" t="s">
        <v>1458</v>
      </c>
      <c r="K281" s="1009">
        <f t="shared" si="11"/>
        <v>7</v>
      </c>
      <c r="L281" s="177" t="s">
        <v>1934</v>
      </c>
      <c r="M281" s="1009"/>
      <c r="N281" s="1009">
        <f t="shared" si="12"/>
        <v>0</v>
      </c>
      <c r="O281" s="1009">
        <v>0.32</v>
      </c>
      <c r="P281" s="1009">
        <v>1.17</v>
      </c>
      <c r="Q281" s="1009">
        <v>84</v>
      </c>
      <c r="R281" s="1009">
        <f t="shared" si="13"/>
        <v>1</v>
      </c>
      <c r="S281" s="1009">
        <v>0.59</v>
      </c>
      <c r="T281" s="1009">
        <v>1.9</v>
      </c>
      <c r="U281" s="1009">
        <v>1680</v>
      </c>
      <c r="V281" s="1009">
        <f t="shared" si="14"/>
        <v>1</v>
      </c>
      <c r="W281" s="1009">
        <v>0.06</v>
      </c>
      <c r="X281" s="1009">
        <v>0.42</v>
      </c>
      <c r="Y281" s="1009"/>
      <c r="Z281" s="1009"/>
      <c r="AA281" s="1009"/>
      <c r="AB281" s="1009"/>
      <c r="AC281" s="1009"/>
      <c r="AD281" s="1009"/>
    </row>
    <row r="282" spans="1:30" x14ac:dyDescent="0.25">
      <c r="A282" s="206" t="str">
        <f>Table3[[#This Row],[ocean]]</f>
        <v>atlantic</v>
      </c>
      <c r="B282" s="1013" t="s">
        <v>1912</v>
      </c>
      <c r="C282" s="1009">
        <v>32</v>
      </c>
      <c r="D282" s="1009" t="str">
        <f t="shared" si="9"/>
        <v>Southern</v>
      </c>
      <c r="E282" s="170"/>
      <c r="F282" s="1009"/>
      <c r="G282" s="1009">
        <v>-26.901</v>
      </c>
      <c r="H282" s="1009">
        <v>-21.431000000000001</v>
      </c>
      <c r="I282" s="1014" t="s">
        <v>1201</v>
      </c>
      <c r="J282" s="700" t="s">
        <v>1458</v>
      </c>
      <c r="K282" s="1009">
        <f t="shared" si="11"/>
        <v>7</v>
      </c>
      <c r="L282" s="177" t="s">
        <v>1935</v>
      </c>
      <c r="M282" s="1009">
        <v>107</v>
      </c>
      <c r="N282" s="1009">
        <f t="shared" si="12"/>
        <v>1</v>
      </c>
      <c r="O282" s="1009">
        <v>0.32</v>
      </c>
      <c r="P282" s="1009">
        <v>1.17</v>
      </c>
      <c r="Q282" s="1009">
        <v>67.400000000000006</v>
      </c>
      <c r="R282" s="1009">
        <f t="shared" si="13"/>
        <v>1</v>
      </c>
      <c r="S282" s="1009">
        <v>0.59</v>
      </c>
      <c r="T282" s="1009">
        <v>1.9</v>
      </c>
      <c r="U282" s="1009">
        <v>689</v>
      </c>
      <c r="V282" s="1009">
        <f t="shared" si="14"/>
        <v>1</v>
      </c>
      <c r="W282" s="1009">
        <v>0.06</v>
      </c>
      <c r="X282" s="1009">
        <v>0.42</v>
      </c>
      <c r="Y282" s="1009"/>
      <c r="Z282" s="1009"/>
      <c r="AA282" s="1009"/>
      <c r="AB282" s="1009"/>
      <c r="AC282" s="1009"/>
      <c r="AD282" s="1009"/>
    </row>
    <row r="283" spans="1:30" x14ac:dyDescent="0.25">
      <c r="A283" s="206" t="str">
        <f>Table3[[#This Row],[ocean]]</f>
        <v>atlantic</v>
      </c>
      <c r="B283" s="1013" t="s">
        <v>1912</v>
      </c>
      <c r="C283" s="1009">
        <v>33</v>
      </c>
      <c r="D283" s="1009" t="str">
        <f t="shared" si="9"/>
        <v>Southern</v>
      </c>
      <c r="E283" s="170"/>
      <c r="F283" s="1009"/>
      <c r="G283" s="1009">
        <v>-27.55</v>
      </c>
      <c r="H283" s="1009">
        <v>-18.091000000000001</v>
      </c>
      <c r="I283" s="1014" t="s">
        <v>1201</v>
      </c>
      <c r="J283" s="700" t="s">
        <v>1458</v>
      </c>
      <c r="K283" s="1009">
        <f t="shared" si="11"/>
        <v>7</v>
      </c>
      <c r="L283" s="177" t="s">
        <v>1936</v>
      </c>
      <c r="M283" s="1009">
        <v>91.7</v>
      </c>
      <c r="N283" s="1009">
        <f t="shared" si="12"/>
        <v>1</v>
      </c>
      <c r="O283" s="1009">
        <v>0.32</v>
      </c>
      <c r="P283" s="1009">
        <v>1.17</v>
      </c>
      <c r="Q283" s="1009">
        <v>35.1</v>
      </c>
      <c r="R283" s="1009">
        <f t="shared" si="13"/>
        <v>1</v>
      </c>
      <c r="S283" s="1009">
        <v>0.59</v>
      </c>
      <c r="T283" s="1009">
        <v>1.9</v>
      </c>
      <c r="U283" s="1009">
        <v>584</v>
      </c>
      <c r="V283" s="1009">
        <f t="shared" si="14"/>
        <v>1</v>
      </c>
      <c r="W283" s="1009">
        <v>0.06</v>
      </c>
      <c r="X283" s="1009">
        <v>0.42</v>
      </c>
      <c r="Y283" s="1009"/>
      <c r="Z283" s="1009"/>
      <c r="AA283" s="1009"/>
      <c r="AB283" s="1009"/>
      <c r="AC283" s="1009"/>
      <c r="AD283" s="1009"/>
    </row>
    <row r="284" spans="1:30" x14ac:dyDescent="0.25">
      <c r="A284" s="206" t="str">
        <f>Table3[[#This Row],[ocean]]</f>
        <v>atlantic</v>
      </c>
      <c r="B284" s="1013" t="s">
        <v>1912</v>
      </c>
      <c r="C284" s="1009">
        <v>34</v>
      </c>
      <c r="D284" s="1009" t="str">
        <f t="shared" si="9"/>
        <v>Southern</v>
      </c>
      <c r="E284" s="170"/>
      <c r="F284" s="1009"/>
      <c r="G284" s="1009">
        <v>-28.100999999999999</v>
      </c>
      <c r="H284" s="1009">
        <v>-14.789</v>
      </c>
      <c r="I284" s="1014" t="s">
        <v>1201</v>
      </c>
      <c r="J284" s="700" t="s">
        <v>1458</v>
      </c>
      <c r="K284" s="1009">
        <f t="shared" si="11"/>
        <v>7</v>
      </c>
      <c r="L284" s="177" t="s">
        <v>1937</v>
      </c>
      <c r="M284" s="1009">
        <v>39.6</v>
      </c>
      <c r="N284" s="1009">
        <f t="shared" si="12"/>
        <v>1</v>
      </c>
      <c r="O284" s="1009">
        <v>0.32</v>
      </c>
      <c r="P284" s="1009">
        <v>1.17</v>
      </c>
      <c r="Q284" s="1009">
        <v>51.7</v>
      </c>
      <c r="R284" s="1009">
        <f t="shared" si="13"/>
        <v>1</v>
      </c>
      <c r="S284" s="1009">
        <v>0.59</v>
      </c>
      <c r="T284" s="1009">
        <v>1.9</v>
      </c>
      <c r="U284" s="1009">
        <v>569</v>
      </c>
      <c r="V284" s="1009">
        <f t="shared" si="14"/>
        <v>1</v>
      </c>
      <c r="W284" s="1009">
        <v>0.06</v>
      </c>
      <c r="X284" s="1009">
        <v>0.42</v>
      </c>
      <c r="Y284" s="1009"/>
      <c r="Z284" s="1009"/>
      <c r="AA284" s="1009"/>
      <c r="AB284" s="1009"/>
      <c r="AC284" s="1009"/>
      <c r="AD284" s="1009"/>
    </row>
    <row r="285" spans="1:30" x14ac:dyDescent="0.25">
      <c r="A285" s="206" t="str">
        <f>Table3[[#This Row],[ocean]]</f>
        <v>atlantic</v>
      </c>
      <c r="B285" s="1013" t="s">
        <v>1912</v>
      </c>
      <c r="C285" s="1009">
        <v>37</v>
      </c>
      <c r="D285" s="1009" t="str">
        <f t="shared" si="9"/>
        <v>Southern</v>
      </c>
      <c r="E285" s="170"/>
      <c r="F285" s="1009"/>
      <c r="G285" s="1009">
        <v>-29.687000000000001</v>
      </c>
      <c r="H285" s="1009">
        <v>-5.4009999999999998</v>
      </c>
      <c r="I285" s="1014" t="s">
        <v>1201</v>
      </c>
      <c r="J285" s="700" t="s">
        <v>1458</v>
      </c>
      <c r="K285" s="1009">
        <f t="shared" si="11"/>
        <v>7</v>
      </c>
      <c r="L285" s="177" t="s">
        <v>1938</v>
      </c>
      <c r="M285" s="1009"/>
      <c r="N285" s="1009">
        <f t="shared" si="12"/>
        <v>0</v>
      </c>
      <c r="O285" s="1009">
        <v>0.32</v>
      </c>
      <c r="P285" s="1009">
        <v>1.17</v>
      </c>
      <c r="Q285" s="1009">
        <v>15.5</v>
      </c>
      <c r="R285" s="1009">
        <f t="shared" si="13"/>
        <v>1</v>
      </c>
      <c r="S285" s="1009">
        <v>0.59</v>
      </c>
      <c r="T285" s="1009">
        <v>1.9</v>
      </c>
      <c r="U285" s="1009">
        <v>239</v>
      </c>
      <c r="V285" s="1009">
        <f t="shared" si="14"/>
        <v>1</v>
      </c>
      <c r="W285" s="1009">
        <v>0.06</v>
      </c>
      <c r="X285" s="1009">
        <v>0.42</v>
      </c>
      <c r="Y285" s="1009"/>
      <c r="Z285" s="1009"/>
      <c r="AA285" s="1009"/>
      <c r="AB285" s="1009"/>
      <c r="AC285" s="1009"/>
      <c r="AD285" s="1009"/>
    </row>
    <row r="286" spans="1:30" x14ac:dyDescent="0.25">
      <c r="A286" s="206" t="str">
        <f>Table3[[#This Row],[ocean]]</f>
        <v>atlantic</v>
      </c>
      <c r="B286" s="1013" t="s">
        <v>1912</v>
      </c>
      <c r="C286" s="1009">
        <v>38</v>
      </c>
      <c r="D286" s="1009" t="str">
        <f t="shared" si="9"/>
        <v>Southern</v>
      </c>
      <c r="E286" s="170"/>
      <c r="F286" s="1009"/>
      <c r="G286" s="1009">
        <v>-30.239000000000001</v>
      </c>
      <c r="H286" s="1009">
        <v>-2.448</v>
      </c>
      <c r="I286" s="1014" t="s">
        <v>1201</v>
      </c>
      <c r="J286" s="700" t="s">
        <v>1458</v>
      </c>
      <c r="K286" s="1009">
        <f t="shared" si="11"/>
        <v>7</v>
      </c>
      <c r="L286" s="177" t="s">
        <v>1939</v>
      </c>
      <c r="M286" s="1009">
        <v>70.900000000000006</v>
      </c>
      <c r="N286" s="1009">
        <f t="shared" si="12"/>
        <v>1</v>
      </c>
      <c r="O286" s="1009">
        <v>0.32</v>
      </c>
      <c r="P286" s="1009">
        <v>1.17</v>
      </c>
      <c r="Q286" s="1009">
        <v>69</v>
      </c>
      <c r="R286" s="1009">
        <f t="shared" si="13"/>
        <v>1</v>
      </c>
      <c r="S286" s="1009">
        <v>0.59</v>
      </c>
      <c r="T286" s="1009">
        <v>1.9</v>
      </c>
      <c r="U286" s="1009">
        <v>492</v>
      </c>
      <c r="V286" s="1009">
        <f t="shared" si="14"/>
        <v>1</v>
      </c>
      <c r="W286" s="1009">
        <v>0.06</v>
      </c>
      <c r="X286" s="1009">
        <v>0.42</v>
      </c>
      <c r="Y286" s="1009"/>
      <c r="Z286" s="1009"/>
      <c r="AA286" s="1009"/>
      <c r="AB286" s="1009"/>
      <c r="AC286" s="1009"/>
      <c r="AD286" s="1009"/>
    </row>
    <row r="287" spans="1:30" x14ac:dyDescent="0.25">
      <c r="A287" s="206" t="str">
        <f>Table3[[#This Row],[ocean]]</f>
        <v>atlantic</v>
      </c>
      <c r="B287" s="1013" t="s">
        <v>1912</v>
      </c>
      <c r="C287" s="1009">
        <v>39</v>
      </c>
      <c r="D287" s="1009" t="str">
        <f t="shared" si="9"/>
        <v>Southern</v>
      </c>
      <c r="E287" s="170"/>
      <c r="F287" s="1009"/>
      <c r="G287" s="1009">
        <v>-30.879000000000001</v>
      </c>
      <c r="H287" s="1009">
        <v>0.95599999999999996</v>
      </c>
      <c r="I287" s="1014" t="s">
        <v>1201</v>
      </c>
      <c r="J287" s="700" t="s">
        <v>1458</v>
      </c>
      <c r="K287" s="1009">
        <f t="shared" si="11"/>
        <v>7</v>
      </c>
      <c r="L287" s="177" t="s">
        <v>1940</v>
      </c>
      <c r="M287" s="1009">
        <v>12.6</v>
      </c>
      <c r="N287" s="1009">
        <f t="shared" si="12"/>
        <v>1</v>
      </c>
      <c r="O287" s="1009">
        <v>0.32</v>
      </c>
      <c r="P287" s="1009">
        <v>1.17</v>
      </c>
      <c r="Q287" s="1009">
        <v>46.9</v>
      </c>
      <c r="R287" s="1009">
        <f t="shared" si="13"/>
        <v>1</v>
      </c>
      <c r="S287" s="1009">
        <v>0.59</v>
      </c>
      <c r="T287" s="1009">
        <v>1.9</v>
      </c>
      <c r="U287" s="1009">
        <v>305</v>
      </c>
      <c r="V287" s="1009">
        <f t="shared" si="14"/>
        <v>1</v>
      </c>
      <c r="W287" s="1009">
        <v>0.06</v>
      </c>
      <c r="X287" s="1009">
        <v>0.42</v>
      </c>
      <c r="Y287" s="1009"/>
      <c r="Z287" s="1009"/>
      <c r="AA287" s="1009"/>
      <c r="AB287" s="1009"/>
      <c r="AC287" s="1009"/>
      <c r="AD287" s="1009"/>
    </row>
    <row r="288" spans="1:30" x14ac:dyDescent="0.25">
      <c r="A288" s="206" t="str">
        <f>Table3[[#This Row],[ocean]]</f>
        <v>atlantic</v>
      </c>
      <c r="B288" s="1013" t="s">
        <v>1912</v>
      </c>
      <c r="C288" s="1009">
        <v>40</v>
      </c>
      <c r="D288" s="1009" t="str">
        <f t="shared" si="9"/>
        <v>Southern</v>
      </c>
      <c r="E288" s="170"/>
      <c r="F288" s="1009"/>
      <c r="G288" s="1009">
        <v>-31.295999999999999</v>
      </c>
      <c r="H288" s="1009">
        <v>3.7269999999999999</v>
      </c>
      <c r="I288" s="1014" t="s">
        <v>1201</v>
      </c>
      <c r="J288" s="700" t="s">
        <v>1458</v>
      </c>
      <c r="K288" s="1009">
        <f t="shared" si="11"/>
        <v>7</v>
      </c>
      <c r="L288" s="177" t="s">
        <v>1941</v>
      </c>
      <c r="M288" s="1009">
        <v>106</v>
      </c>
      <c r="N288" s="1009">
        <f t="shared" si="12"/>
        <v>1</v>
      </c>
      <c r="O288" s="1009">
        <v>0.32</v>
      </c>
      <c r="P288" s="1009">
        <v>1.17</v>
      </c>
      <c r="Q288" s="1009">
        <v>79.900000000000006</v>
      </c>
      <c r="R288" s="1009">
        <f t="shared" si="13"/>
        <v>1</v>
      </c>
      <c r="S288" s="1009">
        <v>0.59</v>
      </c>
      <c r="T288" s="1009">
        <v>1.9</v>
      </c>
      <c r="U288" s="1009">
        <v>368</v>
      </c>
      <c r="V288" s="1009">
        <f t="shared" si="14"/>
        <v>1</v>
      </c>
      <c r="W288" s="1009">
        <v>0.06</v>
      </c>
      <c r="X288" s="1009">
        <v>0.42</v>
      </c>
      <c r="Y288" s="1009"/>
      <c r="Z288" s="1009"/>
      <c r="AA288" s="1009"/>
      <c r="AB288" s="1009"/>
      <c r="AC288" s="1009"/>
      <c r="AD288" s="1009"/>
    </row>
    <row r="289" spans="1:30" x14ac:dyDescent="0.25">
      <c r="A289" s="206" t="str">
        <f>Table3[[#This Row],[ocean]]</f>
        <v>atlantic</v>
      </c>
      <c r="B289" s="1013" t="s">
        <v>1912</v>
      </c>
      <c r="C289" s="1009">
        <v>41</v>
      </c>
      <c r="D289" s="1009" t="str">
        <f t="shared" si="9"/>
        <v>Southern</v>
      </c>
      <c r="E289" s="170"/>
      <c r="F289" s="1009"/>
      <c r="G289" s="1009">
        <v>-31.771999999999998</v>
      </c>
      <c r="H289" s="1009">
        <v>6.7859999999999996</v>
      </c>
      <c r="I289" s="1014" t="s">
        <v>1201</v>
      </c>
      <c r="J289" s="700" t="s">
        <v>1458</v>
      </c>
      <c r="K289" s="1009">
        <f t="shared" si="11"/>
        <v>7</v>
      </c>
      <c r="L289" s="177" t="s">
        <v>1942</v>
      </c>
      <c r="M289" s="1009">
        <v>48</v>
      </c>
      <c r="N289" s="1009">
        <f t="shared" si="12"/>
        <v>1</v>
      </c>
      <c r="O289" s="1009">
        <v>0.32</v>
      </c>
      <c r="P289" s="1009">
        <v>1.17</v>
      </c>
      <c r="Q289" s="1009">
        <v>82</v>
      </c>
      <c r="R289" s="1009">
        <f t="shared" si="13"/>
        <v>1</v>
      </c>
      <c r="S289" s="1009">
        <v>0.59</v>
      </c>
      <c r="T289" s="1009">
        <v>1.9</v>
      </c>
      <c r="U289" s="1009">
        <v>692</v>
      </c>
      <c r="V289" s="1009">
        <f t="shared" si="14"/>
        <v>1</v>
      </c>
      <c r="W289" s="1009">
        <v>0.06</v>
      </c>
      <c r="X289" s="1009">
        <v>0.42</v>
      </c>
      <c r="Y289" s="1009"/>
      <c r="Z289" s="1009"/>
      <c r="AA289" s="1009"/>
      <c r="AB289" s="1009"/>
      <c r="AC289" s="1009"/>
      <c r="AD289" s="1009"/>
    </row>
    <row r="290" spans="1:30" x14ac:dyDescent="0.25">
      <c r="A290" s="206" t="str">
        <f>Table3[[#This Row],[ocean]]</f>
        <v>atlantic</v>
      </c>
      <c r="B290" s="1013" t="s">
        <v>1912</v>
      </c>
      <c r="C290" s="1009">
        <v>42</v>
      </c>
      <c r="D290" s="1009" t="str">
        <f t="shared" si="9"/>
        <v>Southern</v>
      </c>
      <c r="E290" s="170"/>
      <c r="F290" s="1009"/>
      <c r="G290" s="1009">
        <v>-32.103999999999999</v>
      </c>
      <c r="H290" s="1009">
        <v>9.4169999999999998</v>
      </c>
      <c r="I290" s="1014" t="s">
        <v>1201</v>
      </c>
      <c r="J290" s="700" t="s">
        <v>1458</v>
      </c>
      <c r="K290" s="1009">
        <f t="shared" si="11"/>
        <v>7</v>
      </c>
      <c r="L290" s="177" t="s">
        <v>1943</v>
      </c>
      <c r="M290" s="1009">
        <v>34.299999999999997</v>
      </c>
      <c r="N290" s="1009">
        <f t="shared" si="12"/>
        <v>1</v>
      </c>
      <c r="O290" s="1009">
        <v>0.32</v>
      </c>
      <c r="P290" s="1009">
        <v>1.17</v>
      </c>
      <c r="Q290" s="1009">
        <v>88.7</v>
      </c>
      <c r="R290" s="1009">
        <f t="shared" si="13"/>
        <v>1</v>
      </c>
      <c r="S290" s="1009">
        <v>0.59</v>
      </c>
      <c r="T290" s="1009">
        <v>1.9</v>
      </c>
      <c r="U290" s="1009">
        <v>845</v>
      </c>
      <c r="V290" s="1009">
        <f t="shared" si="14"/>
        <v>1</v>
      </c>
      <c r="W290" s="1009">
        <v>0.06</v>
      </c>
      <c r="X290" s="1009">
        <v>0.42</v>
      </c>
      <c r="Y290" s="1009"/>
      <c r="Z290" s="1009"/>
      <c r="AA290" s="1009"/>
      <c r="AB290" s="1009"/>
      <c r="AC290" s="1009"/>
      <c r="AD290" s="1009"/>
    </row>
    <row r="291" spans="1:30" x14ac:dyDescent="0.25">
      <c r="A291" s="206" t="str">
        <f>Table3[[#This Row],[ocean]]</f>
        <v>atlantic</v>
      </c>
      <c r="B291" s="1013" t="s">
        <v>1912</v>
      </c>
      <c r="C291" s="1009">
        <v>43</v>
      </c>
      <c r="D291" s="1009" t="str">
        <f t="shared" si="9"/>
        <v>Southern</v>
      </c>
      <c r="E291" s="170"/>
      <c r="F291" s="1009"/>
      <c r="G291" s="1009">
        <v>-32.790999999999997</v>
      </c>
      <c r="H291" s="1009">
        <v>12.749000000000001</v>
      </c>
      <c r="I291" s="1014" t="s">
        <v>1201</v>
      </c>
      <c r="J291" s="700" t="s">
        <v>1458</v>
      </c>
      <c r="K291" s="1009">
        <f t="shared" si="11"/>
        <v>7</v>
      </c>
      <c r="L291" s="177" t="s">
        <v>1944</v>
      </c>
      <c r="M291" s="1009">
        <v>25.2</v>
      </c>
      <c r="N291" s="1009">
        <f t="shared" si="12"/>
        <v>1</v>
      </c>
      <c r="O291" s="1009">
        <v>0.32</v>
      </c>
      <c r="P291" s="1009">
        <v>1.17</v>
      </c>
      <c r="Q291" s="1009">
        <v>90.4</v>
      </c>
      <c r="R291" s="1009">
        <f t="shared" si="13"/>
        <v>1</v>
      </c>
      <c r="S291" s="1009">
        <v>0.59</v>
      </c>
      <c r="T291" s="1009">
        <v>1.9</v>
      </c>
      <c r="U291" s="1009">
        <v>419</v>
      </c>
      <c r="V291" s="1009">
        <f t="shared" si="14"/>
        <v>1</v>
      </c>
      <c r="W291" s="1009">
        <v>0.06</v>
      </c>
      <c r="X291" s="1009">
        <v>0.42</v>
      </c>
      <c r="Y291" s="1009"/>
      <c r="Z291" s="1009"/>
      <c r="AA291" s="1009"/>
      <c r="AB291" s="1009"/>
      <c r="AC291" s="1009"/>
      <c r="AD291" s="1009"/>
    </row>
    <row r="292" spans="1:30" x14ac:dyDescent="0.25">
      <c r="A292" s="206" t="str">
        <f>Table3[[#This Row],[ocean]]</f>
        <v>atlantic</v>
      </c>
      <c r="B292" s="1013" t="s">
        <v>1912</v>
      </c>
      <c r="C292" s="1009">
        <v>44</v>
      </c>
      <c r="D292" s="1009" t="str">
        <f t="shared" si="9"/>
        <v>Southern</v>
      </c>
      <c r="E292" s="170"/>
      <c r="F292" s="1009"/>
      <c r="G292" s="1009">
        <v>-33.296999999999997</v>
      </c>
      <c r="H292" s="1009">
        <v>15.474</v>
      </c>
      <c r="I292" s="1014" t="s">
        <v>1201</v>
      </c>
      <c r="J292" s="700" t="s">
        <v>1458</v>
      </c>
      <c r="K292" s="1009">
        <f t="shared" si="11"/>
        <v>7</v>
      </c>
      <c r="L292" s="177" t="s">
        <v>1945</v>
      </c>
      <c r="M292" s="1009">
        <v>41.9</v>
      </c>
      <c r="N292" s="1009">
        <f t="shared" si="12"/>
        <v>1</v>
      </c>
      <c r="O292" s="1009">
        <v>0.32</v>
      </c>
      <c r="P292" s="1009">
        <v>1.17</v>
      </c>
      <c r="Q292" s="1009">
        <v>35.700000000000003</v>
      </c>
      <c r="R292" s="1009">
        <f t="shared" si="13"/>
        <v>1</v>
      </c>
      <c r="S292" s="1009">
        <v>0.59</v>
      </c>
      <c r="T292" s="1009">
        <v>1.9</v>
      </c>
      <c r="U292" s="1009">
        <v>302</v>
      </c>
      <c r="V292" s="1009">
        <f t="shared" si="14"/>
        <v>1</v>
      </c>
      <c r="W292" s="1009">
        <v>0.06</v>
      </c>
      <c r="X292" s="1009">
        <v>0.42</v>
      </c>
      <c r="Y292" s="1009"/>
      <c r="Z292" s="1009"/>
      <c r="AA292" s="1009"/>
      <c r="AB292" s="1009"/>
      <c r="AC292" s="1009"/>
      <c r="AD292" s="1009"/>
    </row>
    <row r="293" spans="1:30" x14ac:dyDescent="0.25">
      <c r="A293" s="206" t="str">
        <f>Table3[[#This Row],[ocean]]</f>
        <v>indian</v>
      </c>
      <c r="B293" s="1013" t="s">
        <v>1912</v>
      </c>
      <c r="C293" s="1009">
        <v>46</v>
      </c>
      <c r="D293" s="1009" t="str">
        <f t="shared" si="9"/>
        <v>Southern</v>
      </c>
      <c r="E293" s="170"/>
      <c r="F293" s="1009"/>
      <c r="G293" s="1009">
        <v>-34.837000000000003</v>
      </c>
      <c r="H293" s="1009">
        <v>27.545999999999999</v>
      </c>
      <c r="I293" s="1014" t="s">
        <v>2009</v>
      </c>
      <c r="J293" s="700" t="s">
        <v>1458</v>
      </c>
      <c r="K293" s="1009">
        <f t="shared" si="11"/>
        <v>7</v>
      </c>
      <c r="L293" s="177" t="s">
        <v>1946</v>
      </c>
      <c r="M293" s="1009">
        <v>7.32</v>
      </c>
      <c r="N293" s="1009">
        <f t="shared" si="12"/>
        <v>1</v>
      </c>
      <c r="O293" s="1009">
        <v>0.32</v>
      </c>
      <c r="P293" s="1009">
        <v>1.17</v>
      </c>
      <c r="Q293" s="1009">
        <v>5.6</v>
      </c>
      <c r="R293" s="1009">
        <f t="shared" si="13"/>
        <v>1</v>
      </c>
      <c r="S293" s="1009">
        <v>0.59</v>
      </c>
      <c r="T293" s="1009">
        <v>1.9</v>
      </c>
      <c r="U293" s="1009">
        <v>83.8</v>
      </c>
      <c r="V293" s="1009">
        <f t="shared" si="14"/>
        <v>1</v>
      </c>
      <c r="W293" s="1009">
        <v>0.06</v>
      </c>
      <c r="X293" s="1009">
        <v>0.42</v>
      </c>
      <c r="Y293" s="1009"/>
      <c r="Z293" s="1009"/>
      <c r="AA293" s="1009"/>
      <c r="AB293" s="1009"/>
      <c r="AC293" s="1009"/>
      <c r="AD293" s="1009"/>
    </row>
    <row r="294" spans="1:30" x14ac:dyDescent="0.25">
      <c r="A294" s="206" t="str">
        <f>Table3[[#This Row],[ocean]]</f>
        <v>indian</v>
      </c>
      <c r="B294" s="1013" t="s">
        <v>1912</v>
      </c>
      <c r="C294" s="1009">
        <v>47</v>
      </c>
      <c r="D294" s="1009" t="str">
        <f t="shared" si="9"/>
        <v>Southern</v>
      </c>
      <c r="E294" s="170"/>
      <c r="F294" s="1009"/>
      <c r="G294" s="1009">
        <v>-34.445999999999998</v>
      </c>
      <c r="H294" s="1009">
        <v>31.082999999999998</v>
      </c>
      <c r="I294" s="1014" t="s">
        <v>2009</v>
      </c>
      <c r="J294" s="700" t="s">
        <v>1458</v>
      </c>
      <c r="K294" s="1009">
        <f t="shared" si="11"/>
        <v>7</v>
      </c>
      <c r="L294" s="177" t="s">
        <v>1947</v>
      </c>
      <c r="M294" s="1009">
        <v>11.9</v>
      </c>
      <c r="N294" s="1009">
        <f t="shared" si="12"/>
        <v>1</v>
      </c>
      <c r="O294" s="1009">
        <v>0.32</v>
      </c>
      <c r="P294" s="1009">
        <v>1.17</v>
      </c>
      <c r="Q294" s="1009">
        <v>6.65</v>
      </c>
      <c r="R294" s="1009">
        <f t="shared" si="13"/>
        <v>1</v>
      </c>
      <c r="S294" s="1009">
        <v>0.59</v>
      </c>
      <c r="T294" s="1009">
        <v>1.9</v>
      </c>
      <c r="U294" s="1009">
        <v>64.7</v>
      </c>
      <c r="V294" s="1009">
        <f t="shared" si="14"/>
        <v>1</v>
      </c>
      <c r="W294" s="1009">
        <v>0.06</v>
      </c>
      <c r="X294" s="1009">
        <v>0.42</v>
      </c>
      <c r="Y294" s="1009"/>
      <c r="Z294" s="1009"/>
      <c r="AA294" s="1009"/>
      <c r="AB294" s="1009"/>
      <c r="AC294" s="1009"/>
      <c r="AD294" s="1009"/>
    </row>
    <row r="295" spans="1:30" x14ac:dyDescent="0.25">
      <c r="A295" s="206" t="str">
        <f>Table3[[#This Row],[ocean]]</f>
        <v>indian</v>
      </c>
      <c r="B295" s="1013" t="s">
        <v>1912</v>
      </c>
      <c r="C295" s="1009">
        <v>49</v>
      </c>
      <c r="D295" s="1009" t="str">
        <f t="shared" si="9"/>
        <v>Southern</v>
      </c>
      <c r="E295" s="170"/>
      <c r="F295" s="1009"/>
      <c r="G295" s="1009">
        <v>-33.881</v>
      </c>
      <c r="H295" s="1009">
        <v>37.000999999999998</v>
      </c>
      <c r="I295" s="1014" t="s">
        <v>2009</v>
      </c>
      <c r="J295" s="174" t="str">
        <f t="shared" si="10"/>
        <v/>
      </c>
      <c r="K295" s="1009">
        <f t="shared" si="11"/>
        <v>7</v>
      </c>
      <c r="L295" s="177" t="s">
        <v>1948</v>
      </c>
      <c r="M295" s="1009">
        <v>19.3</v>
      </c>
      <c r="N295" s="1009">
        <f t="shared" si="12"/>
        <v>1</v>
      </c>
      <c r="O295" s="1009">
        <v>0.32</v>
      </c>
      <c r="P295" s="1009">
        <v>1.17</v>
      </c>
      <c r="Q295" s="1009">
        <v>6</v>
      </c>
      <c r="R295" s="1009">
        <f t="shared" si="13"/>
        <v>1</v>
      </c>
      <c r="S295" s="1009">
        <v>0.59</v>
      </c>
      <c r="T295" s="1009">
        <v>1.9</v>
      </c>
      <c r="U295" s="1009">
        <v>46.8</v>
      </c>
      <c r="V295" s="1009">
        <f t="shared" si="14"/>
        <v>1</v>
      </c>
      <c r="W295" s="1009">
        <v>0.06</v>
      </c>
      <c r="X295" s="1009">
        <v>0.42</v>
      </c>
      <c r="Y295" s="1009"/>
      <c r="Z295" s="1009"/>
      <c r="AA295" s="1009"/>
      <c r="AB295" s="1009"/>
      <c r="AC295" s="1009"/>
      <c r="AD295" s="1009"/>
    </row>
    <row r="296" spans="1:30" x14ac:dyDescent="0.25">
      <c r="A296" s="206" t="str">
        <f>Table3[[#This Row],[ocean]]</f>
        <v>indian</v>
      </c>
      <c r="B296" s="1013" t="s">
        <v>1912</v>
      </c>
      <c r="C296" s="1009">
        <v>50</v>
      </c>
      <c r="D296" s="1009" t="str">
        <f t="shared" si="9"/>
        <v>Southern</v>
      </c>
      <c r="E296" s="170"/>
      <c r="F296" s="1009"/>
      <c r="G296" s="1009">
        <v>-33.531999999999996</v>
      </c>
      <c r="H296" s="1009">
        <v>39.880000000000003</v>
      </c>
      <c r="I296" s="1014" t="s">
        <v>2009</v>
      </c>
      <c r="J296" s="174" t="str">
        <f t="shared" si="10"/>
        <v/>
      </c>
      <c r="K296" s="1009">
        <f t="shared" si="11"/>
        <v>7</v>
      </c>
      <c r="L296" s="177" t="s">
        <v>1949</v>
      </c>
      <c r="M296" s="1009">
        <v>26.1</v>
      </c>
      <c r="N296" s="1009">
        <f t="shared" si="12"/>
        <v>1</v>
      </c>
      <c r="O296" s="1009">
        <v>0.32</v>
      </c>
      <c r="P296" s="1009">
        <v>1.17</v>
      </c>
      <c r="Q296" s="1009">
        <v>14.2</v>
      </c>
      <c r="R296" s="1009">
        <f t="shared" si="13"/>
        <v>1</v>
      </c>
      <c r="S296" s="1009">
        <v>0.59</v>
      </c>
      <c r="T296" s="1009">
        <v>1.9</v>
      </c>
      <c r="U296" s="1009">
        <v>88.5</v>
      </c>
      <c r="V296" s="1009">
        <f t="shared" si="14"/>
        <v>1</v>
      </c>
      <c r="W296" s="1009">
        <v>0.06</v>
      </c>
      <c r="X296" s="1009">
        <v>0.42</v>
      </c>
      <c r="Y296" s="1009"/>
      <c r="Z296" s="1009"/>
      <c r="AA296" s="1009"/>
      <c r="AB296" s="1009"/>
      <c r="AC296" s="1009"/>
      <c r="AD296" s="1009"/>
    </row>
    <row r="297" spans="1:30" x14ac:dyDescent="0.25">
      <c r="A297" s="206" t="str">
        <f>Table3[[#This Row],[ocean]]</f>
        <v>indian</v>
      </c>
      <c r="B297" s="1013" t="s">
        <v>1912</v>
      </c>
      <c r="C297" s="1009">
        <v>52</v>
      </c>
      <c r="D297" s="1009" t="str">
        <f t="shared" si="9"/>
        <v>Southern</v>
      </c>
      <c r="E297" s="170"/>
      <c r="F297" s="1009"/>
      <c r="G297" s="1009">
        <v>-30.053000000000001</v>
      </c>
      <c r="H297" s="1009">
        <v>61.457999999999998</v>
      </c>
      <c r="I297" s="1014" t="s">
        <v>2009</v>
      </c>
      <c r="J297" s="174" t="str">
        <f t="shared" si="10"/>
        <v/>
      </c>
      <c r="K297" s="1009">
        <f t="shared" si="11"/>
        <v>7</v>
      </c>
      <c r="L297" s="177" t="s">
        <v>1950</v>
      </c>
      <c r="M297" s="1009">
        <v>109</v>
      </c>
      <c r="N297" s="1009">
        <f t="shared" si="12"/>
        <v>1</v>
      </c>
      <c r="O297" s="1009">
        <v>0.32</v>
      </c>
      <c r="P297" s="1009">
        <v>1.17</v>
      </c>
      <c r="Q297" s="1009">
        <v>7.94</v>
      </c>
      <c r="R297" s="1009">
        <f t="shared" si="13"/>
        <v>1</v>
      </c>
      <c r="S297" s="1009">
        <v>0.59</v>
      </c>
      <c r="T297" s="1009">
        <v>1.9</v>
      </c>
      <c r="U297" s="1009">
        <v>53.9</v>
      </c>
      <c r="V297" s="1009">
        <f t="shared" si="14"/>
        <v>1</v>
      </c>
      <c r="W297" s="1009">
        <v>0.06</v>
      </c>
      <c r="X297" s="1009">
        <v>0.42</v>
      </c>
      <c r="Y297" s="1009"/>
      <c r="Z297" s="1009"/>
      <c r="AA297" s="1009"/>
      <c r="AB297" s="1009"/>
      <c r="AC297" s="1009"/>
      <c r="AD297" s="1009"/>
    </row>
    <row r="298" spans="1:30" x14ac:dyDescent="0.25">
      <c r="A298" s="206" t="str">
        <f>Table3[[#This Row],[ocean]]</f>
        <v>indian</v>
      </c>
      <c r="B298" s="1013" t="s">
        <v>1912</v>
      </c>
      <c r="C298" s="1009">
        <v>53</v>
      </c>
      <c r="D298" s="1009" t="str">
        <f t="shared" si="9"/>
        <v>Southern</v>
      </c>
      <c r="E298" s="170"/>
      <c r="F298" s="1009"/>
      <c r="G298" s="1009">
        <v>-27.975999999999999</v>
      </c>
      <c r="H298" s="1009">
        <v>63.247999999999998</v>
      </c>
      <c r="I298" s="1014" t="s">
        <v>2009</v>
      </c>
      <c r="J298" s="174" t="str">
        <f t="shared" si="10"/>
        <v/>
      </c>
      <c r="K298" s="1009">
        <f t="shared" si="11"/>
        <v>7</v>
      </c>
      <c r="L298" s="177" t="s">
        <v>1951</v>
      </c>
      <c r="M298" s="1009">
        <v>49.3</v>
      </c>
      <c r="N298" s="1009">
        <f t="shared" si="12"/>
        <v>1</v>
      </c>
      <c r="O298" s="1009">
        <v>0.32</v>
      </c>
      <c r="P298" s="1009">
        <v>1.17</v>
      </c>
      <c r="Q298" s="1009">
        <v>12.9</v>
      </c>
      <c r="R298" s="1009">
        <f t="shared" si="13"/>
        <v>1</v>
      </c>
      <c r="S298" s="1009">
        <v>0.59</v>
      </c>
      <c r="T298" s="1009">
        <v>1.9</v>
      </c>
      <c r="U298" s="1009">
        <v>91.9</v>
      </c>
      <c r="V298" s="1009">
        <f t="shared" si="14"/>
        <v>1</v>
      </c>
      <c r="W298" s="1009">
        <v>0.06</v>
      </c>
      <c r="X298" s="1009">
        <v>0.42</v>
      </c>
      <c r="Y298" s="1009"/>
      <c r="Z298" s="1009"/>
      <c r="AA298" s="1009"/>
      <c r="AB298" s="1009"/>
      <c r="AC298" s="1009"/>
      <c r="AD298" s="1009"/>
    </row>
    <row r="299" spans="1:30" x14ac:dyDescent="0.25">
      <c r="A299" s="206" t="str">
        <f>Table3[[#This Row],[ocean]]</f>
        <v>indian</v>
      </c>
      <c r="B299" s="1013" t="s">
        <v>1912</v>
      </c>
      <c r="C299" s="1009">
        <v>55</v>
      </c>
      <c r="D299" s="1009" t="str">
        <f t="shared" si="9"/>
        <v>Southern</v>
      </c>
      <c r="E299" s="170"/>
      <c r="F299" s="1009"/>
      <c r="G299" s="1009">
        <v>-29.363</v>
      </c>
      <c r="H299" s="1009">
        <v>69.414000000000001</v>
      </c>
      <c r="I299" s="1014" t="s">
        <v>2009</v>
      </c>
      <c r="J299" s="174" t="str">
        <f t="shared" si="10"/>
        <v/>
      </c>
      <c r="K299" s="1009">
        <f t="shared" si="11"/>
        <v>7</v>
      </c>
      <c r="L299" s="177" t="s">
        <v>1952</v>
      </c>
      <c r="M299" s="1009">
        <v>9.6300000000000008</v>
      </c>
      <c r="N299" s="1009">
        <f t="shared" si="12"/>
        <v>1</v>
      </c>
      <c r="O299" s="1009">
        <v>0.32</v>
      </c>
      <c r="P299" s="1009">
        <v>1.17</v>
      </c>
      <c r="Q299" s="1009">
        <v>6.46</v>
      </c>
      <c r="R299" s="1009">
        <f t="shared" si="13"/>
        <v>1</v>
      </c>
      <c r="S299" s="1009">
        <v>0.59</v>
      </c>
      <c r="T299" s="1009">
        <v>1.9</v>
      </c>
      <c r="U299" s="1009">
        <v>48</v>
      </c>
      <c r="V299" s="1009">
        <f t="shared" si="14"/>
        <v>1</v>
      </c>
      <c r="W299" s="1009">
        <v>0.06</v>
      </c>
      <c r="X299" s="1009">
        <v>0.42</v>
      </c>
      <c r="Y299" s="1009"/>
      <c r="Z299" s="1009"/>
      <c r="AA299" s="1009"/>
      <c r="AB299" s="1009"/>
      <c r="AC299" s="1009"/>
      <c r="AD299" s="1009"/>
    </row>
    <row r="300" spans="1:30" x14ac:dyDescent="0.25">
      <c r="A300" s="206" t="str">
        <f>Table3[[#This Row],[ocean]]</f>
        <v>indian</v>
      </c>
      <c r="B300" s="1013" t="s">
        <v>1912</v>
      </c>
      <c r="C300" s="1009">
        <v>57</v>
      </c>
      <c r="D300" s="1009" t="str">
        <f t="shared" si="9"/>
        <v>Southern</v>
      </c>
      <c r="E300" s="170"/>
      <c r="F300" s="1009"/>
      <c r="G300" s="1009">
        <v>-29.905999999999999</v>
      </c>
      <c r="H300" s="1009">
        <v>76.085999999999999</v>
      </c>
      <c r="I300" s="1014" t="s">
        <v>2009</v>
      </c>
      <c r="J300" s="174" t="str">
        <f t="shared" si="10"/>
        <v/>
      </c>
      <c r="K300" s="1009">
        <f t="shared" si="11"/>
        <v>7</v>
      </c>
      <c r="L300" s="177" t="s">
        <v>1953</v>
      </c>
      <c r="M300" s="1009">
        <v>10.8</v>
      </c>
      <c r="N300" s="1009">
        <f t="shared" si="12"/>
        <v>1</v>
      </c>
      <c r="O300" s="1009">
        <v>0.32</v>
      </c>
      <c r="P300" s="1009">
        <v>1.17</v>
      </c>
      <c r="Q300" s="1009">
        <v>5.9</v>
      </c>
      <c r="R300" s="1009">
        <f t="shared" si="13"/>
        <v>1</v>
      </c>
      <c r="S300" s="1009">
        <v>0.59</v>
      </c>
      <c r="T300" s="1009">
        <v>1.9</v>
      </c>
      <c r="U300" s="1009">
        <v>48.8</v>
      </c>
      <c r="V300" s="1009">
        <f t="shared" si="14"/>
        <v>1</v>
      </c>
      <c r="W300" s="1009">
        <v>0.06</v>
      </c>
      <c r="X300" s="1009">
        <v>0.42</v>
      </c>
      <c r="Y300" s="1009"/>
      <c r="Z300" s="1009"/>
      <c r="AA300" s="1009"/>
      <c r="AB300" s="1009"/>
      <c r="AC300" s="1009"/>
      <c r="AD300" s="1009"/>
    </row>
    <row r="301" spans="1:30" x14ac:dyDescent="0.25">
      <c r="A301" s="206" t="str">
        <f>Table3[[#This Row],[ocean]]</f>
        <v>indian</v>
      </c>
      <c r="B301" s="1013" t="s">
        <v>1912</v>
      </c>
      <c r="C301" s="1009">
        <v>58</v>
      </c>
      <c r="D301" s="1009" t="str">
        <f t="shared" si="9"/>
        <v>Southern</v>
      </c>
      <c r="E301" s="170"/>
      <c r="F301" s="1009"/>
      <c r="G301" s="1009">
        <v>-29.834</v>
      </c>
      <c r="H301" s="1009">
        <v>79.606999999999999</v>
      </c>
      <c r="I301" s="1014" t="s">
        <v>2009</v>
      </c>
      <c r="J301" s="174" t="str">
        <f t="shared" si="10"/>
        <v/>
      </c>
      <c r="K301" s="1009">
        <f t="shared" si="11"/>
        <v>7</v>
      </c>
      <c r="L301" s="177" t="s">
        <v>1954</v>
      </c>
      <c r="M301" s="1009">
        <v>45</v>
      </c>
      <c r="N301" s="1009">
        <f t="shared" si="12"/>
        <v>1</v>
      </c>
      <c r="O301" s="1009">
        <v>0.32</v>
      </c>
      <c r="P301" s="1009">
        <v>1.17</v>
      </c>
      <c r="Q301" s="1009">
        <v>6.36</v>
      </c>
      <c r="R301" s="1009">
        <f t="shared" si="13"/>
        <v>1</v>
      </c>
      <c r="S301" s="1009">
        <v>0.59</v>
      </c>
      <c r="T301" s="1009">
        <v>1.9</v>
      </c>
      <c r="U301" s="1009">
        <v>51</v>
      </c>
      <c r="V301" s="1009">
        <f t="shared" si="14"/>
        <v>1</v>
      </c>
      <c r="W301" s="1009">
        <v>0.06</v>
      </c>
      <c r="X301" s="1009">
        <v>0.42</v>
      </c>
      <c r="Y301" s="1009"/>
      <c r="Z301" s="1009"/>
      <c r="AA301" s="1009"/>
      <c r="AB301" s="1009"/>
      <c r="AC301" s="1009"/>
      <c r="AD301" s="1009"/>
    </row>
    <row r="302" spans="1:30" x14ac:dyDescent="0.25">
      <c r="A302" s="206" t="str">
        <f>Table3[[#This Row],[ocean]]</f>
        <v>indian</v>
      </c>
      <c r="B302" s="1013" t="s">
        <v>1912</v>
      </c>
      <c r="C302" s="1009">
        <v>60</v>
      </c>
      <c r="D302" s="1009" t="str">
        <f t="shared" si="9"/>
        <v>Southern</v>
      </c>
      <c r="E302" s="170"/>
      <c r="F302" s="1009"/>
      <c r="G302" s="1009">
        <v>-29.756</v>
      </c>
      <c r="H302" s="1009">
        <v>86.262</v>
      </c>
      <c r="I302" s="1014" t="s">
        <v>2009</v>
      </c>
      <c r="J302" s="174" t="str">
        <f t="shared" si="10"/>
        <v/>
      </c>
      <c r="K302" s="1009">
        <f t="shared" si="11"/>
        <v>7</v>
      </c>
      <c r="L302" s="177" t="s">
        <v>1955</v>
      </c>
      <c r="M302" s="1009">
        <v>46.5</v>
      </c>
      <c r="N302" s="1009">
        <f t="shared" si="12"/>
        <v>1</v>
      </c>
      <c r="O302" s="1009">
        <v>0.32</v>
      </c>
      <c r="P302" s="1009">
        <v>1.17</v>
      </c>
      <c r="Q302" s="1009">
        <v>4.9000000000000004</v>
      </c>
      <c r="R302" s="1009">
        <f t="shared" si="13"/>
        <v>1</v>
      </c>
      <c r="S302" s="1009">
        <v>0.59</v>
      </c>
      <c r="T302" s="1009">
        <v>1.9</v>
      </c>
      <c r="U302" s="1009">
        <v>274</v>
      </c>
      <c r="V302" s="1009">
        <f t="shared" si="14"/>
        <v>1</v>
      </c>
      <c r="W302" s="1009">
        <v>0.06</v>
      </c>
      <c r="X302" s="1009">
        <v>0.42</v>
      </c>
      <c r="Y302" s="1009"/>
      <c r="Z302" s="1009"/>
      <c r="AA302" s="1009"/>
      <c r="AB302" s="1009"/>
      <c r="AC302" s="1009"/>
      <c r="AD302" s="1009"/>
    </row>
    <row r="303" spans="1:30" x14ac:dyDescent="0.25">
      <c r="A303" s="206" t="str">
        <f>Table3[[#This Row],[ocean]]</f>
        <v>indian</v>
      </c>
      <c r="B303" s="1013" t="s">
        <v>1912</v>
      </c>
      <c r="C303" s="1009">
        <v>63</v>
      </c>
      <c r="D303" s="1009" t="str">
        <f t="shared" si="9"/>
        <v>Southern</v>
      </c>
      <c r="E303" s="170"/>
      <c r="F303" s="1009"/>
      <c r="G303" s="1009">
        <v>-29.582000000000001</v>
      </c>
      <c r="H303" s="1009">
        <v>96.394999999999996</v>
      </c>
      <c r="I303" s="1014" t="s">
        <v>2009</v>
      </c>
      <c r="J303" s="174" t="str">
        <f t="shared" si="10"/>
        <v/>
      </c>
      <c r="K303" s="1009">
        <f t="shared" si="11"/>
        <v>7</v>
      </c>
      <c r="L303" s="177" t="s">
        <v>1956</v>
      </c>
      <c r="M303" s="1009"/>
      <c r="N303" s="1009">
        <f t="shared" si="12"/>
        <v>0</v>
      </c>
      <c r="O303" s="1009">
        <v>0.32</v>
      </c>
      <c r="P303" s="1009">
        <v>1.17</v>
      </c>
      <c r="Q303" s="1009" t="s">
        <v>2005</v>
      </c>
      <c r="R303" s="1009">
        <f t="shared" si="13"/>
        <v>1</v>
      </c>
      <c r="S303" s="1009">
        <v>0.59</v>
      </c>
      <c r="T303" s="1009">
        <v>1.9</v>
      </c>
      <c r="U303" s="1009">
        <v>64</v>
      </c>
      <c r="V303" s="1009">
        <f t="shared" si="14"/>
        <v>1</v>
      </c>
      <c r="W303" s="1009">
        <v>0.06</v>
      </c>
      <c r="X303" s="1009">
        <v>0.42</v>
      </c>
      <c r="Y303" s="1009"/>
      <c r="Z303" s="1009"/>
      <c r="AA303" s="1009"/>
      <c r="AB303" s="1009"/>
      <c r="AC303" s="1009"/>
      <c r="AD303" s="1009"/>
    </row>
    <row r="304" spans="1:30" x14ac:dyDescent="0.25">
      <c r="A304" s="206" t="str">
        <f>Table3[[#This Row],[ocean]]</f>
        <v>indian</v>
      </c>
      <c r="B304" s="1013" t="s">
        <v>1912</v>
      </c>
      <c r="C304" s="1009">
        <v>64</v>
      </c>
      <c r="D304" s="1009" t="str">
        <f t="shared" si="9"/>
        <v>Southern</v>
      </c>
      <c r="E304" s="170"/>
      <c r="F304" s="1009"/>
      <c r="G304" s="1009">
        <v>-29.907</v>
      </c>
      <c r="H304" s="1009">
        <v>99.998000000000005</v>
      </c>
      <c r="I304" s="1014" t="s">
        <v>2009</v>
      </c>
      <c r="J304" s="174" t="str">
        <f t="shared" si="10"/>
        <v/>
      </c>
      <c r="K304" s="1009">
        <f t="shared" si="11"/>
        <v>7</v>
      </c>
      <c r="L304" s="177" t="s">
        <v>1957</v>
      </c>
      <c r="M304" s="1009">
        <v>124</v>
      </c>
      <c r="N304" s="1009">
        <f t="shared" si="12"/>
        <v>1</v>
      </c>
      <c r="O304" s="1009">
        <v>0.32</v>
      </c>
      <c r="P304" s="1009">
        <v>1.17</v>
      </c>
      <c r="Q304" s="1009">
        <v>6.46</v>
      </c>
      <c r="R304" s="1009">
        <f t="shared" si="13"/>
        <v>1</v>
      </c>
      <c r="S304" s="1009">
        <v>0.59</v>
      </c>
      <c r="T304" s="1009">
        <v>1.9</v>
      </c>
      <c r="U304" s="1009">
        <v>126</v>
      </c>
      <c r="V304" s="1009">
        <f t="shared" si="14"/>
        <v>1</v>
      </c>
      <c r="W304" s="1009">
        <v>0.06</v>
      </c>
      <c r="X304" s="1009">
        <v>0.42</v>
      </c>
      <c r="Y304" s="1009"/>
      <c r="Z304" s="1009"/>
      <c r="AA304" s="1009"/>
      <c r="AB304" s="1009"/>
      <c r="AC304" s="1009"/>
      <c r="AD304" s="1009"/>
    </row>
    <row r="305" spans="1:30" x14ac:dyDescent="0.25">
      <c r="A305" s="206" t="str">
        <f>Table3[[#This Row],[ocean]]</f>
        <v>indian</v>
      </c>
      <c r="B305" s="1013" t="s">
        <v>1912</v>
      </c>
      <c r="C305" s="1009">
        <v>66</v>
      </c>
      <c r="D305" s="1009" t="str">
        <f t="shared" si="9"/>
        <v>Southern</v>
      </c>
      <c r="E305" s="170"/>
      <c r="F305" s="1009"/>
      <c r="G305" s="1009">
        <v>-30.812000000000001</v>
      </c>
      <c r="H305" s="1009">
        <v>107.211</v>
      </c>
      <c r="I305" s="1014" t="s">
        <v>2009</v>
      </c>
      <c r="J305" s="700" t="s">
        <v>1458</v>
      </c>
      <c r="K305" s="1009">
        <f t="shared" si="11"/>
        <v>7</v>
      </c>
      <c r="L305" s="177" t="s">
        <v>1958</v>
      </c>
      <c r="M305" s="1009">
        <v>91.3</v>
      </c>
      <c r="N305" s="1009">
        <f t="shared" si="12"/>
        <v>1</v>
      </c>
      <c r="O305" s="1009">
        <v>0.32</v>
      </c>
      <c r="P305" s="1009">
        <v>1.17</v>
      </c>
      <c r="Q305" s="1009">
        <v>22.8</v>
      </c>
      <c r="R305" s="1009">
        <f t="shared" si="13"/>
        <v>1</v>
      </c>
      <c r="S305" s="1009">
        <v>0.59</v>
      </c>
      <c r="T305" s="1009">
        <v>1.9</v>
      </c>
      <c r="U305" s="1009">
        <v>328</v>
      </c>
      <c r="V305" s="1009">
        <f t="shared" si="14"/>
        <v>1</v>
      </c>
      <c r="W305" s="1009">
        <v>0.06</v>
      </c>
      <c r="X305" s="1009">
        <v>0.42</v>
      </c>
      <c r="Y305" s="1009"/>
      <c r="Z305" s="1009"/>
      <c r="AA305" s="1009"/>
      <c r="AB305" s="1009"/>
      <c r="AC305" s="1009"/>
      <c r="AD305" s="1009"/>
    </row>
    <row r="306" spans="1:30" x14ac:dyDescent="0.25">
      <c r="A306" s="206" t="str">
        <f>Table3[[#This Row],[ocean]]</f>
        <v>indian</v>
      </c>
      <c r="B306" s="1013" t="s">
        <v>1912</v>
      </c>
      <c r="C306" s="1009">
        <v>67</v>
      </c>
      <c r="D306" s="1009" t="str">
        <f t="shared" si="9"/>
        <v>Southern</v>
      </c>
      <c r="E306" s="170"/>
      <c r="F306" s="1009"/>
      <c r="G306" s="1009">
        <v>-31.154</v>
      </c>
      <c r="H306" s="1009">
        <v>110.18</v>
      </c>
      <c r="I306" s="1014" t="s">
        <v>2009</v>
      </c>
      <c r="J306" s="700" t="s">
        <v>1458</v>
      </c>
      <c r="K306" s="1009">
        <f t="shared" si="11"/>
        <v>7</v>
      </c>
      <c r="L306" s="177" t="s">
        <v>1959</v>
      </c>
      <c r="M306" s="1009">
        <v>51.3</v>
      </c>
      <c r="N306" s="1009">
        <f t="shared" si="12"/>
        <v>1</v>
      </c>
      <c r="O306" s="1009">
        <v>0.32</v>
      </c>
      <c r="P306" s="1009">
        <v>1.17</v>
      </c>
      <c r="Q306" s="1009">
        <v>52.7</v>
      </c>
      <c r="R306" s="1009">
        <f t="shared" si="13"/>
        <v>1</v>
      </c>
      <c r="S306" s="1009">
        <v>0.59</v>
      </c>
      <c r="T306" s="1009">
        <v>1.9</v>
      </c>
      <c r="U306" s="1009">
        <v>511</v>
      </c>
      <c r="V306" s="1009">
        <f t="shared" si="14"/>
        <v>1</v>
      </c>
      <c r="W306" s="1009">
        <v>0.06</v>
      </c>
      <c r="X306" s="1009">
        <v>0.42</v>
      </c>
      <c r="Y306" s="1009"/>
      <c r="Z306" s="1009"/>
      <c r="AA306" s="1009"/>
      <c r="AB306" s="1009"/>
      <c r="AC306" s="1009"/>
      <c r="AD306" s="1009"/>
    </row>
    <row r="307" spans="1:30" x14ac:dyDescent="0.25">
      <c r="A307" s="206" t="str">
        <f>Table3[[#This Row],[ocean]]</f>
        <v>indian</v>
      </c>
      <c r="B307" s="1013" t="s">
        <v>1912</v>
      </c>
      <c r="C307" s="1009">
        <v>70</v>
      </c>
      <c r="D307" s="1009" t="str">
        <f t="shared" si="9"/>
        <v>Southern</v>
      </c>
      <c r="E307" s="170"/>
      <c r="F307" s="1009"/>
      <c r="G307" s="1009">
        <v>-36.643999999999998</v>
      </c>
      <c r="H307" s="1009">
        <v>120.846</v>
      </c>
      <c r="I307" s="1014" t="s">
        <v>2009</v>
      </c>
      <c r="J307" s="700" t="s">
        <v>1458</v>
      </c>
      <c r="K307" s="1009">
        <f t="shared" si="11"/>
        <v>8</v>
      </c>
      <c r="L307" s="177" t="s">
        <v>1960</v>
      </c>
      <c r="M307" s="1009">
        <v>20.7</v>
      </c>
      <c r="N307" s="1009">
        <f t="shared" si="12"/>
        <v>1</v>
      </c>
      <c r="O307" s="1009">
        <v>0.32</v>
      </c>
      <c r="P307" s="1009">
        <v>1.17</v>
      </c>
      <c r="Q307" s="1009">
        <v>8.7799999999999994</v>
      </c>
      <c r="R307" s="1009">
        <f t="shared" si="13"/>
        <v>1</v>
      </c>
      <c r="S307" s="1009">
        <v>0.59</v>
      </c>
      <c r="T307" s="1009">
        <v>1.9</v>
      </c>
      <c r="U307" s="1009">
        <v>129</v>
      </c>
      <c r="V307" s="1009">
        <f t="shared" si="14"/>
        <v>1</v>
      </c>
      <c r="W307" s="1009">
        <v>0.06</v>
      </c>
      <c r="X307" s="1009">
        <v>0.42</v>
      </c>
      <c r="Y307" s="1009"/>
      <c r="Z307" s="1009"/>
      <c r="AA307" s="1009"/>
      <c r="AB307" s="1009"/>
      <c r="AC307" s="1009"/>
      <c r="AD307" s="1009"/>
    </row>
    <row r="308" spans="1:30" x14ac:dyDescent="0.25">
      <c r="A308" s="206" t="str">
        <f>Table3[[#This Row],[ocean]]</f>
        <v>indian</v>
      </c>
      <c r="B308" s="1013" t="s">
        <v>1912</v>
      </c>
      <c r="C308" s="1009">
        <v>71</v>
      </c>
      <c r="D308" s="1009" t="str">
        <f t="shared" si="9"/>
        <v>Southern</v>
      </c>
      <c r="E308" s="170"/>
      <c r="F308" s="1009"/>
      <c r="G308" s="1009">
        <v>-37.344999999999999</v>
      </c>
      <c r="H308" s="1009">
        <v>124.874</v>
      </c>
      <c r="I308" s="1014" t="s">
        <v>2009</v>
      </c>
      <c r="J308" s="700" t="s">
        <v>1458</v>
      </c>
      <c r="K308" s="1009">
        <f t="shared" si="11"/>
        <v>8</v>
      </c>
      <c r="L308" s="177" t="s">
        <v>1961</v>
      </c>
      <c r="M308" s="1009">
        <v>31.6</v>
      </c>
      <c r="N308" s="1009">
        <f t="shared" si="12"/>
        <v>1</v>
      </c>
      <c r="O308" s="1009">
        <v>0.32</v>
      </c>
      <c r="P308" s="1009">
        <v>1.17</v>
      </c>
      <c r="Q308" s="1009">
        <v>5.5</v>
      </c>
      <c r="R308" s="1009">
        <f t="shared" si="13"/>
        <v>1</v>
      </c>
      <c r="S308" s="1009">
        <v>0.59</v>
      </c>
      <c r="T308" s="1009">
        <v>1.9</v>
      </c>
      <c r="U308" s="1009">
        <v>102</v>
      </c>
      <c r="V308" s="1009">
        <f t="shared" si="14"/>
        <v>1</v>
      </c>
      <c r="W308" s="1009">
        <v>0.06</v>
      </c>
      <c r="X308" s="1009">
        <v>0.42</v>
      </c>
      <c r="Y308" s="1009"/>
      <c r="Z308" s="1009"/>
      <c r="AA308" s="1009"/>
      <c r="AB308" s="1009"/>
      <c r="AC308" s="1009"/>
      <c r="AD308" s="1009"/>
    </row>
    <row r="309" spans="1:30" x14ac:dyDescent="0.25">
      <c r="A309" s="206" t="str">
        <f>Table3[[#This Row],[ocean]]</f>
        <v>indian</v>
      </c>
      <c r="B309" s="1013" t="s">
        <v>1912</v>
      </c>
      <c r="C309" s="1009">
        <v>73</v>
      </c>
      <c r="D309" s="1009" t="str">
        <f t="shared" si="9"/>
        <v>Southern</v>
      </c>
      <c r="E309" s="170"/>
      <c r="F309" s="1009"/>
      <c r="G309" s="1009">
        <v>-38.548000000000002</v>
      </c>
      <c r="H309" s="1009">
        <v>131.541</v>
      </c>
      <c r="I309" s="1014" t="s">
        <v>2009</v>
      </c>
      <c r="J309" s="700" t="s">
        <v>1458</v>
      </c>
      <c r="K309" s="1009">
        <f t="shared" si="11"/>
        <v>8</v>
      </c>
      <c r="L309" s="177" t="s">
        <v>1962</v>
      </c>
      <c r="M309" s="1009">
        <v>4.71</v>
      </c>
      <c r="N309" s="1009">
        <f t="shared" si="12"/>
        <v>1</v>
      </c>
      <c r="O309" s="1009">
        <v>0.32</v>
      </c>
      <c r="P309" s="1009">
        <v>1.17</v>
      </c>
      <c r="Q309" s="1009">
        <v>8.6</v>
      </c>
      <c r="R309" s="1009">
        <f t="shared" si="13"/>
        <v>1</v>
      </c>
      <c r="S309" s="1009">
        <v>0.59</v>
      </c>
      <c r="T309" s="1009">
        <v>1.9</v>
      </c>
      <c r="U309" s="1009">
        <v>250</v>
      </c>
      <c r="V309" s="1009">
        <f t="shared" si="14"/>
        <v>1</v>
      </c>
      <c r="W309" s="1009">
        <v>0.06</v>
      </c>
      <c r="X309" s="1009">
        <v>0.42</v>
      </c>
      <c r="Y309" s="1009"/>
      <c r="Z309" s="1009"/>
      <c r="AA309" s="1009"/>
      <c r="AB309" s="1009"/>
      <c r="AC309" s="1009"/>
      <c r="AD309" s="1009"/>
    </row>
    <row r="310" spans="1:30" x14ac:dyDescent="0.25">
      <c r="A310" s="206" t="str">
        <f>Table3[[#This Row],[ocean]]</f>
        <v>indian</v>
      </c>
      <c r="B310" s="1013" t="s">
        <v>1912</v>
      </c>
      <c r="C310" s="1009">
        <v>75</v>
      </c>
      <c r="D310" s="1009" t="str">
        <f t="shared" si="9"/>
        <v>Southern</v>
      </c>
      <c r="E310" s="170"/>
      <c r="F310" s="1009"/>
      <c r="G310" s="1009">
        <v>-39.86</v>
      </c>
      <c r="H310" s="1009">
        <v>138.768</v>
      </c>
      <c r="I310" s="1014" t="s">
        <v>2009</v>
      </c>
      <c r="J310" s="700" t="s">
        <v>1458</v>
      </c>
      <c r="K310" s="1009">
        <f t="shared" si="11"/>
        <v>8</v>
      </c>
      <c r="L310" s="177" t="s">
        <v>1963</v>
      </c>
      <c r="M310" s="1009">
        <v>10.199999999999999</v>
      </c>
      <c r="N310" s="1009">
        <f t="shared" si="12"/>
        <v>1</v>
      </c>
      <c r="O310" s="1009">
        <v>0.32</v>
      </c>
      <c r="P310" s="1009">
        <v>1.17</v>
      </c>
      <c r="Q310" s="1009">
        <v>3.89</v>
      </c>
      <c r="R310" s="1009">
        <f t="shared" si="13"/>
        <v>1</v>
      </c>
      <c r="S310" s="1009">
        <v>0.59</v>
      </c>
      <c r="T310" s="1009">
        <v>1.9</v>
      </c>
      <c r="U310" s="1009">
        <v>50.5</v>
      </c>
      <c r="V310" s="1009">
        <f t="shared" si="14"/>
        <v>1</v>
      </c>
      <c r="W310" s="1009">
        <v>0.06</v>
      </c>
      <c r="X310" s="1009">
        <v>0.42</v>
      </c>
      <c r="Y310" s="1009"/>
      <c r="Z310" s="1009"/>
      <c r="AA310" s="1009"/>
      <c r="AB310" s="1009"/>
      <c r="AC310" s="1009"/>
      <c r="AD310" s="1009"/>
    </row>
    <row r="311" spans="1:30" x14ac:dyDescent="0.25">
      <c r="A311" s="206" t="str">
        <f>Table3[[#This Row],[ocean]]</f>
        <v>pacific</v>
      </c>
      <c r="B311" s="1013" t="s">
        <v>1912</v>
      </c>
      <c r="C311" s="1009">
        <v>77</v>
      </c>
      <c r="D311" s="1009" t="str">
        <f t="shared" si="9"/>
        <v>Southern</v>
      </c>
      <c r="E311" s="170"/>
      <c r="F311" s="1009"/>
      <c r="G311" s="1009">
        <v>-38.670999999999999</v>
      </c>
      <c r="H311" s="1009">
        <v>150.42599999999999</v>
      </c>
      <c r="I311" s="1014" t="s">
        <v>1202</v>
      </c>
      <c r="J311" s="700" t="s">
        <v>1458</v>
      </c>
      <c r="K311" s="1009">
        <f t="shared" si="11"/>
        <v>8</v>
      </c>
      <c r="L311" s="177" t="s">
        <v>1964</v>
      </c>
      <c r="M311" s="1009">
        <v>13.7</v>
      </c>
      <c r="N311" s="1009">
        <f t="shared" si="12"/>
        <v>1</v>
      </c>
      <c r="O311" s="1009">
        <v>0.32</v>
      </c>
      <c r="P311" s="1009">
        <v>1.17</v>
      </c>
      <c r="Q311" s="1009">
        <v>8.35</v>
      </c>
      <c r="R311" s="1009">
        <f t="shared" si="13"/>
        <v>1</v>
      </c>
      <c r="S311" s="1009">
        <v>0.59</v>
      </c>
      <c r="T311" s="1009">
        <v>1.9</v>
      </c>
      <c r="U311" s="1009">
        <v>95.6</v>
      </c>
      <c r="V311" s="1009">
        <f t="shared" si="14"/>
        <v>1</v>
      </c>
      <c r="W311" s="1009">
        <v>0.06</v>
      </c>
      <c r="X311" s="1009">
        <v>0.42</v>
      </c>
      <c r="Y311" s="1009"/>
      <c r="Z311" s="1009"/>
      <c r="AA311" s="1009"/>
      <c r="AB311" s="1009"/>
      <c r="AC311" s="1009"/>
      <c r="AD311" s="1009"/>
    </row>
    <row r="312" spans="1:30" x14ac:dyDescent="0.25">
      <c r="A312" s="206" t="str">
        <f>Table3[[#This Row],[ocean]]</f>
        <v>pacific</v>
      </c>
      <c r="B312" s="1013" t="s">
        <v>1912</v>
      </c>
      <c r="C312" s="1009">
        <v>78</v>
      </c>
      <c r="D312" s="1009" t="str">
        <f t="shared" si="9"/>
        <v>Southern</v>
      </c>
      <c r="E312" s="170"/>
      <c r="F312" s="1009"/>
      <c r="G312" s="1009">
        <v>-36.685000000000002</v>
      </c>
      <c r="H312" s="1009">
        <v>150.99100000000001</v>
      </c>
      <c r="I312" s="1014" t="s">
        <v>1202</v>
      </c>
      <c r="J312" s="174" t="str">
        <f t="shared" si="10"/>
        <v>yes</v>
      </c>
      <c r="K312" s="1009">
        <f t="shared" si="11"/>
        <v>8</v>
      </c>
      <c r="L312" s="177" t="s">
        <v>1965</v>
      </c>
      <c r="M312" s="1009"/>
      <c r="N312" s="1009">
        <f t="shared" si="12"/>
        <v>0</v>
      </c>
      <c r="O312" s="1009">
        <v>0.32</v>
      </c>
      <c r="P312" s="1009">
        <v>1.17</v>
      </c>
      <c r="Q312" s="1009"/>
      <c r="R312" s="1009">
        <f t="shared" si="13"/>
        <v>0</v>
      </c>
      <c r="S312" s="1009">
        <v>0.59</v>
      </c>
      <c r="T312" s="1009">
        <v>1.9</v>
      </c>
      <c r="U312" s="1009"/>
      <c r="V312" s="1009">
        <f t="shared" si="14"/>
        <v>0</v>
      </c>
      <c r="W312" s="1009">
        <v>0.06</v>
      </c>
      <c r="X312" s="1009">
        <v>0.42</v>
      </c>
      <c r="Y312" s="1009"/>
      <c r="Z312" s="1009"/>
      <c r="AA312" s="1009"/>
      <c r="AB312" s="1009"/>
      <c r="AC312" s="1009"/>
      <c r="AD312" s="1009"/>
    </row>
    <row r="313" spans="1:30" x14ac:dyDescent="0.25">
      <c r="A313" s="206" t="str">
        <f>Table3[[#This Row],[ocean]]</f>
        <v>pacific</v>
      </c>
      <c r="B313" s="1013" t="s">
        <v>1912</v>
      </c>
      <c r="C313" s="1009">
        <v>82</v>
      </c>
      <c r="D313" s="1009" t="str">
        <f t="shared" si="9"/>
        <v>Southern</v>
      </c>
      <c r="E313" s="170"/>
      <c r="F313" s="1009"/>
      <c r="G313" s="1009">
        <v>-23.376000000000001</v>
      </c>
      <c r="H313" s="1009">
        <v>-178.21199999999999</v>
      </c>
      <c r="I313" s="1014" t="s">
        <v>1202</v>
      </c>
      <c r="J313" s="174" t="str">
        <f t="shared" si="10"/>
        <v/>
      </c>
      <c r="K313" s="1009">
        <f t="shared" si="11"/>
        <v>7</v>
      </c>
      <c r="L313" s="177" t="s">
        <v>1966</v>
      </c>
      <c r="M313" s="1009">
        <v>110</v>
      </c>
      <c r="N313" s="1009">
        <f t="shared" si="12"/>
        <v>1</v>
      </c>
      <c r="O313" s="1009">
        <v>0.32</v>
      </c>
      <c r="P313" s="1009">
        <v>1.17</v>
      </c>
      <c r="Q313" s="1009">
        <v>13.4</v>
      </c>
      <c r="R313" s="1009">
        <f t="shared" si="13"/>
        <v>1</v>
      </c>
      <c r="S313" s="1009">
        <v>0.59</v>
      </c>
      <c r="T313" s="1009">
        <v>1.9</v>
      </c>
      <c r="U313" s="1009">
        <v>146</v>
      </c>
      <c r="V313" s="1009">
        <f t="shared" si="14"/>
        <v>1</v>
      </c>
      <c r="W313" s="1009">
        <v>0.06</v>
      </c>
      <c r="X313" s="1009">
        <v>0.42</v>
      </c>
      <c r="Y313" s="1009"/>
      <c r="Z313" s="1009"/>
      <c r="AA313" s="1009"/>
      <c r="AB313" s="1009"/>
      <c r="AC313" s="1009"/>
      <c r="AD313" s="1009"/>
    </row>
    <row r="314" spans="1:30" x14ac:dyDescent="0.25">
      <c r="A314" s="206" t="str">
        <f>Table3[[#This Row],[ocean]]</f>
        <v>pacific</v>
      </c>
      <c r="B314" s="1013" t="s">
        <v>1912</v>
      </c>
      <c r="C314" s="1009">
        <v>84</v>
      </c>
      <c r="D314" s="1009" t="str">
        <f t="shared" si="9"/>
        <v>Southern</v>
      </c>
      <c r="E314" s="170"/>
      <c r="F314" s="1009"/>
      <c r="G314" s="1009">
        <v>-18.553999999999998</v>
      </c>
      <c r="H314" s="1009">
        <v>-175.84800000000001</v>
      </c>
      <c r="I314" s="1014" t="s">
        <v>1202</v>
      </c>
      <c r="J314" s="174" t="str">
        <f t="shared" si="10"/>
        <v/>
      </c>
      <c r="K314" s="1009">
        <f t="shared" si="11"/>
        <v>7</v>
      </c>
      <c r="L314" s="177" t="s">
        <v>1967</v>
      </c>
      <c r="M314" s="1009">
        <v>109</v>
      </c>
      <c r="N314" s="1009">
        <f t="shared" si="12"/>
        <v>1</v>
      </c>
      <c r="O314" s="1009">
        <v>0.32</v>
      </c>
      <c r="P314" s="1009">
        <v>1.17</v>
      </c>
      <c r="Q314" s="1009">
        <v>2.31</v>
      </c>
      <c r="R314" s="1009">
        <f t="shared" si="13"/>
        <v>1</v>
      </c>
      <c r="S314" s="1009">
        <v>0.59</v>
      </c>
      <c r="T314" s="1009">
        <v>1.9</v>
      </c>
      <c r="U314" s="1009">
        <v>74.099999999999994</v>
      </c>
      <c r="V314" s="1009">
        <f t="shared" si="14"/>
        <v>1</v>
      </c>
      <c r="W314" s="1009">
        <v>0.06</v>
      </c>
      <c r="X314" s="1009">
        <v>0.42</v>
      </c>
      <c r="Y314" s="1009"/>
      <c r="Z314" s="1009"/>
      <c r="AA314" s="1009"/>
      <c r="AB314" s="1009"/>
      <c r="AC314" s="1009"/>
      <c r="AD314" s="1009"/>
    </row>
    <row r="315" spans="1:30" x14ac:dyDescent="0.25">
      <c r="A315" s="206" t="str">
        <f>Table3[[#This Row],[ocean]]</f>
        <v>pacific</v>
      </c>
      <c r="B315" s="1013" t="s">
        <v>1912</v>
      </c>
      <c r="C315" s="1009">
        <v>86</v>
      </c>
      <c r="D315" s="1009" t="str">
        <f t="shared" si="9"/>
        <v>Southern</v>
      </c>
      <c r="E315" s="170"/>
      <c r="F315" s="1009"/>
      <c r="G315" s="1009">
        <v>-13.532999999999999</v>
      </c>
      <c r="H315" s="1009">
        <v>-173.39699999999999</v>
      </c>
      <c r="I315" s="1014" t="s">
        <v>1202</v>
      </c>
      <c r="J315" s="700" t="s">
        <v>1458</v>
      </c>
      <c r="K315" s="1009">
        <f t="shared" si="11"/>
        <v>6</v>
      </c>
      <c r="L315" s="177" t="s">
        <v>1968</v>
      </c>
      <c r="M315" s="1009">
        <v>15</v>
      </c>
      <c r="N315" s="1009">
        <f t="shared" si="12"/>
        <v>1</v>
      </c>
      <c r="O315" s="1009">
        <v>0.32</v>
      </c>
      <c r="P315" s="1009">
        <v>1.17</v>
      </c>
      <c r="Q315" s="1009"/>
      <c r="R315" s="1009">
        <f t="shared" si="13"/>
        <v>0</v>
      </c>
      <c r="S315" s="1009">
        <v>0.59</v>
      </c>
      <c r="T315" s="1009">
        <v>1.9</v>
      </c>
      <c r="U315" s="1009">
        <v>52</v>
      </c>
      <c r="V315" s="1009">
        <f t="shared" si="14"/>
        <v>1</v>
      </c>
      <c r="W315" s="1009">
        <v>0.06</v>
      </c>
      <c r="X315" s="1009">
        <v>0.42</v>
      </c>
      <c r="Y315" s="1009"/>
      <c r="Z315" s="1009"/>
      <c r="AA315" s="1009"/>
      <c r="AB315" s="1009"/>
      <c r="AC315" s="1009"/>
      <c r="AD315" s="1009"/>
    </row>
    <row r="316" spans="1:30" x14ac:dyDescent="0.25">
      <c r="A316" s="206" t="str">
        <f>Table3[[#This Row],[ocean]]</f>
        <v>pacific</v>
      </c>
      <c r="B316" s="1013" t="s">
        <v>1912</v>
      </c>
      <c r="C316" s="1009">
        <v>88</v>
      </c>
      <c r="D316" s="1009" t="str">
        <f t="shared" si="9"/>
        <v>Southern</v>
      </c>
      <c r="E316" s="170"/>
      <c r="F316" s="1009"/>
      <c r="G316" s="1009">
        <v>-9.4600000000000009</v>
      </c>
      <c r="H316" s="1009">
        <v>-172.32300000000001</v>
      </c>
      <c r="I316" s="1014" t="s">
        <v>1202</v>
      </c>
      <c r="J316" s="700" t="s">
        <v>1458</v>
      </c>
      <c r="K316" s="1009">
        <f t="shared" si="11"/>
        <v>6</v>
      </c>
      <c r="L316" s="177" t="s">
        <v>1969</v>
      </c>
      <c r="M316" s="1009"/>
      <c r="N316" s="1009">
        <f t="shared" si="12"/>
        <v>0</v>
      </c>
      <c r="O316" s="1009">
        <v>0.32</v>
      </c>
      <c r="P316" s="1009">
        <v>1.17</v>
      </c>
      <c r="Q316" s="1009"/>
      <c r="R316" s="1009">
        <f t="shared" si="13"/>
        <v>0</v>
      </c>
      <c r="S316" s="1009">
        <v>0.59</v>
      </c>
      <c r="T316" s="1009">
        <v>1.9</v>
      </c>
      <c r="U316" s="1009">
        <v>159</v>
      </c>
      <c r="V316" s="1009">
        <f t="shared" si="14"/>
        <v>1</v>
      </c>
      <c r="W316" s="1009">
        <v>0.06</v>
      </c>
      <c r="X316" s="1009">
        <v>0.42</v>
      </c>
      <c r="Y316" s="1009"/>
      <c r="Z316" s="1009"/>
      <c r="AA316" s="1009"/>
      <c r="AB316" s="1009"/>
      <c r="AC316" s="1009"/>
      <c r="AD316" s="1009"/>
    </row>
    <row r="317" spans="1:30" x14ac:dyDescent="0.25">
      <c r="A317" s="206" t="str">
        <f>Table3[[#This Row],[ocean]]</f>
        <v>pacific</v>
      </c>
      <c r="B317" s="1013" t="s">
        <v>1912</v>
      </c>
      <c r="C317" s="1009">
        <v>90</v>
      </c>
      <c r="D317" s="1009" t="str">
        <f t="shared" si="9"/>
        <v>Southern</v>
      </c>
      <c r="E317" s="170"/>
      <c r="F317" s="1009"/>
      <c r="G317" s="1009">
        <v>-5.7329999999999997</v>
      </c>
      <c r="H317" s="1009">
        <v>-170.78100000000001</v>
      </c>
      <c r="I317" s="1014" t="s">
        <v>1202</v>
      </c>
      <c r="J317" s="174" t="str">
        <f t="shared" si="10"/>
        <v/>
      </c>
      <c r="K317" s="1009">
        <f t="shared" si="11"/>
        <v>6</v>
      </c>
      <c r="L317" s="177" t="s">
        <v>1970</v>
      </c>
      <c r="M317" s="1009"/>
      <c r="N317" s="1009">
        <f t="shared" si="12"/>
        <v>0</v>
      </c>
      <c r="O317" s="1009">
        <v>0.32</v>
      </c>
      <c r="P317" s="1009">
        <v>1.17</v>
      </c>
      <c r="Q317" s="1009">
        <v>11</v>
      </c>
      <c r="R317" s="1009">
        <f t="shared" si="13"/>
        <v>1</v>
      </c>
      <c r="S317" s="1009">
        <v>0.59</v>
      </c>
      <c r="T317" s="1009">
        <v>1.9</v>
      </c>
      <c r="U317" s="1009">
        <v>174</v>
      </c>
      <c r="V317" s="1009">
        <f t="shared" si="14"/>
        <v>1</v>
      </c>
      <c r="W317" s="1009">
        <v>0.06</v>
      </c>
      <c r="X317" s="1009">
        <v>0.42</v>
      </c>
      <c r="Y317" s="1009"/>
      <c r="Z317" s="1009"/>
      <c r="AA317" s="1009"/>
      <c r="AB317" s="1009"/>
      <c r="AC317" s="1009"/>
      <c r="AD317" s="1009"/>
    </row>
    <row r="318" spans="1:30" x14ac:dyDescent="0.25">
      <c r="A318" s="206" t="str">
        <f>Table3[[#This Row],[ocean]]</f>
        <v>pacific</v>
      </c>
      <c r="B318" s="1013" t="s">
        <v>1912</v>
      </c>
      <c r="C318" s="1009">
        <v>92</v>
      </c>
      <c r="D318" s="1009" t="str">
        <f t="shared" si="9"/>
        <v>Southern</v>
      </c>
      <c r="E318" s="170"/>
      <c r="F318" s="1009"/>
      <c r="G318" s="1009">
        <v>-1.304</v>
      </c>
      <c r="H318" s="1009">
        <v>-168.357</v>
      </c>
      <c r="I318" s="1014" t="s">
        <v>1202</v>
      </c>
      <c r="J318" s="174" t="str">
        <f t="shared" si="10"/>
        <v/>
      </c>
      <c r="K318" s="1009">
        <f t="shared" si="11"/>
        <v>6</v>
      </c>
      <c r="L318" s="177" t="s">
        <v>1971</v>
      </c>
      <c r="M318" s="1009">
        <v>9</v>
      </c>
      <c r="N318" s="1009">
        <f t="shared" si="12"/>
        <v>1</v>
      </c>
      <c r="O318" s="1009">
        <v>0.32</v>
      </c>
      <c r="P318" s="1009">
        <v>1.17</v>
      </c>
      <c r="Q318" s="1009">
        <v>8</v>
      </c>
      <c r="R318" s="1009">
        <f t="shared" si="13"/>
        <v>1</v>
      </c>
      <c r="S318" s="1009">
        <v>0.59</v>
      </c>
      <c r="T318" s="1009">
        <v>1.9</v>
      </c>
      <c r="U318" s="1009">
        <v>105</v>
      </c>
      <c r="V318" s="1009">
        <f t="shared" si="14"/>
        <v>1</v>
      </c>
      <c r="W318" s="1009">
        <v>0.06</v>
      </c>
      <c r="X318" s="1009">
        <v>0.42</v>
      </c>
      <c r="Y318" s="1009"/>
      <c r="Z318" s="1009"/>
      <c r="AA318" s="1009"/>
      <c r="AB318" s="1009"/>
      <c r="AC318" s="1009"/>
      <c r="AD318" s="1009"/>
    </row>
    <row r="319" spans="1:30" x14ac:dyDescent="0.25">
      <c r="A319" s="206" t="str">
        <f>Table3[[#This Row],[ocean]]</f>
        <v>pacific</v>
      </c>
      <c r="B319" s="1013" t="s">
        <v>1912</v>
      </c>
      <c r="C319" s="1009">
        <v>94</v>
      </c>
      <c r="D319" s="1009" t="str">
        <f t="shared" si="9"/>
        <v>Northern</v>
      </c>
      <c r="E319" s="170"/>
      <c r="F319" s="1009"/>
      <c r="G319" s="1009">
        <v>3.8210000000000002</v>
      </c>
      <c r="H319" s="1009">
        <v>-165.80500000000001</v>
      </c>
      <c r="I319" s="1014" t="s">
        <v>1202</v>
      </c>
      <c r="J319" s="174" t="str">
        <f t="shared" si="10"/>
        <v/>
      </c>
      <c r="K319" s="1009">
        <f t="shared" si="11"/>
        <v>5</v>
      </c>
      <c r="L319" s="177" t="s">
        <v>1972</v>
      </c>
      <c r="M319" s="1009">
        <v>4.5</v>
      </c>
      <c r="N319" s="1009">
        <f t="shared" si="12"/>
        <v>1</v>
      </c>
      <c r="O319" s="1009">
        <v>0.32</v>
      </c>
      <c r="P319" s="1009">
        <v>1.17</v>
      </c>
      <c r="Q319" s="1009">
        <v>11</v>
      </c>
      <c r="R319" s="1009">
        <f t="shared" si="13"/>
        <v>1</v>
      </c>
      <c r="S319" s="1009">
        <v>0.59</v>
      </c>
      <c r="T319" s="1009">
        <v>1.9</v>
      </c>
      <c r="U319" s="1009">
        <v>218</v>
      </c>
      <c r="V319" s="1009">
        <f t="shared" si="14"/>
        <v>1</v>
      </c>
      <c r="W319" s="1009">
        <v>0.06</v>
      </c>
      <c r="X319" s="1009">
        <v>0.42</v>
      </c>
      <c r="Y319" s="1009"/>
      <c r="Z319" s="1009"/>
      <c r="AA319" s="1009"/>
      <c r="AB319" s="1009"/>
      <c r="AC319" s="1009"/>
      <c r="AD319" s="1009"/>
    </row>
    <row r="320" spans="1:30" x14ac:dyDescent="0.25">
      <c r="A320" s="206" t="str">
        <f>Table3[[#This Row],[ocean]]</f>
        <v>pacific</v>
      </c>
      <c r="B320" s="1013" t="s">
        <v>1912</v>
      </c>
      <c r="C320" s="1009">
        <v>97</v>
      </c>
      <c r="D320" s="1009" t="str">
        <f t="shared" si="9"/>
        <v>Northern</v>
      </c>
      <c r="E320" s="170"/>
      <c r="F320" s="1009"/>
      <c r="G320" s="1009">
        <v>11.6</v>
      </c>
      <c r="H320" s="1009">
        <v>-162.422</v>
      </c>
      <c r="I320" s="1014" t="s">
        <v>1202</v>
      </c>
      <c r="J320" s="174" t="str">
        <f t="shared" si="10"/>
        <v>yes</v>
      </c>
      <c r="K320" s="1009">
        <f t="shared" si="11"/>
        <v>5</v>
      </c>
      <c r="L320" s="177" t="s">
        <v>1973</v>
      </c>
      <c r="M320" s="1009"/>
      <c r="N320" s="1009">
        <f t="shared" si="12"/>
        <v>0</v>
      </c>
      <c r="O320" s="1009">
        <v>0.32</v>
      </c>
      <c r="P320" s="1009">
        <v>1.17</v>
      </c>
      <c r="Q320" s="1009">
        <v>7</v>
      </c>
      <c r="R320" s="1009">
        <f t="shared" si="13"/>
        <v>1</v>
      </c>
      <c r="S320" s="1009">
        <v>0.59</v>
      </c>
      <c r="T320" s="1009">
        <v>1.9</v>
      </c>
      <c r="U320" s="1009"/>
      <c r="V320" s="1009">
        <f t="shared" si="14"/>
        <v>0</v>
      </c>
      <c r="W320" s="1009">
        <v>0.06</v>
      </c>
      <c r="X320" s="1009">
        <v>0.42</v>
      </c>
      <c r="Y320" s="1009"/>
      <c r="Z320" s="1009"/>
      <c r="AA320" s="1009"/>
      <c r="AB320" s="1009"/>
      <c r="AC320" s="1009"/>
      <c r="AD320" s="1009"/>
    </row>
    <row r="321" spans="1:30" x14ac:dyDescent="0.25">
      <c r="A321" s="206" t="str">
        <f>Table3[[#This Row],[ocean]]</f>
        <v>pacific</v>
      </c>
      <c r="B321" s="1013" t="s">
        <v>1912</v>
      </c>
      <c r="C321" s="1009">
        <v>99</v>
      </c>
      <c r="D321" s="1009" t="str">
        <f t="shared" si="9"/>
        <v>Northern</v>
      </c>
      <c r="E321" s="170"/>
      <c r="F321" s="1009"/>
      <c r="G321" s="1009">
        <v>17.977</v>
      </c>
      <c r="H321" s="1009">
        <v>-159.44200000000001</v>
      </c>
      <c r="I321" s="1014" t="s">
        <v>1202</v>
      </c>
      <c r="J321" s="700" t="s">
        <v>1458</v>
      </c>
      <c r="K321" s="1009">
        <f t="shared" si="11"/>
        <v>5</v>
      </c>
      <c r="L321" s="177" t="s">
        <v>1974</v>
      </c>
      <c r="M321" s="1009">
        <v>61.5</v>
      </c>
      <c r="N321" s="1009">
        <f t="shared" si="12"/>
        <v>1</v>
      </c>
      <c r="O321" s="1009">
        <v>0.32</v>
      </c>
      <c r="P321" s="1009">
        <v>1.17</v>
      </c>
      <c r="Q321" s="1009">
        <v>169</v>
      </c>
      <c r="R321" s="1009">
        <f t="shared" si="13"/>
        <v>1</v>
      </c>
      <c r="S321" s="1009">
        <v>0.59</v>
      </c>
      <c r="T321" s="1009">
        <v>1.9</v>
      </c>
      <c r="U321" s="1009">
        <v>232</v>
      </c>
      <c r="V321" s="1009">
        <f t="shared" si="14"/>
        <v>1</v>
      </c>
      <c r="W321" s="1009">
        <v>0.06</v>
      </c>
      <c r="X321" s="1009">
        <v>0.42</v>
      </c>
      <c r="Y321" s="1009"/>
      <c r="Z321" s="1009"/>
      <c r="AA321" s="1009"/>
      <c r="AB321" s="1009"/>
      <c r="AC321" s="1009"/>
      <c r="AD321" s="1009"/>
    </row>
    <row r="322" spans="1:30" x14ac:dyDescent="0.25">
      <c r="A322" s="206" t="str">
        <f>Table3[[#This Row],[ocean]]</f>
        <v>pacific</v>
      </c>
      <c r="B322" s="1013" t="s">
        <v>1912</v>
      </c>
      <c r="C322" s="1009">
        <v>102</v>
      </c>
      <c r="D322" s="1009" t="str">
        <f t="shared" si="9"/>
        <v>Northern</v>
      </c>
      <c r="E322" s="170"/>
      <c r="F322" s="1009"/>
      <c r="G322" s="1009">
        <v>21.571000000000002</v>
      </c>
      <c r="H322" s="1009">
        <v>-153.41999999999999</v>
      </c>
      <c r="I322" s="1014" t="s">
        <v>1202</v>
      </c>
      <c r="J322" s="700" t="s">
        <v>1458</v>
      </c>
      <c r="K322" s="1009">
        <f t="shared" si="11"/>
        <v>4</v>
      </c>
      <c r="L322" s="177" t="s">
        <v>1975</v>
      </c>
      <c r="M322" s="1009">
        <v>49.4</v>
      </c>
      <c r="N322" s="1009">
        <f t="shared" si="12"/>
        <v>1</v>
      </c>
      <c r="O322" s="1009">
        <v>0.32</v>
      </c>
      <c r="P322" s="1009">
        <v>1.17</v>
      </c>
      <c r="Q322" s="1009">
        <v>12.4</v>
      </c>
      <c r="R322" s="1009">
        <f t="shared" si="13"/>
        <v>1</v>
      </c>
      <c r="S322" s="1009">
        <v>0.59</v>
      </c>
      <c r="T322" s="1009">
        <v>1.9</v>
      </c>
      <c r="U322" s="1009">
        <v>216</v>
      </c>
      <c r="V322" s="1009">
        <f t="shared" si="14"/>
        <v>1</v>
      </c>
      <c r="W322" s="1009">
        <v>0.06</v>
      </c>
      <c r="X322" s="1009">
        <v>0.42</v>
      </c>
      <c r="Y322" s="1009"/>
      <c r="Z322" s="1009"/>
      <c r="AA322" s="1009"/>
      <c r="AB322" s="1009"/>
      <c r="AC322" s="1009"/>
      <c r="AD322" s="1009"/>
    </row>
    <row r="323" spans="1:30" x14ac:dyDescent="0.25">
      <c r="A323" s="206" t="str">
        <f>Table3[[#This Row],[ocean]]</f>
        <v>pacific</v>
      </c>
      <c r="B323" s="1013" t="s">
        <v>1912</v>
      </c>
      <c r="C323" s="1009">
        <v>103</v>
      </c>
      <c r="D323" s="1009" t="str">
        <f t="shared" si="9"/>
        <v>Northern</v>
      </c>
      <c r="E323" s="170"/>
      <c r="F323" s="1009"/>
      <c r="G323" s="1009">
        <v>21.067</v>
      </c>
      <c r="H323" s="1009">
        <v>-150.36600000000001</v>
      </c>
      <c r="I323" s="1014" t="s">
        <v>1202</v>
      </c>
      <c r="J323" s="700" t="s">
        <v>1458</v>
      </c>
      <c r="K323" s="1009">
        <f t="shared" si="11"/>
        <v>4</v>
      </c>
      <c r="L323" s="177" t="s">
        <v>1976</v>
      </c>
      <c r="M323" s="1009">
        <v>31.1</v>
      </c>
      <c r="N323" s="1009">
        <f t="shared" si="12"/>
        <v>1</v>
      </c>
      <c r="O323" s="1009">
        <v>0.32</v>
      </c>
      <c r="P323" s="1009">
        <v>1.17</v>
      </c>
      <c r="Q323" s="1009">
        <v>178</v>
      </c>
      <c r="R323" s="1009">
        <f t="shared" si="13"/>
        <v>1</v>
      </c>
      <c r="S323" s="1009">
        <v>0.59</v>
      </c>
      <c r="T323" s="1009">
        <v>1.9</v>
      </c>
      <c r="U323" s="1009">
        <v>112</v>
      </c>
      <c r="V323" s="1009">
        <f t="shared" si="14"/>
        <v>1</v>
      </c>
      <c r="W323" s="1009">
        <v>0.06</v>
      </c>
      <c r="X323" s="1009">
        <v>0.42</v>
      </c>
      <c r="Y323" s="1009"/>
      <c r="Z323" s="1009"/>
      <c r="AA323" s="1009"/>
      <c r="AB323" s="1009"/>
      <c r="AC323" s="1009"/>
      <c r="AD323" s="1009"/>
    </row>
    <row r="324" spans="1:30" x14ac:dyDescent="0.25">
      <c r="A324" s="206" t="str">
        <f>Table3[[#This Row],[ocean]]</f>
        <v>pacific</v>
      </c>
      <c r="B324" s="1013" t="s">
        <v>1912</v>
      </c>
      <c r="C324" s="1009">
        <v>106</v>
      </c>
      <c r="D324" s="1009" t="str">
        <f t="shared" si="9"/>
        <v>Northern</v>
      </c>
      <c r="E324" s="170"/>
      <c r="F324" s="1009"/>
      <c r="G324" s="1009">
        <v>19.902000000000001</v>
      </c>
      <c r="H324" s="1009">
        <v>-141.61699999999999</v>
      </c>
      <c r="I324" s="1014" t="s">
        <v>1202</v>
      </c>
      <c r="J324" s="174" t="str">
        <f t="shared" ref="J324:J351" si="15">IF(V324=1,"","yes")</f>
        <v/>
      </c>
      <c r="K324" s="1009">
        <f t="shared" si="11"/>
        <v>4</v>
      </c>
      <c r="L324" s="177" t="s">
        <v>1977</v>
      </c>
      <c r="M324" s="1009">
        <v>115</v>
      </c>
      <c r="N324" s="1009">
        <f t="shared" si="12"/>
        <v>1</v>
      </c>
      <c r="O324" s="1009">
        <v>0.32</v>
      </c>
      <c r="P324" s="1009">
        <v>1.17</v>
      </c>
      <c r="Q324" s="1009">
        <v>70</v>
      </c>
      <c r="R324" s="1009">
        <f t="shared" si="13"/>
        <v>1</v>
      </c>
      <c r="S324" s="1009">
        <v>0.59</v>
      </c>
      <c r="T324" s="1009">
        <v>1.9</v>
      </c>
      <c r="U324" s="1009">
        <v>119</v>
      </c>
      <c r="V324" s="1009">
        <f t="shared" si="14"/>
        <v>1</v>
      </c>
      <c r="W324" s="1009">
        <v>0.06</v>
      </c>
      <c r="X324" s="1009">
        <v>0.42</v>
      </c>
      <c r="Y324" s="1009"/>
      <c r="Z324" s="1009"/>
      <c r="AA324" s="1009"/>
      <c r="AB324" s="1009"/>
      <c r="AC324" s="1009"/>
      <c r="AD324" s="1009"/>
    </row>
    <row r="325" spans="1:30" x14ac:dyDescent="0.25">
      <c r="A325" s="206" t="str">
        <f>Table3[[#This Row],[ocean]]</f>
        <v>pacific</v>
      </c>
      <c r="B325" s="1013" t="s">
        <v>1912</v>
      </c>
      <c r="C325" s="1009">
        <v>107</v>
      </c>
      <c r="D325" s="1009" t="str">
        <f t="shared" ref="D325:D351" si="16">IF(G325&gt;0,"Northern","Southern")</f>
        <v>Northern</v>
      </c>
      <c r="E325" s="170"/>
      <c r="F325" s="1009"/>
      <c r="G325" s="1009">
        <v>19.279</v>
      </c>
      <c r="H325" s="1009">
        <v>-138.96600000000001</v>
      </c>
      <c r="I325" s="1014" t="s">
        <v>1202</v>
      </c>
      <c r="J325" s="174" t="str">
        <f t="shared" si="15"/>
        <v/>
      </c>
      <c r="K325" s="1009">
        <f t="shared" ref="K325:K351" si="17">IF(G325&gt;$AH$23,$AG$23,IF(G325&gt;$AH$24,$AG$24,IF(G325&gt;$AH$25,$AG$25,IF(G325&gt;$AH$26,$AG$26,IF(G325&gt;$AH$27,$AG$27,IF(G325&gt;$AH$29,$AG$28,IF(G325&gt;$AH$30,$AG$29,IF(G325&gt;$AH$31,$AG$30,IF(G325&gt;$AH$32,$AG$31,$AG$32)))))))))</f>
        <v>4</v>
      </c>
      <c r="L325" s="177" t="s">
        <v>1978</v>
      </c>
      <c r="M325" s="1009">
        <v>79.599999999999994</v>
      </c>
      <c r="N325" s="1009">
        <f t="shared" ref="N325:N351" si="18">IF(M325&gt;P325,1,0)</f>
        <v>1</v>
      </c>
      <c r="O325" s="1009">
        <v>0.32</v>
      </c>
      <c r="P325" s="1009">
        <v>1.17</v>
      </c>
      <c r="Q325" s="1009">
        <v>36.200000000000003</v>
      </c>
      <c r="R325" s="1009">
        <f t="shared" ref="R325:R351" si="19">IF(Q325&gt;T325,1,0)</f>
        <v>1</v>
      </c>
      <c r="S325" s="1009">
        <v>0.59</v>
      </c>
      <c r="T325" s="1009">
        <v>1.9</v>
      </c>
      <c r="U325" s="1009">
        <v>101</v>
      </c>
      <c r="V325" s="1009">
        <f t="shared" ref="V325:V351" si="20">IF(U325&gt;X325,1,0)</f>
        <v>1</v>
      </c>
      <c r="W325" s="1009">
        <v>0.06</v>
      </c>
      <c r="X325" s="1009">
        <v>0.42</v>
      </c>
      <c r="Y325" s="1009"/>
      <c r="Z325" s="1009"/>
      <c r="AA325" s="1009"/>
      <c r="AB325" s="1009"/>
      <c r="AC325" s="1009"/>
      <c r="AD325" s="1009"/>
    </row>
    <row r="326" spans="1:30" x14ac:dyDescent="0.25">
      <c r="A326" s="206" t="str">
        <f>Table3[[#This Row],[ocean]]</f>
        <v>pacific</v>
      </c>
      <c r="B326" s="1013" t="s">
        <v>1912</v>
      </c>
      <c r="C326" s="1009">
        <v>109</v>
      </c>
      <c r="D326" s="1009" t="str">
        <f t="shared" si="16"/>
        <v>Northern</v>
      </c>
      <c r="E326" s="170"/>
      <c r="F326" s="1009"/>
      <c r="G326" s="1009">
        <v>18.056999999999999</v>
      </c>
      <c r="H326" s="1009">
        <v>-133.262</v>
      </c>
      <c r="I326" s="1014" t="s">
        <v>1202</v>
      </c>
      <c r="J326" s="174" t="str">
        <f t="shared" si="15"/>
        <v/>
      </c>
      <c r="K326" s="1009">
        <f t="shared" si="17"/>
        <v>4</v>
      </c>
      <c r="L326" s="177" t="s">
        <v>1979</v>
      </c>
      <c r="M326" s="1009">
        <v>50.8</v>
      </c>
      <c r="N326" s="1009">
        <f t="shared" si="18"/>
        <v>1</v>
      </c>
      <c r="O326" s="1009">
        <v>0.32</v>
      </c>
      <c r="P326" s="1009">
        <v>1.17</v>
      </c>
      <c r="Q326" s="1009">
        <v>89.5</v>
      </c>
      <c r="R326" s="1009">
        <f t="shared" si="19"/>
        <v>1</v>
      </c>
      <c r="S326" s="1009">
        <v>0.59</v>
      </c>
      <c r="T326" s="1009">
        <v>1.9</v>
      </c>
      <c r="U326" s="1009">
        <v>110</v>
      </c>
      <c r="V326" s="1009">
        <f t="shared" si="20"/>
        <v>1</v>
      </c>
      <c r="W326" s="1009">
        <v>0.06</v>
      </c>
      <c r="X326" s="1009">
        <v>0.42</v>
      </c>
      <c r="Y326" s="1009"/>
      <c r="Z326" s="1009"/>
      <c r="AA326" s="1009"/>
      <c r="AB326" s="1009"/>
      <c r="AC326" s="1009"/>
      <c r="AD326" s="1009"/>
    </row>
    <row r="327" spans="1:30" x14ac:dyDescent="0.25">
      <c r="A327" s="206" t="str">
        <f>Table3[[#This Row],[ocean]]</f>
        <v>pacific</v>
      </c>
      <c r="B327" s="1013" t="s">
        <v>1912</v>
      </c>
      <c r="C327" s="1009">
        <v>110</v>
      </c>
      <c r="D327" s="1009" t="str">
        <f t="shared" si="16"/>
        <v>Northern</v>
      </c>
      <c r="E327" s="170"/>
      <c r="F327" s="1009"/>
      <c r="G327" s="1009">
        <v>17.404</v>
      </c>
      <c r="H327" s="1009">
        <v>-130.595</v>
      </c>
      <c r="I327" s="1014" t="s">
        <v>1202</v>
      </c>
      <c r="J327" s="174" t="str">
        <f t="shared" si="15"/>
        <v/>
      </c>
      <c r="K327" s="1009">
        <f t="shared" si="17"/>
        <v>5</v>
      </c>
      <c r="L327" s="177" t="s">
        <v>1980</v>
      </c>
      <c r="M327" s="1009">
        <v>56</v>
      </c>
      <c r="N327" s="1009">
        <f t="shared" si="18"/>
        <v>1</v>
      </c>
      <c r="O327" s="1009">
        <v>0.32</v>
      </c>
      <c r="P327" s="1009">
        <v>1.17</v>
      </c>
      <c r="Q327" s="1009">
        <v>476</v>
      </c>
      <c r="R327" s="1009">
        <f t="shared" si="19"/>
        <v>1</v>
      </c>
      <c r="S327" s="1009">
        <v>0.59</v>
      </c>
      <c r="T327" s="1009">
        <v>1.9</v>
      </c>
      <c r="U327" s="1009">
        <v>46</v>
      </c>
      <c r="V327" s="1009">
        <f t="shared" si="20"/>
        <v>1</v>
      </c>
      <c r="W327" s="1009">
        <v>0.06</v>
      </c>
      <c r="X327" s="1009">
        <v>0.42</v>
      </c>
      <c r="Y327" s="1009"/>
      <c r="Z327" s="1009"/>
      <c r="AA327" s="1009"/>
      <c r="AB327" s="1009"/>
      <c r="AC327" s="1009"/>
      <c r="AD327" s="1009"/>
    </row>
    <row r="328" spans="1:30" x14ac:dyDescent="0.25">
      <c r="A328" s="206" t="str">
        <f>Table3[[#This Row],[ocean]]</f>
        <v>pacific</v>
      </c>
      <c r="B328" s="1013" t="s">
        <v>1912</v>
      </c>
      <c r="C328" s="1009">
        <v>112</v>
      </c>
      <c r="D328" s="1009" t="str">
        <f t="shared" si="16"/>
        <v>Northern</v>
      </c>
      <c r="E328" s="170"/>
      <c r="F328" s="1009"/>
      <c r="G328" s="1009">
        <v>15.914</v>
      </c>
      <c r="H328" s="1009">
        <v>-124.508</v>
      </c>
      <c r="I328" s="1014" t="s">
        <v>1202</v>
      </c>
      <c r="J328" s="174" t="str">
        <f t="shared" si="15"/>
        <v/>
      </c>
      <c r="K328" s="1009">
        <f t="shared" si="17"/>
        <v>5</v>
      </c>
      <c r="L328" s="177" t="s">
        <v>1981</v>
      </c>
      <c r="M328" s="1009">
        <v>88</v>
      </c>
      <c r="N328" s="1009">
        <f t="shared" si="18"/>
        <v>1</v>
      </c>
      <c r="O328" s="1009">
        <v>0.32</v>
      </c>
      <c r="P328" s="1009">
        <v>1.17</v>
      </c>
      <c r="Q328" s="1009">
        <v>24.6</v>
      </c>
      <c r="R328" s="1009">
        <f t="shared" si="19"/>
        <v>1</v>
      </c>
      <c r="S328" s="1009">
        <v>0.59</v>
      </c>
      <c r="T328" s="1009">
        <v>1.9</v>
      </c>
      <c r="U328" s="1009">
        <v>79.5</v>
      </c>
      <c r="V328" s="1009">
        <f t="shared" si="20"/>
        <v>1</v>
      </c>
      <c r="W328" s="1009">
        <v>0.06</v>
      </c>
      <c r="X328" s="1009">
        <v>0.42</v>
      </c>
      <c r="Y328" s="1009"/>
      <c r="Z328" s="1009"/>
      <c r="AA328" s="1009"/>
      <c r="AB328" s="1009"/>
      <c r="AC328" s="1009"/>
      <c r="AD328" s="1009"/>
    </row>
    <row r="329" spans="1:30" x14ac:dyDescent="0.25">
      <c r="A329" s="206" t="str">
        <f>Table3[[#This Row],[ocean]]</f>
        <v>pacific</v>
      </c>
      <c r="B329" s="1013" t="s">
        <v>1912</v>
      </c>
      <c r="C329" s="1009">
        <v>113</v>
      </c>
      <c r="D329" s="1009" t="str">
        <f t="shared" si="16"/>
        <v>Northern</v>
      </c>
      <c r="E329" s="170"/>
      <c r="F329" s="1009"/>
      <c r="G329" s="1009">
        <v>15.311</v>
      </c>
      <c r="H329" s="1009">
        <v>-121.995</v>
      </c>
      <c r="I329" s="1014" t="s">
        <v>1202</v>
      </c>
      <c r="J329" s="174" t="str">
        <f t="shared" si="15"/>
        <v/>
      </c>
      <c r="K329" s="1009">
        <f t="shared" si="17"/>
        <v>5</v>
      </c>
      <c r="L329" s="177" t="s">
        <v>1982</v>
      </c>
      <c r="M329" s="1009">
        <v>34.200000000000003</v>
      </c>
      <c r="N329" s="1009">
        <f t="shared" si="18"/>
        <v>1</v>
      </c>
      <c r="O329" s="1009">
        <v>0.32</v>
      </c>
      <c r="P329" s="1009">
        <v>1.17</v>
      </c>
      <c r="Q329" s="1009">
        <v>144</v>
      </c>
      <c r="R329" s="1009">
        <f t="shared" si="19"/>
        <v>1</v>
      </c>
      <c r="S329" s="1009">
        <v>0.59</v>
      </c>
      <c r="T329" s="1009">
        <v>1.9</v>
      </c>
      <c r="U329" s="1009">
        <v>69.599999999999994</v>
      </c>
      <c r="V329" s="1009">
        <f t="shared" si="20"/>
        <v>1</v>
      </c>
      <c r="W329" s="1009">
        <v>0.06</v>
      </c>
      <c r="X329" s="1009">
        <v>0.42</v>
      </c>
      <c r="Y329" s="1009"/>
      <c r="Z329" s="1009"/>
      <c r="AA329" s="1009"/>
      <c r="AB329" s="1009"/>
      <c r="AC329" s="1009"/>
      <c r="AD329" s="1009"/>
    </row>
    <row r="330" spans="1:30" x14ac:dyDescent="0.25">
      <c r="A330" s="206" t="str">
        <f>Table3[[#This Row],[ocean]]</f>
        <v>pacific</v>
      </c>
      <c r="B330" s="1013" t="s">
        <v>1912</v>
      </c>
      <c r="C330" s="1009">
        <v>114</v>
      </c>
      <c r="D330" s="1009" t="str">
        <f t="shared" si="16"/>
        <v>Northern</v>
      </c>
      <c r="E330" s="170"/>
      <c r="F330" s="1009"/>
      <c r="G330" s="1009">
        <v>14.529</v>
      </c>
      <c r="H330" s="1009">
        <v>-118.773</v>
      </c>
      <c r="I330" s="1014" t="s">
        <v>1202</v>
      </c>
      <c r="J330" s="174" t="str">
        <f t="shared" si="15"/>
        <v/>
      </c>
      <c r="K330" s="1009">
        <f t="shared" si="17"/>
        <v>5</v>
      </c>
      <c r="L330" s="177" t="s">
        <v>1983</v>
      </c>
      <c r="M330" s="1009">
        <v>41.3</v>
      </c>
      <c r="N330" s="1009">
        <f t="shared" si="18"/>
        <v>1</v>
      </c>
      <c r="O330" s="1009">
        <v>0.32</v>
      </c>
      <c r="P330" s="1009">
        <v>1.17</v>
      </c>
      <c r="Q330" s="1009">
        <v>300</v>
      </c>
      <c r="R330" s="1009">
        <f t="shared" si="19"/>
        <v>1</v>
      </c>
      <c r="S330" s="1009">
        <v>0.59</v>
      </c>
      <c r="T330" s="1009">
        <v>1.9</v>
      </c>
      <c r="U330" s="1009">
        <v>158</v>
      </c>
      <c r="V330" s="1009">
        <f t="shared" si="20"/>
        <v>1</v>
      </c>
      <c r="W330" s="1009">
        <v>0.06</v>
      </c>
      <c r="X330" s="1009">
        <v>0.42</v>
      </c>
      <c r="Y330" s="1009"/>
      <c r="Z330" s="1009"/>
      <c r="AA330" s="1009"/>
      <c r="AB330" s="1009"/>
      <c r="AC330" s="1009"/>
      <c r="AD330" s="1009"/>
    </row>
    <row r="331" spans="1:30" x14ac:dyDescent="0.25">
      <c r="A331" s="206" t="str">
        <f>Table3[[#This Row],[ocean]]</f>
        <v>pacific</v>
      </c>
      <c r="B331" s="1013" t="s">
        <v>1912</v>
      </c>
      <c r="C331" s="1009">
        <v>116</v>
      </c>
      <c r="D331" s="1009" t="str">
        <f t="shared" si="16"/>
        <v>Northern</v>
      </c>
      <c r="E331" s="170"/>
      <c r="F331" s="1009"/>
      <c r="G331" s="1009">
        <v>13.195</v>
      </c>
      <c r="H331" s="1009">
        <v>-113.27</v>
      </c>
      <c r="I331" s="1014" t="s">
        <v>1202</v>
      </c>
      <c r="J331" s="174" t="str">
        <f t="shared" si="15"/>
        <v/>
      </c>
      <c r="K331" s="1009">
        <f t="shared" si="17"/>
        <v>5</v>
      </c>
      <c r="L331" s="177" t="s">
        <v>1984</v>
      </c>
      <c r="M331" s="1009">
        <v>34.200000000000003</v>
      </c>
      <c r="N331" s="1009">
        <f t="shared" si="18"/>
        <v>1</v>
      </c>
      <c r="O331" s="1009">
        <v>0.32</v>
      </c>
      <c r="P331" s="1009">
        <v>1.17</v>
      </c>
      <c r="Q331" s="1009">
        <v>132</v>
      </c>
      <c r="R331" s="1009">
        <f t="shared" si="19"/>
        <v>1</v>
      </c>
      <c r="S331" s="1009">
        <v>0.59</v>
      </c>
      <c r="T331" s="1009">
        <v>1.9</v>
      </c>
      <c r="U331" s="1009">
        <v>64.2</v>
      </c>
      <c r="V331" s="1009">
        <f t="shared" si="20"/>
        <v>1</v>
      </c>
      <c r="W331" s="1009">
        <v>0.06</v>
      </c>
      <c r="X331" s="1009">
        <v>0.42</v>
      </c>
      <c r="Y331" s="1009"/>
      <c r="Z331" s="1009"/>
      <c r="AA331" s="1009"/>
      <c r="AB331" s="1009"/>
      <c r="AC331" s="1009"/>
      <c r="AD331" s="1009"/>
    </row>
    <row r="332" spans="1:30" x14ac:dyDescent="0.25">
      <c r="A332" s="206" t="str">
        <f>Table3[[#This Row],[ocean]]</f>
        <v>pacific</v>
      </c>
      <c r="B332" s="1013" t="s">
        <v>1912</v>
      </c>
      <c r="C332" s="1009">
        <v>117</v>
      </c>
      <c r="D332" s="1009" t="str">
        <f t="shared" si="16"/>
        <v>Northern</v>
      </c>
      <c r="E332" s="170"/>
      <c r="F332" s="1009"/>
      <c r="G332" s="1009">
        <v>12.493</v>
      </c>
      <c r="H332" s="1009">
        <v>-110.392</v>
      </c>
      <c r="I332" s="1014" t="s">
        <v>1202</v>
      </c>
      <c r="J332" s="174" t="str">
        <f t="shared" si="15"/>
        <v/>
      </c>
      <c r="K332" s="1009">
        <f t="shared" si="17"/>
        <v>5</v>
      </c>
      <c r="L332" s="177" t="s">
        <v>1985</v>
      </c>
      <c r="M332" s="1009">
        <v>23.7</v>
      </c>
      <c r="N332" s="1009">
        <f t="shared" si="18"/>
        <v>1</v>
      </c>
      <c r="O332" s="1009">
        <v>0.32</v>
      </c>
      <c r="P332" s="1009">
        <v>1.17</v>
      </c>
      <c r="Q332" s="1009">
        <v>63.5</v>
      </c>
      <c r="R332" s="1009">
        <f t="shared" si="19"/>
        <v>1</v>
      </c>
      <c r="S332" s="1009">
        <v>0.59</v>
      </c>
      <c r="T332" s="1009">
        <v>1.9</v>
      </c>
      <c r="U332" s="1009">
        <v>76.3</v>
      </c>
      <c r="V332" s="1009">
        <f t="shared" si="20"/>
        <v>1</v>
      </c>
      <c r="W332" s="1009">
        <v>0.06</v>
      </c>
      <c r="X332" s="1009">
        <v>0.42</v>
      </c>
      <c r="Y332" s="1009"/>
      <c r="Z332" s="1009"/>
      <c r="AA332" s="1009"/>
      <c r="AB332" s="1009"/>
      <c r="AC332" s="1009"/>
      <c r="AD332" s="1009"/>
    </row>
    <row r="333" spans="1:30" x14ac:dyDescent="0.25">
      <c r="A333" s="206" t="str">
        <f>Table3[[#This Row],[ocean]]</f>
        <v>pacific</v>
      </c>
      <c r="B333" s="1013" t="s">
        <v>1912</v>
      </c>
      <c r="C333" s="1009">
        <v>120</v>
      </c>
      <c r="D333" s="1009" t="str">
        <f t="shared" si="16"/>
        <v>Northern</v>
      </c>
      <c r="E333" s="170"/>
      <c r="F333" s="1009"/>
      <c r="G333" s="1009">
        <v>10.757</v>
      </c>
      <c r="H333" s="1009">
        <v>-102.44799999999999</v>
      </c>
      <c r="I333" s="1014" t="s">
        <v>1202</v>
      </c>
      <c r="J333" s="174" t="str">
        <f t="shared" si="15"/>
        <v/>
      </c>
      <c r="K333" s="1009">
        <f t="shared" si="17"/>
        <v>5</v>
      </c>
      <c r="L333" s="177" t="s">
        <v>1986</v>
      </c>
      <c r="M333" s="1009">
        <v>36.6</v>
      </c>
      <c r="N333" s="1009">
        <f t="shared" si="18"/>
        <v>1</v>
      </c>
      <c r="O333" s="1009">
        <v>0.32</v>
      </c>
      <c r="P333" s="1009">
        <v>1.17</v>
      </c>
      <c r="Q333" s="1009">
        <v>79.2</v>
      </c>
      <c r="R333" s="1009">
        <f t="shared" si="19"/>
        <v>1</v>
      </c>
      <c r="S333" s="1009">
        <v>0.59</v>
      </c>
      <c r="T333" s="1009">
        <v>1.9</v>
      </c>
      <c r="U333" s="1009">
        <v>58.2</v>
      </c>
      <c r="V333" s="1009">
        <f t="shared" si="20"/>
        <v>1</v>
      </c>
      <c r="W333" s="1009">
        <v>0.06</v>
      </c>
      <c r="X333" s="1009">
        <v>0.42</v>
      </c>
      <c r="Y333" s="1009"/>
      <c r="Z333" s="1009"/>
      <c r="AA333" s="1009"/>
      <c r="AB333" s="1009"/>
      <c r="AC333" s="1009"/>
      <c r="AD333" s="1009"/>
    </row>
    <row r="334" spans="1:30" x14ac:dyDescent="0.25">
      <c r="A334" s="206" t="str">
        <f>Table3[[#This Row],[ocean]]</f>
        <v>pacific</v>
      </c>
      <c r="B334" s="1013" t="s">
        <v>1912</v>
      </c>
      <c r="C334" s="1009">
        <v>121</v>
      </c>
      <c r="D334" s="1009" t="str">
        <f t="shared" si="16"/>
        <v>Northern</v>
      </c>
      <c r="E334" s="170"/>
      <c r="F334" s="1009"/>
      <c r="G334" s="1009">
        <v>10.083</v>
      </c>
      <c r="H334" s="1009">
        <v>-99.251000000000005</v>
      </c>
      <c r="I334" s="1014" t="s">
        <v>1202</v>
      </c>
      <c r="J334" s="174" t="str">
        <f t="shared" si="15"/>
        <v/>
      </c>
      <c r="K334" s="1009">
        <f t="shared" si="17"/>
        <v>5</v>
      </c>
      <c r="L334" s="177" t="s">
        <v>1987</v>
      </c>
      <c r="M334" s="1009">
        <v>30.6</v>
      </c>
      <c r="N334" s="1009">
        <f t="shared" si="18"/>
        <v>1</v>
      </c>
      <c r="O334" s="1009">
        <v>0.32</v>
      </c>
      <c r="P334" s="1009">
        <v>1.17</v>
      </c>
      <c r="Q334" s="1009">
        <v>50.7</v>
      </c>
      <c r="R334" s="1009">
        <f t="shared" si="19"/>
        <v>1</v>
      </c>
      <c r="S334" s="1009">
        <v>0.59</v>
      </c>
      <c r="T334" s="1009">
        <v>1.9</v>
      </c>
      <c r="U334" s="1009">
        <v>45.8</v>
      </c>
      <c r="V334" s="1009">
        <f t="shared" si="20"/>
        <v>1</v>
      </c>
      <c r="W334" s="1009">
        <v>0.06</v>
      </c>
      <c r="X334" s="1009">
        <v>0.42</v>
      </c>
      <c r="Y334" s="1009"/>
      <c r="Z334" s="1009"/>
      <c r="AA334" s="1009"/>
      <c r="AB334" s="1009"/>
      <c r="AC334" s="1009"/>
      <c r="AD334" s="1009"/>
    </row>
    <row r="335" spans="1:30" x14ac:dyDescent="0.25">
      <c r="A335" s="206" t="str">
        <f>Table3[[#This Row],[ocean]]</f>
        <v>pacific</v>
      </c>
      <c r="B335" s="1013" t="s">
        <v>1912</v>
      </c>
      <c r="C335" s="1009">
        <v>123</v>
      </c>
      <c r="D335" s="1009" t="str">
        <f t="shared" si="16"/>
        <v>Northern</v>
      </c>
      <c r="E335" s="170"/>
      <c r="F335" s="1009"/>
      <c r="G335" s="1009">
        <v>8.7639999999999993</v>
      </c>
      <c r="H335" s="1009">
        <v>-93.147999999999996</v>
      </c>
      <c r="I335" s="1014" t="s">
        <v>1202</v>
      </c>
      <c r="J335" s="174" t="str">
        <f t="shared" si="15"/>
        <v/>
      </c>
      <c r="K335" s="1009">
        <f t="shared" si="17"/>
        <v>5</v>
      </c>
      <c r="L335" s="177" t="s">
        <v>1988</v>
      </c>
      <c r="M335" s="1009">
        <v>72.5</v>
      </c>
      <c r="N335" s="1009">
        <f t="shared" si="18"/>
        <v>1</v>
      </c>
      <c r="O335" s="1009">
        <v>0.32</v>
      </c>
      <c r="P335" s="1009">
        <v>1.17</v>
      </c>
      <c r="Q335" s="1009">
        <v>32.4</v>
      </c>
      <c r="R335" s="1009">
        <f t="shared" si="19"/>
        <v>1</v>
      </c>
      <c r="S335" s="1009">
        <v>0.59</v>
      </c>
      <c r="T335" s="1009">
        <v>1.9</v>
      </c>
      <c r="U335" s="1009">
        <v>41.1</v>
      </c>
      <c r="V335" s="1009">
        <f t="shared" si="20"/>
        <v>1</v>
      </c>
      <c r="W335" s="1009">
        <v>0.06</v>
      </c>
      <c r="X335" s="1009">
        <v>0.42</v>
      </c>
      <c r="Y335" s="1009"/>
      <c r="Z335" s="1009"/>
      <c r="AA335" s="1009"/>
      <c r="AB335" s="1009"/>
      <c r="AC335" s="1009"/>
      <c r="AD335" s="1009"/>
    </row>
    <row r="336" spans="1:30" x14ac:dyDescent="0.25">
      <c r="A336" s="206" t="str">
        <f>Table3[[#This Row],[ocean]]</f>
        <v>pacific</v>
      </c>
      <c r="B336" s="1013" t="s">
        <v>1912</v>
      </c>
      <c r="C336" s="1009">
        <v>124</v>
      </c>
      <c r="D336" s="1009" t="str">
        <f t="shared" si="16"/>
        <v>Northern</v>
      </c>
      <c r="E336" s="170"/>
      <c r="F336" s="1009"/>
      <c r="G336" s="1009">
        <v>8.1419999999999995</v>
      </c>
      <c r="H336" s="1009">
        <v>-90.361999999999995</v>
      </c>
      <c r="I336" s="1014" t="s">
        <v>1202</v>
      </c>
      <c r="J336" s="174" t="str">
        <f t="shared" si="15"/>
        <v/>
      </c>
      <c r="K336" s="1009">
        <f t="shared" si="17"/>
        <v>5</v>
      </c>
      <c r="L336" s="177" t="s">
        <v>1989</v>
      </c>
      <c r="M336" s="1009">
        <v>74</v>
      </c>
      <c r="N336" s="1009">
        <f t="shared" si="18"/>
        <v>1</v>
      </c>
      <c r="O336" s="1009">
        <v>0.32</v>
      </c>
      <c r="P336" s="1009">
        <v>1.17</v>
      </c>
      <c r="Q336" s="1009">
        <v>7</v>
      </c>
      <c r="R336" s="1009">
        <f t="shared" si="19"/>
        <v>1</v>
      </c>
      <c r="S336" s="1009">
        <v>0.59</v>
      </c>
      <c r="T336" s="1009">
        <v>1.9</v>
      </c>
      <c r="U336" s="1009">
        <v>76</v>
      </c>
      <c r="V336" s="1009">
        <f t="shared" si="20"/>
        <v>1</v>
      </c>
      <c r="W336" s="1009">
        <v>0.06</v>
      </c>
      <c r="X336" s="1009">
        <v>0.42</v>
      </c>
      <c r="Y336" s="1009"/>
      <c r="Z336" s="1009"/>
      <c r="AA336" s="1009"/>
      <c r="AB336" s="1009"/>
      <c r="AC336" s="1009"/>
      <c r="AD336" s="1009"/>
    </row>
    <row r="337" spans="1:30" x14ac:dyDescent="0.25">
      <c r="A337" s="206" t="str">
        <f>Table3[[#This Row],[ocean]]</f>
        <v>pacific</v>
      </c>
      <c r="B337" s="1013" t="s">
        <v>1912</v>
      </c>
      <c r="C337" s="1009">
        <v>125</v>
      </c>
      <c r="D337" s="1009" t="str">
        <f t="shared" si="16"/>
        <v>Northern</v>
      </c>
      <c r="E337" s="170"/>
      <c r="F337" s="1009"/>
      <c r="G337" s="1009">
        <v>7.2210000000000001</v>
      </c>
      <c r="H337" s="1009">
        <v>-87.947000000000003</v>
      </c>
      <c r="I337" s="1014" t="s">
        <v>1202</v>
      </c>
      <c r="J337" s="174" t="str">
        <f t="shared" si="15"/>
        <v/>
      </c>
      <c r="K337" s="1009">
        <f t="shared" si="17"/>
        <v>5</v>
      </c>
      <c r="L337" s="177" t="s">
        <v>1990</v>
      </c>
      <c r="M337" s="1009">
        <v>38</v>
      </c>
      <c r="N337" s="1009">
        <f t="shared" si="18"/>
        <v>1</v>
      </c>
      <c r="O337" s="1009">
        <v>0.32</v>
      </c>
      <c r="P337" s="1009">
        <v>1.17</v>
      </c>
      <c r="Q337" s="1009">
        <v>4</v>
      </c>
      <c r="R337" s="1009">
        <f t="shared" si="19"/>
        <v>1</v>
      </c>
      <c r="S337" s="1009">
        <v>0.59</v>
      </c>
      <c r="T337" s="1009">
        <v>1.9</v>
      </c>
      <c r="U337" s="1009">
        <v>56</v>
      </c>
      <c r="V337" s="1009">
        <f t="shared" si="20"/>
        <v>1</v>
      </c>
      <c r="W337" s="1009">
        <v>0.06</v>
      </c>
      <c r="X337" s="1009">
        <v>0.42</v>
      </c>
      <c r="Y337" s="1009"/>
      <c r="Z337" s="1009"/>
      <c r="AA337" s="1009"/>
      <c r="AB337" s="1009"/>
      <c r="AC337" s="1009"/>
      <c r="AD337" s="1009"/>
    </row>
    <row r="338" spans="1:30" x14ac:dyDescent="0.25">
      <c r="A338" s="206" t="str">
        <f>Table3[[#This Row],[ocean]]</f>
        <v>atlantic</v>
      </c>
      <c r="B338" s="1013" t="s">
        <v>1912</v>
      </c>
      <c r="C338" s="1009">
        <v>128</v>
      </c>
      <c r="D338" s="1009" t="str">
        <f t="shared" si="16"/>
        <v>Northern</v>
      </c>
      <c r="E338" s="170"/>
      <c r="F338" s="1009"/>
      <c r="G338" s="1009">
        <v>14.183999999999999</v>
      </c>
      <c r="H338" s="1009">
        <v>-71.703000000000003</v>
      </c>
      <c r="I338" s="1014" t="s">
        <v>1201</v>
      </c>
      <c r="J338" s="700" t="s">
        <v>1458</v>
      </c>
      <c r="K338" s="1009">
        <f t="shared" si="17"/>
        <v>5</v>
      </c>
      <c r="L338" s="177" t="s">
        <v>1991</v>
      </c>
      <c r="M338" s="1009">
        <v>53</v>
      </c>
      <c r="N338" s="1009">
        <f t="shared" si="18"/>
        <v>1</v>
      </c>
      <c r="O338" s="1009">
        <v>0.32</v>
      </c>
      <c r="P338" s="1009">
        <v>1.17</v>
      </c>
      <c r="Q338" s="1009">
        <v>5</v>
      </c>
      <c r="R338" s="1009">
        <f t="shared" si="19"/>
        <v>1</v>
      </c>
      <c r="S338" s="1009">
        <v>0.59</v>
      </c>
      <c r="T338" s="1009">
        <v>1.9</v>
      </c>
      <c r="U338" s="1009">
        <v>88</v>
      </c>
      <c r="V338" s="1009">
        <f t="shared" si="20"/>
        <v>1</v>
      </c>
      <c r="W338" s="1009">
        <v>0.06</v>
      </c>
      <c r="X338" s="1009">
        <v>0.42</v>
      </c>
      <c r="Y338" s="1009"/>
      <c r="Z338" s="1009"/>
      <c r="AA338" s="1009"/>
      <c r="AB338" s="1009"/>
      <c r="AC338" s="1009"/>
      <c r="AD338" s="1009"/>
    </row>
    <row r="339" spans="1:30" x14ac:dyDescent="0.25">
      <c r="A339" s="206" t="str">
        <f>Table3[[#This Row],[ocean]]</f>
        <v>atlantic</v>
      </c>
      <c r="B339" s="1013" t="s">
        <v>1912</v>
      </c>
      <c r="C339" s="1009">
        <v>129</v>
      </c>
      <c r="D339" s="1009" t="str">
        <f t="shared" si="16"/>
        <v>Northern</v>
      </c>
      <c r="E339" s="170"/>
      <c r="F339" s="1009"/>
      <c r="G339" s="1009">
        <v>15.073</v>
      </c>
      <c r="H339" s="1009">
        <v>-69.289000000000001</v>
      </c>
      <c r="I339" s="1014" t="s">
        <v>1201</v>
      </c>
      <c r="J339" s="700" t="s">
        <v>1458</v>
      </c>
      <c r="K339" s="1009">
        <f t="shared" si="17"/>
        <v>5</v>
      </c>
      <c r="L339" s="177" t="s">
        <v>1992</v>
      </c>
      <c r="M339" s="1009">
        <v>47</v>
      </c>
      <c r="N339" s="1009">
        <f t="shared" si="18"/>
        <v>1</v>
      </c>
      <c r="O339" s="1009">
        <v>0.32</v>
      </c>
      <c r="P339" s="1009">
        <v>1.17</v>
      </c>
      <c r="Q339" s="1009">
        <v>5</v>
      </c>
      <c r="R339" s="1009">
        <f t="shared" si="19"/>
        <v>1</v>
      </c>
      <c r="S339" s="1009">
        <v>0.59</v>
      </c>
      <c r="T339" s="1009">
        <v>1.9</v>
      </c>
      <c r="U339" s="1009">
        <v>104</v>
      </c>
      <c r="V339" s="1009">
        <f t="shared" si="20"/>
        <v>1</v>
      </c>
      <c r="W339" s="1009">
        <v>0.06</v>
      </c>
      <c r="X339" s="1009">
        <v>0.42</v>
      </c>
      <c r="Y339" s="1009"/>
      <c r="Z339" s="1009"/>
      <c r="AA339" s="1009"/>
      <c r="AB339" s="1009"/>
      <c r="AC339" s="1009"/>
      <c r="AD339" s="1009"/>
    </row>
    <row r="340" spans="1:30" x14ac:dyDescent="0.25">
      <c r="A340" s="206" t="str">
        <f>Table3[[#This Row],[ocean]]</f>
        <v>atlantic</v>
      </c>
      <c r="B340" s="1013" t="s">
        <v>1912</v>
      </c>
      <c r="C340" s="1009">
        <v>131</v>
      </c>
      <c r="D340" s="1009" t="str">
        <f t="shared" si="16"/>
        <v>Northern</v>
      </c>
      <c r="E340" s="170"/>
      <c r="F340" s="1009"/>
      <c r="G340" s="1009">
        <v>17.428000000000001</v>
      </c>
      <c r="H340" s="1009">
        <v>-59.829000000000001</v>
      </c>
      <c r="I340" s="1014" t="s">
        <v>1201</v>
      </c>
      <c r="J340" s="700" t="s">
        <v>1458</v>
      </c>
      <c r="K340" s="1009">
        <f t="shared" si="17"/>
        <v>5</v>
      </c>
      <c r="L340" s="177" t="s">
        <v>1993</v>
      </c>
      <c r="M340" s="1009">
        <v>174</v>
      </c>
      <c r="N340" s="1009">
        <f t="shared" si="18"/>
        <v>1</v>
      </c>
      <c r="O340" s="1009">
        <v>0.32</v>
      </c>
      <c r="P340" s="1009">
        <v>1.17</v>
      </c>
      <c r="Q340" s="1009">
        <v>12</v>
      </c>
      <c r="R340" s="1009">
        <f t="shared" si="19"/>
        <v>1</v>
      </c>
      <c r="S340" s="1009">
        <v>0.59</v>
      </c>
      <c r="T340" s="1009">
        <v>1.9</v>
      </c>
      <c r="U340" s="1009">
        <v>191</v>
      </c>
      <c r="V340" s="1009">
        <f t="shared" si="20"/>
        <v>1</v>
      </c>
      <c r="W340" s="1009">
        <v>0.06</v>
      </c>
      <c r="X340" s="1009">
        <v>0.42</v>
      </c>
      <c r="Y340" s="1009"/>
      <c r="Z340" s="1009"/>
      <c r="AA340" s="1009"/>
      <c r="AB340" s="1009"/>
      <c r="AC340" s="1009"/>
      <c r="AD340" s="1009"/>
    </row>
    <row r="341" spans="1:30" x14ac:dyDescent="0.25">
      <c r="A341" s="206" t="str">
        <f>Table3[[#This Row],[ocean]]</f>
        <v>atlantic</v>
      </c>
      <c r="B341" s="1013" t="s">
        <v>1912</v>
      </c>
      <c r="C341" s="1009">
        <v>132</v>
      </c>
      <c r="D341" s="1009" t="str">
        <f t="shared" si="16"/>
        <v>Northern</v>
      </c>
      <c r="E341" s="170"/>
      <c r="F341" s="1009"/>
      <c r="G341" s="1009">
        <v>18.065000000000001</v>
      </c>
      <c r="H341" s="1009">
        <v>-57.81</v>
      </c>
      <c r="I341" s="1014" t="s">
        <v>1201</v>
      </c>
      <c r="J341" s="174" t="str">
        <f t="shared" si="15"/>
        <v/>
      </c>
      <c r="K341" s="1009">
        <f t="shared" si="17"/>
        <v>4</v>
      </c>
      <c r="L341" s="177" t="s">
        <v>1994</v>
      </c>
      <c r="M341" s="1009">
        <v>23</v>
      </c>
      <c r="N341" s="1009">
        <f t="shared" si="18"/>
        <v>1</v>
      </c>
      <c r="O341" s="1009">
        <v>0.32</v>
      </c>
      <c r="P341" s="1009">
        <v>1.17</v>
      </c>
      <c r="Q341" s="1009">
        <v>2</v>
      </c>
      <c r="R341" s="1009">
        <f t="shared" si="19"/>
        <v>1</v>
      </c>
      <c r="S341" s="1009">
        <v>0.59</v>
      </c>
      <c r="T341" s="1009">
        <v>1.9</v>
      </c>
      <c r="U341" s="1009">
        <v>27</v>
      </c>
      <c r="V341" s="1009">
        <f t="shared" si="20"/>
        <v>1</v>
      </c>
      <c r="W341" s="1009">
        <v>0.06</v>
      </c>
      <c r="X341" s="1009">
        <v>0.42</v>
      </c>
      <c r="Y341" s="1009"/>
      <c r="Z341" s="1009"/>
      <c r="AA341" s="1009"/>
      <c r="AB341" s="1009"/>
      <c r="AC341" s="1009"/>
      <c r="AD341" s="1009"/>
    </row>
    <row r="342" spans="1:30" x14ac:dyDescent="0.25">
      <c r="A342" s="206" t="str">
        <f>Table3[[#This Row],[ocean]]</f>
        <v>atlantic</v>
      </c>
      <c r="B342" s="1013" t="s">
        <v>1912</v>
      </c>
      <c r="C342" s="1009">
        <v>134</v>
      </c>
      <c r="D342" s="1009" t="str">
        <f t="shared" si="16"/>
        <v>Northern</v>
      </c>
      <c r="E342" s="170"/>
      <c r="F342" s="1009"/>
      <c r="G342" s="1009">
        <v>20.013000000000002</v>
      </c>
      <c r="H342" s="1009">
        <v>-52.628999999999998</v>
      </c>
      <c r="I342" s="1014" t="s">
        <v>1201</v>
      </c>
      <c r="J342" s="174" t="str">
        <f t="shared" si="15"/>
        <v/>
      </c>
      <c r="K342" s="1009">
        <f t="shared" si="17"/>
        <v>4</v>
      </c>
      <c r="L342" s="177" t="s">
        <v>1995</v>
      </c>
      <c r="M342" s="1009">
        <v>17</v>
      </c>
      <c r="N342" s="1009">
        <f t="shared" si="18"/>
        <v>1</v>
      </c>
      <c r="O342" s="1009">
        <v>0.32</v>
      </c>
      <c r="P342" s="1009">
        <v>1.17</v>
      </c>
      <c r="Q342" s="1009">
        <v>4</v>
      </c>
      <c r="R342" s="1009">
        <f t="shared" si="19"/>
        <v>1</v>
      </c>
      <c r="S342" s="1009">
        <v>0.59</v>
      </c>
      <c r="T342" s="1009">
        <v>1.9</v>
      </c>
      <c r="U342" s="1009">
        <v>16</v>
      </c>
      <c r="V342" s="1009">
        <f t="shared" si="20"/>
        <v>1</v>
      </c>
      <c r="W342" s="1009">
        <v>0.06</v>
      </c>
      <c r="X342" s="1009">
        <v>0.42</v>
      </c>
      <c r="Y342" s="1009"/>
      <c r="Z342" s="1009"/>
      <c r="AA342" s="1009"/>
      <c r="AB342" s="1009"/>
      <c r="AC342" s="1009"/>
      <c r="AD342" s="1009"/>
    </row>
    <row r="343" spans="1:30" x14ac:dyDescent="0.25">
      <c r="A343" s="206" t="str">
        <f>Table3[[#This Row],[ocean]]</f>
        <v>atlantic</v>
      </c>
      <c r="B343" s="1013" t="s">
        <v>1912</v>
      </c>
      <c r="C343" s="1009">
        <v>135</v>
      </c>
      <c r="D343" s="1009" t="str">
        <f t="shared" si="16"/>
        <v>Northern</v>
      </c>
      <c r="E343" s="170"/>
      <c r="F343" s="1009"/>
      <c r="G343" s="1009">
        <v>20.805</v>
      </c>
      <c r="H343" s="1009">
        <v>-50.143000000000001</v>
      </c>
      <c r="I343" s="1014" t="s">
        <v>1201</v>
      </c>
      <c r="J343" s="174" t="str">
        <f t="shared" si="15"/>
        <v/>
      </c>
      <c r="K343" s="1009">
        <f t="shared" si="17"/>
        <v>4</v>
      </c>
      <c r="L343" s="177" t="s">
        <v>1996</v>
      </c>
      <c r="M343" s="1009">
        <v>23</v>
      </c>
      <c r="N343" s="1009">
        <f t="shared" si="18"/>
        <v>1</v>
      </c>
      <c r="O343" s="1009">
        <v>0.32</v>
      </c>
      <c r="P343" s="1009">
        <v>1.17</v>
      </c>
      <c r="Q343" s="1009">
        <v>4</v>
      </c>
      <c r="R343" s="1009">
        <f t="shared" si="19"/>
        <v>1</v>
      </c>
      <c r="S343" s="1009">
        <v>0.59</v>
      </c>
      <c r="T343" s="1009">
        <v>1.9</v>
      </c>
      <c r="U343" s="1009">
        <v>16</v>
      </c>
      <c r="V343" s="1009">
        <f t="shared" si="20"/>
        <v>1</v>
      </c>
      <c r="W343" s="1009">
        <v>0.06</v>
      </c>
      <c r="X343" s="1009">
        <v>0.42</v>
      </c>
      <c r="Y343" s="1009"/>
      <c r="Z343" s="1009"/>
      <c r="AA343" s="1009"/>
      <c r="AB343" s="1009"/>
      <c r="AC343" s="1009"/>
      <c r="AD343" s="1009"/>
    </row>
    <row r="344" spans="1:30" x14ac:dyDescent="0.25">
      <c r="A344" s="206" t="str">
        <f>Table3[[#This Row],[ocean]]</f>
        <v>atlantic</v>
      </c>
      <c r="B344" s="1013" t="s">
        <v>1912</v>
      </c>
      <c r="C344" s="1009">
        <v>137</v>
      </c>
      <c r="D344" s="1009" t="str">
        <f t="shared" si="16"/>
        <v>Northern</v>
      </c>
      <c r="E344" s="170"/>
      <c r="F344" s="1009"/>
      <c r="G344" s="1009">
        <v>22.869</v>
      </c>
      <c r="H344" s="1009">
        <v>-44.539000000000001</v>
      </c>
      <c r="I344" s="1014" t="s">
        <v>1201</v>
      </c>
      <c r="J344" s="174" t="str">
        <f t="shared" si="15"/>
        <v/>
      </c>
      <c r="K344" s="1009">
        <f t="shared" si="17"/>
        <v>4</v>
      </c>
      <c r="L344" s="177" t="s">
        <v>1997</v>
      </c>
      <c r="M344" s="1009">
        <v>23</v>
      </c>
      <c r="N344" s="1009">
        <f t="shared" si="18"/>
        <v>1</v>
      </c>
      <c r="O344" s="1009">
        <v>0.32</v>
      </c>
      <c r="P344" s="1009">
        <v>1.17</v>
      </c>
      <c r="Q344" s="1009">
        <v>15</v>
      </c>
      <c r="R344" s="1009">
        <f t="shared" si="19"/>
        <v>1</v>
      </c>
      <c r="S344" s="1009">
        <v>0.59</v>
      </c>
      <c r="T344" s="1009">
        <v>1.9</v>
      </c>
      <c r="U344" s="1009">
        <v>47</v>
      </c>
      <c r="V344" s="1009">
        <f t="shared" si="20"/>
        <v>1</v>
      </c>
      <c r="W344" s="1009">
        <v>0.06</v>
      </c>
      <c r="X344" s="1009">
        <v>0.42</v>
      </c>
      <c r="Y344" s="1009"/>
      <c r="Z344" s="1009"/>
      <c r="AA344" s="1009"/>
      <c r="AB344" s="1009"/>
      <c r="AC344" s="1009"/>
      <c r="AD344" s="1009"/>
    </row>
    <row r="345" spans="1:30" x14ac:dyDescent="0.25">
      <c r="A345" s="206" t="str">
        <f>Table3[[#This Row],[ocean]]</f>
        <v>atlantic</v>
      </c>
      <c r="B345" s="1013" t="s">
        <v>1912</v>
      </c>
      <c r="C345" s="1009">
        <v>138</v>
      </c>
      <c r="D345" s="1009" t="str">
        <f t="shared" si="16"/>
        <v>Northern</v>
      </c>
      <c r="E345" s="170"/>
      <c r="F345" s="1009"/>
      <c r="G345" s="1009">
        <v>23.736000000000001</v>
      </c>
      <c r="H345" s="1009">
        <v>-41.911999999999999</v>
      </c>
      <c r="I345" s="1014" t="s">
        <v>1201</v>
      </c>
      <c r="J345" s="174" t="str">
        <f t="shared" si="15"/>
        <v>yes</v>
      </c>
      <c r="K345" s="1009">
        <f t="shared" si="17"/>
        <v>4</v>
      </c>
      <c r="L345" s="177" t="s">
        <v>1998</v>
      </c>
      <c r="M345" s="1009">
        <v>22</v>
      </c>
      <c r="N345" s="1009">
        <f t="shared" si="18"/>
        <v>1</v>
      </c>
      <c r="O345" s="1009">
        <v>0.32</v>
      </c>
      <c r="P345" s="1009">
        <v>1.17</v>
      </c>
      <c r="Q345" s="1009">
        <v>8</v>
      </c>
      <c r="R345" s="1009">
        <f t="shared" si="19"/>
        <v>1</v>
      </c>
      <c r="S345" s="1009">
        <v>0.59</v>
      </c>
      <c r="T345" s="1009">
        <v>1.9</v>
      </c>
      <c r="U345" s="1009"/>
      <c r="V345" s="1009">
        <f t="shared" si="20"/>
        <v>0</v>
      </c>
      <c r="W345" s="1009">
        <v>0.06</v>
      </c>
      <c r="X345" s="1009">
        <v>0.42</v>
      </c>
      <c r="Y345" s="1009"/>
      <c r="Z345" s="1009"/>
      <c r="AA345" s="1009"/>
      <c r="AB345" s="1009"/>
      <c r="AC345" s="1009"/>
      <c r="AD345" s="1009"/>
    </row>
    <row r="346" spans="1:30" x14ac:dyDescent="0.25">
      <c r="A346" s="206" t="str">
        <f>Table3[[#This Row],[ocean]]</f>
        <v>atlantic</v>
      </c>
      <c r="B346" s="1013" t="s">
        <v>1912</v>
      </c>
      <c r="C346" s="1009">
        <v>140</v>
      </c>
      <c r="D346" s="1009" t="str">
        <f t="shared" si="16"/>
        <v>Northern</v>
      </c>
      <c r="E346" s="170"/>
      <c r="F346" s="1009"/>
      <c r="G346" s="1009">
        <v>26.111000000000001</v>
      </c>
      <c r="H346" s="1009">
        <v>-35.274000000000001</v>
      </c>
      <c r="I346" s="1014" t="s">
        <v>1201</v>
      </c>
      <c r="J346" s="174" t="str">
        <f t="shared" si="15"/>
        <v/>
      </c>
      <c r="K346" s="1009">
        <f t="shared" si="17"/>
        <v>4</v>
      </c>
      <c r="L346" s="177" t="s">
        <v>1999</v>
      </c>
      <c r="M346" s="1009">
        <v>25</v>
      </c>
      <c r="N346" s="1009">
        <f t="shared" si="18"/>
        <v>1</v>
      </c>
      <c r="O346" s="1009">
        <v>0.32</v>
      </c>
      <c r="P346" s="1009">
        <v>1.17</v>
      </c>
      <c r="Q346" s="1009">
        <v>3</v>
      </c>
      <c r="R346" s="1009">
        <f t="shared" si="19"/>
        <v>1</v>
      </c>
      <c r="S346" s="1009">
        <v>0.59</v>
      </c>
      <c r="T346" s="1009">
        <v>1.9</v>
      </c>
      <c r="U346" s="1009">
        <v>66</v>
      </c>
      <c r="V346" s="1009">
        <f t="shared" si="20"/>
        <v>1</v>
      </c>
      <c r="W346" s="1009">
        <v>0.06</v>
      </c>
      <c r="X346" s="1009">
        <v>0.42</v>
      </c>
      <c r="Y346" s="1009"/>
      <c r="Z346" s="1009"/>
      <c r="AA346" s="1009"/>
      <c r="AB346" s="1009"/>
      <c r="AC346" s="1009"/>
      <c r="AD346" s="1009"/>
    </row>
    <row r="347" spans="1:30" x14ac:dyDescent="0.25">
      <c r="A347" s="206" t="str">
        <f>Table3[[#This Row],[ocean]]</f>
        <v>atlantic</v>
      </c>
      <c r="B347" s="1013" t="s">
        <v>1912</v>
      </c>
      <c r="C347" s="1009">
        <v>141</v>
      </c>
      <c r="D347" s="1009" t="str">
        <f t="shared" si="16"/>
        <v>Northern</v>
      </c>
      <c r="E347" s="170"/>
      <c r="F347" s="1009"/>
      <c r="G347" s="1009">
        <v>26.917999999999999</v>
      </c>
      <c r="H347" s="1009">
        <v>-32.89</v>
      </c>
      <c r="I347" s="1014" t="s">
        <v>1201</v>
      </c>
      <c r="J347" s="174" t="str">
        <f t="shared" si="15"/>
        <v/>
      </c>
      <c r="K347" s="1009">
        <f t="shared" si="17"/>
        <v>4</v>
      </c>
      <c r="L347" s="177" t="s">
        <v>2000</v>
      </c>
      <c r="M347" s="1009">
        <v>35</v>
      </c>
      <c r="N347" s="1009">
        <f t="shared" si="18"/>
        <v>1</v>
      </c>
      <c r="O347" s="1009">
        <v>0.32</v>
      </c>
      <c r="P347" s="1009">
        <v>1.17</v>
      </c>
      <c r="Q347" s="1009"/>
      <c r="R347" s="1009">
        <f t="shared" si="19"/>
        <v>0</v>
      </c>
      <c r="S347" s="1009">
        <v>0.59</v>
      </c>
      <c r="T347" s="1009">
        <v>1.9</v>
      </c>
      <c r="U347" s="1009">
        <v>76</v>
      </c>
      <c r="V347" s="1009">
        <f t="shared" si="20"/>
        <v>1</v>
      </c>
      <c r="W347" s="1009">
        <v>0.06</v>
      </c>
      <c r="X347" s="1009">
        <v>0.42</v>
      </c>
      <c r="Y347" s="1009"/>
      <c r="Z347" s="1009"/>
      <c r="AA347" s="1009"/>
      <c r="AB347" s="1009"/>
      <c r="AC347" s="1009"/>
      <c r="AD347" s="1009"/>
    </row>
    <row r="348" spans="1:30" x14ac:dyDescent="0.25">
      <c r="A348" s="206" t="str">
        <f>Table3[[#This Row],[ocean]]</f>
        <v>atlantic</v>
      </c>
      <c r="B348" s="1013" t="s">
        <v>1912</v>
      </c>
      <c r="C348" s="1009">
        <v>143</v>
      </c>
      <c r="D348" s="1009" t="str">
        <f t="shared" si="16"/>
        <v>Northern</v>
      </c>
      <c r="E348" s="170"/>
      <c r="F348" s="1009"/>
      <c r="G348" s="1009">
        <v>28.875</v>
      </c>
      <c r="H348" s="1009">
        <v>-26.952000000000002</v>
      </c>
      <c r="I348" s="1014" t="s">
        <v>1201</v>
      </c>
      <c r="J348" s="174" t="str">
        <f t="shared" si="15"/>
        <v/>
      </c>
      <c r="K348" s="1009">
        <f t="shared" si="17"/>
        <v>4</v>
      </c>
      <c r="L348" s="177" t="s">
        <v>2001</v>
      </c>
      <c r="M348" s="1009">
        <v>32</v>
      </c>
      <c r="N348" s="1009">
        <f t="shared" si="18"/>
        <v>1</v>
      </c>
      <c r="O348" s="1009">
        <v>0.32</v>
      </c>
      <c r="P348" s="1009">
        <v>1.17</v>
      </c>
      <c r="Q348" s="1009">
        <v>3</v>
      </c>
      <c r="R348" s="1009">
        <f t="shared" si="19"/>
        <v>1</v>
      </c>
      <c r="S348" s="1009">
        <v>0.59</v>
      </c>
      <c r="T348" s="1009">
        <v>1.9</v>
      </c>
      <c r="U348" s="1009">
        <v>59</v>
      </c>
      <c r="V348" s="1009">
        <f t="shared" si="20"/>
        <v>1</v>
      </c>
      <c r="W348" s="1009">
        <v>0.06</v>
      </c>
      <c r="X348" s="1009">
        <v>0.42</v>
      </c>
      <c r="Y348" s="1009"/>
      <c r="Z348" s="1009"/>
      <c r="AA348" s="1009"/>
      <c r="AB348" s="1009"/>
      <c r="AC348" s="1009"/>
      <c r="AD348" s="1009"/>
    </row>
    <row r="349" spans="1:30" x14ac:dyDescent="0.25">
      <c r="A349" s="206" t="str">
        <f>Table3[[#This Row],[ocean]]</f>
        <v>atlantic</v>
      </c>
      <c r="B349" s="1013" t="s">
        <v>1912</v>
      </c>
      <c r="C349" s="1009">
        <v>144</v>
      </c>
      <c r="D349" s="1009" t="str">
        <f t="shared" si="16"/>
        <v>Northern</v>
      </c>
      <c r="E349" s="170"/>
      <c r="F349" s="1009"/>
      <c r="G349" s="1009">
        <v>29.966000000000001</v>
      </c>
      <c r="H349" s="1009">
        <v>-23.693000000000001</v>
      </c>
      <c r="I349" s="1014" t="s">
        <v>1201</v>
      </c>
      <c r="J349" s="174" t="str">
        <f t="shared" si="15"/>
        <v/>
      </c>
      <c r="K349" s="1009">
        <f t="shared" si="17"/>
        <v>4</v>
      </c>
      <c r="L349" s="177" t="s">
        <v>2002</v>
      </c>
      <c r="M349" s="1009"/>
      <c r="N349" s="1009">
        <f t="shared" si="18"/>
        <v>0</v>
      </c>
      <c r="O349" s="1009">
        <v>0.32</v>
      </c>
      <c r="P349" s="1009">
        <v>1.17</v>
      </c>
      <c r="Q349" s="1009">
        <v>13</v>
      </c>
      <c r="R349" s="1009">
        <f t="shared" si="19"/>
        <v>1</v>
      </c>
      <c r="S349" s="1009">
        <v>0.59</v>
      </c>
      <c r="T349" s="1009">
        <v>1.9</v>
      </c>
      <c r="U349" s="1009">
        <v>69</v>
      </c>
      <c r="V349" s="1009">
        <f t="shared" si="20"/>
        <v>1</v>
      </c>
      <c r="W349" s="1009">
        <v>0.06</v>
      </c>
      <c r="X349" s="1009">
        <v>0.42</v>
      </c>
      <c r="Y349" s="1009"/>
      <c r="Z349" s="1009"/>
      <c r="AA349" s="1009"/>
      <c r="AB349" s="1009"/>
      <c r="AC349" s="1009"/>
      <c r="AD349" s="1009"/>
    </row>
    <row r="350" spans="1:30" x14ac:dyDescent="0.25">
      <c r="A350" s="206" t="str">
        <f>Table3[[#This Row],[ocean]]</f>
        <v>atlantic</v>
      </c>
      <c r="B350" s="1013" t="s">
        <v>1912</v>
      </c>
      <c r="C350" s="1009">
        <v>146</v>
      </c>
      <c r="D350" s="1009" t="str">
        <f t="shared" si="16"/>
        <v>Northern</v>
      </c>
      <c r="E350" s="170"/>
      <c r="F350" s="1009"/>
      <c r="G350" s="1009">
        <v>32.088000000000001</v>
      </c>
      <c r="H350" s="1009">
        <v>-17.260000000000002</v>
      </c>
      <c r="I350" s="1014" t="s">
        <v>1201</v>
      </c>
      <c r="J350" s="700" t="s">
        <v>1458</v>
      </c>
      <c r="K350" s="1009">
        <f t="shared" si="17"/>
        <v>4</v>
      </c>
      <c r="L350" s="177" t="s">
        <v>2003</v>
      </c>
      <c r="M350" s="1009">
        <v>27</v>
      </c>
      <c r="N350" s="1009">
        <f t="shared" si="18"/>
        <v>1</v>
      </c>
      <c r="O350" s="1009">
        <v>0.32</v>
      </c>
      <c r="P350" s="1009">
        <v>1.17</v>
      </c>
      <c r="Q350" s="1009">
        <v>19</v>
      </c>
      <c r="R350" s="1009">
        <f t="shared" si="19"/>
        <v>1</v>
      </c>
      <c r="S350" s="1009">
        <v>0.59</v>
      </c>
      <c r="T350" s="1009">
        <v>1.9</v>
      </c>
      <c r="U350" s="1009">
        <v>71</v>
      </c>
      <c r="V350" s="1009">
        <f t="shared" si="20"/>
        <v>1</v>
      </c>
      <c r="W350" s="1009">
        <v>0.06</v>
      </c>
      <c r="X350" s="1009">
        <v>0.42</v>
      </c>
      <c r="Y350" s="1009"/>
      <c r="Z350" s="1009"/>
      <c r="AA350" s="1009"/>
      <c r="AB350" s="1009"/>
      <c r="AC350" s="1009"/>
      <c r="AD350" s="1009"/>
    </row>
    <row r="351" spans="1:30" x14ac:dyDescent="0.25">
      <c r="A351" s="206" t="str">
        <f>Table3[[#This Row],[ocean]]</f>
        <v>atlantic</v>
      </c>
      <c r="B351" s="1013" t="s">
        <v>1912</v>
      </c>
      <c r="C351" s="1009">
        <v>147</v>
      </c>
      <c r="D351" s="1009" t="str">
        <f t="shared" si="16"/>
        <v>Northern</v>
      </c>
      <c r="E351" s="170"/>
      <c r="F351" s="1009"/>
      <c r="G351" s="1009">
        <v>32.875</v>
      </c>
      <c r="H351" s="1009">
        <v>-14.65</v>
      </c>
      <c r="I351" s="1014" t="s">
        <v>1201</v>
      </c>
      <c r="J351" s="174" t="str">
        <f t="shared" si="15"/>
        <v>yes</v>
      </c>
      <c r="K351" s="1009">
        <f t="shared" si="17"/>
        <v>4</v>
      </c>
      <c r="L351" s="177" t="s">
        <v>2004</v>
      </c>
      <c r="M351" s="1009"/>
      <c r="N351" s="1009">
        <f t="shared" si="18"/>
        <v>0</v>
      </c>
      <c r="O351" s="1009">
        <v>0.32</v>
      </c>
      <c r="P351" s="1009">
        <v>1.17</v>
      </c>
      <c r="Q351" s="1009">
        <v>3</v>
      </c>
      <c r="R351" s="1009">
        <f t="shared" si="19"/>
        <v>1</v>
      </c>
      <c r="S351" s="1009">
        <v>0.59</v>
      </c>
      <c r="T351" s="1009">
        <v>1.9</v>
      </c>
      <c r="U351" s="1009"/>
      <c r="V351" s="1009">
        <f t="shared" si="20"/>
        <v>0</v>
      </c>
      <c r="W351" s="1009">
        <v>0.06</v>
      </c>
      <c r="X351" s="1009">
        <v>0.42</v>
      </c>
      <c r="Y351" s="1009"/>
      <c r="Z351" s="1009"/>
      <c r="AA351" s="1009"/>
      <c r="AB351" s="1009"/>
      <c r="AC351" s="1009"/>
      <c r="AD351" s="1009"/>
    </row>
  </sheetData>
  <pageMargins left="0.75" right="0.75" top="1" bottom="1" header="0.5" footer="0.5"/>
  <pageSetup paperSize="9" orientation="landscape" horizontalDpi="4294967292" verticalDpi="4294967292"/>
  <drawing r:id="rId1"/>
  <tableParts count="1">
    <tablePart r:id="rId2"/>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09"/>
  <sheetViews>
    <sheetView workbookViewId="0">
      <pane xSplit="2" ySplit="3" topLeftCell="V4" activePane="bottomRight" state="frozen"/>
      <selection pane="topRight" activeCell="C1" sqref="C1"/>
      <selection pane="bottomLeft" activeCell="A4" sqref="A4"/>
      <selection pane="bottomRight" activeCell="AA4" sqref="AA4"/>
    </sheetView>
  </sheetViews>
  <sheetFormatPr baseColWidth="10" defaultColWidth="10.83203125" defaultRowHeight="18" x14ac:dyDescent="0.25"/>
  <cols>
    <col min="1" max="2" width="38.5" style="214" customWidth="1"/>
    <col min="3" max="3" width="15.1640625" style="214" bestFit="1" customWidth="1"/>
    <col min="4" max="4" width="18.1640625" style="214" bestFit="1" customWidth="1"/>
    <col min="5" max="9" width="17.5" style="214" customWidth="1"/>
    <col min="10" max="11" width="17.5" style="696" customWidth="1"/>
    <col min="12" max="12" width="21.5" style="214" customWidth="1"/>
    <col min="13" max="13" width="16.6640625" style="214" customWidth="1"/>
    <col min="14" max="15" width="16.6640625" style="696" customWidth="1"/>
    <col min="16" max="16" width="16.6640625" style="4" customWidth="1"/>
    <col min="17" max="17" width="14.1640625" style="214" customWidth="1"/>
    <col min="18" max="18" width="14.83203125" style="247" customWidth="1"/>
    <col min="19" max="19" width="16.6640625" style="247" customWidth="1"/>
    <col min="20" max="26" width="16.33203125" style="247" customWidth="1"/>
    <col min="27" max="27" width="11.83203125" style="214" customWidth="1"/>
    <col min="28" max="28" width="14.33203125" style="247" customWidth="1"/>
    <col min="29" max="29" width="19" style="247" customWidth="1"/>
    <col min="30" max="32" width="16.6640625" style="247" customWidth="1"/>
    <col min="33" max="33" width="14.83203125" style="247" customWidth="1"/>
    <col min="34" max="34" width="19" style="247" customWidth="1"/>
    <col min="35" max="35" width="24" style="1" customWidth="1"/>
    <col min="36" max="36" width="42.5" style="1" customWidth="1"/>
    <col min="37" max="37" width="29.5" style="1" customWidth="1"/>
    <col min="38" max="16384" width="10.83203125" style="1"/>
  </cols>
  <sheetData>
    <row r="1" spans="1:41" x14ac:dyDescent="0.25">
      <c r="A1" s="240" t="s">
        <v>410</v>
      </c>
      <c r="B1" s="202"/>
      <c r="AN1" s="2" t="s">
        <v>409</v>
      </c>
    </row>
    <row r="2" spans="1:41" ht="24" thickBot="1" x14ac:dyDescent="0.35">
      <c r="A2" s="315" t="s">
        <v>1674</v>
      </c>
      <c r="B2" s="202"/>
      <c r="D2" s="214" t="s">
        <v>1209</v>
      </c>
      <c r="E2" s="214" t="s">
        <v>1208</v>
      </c>
      <c r="AN2" s="2"/>
    </row>
    <row r="3" spans="1:41" x14ac:dyDescent="0.25">
      <c r="A3" s="306" t="s">
        <v>53</v>
      </c>
      <c r="B3" s="306" t="s">
        <v>718</v>
      </c>
      <c r="C3" s="307" t="s">
        <v>54</v>
      </c>
      <c r="D3" s="306" t="s">
        <v>196</v>
      </c>
      <c r="E3" s="306" t="s">
        <v>1243</v>
      </c>
      <c r="F3" s="306" t="s">
        <v>1219</v>
      </c>
      <c r="G3" s="306" t="s">
        <v>1220</v>
      </c>
      <c r="H3" s="306" t="s">
        <v>1199</v>
      </c>
      <c r="I3" s="306" t="s">
        <v>1467</v>
      </c>
      <c r="J3" s="306" t="s">
        <v>1439</v>
      </c>
      <c r="K3" s="306" t="s">
        <v>1440</v>
      </c>
      <c r="L3" s="306" t="s">
        <v>880</v>
      </c>
      <c r="M3" s="308" t="s">
        <v>879</v>
      </c>
      <c r="N3" s="306" t="s">
        <v>388</v>
      </c>
      <c r="O3" s="306" t="s">
        <v>391</v>
      </c>
      <c r="P3" s="701" t="s">
        <v>394</v>
      </c>
      <c r="Q3" s="306" t="s">
        <v>1197</v>
      </c>
      <c r="R3" s="309" t="s">
        <v>405</v>
      </c>
      <c r="S3" s="309" t="s">
        <v>1428</v>
      </c>
      <c r="T3" s="309" t="s">
        <v>1429</v>
      </c>
      <c r="U3" s="309" t="s">
        <v>1430</v>
      </c>
      <c r="V3" s="309" t="s">
        <v>1431</v>
      </c>
      <c r="W3" s="309" t="s">
        <v>1436</v>
      </c>
      <c r="X3" s="309" t="s">
        <v>1437</v>
      </c>
      <c r="Y3" s="309" t="s">
        <v>390</v>
      </c>
      <c r="Z3" s="309" t="s">
        <v>389</v>
      </c>
      <c r="AA3" s="306" t="s">
        <v>401</v>
      </c>
      <c r="AB3" s="309" t="s">
        <v>407</v>
      </c>
      <c r="AC3" s="309" t="s">
        <v>1432</v>
      </c>
      <c r="AD3" s="309" t="s">
        <v>1433</v>
      </c>
      <c r="AE3" s="309" t="s">
        <v>1434</v>
      </c>
      <c r="AF3" s="309" t="s">
        <v>1435</v>
      </c>
      <c r="AG3" s="309" t="s">
        <v>1186</v>
      </c>
      <c r="AH3" s="309" t="s">
        <v>867</v>
      </c>
      <c r="AI3" s="306" t="s">
        <v>419</v>
      </c>
      <c r="AJ3" s="306" t="s">
        <v>720</v>
      </c>
      <c r="AK3" s="306" t="s">
        <v>721</v>
      </c>
      <c r="AL3" s="148"/>
      <c r="AN3" s="149" t="s">
        <v>62</v>
      </c>
      <c r="AO3" s="149"/>
    </row>
    <row r="4" spans="1:41" x14ac:dyDescent="0.25">
      <c r="A4" s="174" t="s">
        <v>685</v>
      </c>
      <c r="B4" s="174" t="s">
        <v>885</v>
      </c>
      <c r="C4" s="174">
        <v>14</v>
      </c>
      <c r="D4" s="210" t="s">
        <v>756</v>
      </c>
      <c r="E4" s="181" t="s">
        <v>757</v>
      </c>
      <c r="F4" s="174">
        <v>71.226500000000001</v>
      </c>
      <c r="G4" s="174">
        <v>-133.845</v>
      </c>
      <c r="H4" s="214" t="s">
        <v>1203</v>
      </c>
      <c r="I4" s="214" t="s">
        <v>1468</v>
      </c>
      <c r="J4" s="713" t="str">
        <f>IF(R4=0,"yes","")</f>
        <v/>
      </c>
      <c r="K4" s="696" t="str">
        <f>IF(AB4=0,"yes","")</f>
        <v/>
      </c>
      <c r="L4" s="208">
        <v>2</v>
      </c>
      <c r="M4" s="213">
        <v>39629</v>
      </c>
      <c r="N4" s="242"/>
      <c r="O4" s="242"/>
      <c r="P4" s="3"/>
      <c r="Q4" s="214">
        <v>1.56</v>
      </c>
      <c r="R4" s="247">
        <v>1</v>
      </c>
      <c r="AA4" s="247">
        <v>22.74</v>
      </c>
      <c r="AB4" s="247">
        <v>1</v>
      </c>
      <c r="AG4" s="247">
        <f>Table2[[#This Row],[xFOSAs]]+Table2[[#This Row],[xFOSEs]]</f>
        <v>24.299999999999997</v>
      </c>
      <c r="AH4" s="247" t="s">
        <v>869</v>
      </c>
      <c r="AJ4" s="1" t="s">
        <v>733</v>
      </c>
      <c r="AK4" s="1" t="s">
        <v>734</v>
      </c>
      <c r="AL4" s="151"/>
      <c r="AN4" s="150">
        <v>1</v>
      </c>
      <c r="AO4" s="1" t="s">
        <v>411</v>
      </c>
    </row>
    <row r="5" spans="1:41" x14ac:dyDescent="0.25">
      <c r="A5" s="174" t="s">
        <v>685</v>
      </c>
      <c r="B5" s="174" t="s">
        <v>885</v>
      </c>
      <c r="C5" s="171">
        <v>18</v>
      </c>
      <c r="D5" s="174" t="s">
        <v>758</v>
      </c>
      <c r="E5" s="174" t="s">
        <v>759</v>
      </c>
      <c r="F5" s="174">
        <v>71.034999999999997</v>
      </c>
      <c r="G5" s="174">
        <v>-126.47499999999999</v>
      </c>
      <c r="H5" s="214" t="s">
        <v>1203</v>
      </c>
      <c r="I5" s="713" t="s">
        <v>1468</v>
      </c>
      <c r="J5" s="713" t="str">
        <f t="shared" ref="J5:J30" si="0">IF(R5=0,"yes","")</f>
        <v/>
      </c>
      <c r="K5" s="713" t="str">
        <f t="shared" ref="K5:K30" si="1">IF(AB5=0,"yes","")</f>
        <v/>
      </c>
      <c r="L5" s="174">
        <v>2</v>
      </c>
      <c r="M5" s="177">
        <v>39625</v>
      </c>
      <c r="N5" s="242"/>
      <c r="O5" s="242"/>
      <c r="P5" s="3"/>
      <c r="Q5" s="214">
        <v>1.29</v>
      </c>
      <c r="R5" s="247" t="s">
        <v>446</v>
      </c>
      <c r="AA5" s="247">
        <v>24.27</v>
      </c>
      <c r="AB5" s="247">
        <v>1</v>
      </c>
      <c r="AG5" s="247">
        <f>Table2[[#This Row],[xFOSAs]]+Table2[[#This Row],[xFOSEs]]</f>
        <v>25.56</v>
      </c>
      <c r="AH5" s="247" t="s">
        <v>869</v>
      </c>
      <c r="AJ5" s="1" t="s">
        <v>733</v>
      </c>
      <c r="AK5" s="1" t="s">
        <v>734</v>
      </c>
      <c r="AN5" s="154">
        <v>2</v>
      </c>
      <c r="AO5" s="1" t="s">
        <v>415</v>
      </c>
    </row>
    <row r="6" spans="1:41" x14ac:dyDescent="0.25">
      <c r="A6" s="174" t="s">
        <v>685</v>
      </c>
      <c r="B6" s="174" t="s">
        <v>885</v>
      </c>
      <c r="C6" s="171">
        <v>19</v>
      </c>
      <c r="D6" s="174" t="s">
        <v>760</v>
      </c>
      <c r="E6" s="174" t="s">
        <v>761</v>
      </c>
      <c r="F6" s="174">
        <v>71.275000000000006</v>
      </c>
      <c r="G6" s="174">
        <v>-128.82999999999998</v>
      </c>
      <c r="H6" s="214" t="s">
        <v>1203</v>
      </c>
      <c r="I6" s="713" t="s">
        <v>1468</v>
      </c>
      <c r="J6" s="713" t="str">
        <f t="shared" si="0"/>
        <v/>
      </c>
      <c r="K6" s="713" t="str">
        <f t="shared" si="1"/>
        <v/>
      </c>
      <c r="L6" s="174">
        <v>2</v>
      </c>
      <c r="M6" s="177">
        <v>39626</v>
      </c>
      <c r="N6" s="242"/>
      <c r="O6" s="242"/>
      <c r="P6" s="3"/>
      <c r="Q6" s="214">
        <v>0.87</v>
      </c>
      <c r="R6" s="247">
        <v>1</v>
      </c>
      <c r="AA6" s="247">
        <v>9.27</v>
      </c>
      <c r="AB6" s="247">
        <v>1</v>
      </c>
      <c r="AG6" s="247">
        <f>Table2[[#This Row],[xFOSAs]]+Table2[[#This Row],[xFOSEs]]</f>
        <v>10.139999999999999</v>
      </c>
      <c r="AH6" s="247" t="s">
        <v>869</v>
      </c>
      <c r="AI6" s="1" t="s">
        <v>768</v>
      </c>
      <c r="AJ6" s="1" t="s">
        <v>733</v>
      </c>
      <c r="AK6" s="1" t="s">
        <v>734</v>
      </c>
      <c r="AN6" s="155">
        <v>3</v>
      </c>
      <c r="AO6" s="1" t="s">
        <v>425</v>
      </c>
    </row>
    <row r="7" spans="1:41" x14ac:dyDescent="0.25">
      <c r="A7" s="174" t="s">
        <v>685</v>
      </c>
      <c r="B7" s="174" t="s">
        <v>885</v>
      </c>
      <c r="C7" s="171">
        <v>21</v>
      </c>
      <c r="D7" s="174" t="s">
        <v>762</v>
      </c>
      <c r="E7" s="174" t="s">
        <v>763</v>
      </c>
      <c r="F7" s="174">
        <v>70.77</v>
      </c>
      <c r="G7" s="174">
        <v>-122.88</v>
      </c>
      <c r="H7" s="214" t="s">
        <v>1203</v>
      </c>
      <c r="I7" s="713" t="s">
        <v>1468</v>
      </c>
      <c r="J7" s="713" t="str">
        <f t="shared" si="0"/>
        <v/>
      </c>
      <c r="K7" s="713" t="str">
        <f t="shared" si="1"/>
        <v/>
      </c>
      <c r="L7" s="174">
        <v>2</v>
      </c>
      <c r="M7" s="177">
        <v>39553</v>
      </c>
      <c r="N7" s="242"/>
      <c r="O7" s="242"/>
      <c r="P7" s="3"/>
      <c r="Q7" s="214">
        <v>0.38</v>
      </c>
      <c r="R7" s="247">
        <v>1</v>
      </c>
      <c r="AA7" s="247"/>
      <c r="AB7" s="247" t="s">
        <v>446</v>
      </c>
      <c r="AG7" s="247">
        <f>Table2[[#This Row],[xFOSAs]]+Table2[[#This Row],[xFOSEs]]</f>
        <v>0.38</v>
      </c>
      <c r="AH7" s="247" t="s">
        <v>869</v>
      </c>
      <c r="AI7" s="1" t="s">
        <v>882</v>
      </c>
      <c r="AJ7" s="1" t="s">
        <v>733</v>
      </c>
      <c r="AK7" s="1" t="s">
        <v>734</v>
      </c>
      <c r="AN7" s="156">
        <v>4</v>
      </c>
      <c r="AO7" s="1" t="s">
        <v>448</v>
      </c>
    </row>
    <row r="8" spans="1:41" x14ac:dyDescent="0.25">
      <c r="A8" s="174" t="s">
        <v>685</v>
      </c>
      <c r="B8" s="174" t="s">
        <v>885</v>
      </c>
      <c r="C8" s="171">
        <v>25</v>
      </c>
      <c r="D8" s="174" t="s">
        <v>764</v>
      </c>
      <c r="E8" s="174" t="s">
        <v>765</v>
      </c>
      <c r="F8" s="174">
        <v>73.89</v>
      </c>
      <c r="G8" s="174">
        <v>-127.48</v>
      </c>
      <c r="H8" s="214" t="s">
        <v>1203</v>
      </c>
      <c r="I8" s="713" t="s">
        <v>1468</v>
      </c>
      <c r="J8" s="713" t="str">
        <f t="shared" si="0"/>
        <v/>
      </c>
      <c r="K8" s="713" t="str">
        <f t="shared" si="1"/>
        <v/>
      </c>
      <c r="L8" s="174">
        <v>1</v>
      </c>
      <c r="M8" s="177">
        <v>39592</v>
      </c>
      <c r="N8" s="242"/>
      <c r="O8" s="242"/>
      <c r="P8" s="3"/>
      <c r="Q8" s="214">
        <v>1.69</v>
      </c>
      <c r="R8" s="247">
        <v>1</v>
      </c>
      <c r="AA8" s="247">
        <v>0.97</v>
      </c>
      <c r="AB8" s="247" t="s">
        <v>446</v>
      </c>
      <c r="AG8" s="247">
        <f>Table2[[#This Row],[xFOSAs]]+Table2[[#This Row],[xFOSEs]]</f>
        <v>2.66</v>
      </c>
      <c r="AH8" s="247" t="s">
        <v>869</v>
      </c>
      <c r="AI8" s="1" t="s">
        <v>768</v>
      </c>
      <c r="AJ8" s="1" t="s">
        <v>733</v>
      </c>
      <c r="AK8" s="1" t="s">
        <v>734</v>
      </c>
      <c r="AN8" s="158">
        <v>5</v>
      </c>
      <c r="AO8" s="1" t="s">
        <v>456</v>
      </c>
    </row>
    <row r="9" spans="1:41" x14ac:dyDescent="0.25">
      <c r="A9" s="174" t="s">
        <v>685</v>
      </c>
      <c r="B9" s="174" t="s">
        <v>885</v>
      </c>
      <c r="C9" s="318">
        <v>26</v>
      </c>
      <c r="D9" s="170" t="s">
        <v>766</v>
      </c>
      <c r="E9" s="174" t="s">
        <v>767</v>
      </c>
      <c r="F9" s="214">
        <v>74.835000000000008</v>
      </c>
      <c r="G9" s="214">
        <v>-126.965</v>
      </c>
      <c r="H9" s="214" t="s">
        <v>1203</v>
      </c>
      <c r="I9" s="713" t="s">
        <v>1468</v>
      </c>
      <c r="J9" s="713" t="str">
        <f t="shared" si="0"/>
        <v/>
      </c>
      <c r="K9" s="713" t="str">
        <f t="shared" si="1"/>
        <v/>
      </c>
      <c r="L9" s="171">
        <v>1</v>
      </c>
      <c r="M9" s="177">
        <v>39594</v>
      </c>
      <c r="N9" s="242"/>
      <c r="O9" s="242"/>
      <c r="P9" s="3"/>
      <c r="Q9" s="214">
        <v>0.84</v>
      </c>
      <c r="R9" s="247">
        <v>1</v>
      </c>
      <c r="AA9" s="247">
        <v>2.0099999999999998</v>
      </c>
      <c r="AB9" s="247">
        <v>1</v>
      </c>
      <c r="AG9" s="247">
        <f>Table2[[#This Row],[xFOSAs]]+Table2[[#This Row],[xFOSEs]]</f>
        <v>2.8499999999999996</v>
      </c>
      <c r="AH9" s="247" t="s">
        <v>869</v>
      </c>
      <c r="AI9" s="1" t="s">
        <v>768</v>
      </c>
      <c r="AJ9" s="1" t="s">
        <v>733</v>
      </c>
      <c r="AK9" s="1" t="s">
        <v>734</v>
      </c>
      <c r="AN9" s="160">
        <v>6</v>
      </c>
      <c r="AO9" s="1" t="s">
        <v>472</v>
      </c>
    </row>
    <row r="10" spans="1:41" x14ac:dyDescent="0.25">
      <c r="A10" s="158" t="s">
        <v>449</v>
      </c>
      <c r="B10" s="158" t="s">
        <v>886</v>
      </c>
      <c r="C10" s="212" t="s">
        <v>113</v>
      </c>
      <c r="D10" s="170">
        <v>36.549999999999997</v>
      </c>
      <c r="E10" s="174">
        <v>131.97</v>
      </c>
      <c r="F10" s="170">
        <v>36.549999999999997</v>
      </c>
      <c r="G10" s="174">
        <v>131.97</v>
      </c>
      <c r="H10" s="174" t="s">
        <v>1202</v>
      </c>
      <c r="I10" s="713" t="s">
        <v>1468</v>
      </c>
      <c r="J10" s="713" t="str">
        <f t="shared" si="0"/>
        <v/>
      </c>
      <c r="K10" s="713" t="str">
        <f t="shared" si="1"/>
        <v/>
      </c>
      <c r="L10" s="171">
        <v>3</v>
      </c>
      <c r="M10" s="177">
        <v>40333</v>
      </c>
      <c r="N10" s="242"/>
      <c r="O10" s="242"/>
      <c r="P10" s="3"/>
      <c r="Q10" s="214">
        <f>(0.2+0)+(0.5+0.1)</f>
        <v>0.8</v>
      </c>
      <c r="R10" s="247" t="s">
        <v>446</v>
      </c>
      <c r="S10" s="247">
        <v>0.1</v>
      </c>
      <c r="U10" s="247">
        <v>0.1</v>
      </c>
      <c r="AA10" s="214">
        <f>0.2+0.1+0.2+0.1</f>
        <v>0.6</v>
      </c>
      <c r="AB10" s="247" t="s">
        <v>446</v>
      </c>
      <c r="AC10" s="247" t="s">
        <v>1443</v>
      </c>
      <c r="AE10" s="247" t="s">
        <v>1444</v>
      </c>
      <c r="AG10" s="247">
        <f>Table2[[#This Row],[xFOSAs]]+Table2[[#This Row],[xFOSEs]]</f>
        <v>1.4</v>
      </c>
      <c r="AH10" s="247" t="s">
        <v>869</v>
      </c>
      <c r="AJ10" s="1" t="s">
        <v>733</v>
      </c>
      <c r="AK10" s="1" t="s">
        <v>734</v>
      </c>
      <c r="AN10" s="166">
        <v>7</v>
      </c>
      <c r="AO10" s="1" t="s">
        <v>477</v>
      </c>
    </row>
    <row r="11" spans="1:41" x14ac:dyDescent="0.25">
      <c r="A11" s="158" t="s">
        <v>449</v>
      </c>
      <c r="B11" s="158" t="s">
        <v>886</v>
      </c>
      <c r="C11" s="212" t="s">
        <v>123</v>
      </c>
      <c r="D11" s="170">
        <v>73.75</v>
      </c>
      <c r="E11" s="174">
        <v>-156.32</v>
      </c>
      <c r="F11" s="170">
        <v>73.75</v>
      </c>
      <c r="G11" s="174">
        <v>-156.32</v>
      </c>
      <c r="H11" s="214" t="s">
        <v>1203</v>
      </c>
      <c r="I11" s="713" t="s">
        <v>1468</v>
      </c>
      <c r="J11" s="713" t="str">
        <f t="shared" si="0"/>
        <v/>
      </c>
      <c r="K11" s="713" t="str">
        <f t="shared" si="1"/>
        <v/>
      </c>
      <c r="L11" s="171">
        <v>1</v>
      </c>
      <c r="M11" s="177">
        <v>40357</v>
      </c>
      <c r="N11" s="242"/>
      <c r="O11" s="242"/>
      <c r="P11" s="3"/>
      <c r="Q11" s="214">
        <f>0.1+0.1+0.8+0.1</f>
        <v>1.1000000000000001</v>
      </c>
      <c r="R11" s="722">
        <v>1</v>
      </c>
      <c r="S11" s="247">
        <v>0.1</v>
      </c>
      <c r="U11" s="247">
        <v>0.1</v>
      </c>
      <c r="AA11" s="214">
        <f>0.3+0.16+0.1+0.2</f>
        <v>0.76</v>
      </c>
      <c r="AB11" s="247" t="s">
        <v>446</v>
      </c>
      <c r="AC11" s="247" t="s">
        <v>1443</v>
      </c>
      <c r="AE11" s="247" t="s">
        <v>1444</v>
      </c>
      <c r="AG11" s="247">
        <f>Table2[[#This Row],[xFOSAs]]+Table2[[#This Row],[xFOSEs]]</f>
        <v>1.86</v>
      </c>
      <c r="AH11" s="247" t="s">
        <v>869</v>
      </c>
      <c r="AJ11" s="1" t="s">
        <v>733</v>
      </c>
      <c r="AK11" s="1" t="s">
        <v>734</v>
      </c>
      <c r="AN11" s="167">
        <v>8</v>
      </c>
      <c r="AO11" s="1" t="s">
        <v>668</v>
      </c>
    </row>
    <row r="12" spans="1:41" x14ac:dyDescent="0.25">
      <c r="A12" s="158" t="s">
        <v>449</v>
      </c>
      <c r="B12" s="158" t="s">
        <v>886</v>
      </c>
      <c r="C12" s="212" t="s">
        <v>124</v>
      </c>
      <c r="D12" s="170">
        <v>77.47</v>
      </c>
      <c r="E12" s="174">
        <v>-158.93</v>
      </c>
      <c r="F12" s="170">
        <v>77.47</v>
      </c>
      <c r="G12" s="174">
        <v>-158.93</v>
      </c>
      <c r="H12" s="214" t="s">
        <v>1203</v>
      </c>
      <c r="I12" s="713" t="s">
        <v>1468</v>
      </c>
      <c r="J12" s="713" t="str">
        <f t="shared" si="0"/>
        <v/>
      </c>
      <c r="K12" s="713" t="str">
        <f t="shared" si="1"/>
        <v/>
      </c>
      <c r="L12" s="171">
        <v>1</v>
      </c>
      <c r="M12" s="177">
        <v>40359</v>
      </c>
      <c r="N12" s="242"/>
      <c r="O12" s="242"/>
      <c r="P12" s="3"/>
      <c r="Q12" s="214">
        <f>0.1+0.1+0.2+0.1</f>
        <v>0.5</v>
      </c>
      <c r="R12" s="722">
        <v>1</v>
      </c>
      <c r="S12" s="247">
        <v>0.1</v>
      </c>
      <c r="U12" s="247">
        <v>0.1</v>
      </c>
      <c r="AA12" s="214">
        <f>0.1+0.16+0.1+0.2</f>
        <v>0.56000000000000005</v>
      </c>
      <c r="AB12" s="247" t="s">
        <v>446</v>
      </c>
      <c r="AC12" s="247" t="s">
        <v>1443</v>
      </c>
      <c r="AE12" s="247" t="s">
        <v>1444</v>
      </c>
      <c r="AG12" s="247">
        <f>Table2[[#This Row],[xFOSAs]]+Table2[[#This Row],[xFOSEs]]</f>
        <v>1.06</v>
      </c>
      <c r="AH12" s="247" t="s">
        <v>869</v>
      </c>
      <c r="AJ12" s="1" t="s">
        <v>733</v>
      </c>
      <c r="AK12" s="1" t="s">
        <v>734</v>
      </c>
      <c r="AN12" s="161">
        <v>9</v>
      </c>
      <c r="AO12" s="1" t="s">
        <v>675</v>
      </c>
    </row>
    <row r="13" spans="1:41" x14ac:dyDescent="0.25">
      <c r="A13" s="158" t="s">
        <v>449</v>
      </c>
      <c r="B13" s="158" t="s">
        <v>886</v>
      </c>
      <c r="C13" s="601" t="s">
        <v>125</v>
      </c>
      <c r="D13" s="170">
        <v>80.760000000000005</v>
      </c>
      <c r="E13" s="174">
        <v>-163</v>
      </c>
      <c r="F13" s="170">
        <v>80.760000000000005</v>
      </c>
      <c r="G13" s="174">
        <v>-163</v>
      </c>
      <c r="H13" s="214" t="s">
        <v>1203</v>
      </c>
      <c r="I13" s="713" t="s">
        <v>1468</v>
      </c>
      <c r="J13" s="713" t="str">
        <f t="shared" si="0"/>
        <v/>
      </c>
      <c r="K13" s="713" t="str">
        <f t="shared" si="1"/>
        <v/>
      </c>
      <c r="L13" s="171">
        <v>1</v>
      </c>
      <c r="M13" s="177">
        <v>40392</v>
      </c>
      <c r="N13" s="242"/>
      <c r="O13" s="242"/>
      <c r="P13" s="3"/>
      <c r="Q13" s="214">
        <f>0.1+0.1+0.4+0.1</f>
        <v>0.70000000000000007</v>
      </c>
      <c r="R13" s="722">
        <v>1</v>
      </c>
      <c r="S13" s="247">
        <v>0.1</v>
      </c>
      <c r="U13" s="247">
        <v>0.1</v>
      </c>
      <c r="AA13" s="214">
        <f>0.1+0.3+0.1+0.4</f>
        <v>0.9</v>
      </c>
      <c r="AB13" s="247" t="s">
        <v>446</v>
      </c>
      <c r="AC13" s="247" t="s">
        <v>1443</v>
      </c>
      <c r="AE13" s="247" t="s">
        <v>1444</v>
      </c>
      <c r="AG13" s="247">
        <f>Table2[[#This Row],[xFOSAs]]+Table2[[#This Row],[xFOSEs]]</f>
        <v>1.6</v>
      </c>
      <c r="AH13" s="247" t="s">
        <v>869</v>
      </c>
      <c r="AJ13" s="1" t="s">
        <v>733</v>
      </c>
      <c r="AK13" s="1" t="s">
        <v>734</v>
      </c>
      <c r="AN13" s="163">
        <v>10</v>
      </c>
      <c r="AO13" s="1" t="s">
        <v>677</v>
      </c>
    </row>
    <row r="14" spans="1:41" x14ac:dyDescent="0.25">
      <c r="A14" s="158" t="s">
        <v>449</v>
      </c>
      <c r="B14" s="158" t="s">
        <v>886</v>
      </c>
      <c r="C14" s="601" t="s">
        <v>126</v>
      </c>
      <c r="D14" s="170">
        <v>81.5</v>
      </c>
      <c r="E14" s="174">
        <v>167.14</v>
      </c>
      <c r="F14" s="170">
        <v>81.5</v>
      </c>
      <c r="G14" s="174">
        <v>167.14</v>
      </c>
      <c r="H14" s="214" t="s">
        <v>1203</v>
      </c>
      <c r="I14" s="713" t="s">
        <v>1468</v>
      </c>
      <c r="J14" s="713" t="str">
        <f t="shared" si="0"/>
        <v/>
      </c>
      <c r="K14" s="713" t="str">
        <f t="shared" si="1"/>
        <v/>
      </c>
      <c r="L14" s="171">
        <v>1</v>
      </c>
      <c r="M14" s="177">
        <v>40414</v>
      </c>
      <c r="N14" s="242"/>
      <c r="O14" s="242"/>
      <c r="P14" s="3"/>
      <c r="Q14" s="214">
        <f>0.1+0.1+0.8+0.1</f>
        <v>1.1000000000000001</v>
      </c>
      <c r="R14" s="722">
        <v>1</v>
      </c>
      <c r="S14" s="247">
        <v>0.1</v>
      </c>
      <c r="U14" s="247">
        <v>0.1</v>
      </c>
      <c r="AA14" s="214">
        <f>0.4+0.5+0.7+0.5</f>
        <v>2.1</v>
      </c>
      <c r="AB14" s="247">
        <v>1</v>
      </c>
      <c r="AC14" s="247" t="s">
        <v>1443</v>
      </c>
      <c r="AE14" s="247" t="s">
        <v>1444</v>
      </c>
      <c r="AG14" s="247">
        <f>Table2[[#This Row],[xFOSAs]]+Table2[[#This Row],[xFOSEs]]</f>
        <v>3.2</v>
      </c>
      <c r="AH14" s="247" t="s">
        <v>869</v>
      </c>
      <c r="AJ14" s="1" t="s">
        <v>733</v>
      </c>
      <c r="AK14" s="1" t="s">
        <v>734</v>
      </c>
      <c r="AN14" s="164">
        <v>11</v>
      </c>
      <c r="AO14" s="1" t="s">
        <v>689</v>
      </c>
    </row>
    <row r="15" spans="1:41" x14ac:dyDescent="0.25">
      <c r="A15" s="158" t="s">
        <v>449</v>
      </c>
      <c r="B15" s="158" t="s">
        <v>886</v>
      </c>
      <c r="C15" s="601" t="s">
        <v>114</v>
      </c>
      <c r="D15" s="170">
        <v>45.09</v>
      </c>
      <c r="E15" s="174">
        <v>140.30000000000001</v>
      </c>
      <c r="F15" s="170">
        <v>45.09</v>
      </c>
      <c r="G15" s="174">
        <v>140.30000000000001</v>
      </c>
      <c r="H15" s="174" t="s">
        <v>1202</v>
      </c>
      <c r="I15" s="713" t="s">
        <v>1468</v>
      </c>
      <c r="J15" s="713" t="str">
        <f t="shared" si="0"/>
        <v/>
      </c>
      <c r="K15" s="713" t="str">
        <f t="shared" si="1"/>
        <v/>
      </c>
      <c r="L15" s="171">
        <v>3</v>
      </c>
      <c r="M15" s="177">
        <v>40335</v>
      </c>
      <c r="N15" s="242"/>
      <c r="O15" s="242"/>
      <c r="P15" s="3"/>
      <c r="Q15" s="214">
        <f>0.2+0+0.6+0.1</f>
        <v>0.9</v>
      </c>
      <c r="R15" s="247" t="s">
        <v>446</v>
      </c>
      <c r="S15" s="247">
        <v>0.1</v>
      </c>
      <c r="U15" s="247">
        <v>0.1</v>
      </c>
      <c r="AA15" s="214">
        <f>0.1+0.1+0.1+0.1</f>
        <v>0.4</v>
      </c>
      <c r="AB15" s="247">
        <v>1</v>
      </c>
      <c r="AC15" s="247" t="s">
        <v>1443</v>
      </c>
      <c r="AE15" s="247" t="s">
        <v>1444</v>
      </c>
      <c r="AG15" s="247">
        <f>Table2[[#This Row],[xFOSAs]]+Table2[[#This Row],[xFOSEs]]</f>
        <v>1.3</v>
      </c>
      <c r="AH15" s="247" t="s">
        <v>869</v>
      </c>
      <c r="AJ15" s="1" t="s">
        <v>733</v>
      </c>
      <c r="AK15" s="1" t="s">
        <v>734</v>
      </c>
      <c r="AO15" t="s">
        <v>771</v>
      </c>
    </row>
    <row r="16" spans="1:41" x14ac:dyDescent="0.25">
      <c r="A16" s="158" t="s">
        <v>449</v>
      </c>
      <c r="B16" s="158" t="s">
        <v>886</v>
      </c>
      <c r="C16" s="601" t="s">
        <v>115</v>
      </c>
      <c r="D16" s="170">
        <v>51.1</v>
      </c>
      <c r="E16" s="174">
        <v>161.86000000000001</v>
      </c>
      <c r="F16" s="170">
        <v>51.1</v>
      </c>
      <c r="G16" s="174">
        <v>161.86000000000001</v>
      </c>
      <c r="H16" s="174" t="s">
        <v>1202</v>
      </c>
      <c r="I16" s="713" t="s">
        <v>1468</v>
      </c>
      <c r="J16" s="713" t="str">
        <f t="shared" si="0"/>
        <v/>
      </c>
      <c r="K16" s="713" t="str">
        <f t="shared" si="1"/>
        <v/>
      </c>
      <c r="L16" s="171">
        <v>3</v>
      </c>
      <c r="M16" s="177">
        <v>40338</v>
      </c>
      <c r="N16" s="242"/>
      <c r="O16" s="242"/>
      <c r="P16" s="3"/>
      <c r="Q16" s="214">
        <f>0.2+0.3</f>
        <v>0.5</v>
      </c>
      <c r="R16" s="247" t="s">
        <v>446</v>
      </c>
      <c r="S16" s="247">
        <v>0.1</v>
      </c>
      <c r="U16" s="247">
        <v>0.1</v>
      </c>
      <c r="AA16" s="214">
        <f>0.1+0.1</f>
        <v>0.2</v>
      </c>
      <c r="AB16" s="247" t="s">
        <v>446</v>
      </c>
      <c r="AC16" s="247" t="s">
        <v>1443</v>
      </c>
      <c r="AE16" s="247" t="s">
        <v>1444</v>
      </c>
      <c r="AG16" s="247">
        <f>Table2[[#This Row],[xFOSAs]]+Table2[[#This Row],[xFOSEs]]</f>
        <v>0.7</v>
      </c>
      <c r="AH16" s="247" t="s">
        <v>869</v>
      </c>
      <c r="AJ16" s="1" t="s">
        <v>733</v>
      </c>
      <c r="AK16" s="1" t="s">
        <v>734</v>
      </c>
      <c r="AO16" s="1" t="s">
        <v>777</v>
      </c>
    </row>
    <row r="17" spans="1:37" x14ac:dyDescent="0.25">
      <c r="A17" s="158" t="s">
        <v>449</v>
      </c>
      <c r="B17" s="158" t="s">
        <v>886</v>
      </c>
      <c r="C17" s="158" t="s">
        <v>450</v>
      </c>
      <c r="D17" s="170">
        <v>54.59</v>
      </c>
      <c r="E17" s="174">
        <v>171.41</v>
      </c>
      <c r="F17" s="170">
        <v>54.59</v>
      </c>
      <c r="G17" s="174">
        <v>171.41</v>
      </c>
      <c r="H17" s="174" t="s">
        <v>1202</v>
      </c>
      <c r="I17" s="713" t="s">
        <v>1468</v>
      </c>
      <c r="J17" s="713" t="str">
        <f t="shared" si="0"/>
        <v/>
      </c>
      <c r="K17" s="713" t="str">
        <f t="shared" si="1"/>
        <v/>
      </c>
      <c r="L17" s="171">
        <v>2</v>
      </c>
      <c r="M17" s="177">
        <v>40340</v>
      </c>
      <c r="N17" s="242"/>
      <c r="O17" s="242"/>
      <c r="P17" s="3"/>
      <c r="Q17" s="214">
        <f>0.2+0+0.3+0.1</f>
        <v>0.6</v>
      </c>
      <c r="R17" s="247" t="s">
        <v>446</v>
      </c>
      <c r="S17" s="247">
        <v>0.1</v>
      </c>
      <c r="U17" s="247">
        <v>0.1</v>
      </c>
      <c r="AA17" s="214">
        <f>0.6+0.1+0.4+0.2</f>
        <v>1.3</v>
      </c>
      <c r="AB17" s="247" t="s">
        <v>446</v>
      </c>
      <c r="AC17" s="247" t="s">
        <v>1443</v>
      </c>
      <c r="AE17" s="247" t="s">
        <v>1444</v>
      </c>
      <c r="AG17" s="247">
        <f>Table2[[#This Row],[xFOSAs]]+Table2[[#This Row],[xFOSEs]]</f>
        <v>1.9</v>
      </c>
      <c r="AH17" s="247" t="s">
        <v>869</v>
      </c>
      <c r="AJ17" s="1" t="s">
        <v>733</v>
      </c>
      <c r="AK17" s="1" t="s">
        <v>734</v>
      </c>
    </row>
    <row r="18" spans="1:37" x14ac:dyDescent="0.25">
      <c r="A18" s="158" t="s">
        <v>449</v>
      </c>
      <c r="B18" s="158" t="s">
        <v>886</v>
      </c>
      <c r="C18" s="158" t="s">
        <v>451</v>
      </c>
      <c r="D18" s="170">
        <v>58.07</v>
      </c>
      <c r="E18" s="174">
        <v>-176.39</v>
      </c>
      <c r="F18" s="170">
        <v>58.07</v>
      </c>
      <c r="G18" s="174">
        <v>-176.39</v>
      </c>
      <c r="H18" s="174" t="s">
        <v>1202</v>
      </c>
      <c r="I18" s="713" t="s">
        <v>1468</v>
      </c>
      <c r="J18" s="713" t="str">
        <f t="shared" si="0"/>
        <v/>
      </c>
      <c r="K18" s="713" t="str">
        <f t="shared" si="1"/>
        <v/>
      </c>
      <c r="L18" s="171">
        <v>2</v>
      </c>
      <c r="M18" s="177">
        <v>40342</v>
      </c>
      <c r="N18" s="242"/>
      <c r="O18" s="242"/>
      <c r="P18" s="3"/>
      <c r="Q18" s="214">
        <f>0.3+0+0.7+0.1</f>
        <v>1.1000000000000001</v>
      </c>
      <c r="R18" s="247" t="s">
        <v>446</v>
      </c>
      <c r="S18" s="247">
        <v>0.1</v>
      </c>
      <c r="U18" s="247">
        <v>0.1</v>
      </c>
      <c r="AA18" s="214">
        <f>0.3+0.1+0.2+0.1</f>
        <v>0.70000000000000007</v>
      </c>
      <c r="AB18" s="247" t="s">
        <v>446</v>
      </c>
      <c r="AC18" s="247" t="s">
        <v>1443</v>
      </c>
      <c r="AE18" s="247" t="s">
        <v>1444</v>
      </c>
      <c r="AG18" s="247">
        <f>Table2[[#This Row],[xFOSAs]]+Table2[[#This Row],[xFOSEs]]</f>
        <v>1.8000000000000003</v>
      </c>
      <c r="AH18" s="247" t="s">
        <v>869</v>
      </c>
      <c r="AJ18" s="1" t="s">
        <v>733</v>
      </c>
      <c r="AK18" s="1" t="s">
        <v>734</v>
      </c>
    </row>
    <row r="19" spans="1:37" x14ac:dyDescent="0.25">
      <c r="A19" s="158" t="s">
        <v>449</v>
      </c>
      <c r="B19" s="158" t="s">
        <v>886</v>
      </c>
      <c r="C19" s="158" t="s">
        <v>452</v>
      </c>
      <c r="D19" s="170">
        <v>62.64</v>
      </c>
      <c r="E19" s="174">
        <v>-175.12</v>
      </c>
      <c r="F19" s="170">
        <v>62.64</v>
      </c>
      <c r="G19" s="174">
        <v>-175.12</v>
      </c>
      <c r="H19" s="174" t="s">
        <v>1202</v>
      </c>
      <c r="I19" s="713" t="s">
        <v>1468</v>
      </c>
      <c r="J19" s="713" t="str">
        <f t="shared" si="0"/>
        <v/>
      </c>
      <c r="K19" s="713" t="str">
        <f t="shared" si="1"/>
        <v/>
      </c>
      <c r="L19" s="171">
        <v>2</v>
      </c>
      <c r="M19" s="177">
        <v>40345</v>
      </c>
      <c r="N19" s="242"/>
      <c r="O19" s="242"/>
      <c r="P19" s="3"/>
      <c r="Q19" s="214">
        <f>0+0.3+0.1</f>
        <v>0.4</v>
      </c>
      <c r="R19" s="247" t="s">
        <v>446</v>
      </c>
      <c r="S19" s="247">
        <v>0.1</v>
      </c>
      <c r="U19" s="247">
        <v>0.1</v>
      </c>
      <c r="AA19" s="214">
        <f>0.1+0.1+0.1+0.1</f>
        <v>0.4</v>
      </c>
      <c r="AB19" s="247" t="s">
        <v>446</v>
      </c>
      <c r="AC19" s="247" t="s">
        <v>1443</v>
      </c>
      <c r="AE19" s="247" t="s">
        <v>1444</v>
      </c>
      <c r="AG19" s="247">
        <f>Table2[[#This Row],[xFOSAs]]+Table2[[#This Row],[xFOSEs]]</f>
        <v>0.8</v>
      </c>
      <c r="AH19" s="247" t="s">
        <v>869</v>
      </c>
      <c r="AJ19" s="1" t="s">
        <v>733</v>
      </c>
      <c r="AK19" s="1" t="s">
        <v>734</v>
      </c>
    </row>
    <row r="20" spans="1:37" x14ac:dyDescent="0.25">
      <c r="A20" s="158" t="s">
        <v>449</v>
      </c>
      <c r="B20" s="158" t="s">
        <v>886</v>
      </c>
      <c r="C20" s="601" t="s">
        <v>453</v>
      </c>
      <c r="D20" s="170">
        <v>66.430000000000007</v>
      </c>
      <c r="E20" s="174">
        <v>-168.81</v>
      </c>
      <c r="F20" s="170">
        <v>66.430000000000007</v>
      </c>
      <c r="G20" s="174">
        <v>-168.81</v>
      </c>
      <c r="H20" s="174" t="s">
        <v>1202</v>
      </c>
      <c r="I20" s="713" t="s">
        <v>1468</v>
      </c>
      <c r="J20" s="713" t="str">
        <f t="shared" si="0"/>
        <v/>
      </c>
      <c r="K20" s="713" t="str">
        <f t="shared" si="1"/>
        <v/>
      </c>
      <c r="L20" s="171">
        <v>2</v>
      </c>
      <c r="M20" s="177">
        <v>40348</v>
      </c>
      <c r="N20" s="242"/>
      <c r="O20" s="242"/>
      <c r="P20" s="3"/>
      <c r="Q20" s="214">
        <f>0.1+0.1+0.5+0.1</f>
        <v>0.79999999999999993</v>
      </c>
      <c r="R20" s="722">
        <v>1</v>
      </c>
      <c r="S20" s="247">
        <v>0.1</v>
      </c>
      <c r="U20" s="247">
        <v>0.1</v>
      </c>
      <c r="AA20" s="214">
        <f>0.1+0.16+0.1+0.2</f>
        <v>0.56000000000000005</v>
      </c>
      <c r="AB20" s="247" t="s">
        <v>446</v>
      </c>
      <c r="AC20" s="247" t="s">
        <v>1443</v>
      </c>
      <c r="AE20" s="247" t="s">
        <v>1444</v>
      </c>
      <c r="AG20" s="247">
        <f>Table2[[#This Row],[xFOSAs]]+Table2[[#This Row],[xFOSEs]]</f>
        <v>1.3599999999999999</v>
      </c>
      <c r="AH20" s="247" t="s">
        <v>869</v>
      </c>
      <c r="AJ20" s="1" t="s">
        <v>733</v>
      </c>
      <c r="AK20" s="1" t="s">
        <v>734</v>
      </c>
    </row>
    <row r="21" spans="1:37" x14ac:dyDescent="0.25">
      <c r="A21" s="158" t="s">
        <v>449</v>
      </c>
      <c r="B21" s="158" t="s">
        <v>886</v>
      </c>
      <c r="C21" s="601" t="s">
        <v>454</v>
      </c>
      <c r="D21" s="170">
        <v>72.400000000000006</v>
      </c>
      <c r="E21" s="174">
        <v>-164.32</v>
      </c>
      <c r="F21" s="170">
        <v>72.400000000000006</v>
      </c>
      <c r="G21" s="174">
        <v>-164.32</v>
      </c>
      <c r="H21" s="174" t="s">
        <v>1202</v>
      </c>
      <c r="I21" s="713" t="s">
        <v>1468</v>
      </c>
      <c r="J21" s="713" t="str">
        <f t="shared" si="0"/>
        <v/>
      </c>
      <c r="K21" s="713" t="str">
        <f t="shared" si="1"/>
        <v/>
      </c>
      <c r="L21" s="171">
        <v>2</v>
      </c>
      <c r="M21" s="177">
        <v>40353</v>
      </c>
      <c r="N21" s="242"/>
      <c r="O21" s="242"/>
      <c r="P21" s="3"/>
      <c r="Q21" s="214">
        <f>0.1+0+0.9+0.1</f>
        <v>1.1000000000000001</v>
      </c>
      <c r="R21" s="247" t="s">
        <v>446</v>
      </c>
      <c r="S21" s="247">
        <v>0.1</v>
      </c>
      <c r="U21" s="247">
        <v>0.1</v>
      </c>
      <c r="AA21" s="214">
        <f>0.1+0.11+0.1+0.1</f>
        <v>0.41000000000000003</v>
      </c>
      <c r="AB21" s="247" t="s">
        <v>446</v>
      </c>
      <c r="AC21" s="247" t="s">
        <v>1443</v>
      </c>
      <c r="AE21" s="247" t="s">
        <v>1444</v>
      </c>
      <c r="AG21" s="247">
        <f>Table2[[#This Row],[xFOSAs]]+Table2[[#This Row],[xFOSEs]]</f>
        <v>1.5100000000000002</v>
      </c>
      <c r="AH21" s="247" t="s">
        <v>869</v>
      </c>
      <c r="AJ21" s="1" t="s">
        <v>733</v>
      </c>
      <c r="AK21" s="1" t="s">
        <v>734</v>
      </c>
    </row>
    <row r="22" spans="1:37" x14ac:dyDescent="0.25">
      <c r="A22" s="158" t="s">
        <v>449</v>
      </c>
      <c r="B22" s="158" t="s">
        <v>886</v>
      </c>
      <c r="C22" s="601" t="s">
        <v>122</v>
      </c>
      <c r="D22" s="170">
        <v>72.27</v>
      </c>
      <c r="E22" s="174">
        <v>-153.28</v>
      </c>
      <c r="F22" s="170">
        <v>72.27</v>
      </c>
      <c r="G22" s="174">
        <v>-153.28</v>
      </c>
      <c r="H22" s="174" t="s">
        <v>1202</v>
      </c>
      <c r="I22" s="713" t="s">
        <v>1468</v>
      </c>
      <c r="J22" s="713" t="str">
        <f t="shared" si="0"/>
        <v/>
      </c>
      <c r="K22" s="713" t="str">
        <f t="shared" si="1"/>
        <v/>
      </c>
      <c r="L22" s="171">
        <v>2</v>
      </c>
      <c r="M22" s="177">
        <v>40355</v>
      </c>
      <c r="N22" s="242"/>
      <c r="O22" s="242"/>
      <c r="P22" s="3"/>
      <c r="Q22" s="214">
        <f>0.2+0+0.9+0.1</f>
        <v>1.2000000000000002</v>
      </c>
      <c r="R22" s="247" t="s">
        <v>446</v>
      </c>
      <c r="S22" s="247">
        <v>0.1</v>
      </c>
      <c r="U22" s="247">
        <v>0.1</v>
      </c>
      <c r="AA22" s="214">
        <f>0.1+0.14+0.1+0.2</f>
        <v>0.54</v>
      </c>
      <c r="AB22" s="247" t="s">
        <v>446</v>
      </c>
      <c r="AC22" s="247" t="s">
        <v>1443</v>
      </c>
      <c r="AE22" s="247" t="s">
        <v>1444</v>
      </c>
      <c r="AG22" s="247">
        <f>Table2[[#This Row],[xFOSAs]]+Table2[[#This Row],[xFOSEs]]</f>
        <v>1.7400000000000002</v>
      </c>
      <c r="AH22" s="247" t="s">
        <v>869</v>
      </c>
      <c r="AJ22" s="1" t="s">
        <v>733</v>
      </c>
      <c r="AK22" s="1" t="s">
        <v>734</v>
      </c>
    </row>
    <row r="23" spans="1:37" x14ac:dyDescent="0.25">
      <c r="A23" s="167" t="s">
        <v>664</v>
      </c>
      <c r="B23" s="167" t="s">
        <v>737</v>
      </c>
      <c r="C23" s="167" t="s">
        <v>185</v>
      </c>
      <c r="D23" s="170" t="s">
        <v>667</v>
      </c>
      <c r="E23" s="174" t="s">
        <v>1242</v>
      </c>
      <c r="F23" s="174">
        <v>-64.266999999999996</v>
      </c>
      <c r="G23" s="174">
        <v>-64.950999999999993</v>
      </c>
      <c r="H23" s="174" t="s">
        <v>1204</v>
      </c>
      <c r="I23" s="214" t="s">
        <v>1469</v>
      </c>
      <c r="J23" s="713" t="str">
        <f t="shared" si="0"/>
        <v/>
      </c>
      <c r="K23" s="713" t="str">
        <f t="shared" si="1"/>
        <v/>
      </c>
      <c r="L23" s="171">
        <v>9</v>
      </c>
      <c r="M23" s="177">
        <v>39845</v>
      </c>
      <c r="N23" s="242"/>
      <c r="O23" s="242"/>
      <c r="P23" s="3"/>
      <c r="Q23" s="214">
        <v>0.17</v>
      </c>
      <c r="R23" s="247">
        <v>1</v>
      </c>
      <c r="AA23" s="214">
        <v>0.06</v>
      </c>
      <c r="AB23" s="247" t="s">
        <v>446</v>
      </c>
      <c r="AG23" s="247">
        <f>Table2[[#This Row],[xFOSAs]]+Table2[[#This Row],[xFOSEs]]</f>
        <v>0.23</v>
      </c>
      <c r="AH23" s="247" t="s">
        <v>869</v>
      </c>
      <c r="AJ23" s="1" t="s">
        <v>1445</v>
      </c>
      <c r="AK23" s="1" t="s">
        <v>1446</v>
      </c>
    </row>
    <row r="24" spans="1:37" x14ac:dyDescent="0.25">
      <c r="A24" s="167" t="s">
        <v>664</v>
      </c>
      <c r="B24" s="167" t="s">
        <v>737</v>
      </c>
      <c r="C24" s="167" t="s">
        <v>186</v>
      </c>
      <c r="D24" s="170" t="s">
        <v>667</v>
      </c>
      <c r="E24" s="174" t="s">
        <v>1242</v>
      </c>
      <c r="F24" s="174">
        <v>-67.724000000000004</v>
      </c>
      <c r="G24" s="174">
        <v>-70.269000000000005</v>
      </c>
      <c r="H24" s="174" t="s">
        <v>1204</v>
      </c>
      <c r="I24" s="713" t="s">
        <v>1469</v>
      </c>
      <c r="J24" s="713" t="str">
        <f t="shared" si="0"/>
        <v/>
      </c>
      <c r="K24" s="713" t="str">
        <f t="shared" si="1"/>
        <v/>
      </c>
      <c r="L24" s="171">
        <v>9</v>
      </c>
      <c r="M24" s="177">
        <v>39845</v>
      </c>
      <c r="N24" s="242"/>
      <c r="O24" s="242"/>
      <c r="P24" s="3"/>
      <c r="Q24" s="214">
        <v>0.23</v>
      </c>
      <c r="R24" s="247">
        <v>1</v>
      </c>
      <c r="AA24" s="214">
        <v>0.68</v>
      </c>
      <c r="AB24" s="247">
        <v>1</v>
      </c>
      <c r="AG24" s="247">
        <f>Table2[[#This Row],[xFOSAs]]+Table2[[#This Row],[xFOSEs]]</f>
        <v>0.91</v>
      </c>
      <c r="AH24" s="247" t="s">
        <v>869</v>
      </c>
      <c r="AJ24" s="1" t="s">
        <v>1445</v>
      </c>
      <c r="AK24" s="1" t="s">
        <v>1446</v>
      </c>
    </row>
    <row r="25" spans="1:37" x14ac:dyDescent="0.25">
      <c r="A25" s="167" t="s">
        <v>664</v>
      </c>
      <c r="B25" s="167" t="s">
        <v>737</v>
      </c>
      <c r="C25" s="167" t="s">
        <v>187</v>
      </c>
      <c r="D25" s="170" t="s">
        <v>667</v>
      </c>
      <c r="E25" s="174" t="s">
        <v>1242</v>
      </c>
      <c r="F25" s="174">
        <v>-70.302999999999997</v>
      </c>
      <c r="G25" s="174">
        <v>-73.156999999999996</v>
      </c>
      <c r="H25" s="174" t="s">
        <v>1204</v>
      </c>
      <c r="I25" s="713" t="s">
        <v>1469</v>
      </c>
      <c r="J25" s="713" t="str">
        <f t="shared" si="0"/>
        <v/>
      </c>
      <c r="K25" s="713" t="str">
        <f t="shared" si="1"/>
        <v>yes</v>
      </c>
      <c r="L25" s="171">
        <v>9</v>
      </c>
      <c r="M25" s="177">
        <v>39845</v>
      </c>
      <c r="N25" s="242"/>
      <c r="O25" s="242"/>
      <c r="P25" s="3"/>
      <c r="Q25" s="214">
        <v>0.17</v>
      </c>
      <c r="R25" s="247">
        <v>1</v>
      </c>
      <c r="AB25" s="247">
        <v>0</v>
      </c>
      <c r="AG25" s="247">
        <f>Table2[[#This Row],[xFOSAs]]+Table2[[#This Row],[xFOSEs]]</f>
        <v>0.17</v>
      </c>
      <c r="AH25" s="247" t="s">
        <v>869</v>
      </c>
      <c r="AJ25" s="1" t="s">
        <v>1445</v>
      </c>
      <c r="AK25" s="1" t="s">
        <v>1446</v>
      </c>
    </row>
    <row r="26" spans="1:37" x14ac:dyDescent="0.25">
      <c r="A26" s="167" t="s">
        <v>664</v>
      </c>
      <c r="B26" s="167" t="s">
        <v>737</v>
      </c>
      <c r="C26" s="167" t="s">
        <v>665</v>
      </c>
      <c r="D26" s="170" t="s">
        <v>667</v>
      </c>
      <c r="E26" s="174" t="s">
        <v>1242</v>
      </c>
      <c r="F26" s="174">
        <v>-68.674999999999997</v>
      </c>
      <c r="G26" s="174">
        <v>-69.647000000000006</v>
      </c>
      <c r="H26" s="174" t="s">
        <v>1204</v>
      </c>
      <c r="I26" s="713" t="s">
        <v>1469</v>
      </c>
      <c r="J26" s="713" t="str">
        <f t="shared" si="0"/>
        <v/>
      </c>
      <c r="K26" s="713" t="str">
        <f t="shared" si="1"/>
        <v/>
      </c>
      <c r="L26" s="171">
        <v>9</v>
      </c>
      <c r="M26" s="177">
        <v>39845</v>
      </c>
      <c r="N26" s="242"/>
      <c r="O26" s="242"/>
      <c r="P26" s="3"/>
      <c r="Q26" s="214">
        <v>0.1</v>
      </c>
      <c r="R26" s="247" t="s">
        <v>446</v>
      </c>
      <c r="AA26" s="214">
        <v>0.18</v>
      </c>
      <c r="AB26" s="247">
        <v>1</v>
      </c>
      <c r="AG26" s="247">
        <f>Table2[[#This Row],[xFOSAs]]+Table2[[#This Row],[xFOSEs]]</f>
        <v>0.28000000000000003</v>
      </c>
      <c r="AH26" s="247" t="s">
        <v>869</v>
      </c>
      <c r="AJ26" s="1" t="s">
        <v>1445</v>
      </c>
      <c r="AK26" s="1" t="s">
        <v>1446</v>
      </c>
    </row>
    <row r="27" spans="1:37" x14ac:dyDescent="0.25">
      <c r="A27" s="167" t="s">
        <v>664</v>
      </c>
      <c r="B27" s="167" t="s">
        <v>737</v>
      </c>
      <c r="C27" s="167" t="s">
        <v>666</v>
      </c>
      <c r="D27" s="170" t="s">
        <v>667</v>
      </c>
      <c r="E27" s="174" t="s">
        <v>1242</v>
      </c>
      <c r="F27" s="174">
        <v>-66.774000000000001</v>
      </c>
      <c r="G27" s="174">
        <v>-67.986999999999995</v>
      </c>
      <c r="H27" s="174" t="s">
        <v>1204</v>
      </c>
      <c r="I27" s="713" t="s">
        <v>1469</v>
      </c>
      <c r="J27" s="713" t="str">
        <f t="shared" si="0"/>
        <v/>
      </c>
      <c r="K27" s="713" t="str">
        <f t="shared" si="1"/>
        <v/>
      </c>
      <c r="L27" s="171">
        <v>9</v>
      </c>
      <c r="M27" s="177">
        <v>39845</v>
      </c>
      <c r="N27" s="242"/>
      <c r="O27" s="242"/>
      <c r="P27" s="3"/>
      <c r="Q27" s="214">
        <v>0.37</v>
      </c>
      <c r="R27" s="247" t="s">
        <v>446</v>
      </c>
      <c r="AA27" s="214">
        <v>0.89</v>
      </c>
      <c r="AB27" s="247" t="s">
        <v>446</v>
      </c>
      <c r="AG27" s="247">
        <f>Table2[[#This Row],[xFOSAs]]+Table2[[#This Row],[xFOSEs]]</f>
        <v>1.26</v>
      </c>
      <c r="AH27" s="247" t="s">
        <v>869</v>
      </c>
      <c r="AJ27" s="1" t="s">
        <v>1445</v>
      </c>
      <c r="AK27" s="1" t="s">
        <v>1446</v>
      </c>
    </row>
    <row r="28" spans="1:37" x14ac:dyDescent="0.25">
      <c r="A28" s="167" t="s">
        <v>664</v>
      </c>
      <c r="B28" s="167" t="s">
        <v>737</v>
      </c>
      <c r="C28" s="167" t="s">
        <v>188</v>
      </c>
      <c r="D28" s="170" t="s">
        <v>667</v>
      </c>
      <c r="E28" s="174" t="s">
        <v>1242</v>
      </c>
      <c r="F28" s="174">
        <v>-63.509</v>
      </c>
      <c r="G28" s="174">
        <v>-61.107999999999997</v>
      </c>
      <c r="H28" s="174" t="s">
        <v>1204</v>
      </c>
      <c r="I28" s="713" t="s">
        <v>1469</v>
      </c>
      <c r="J28" s="713" t="str">
        <f t="shared" si="0"/>
        <v/>
      </c>
      <c r="K28" s="713" t="str">
        <f t="shared" si="1"/>
        <v/>
      </c>
      <c r="L28" s="171">
        <v>9</v>
      </c>
      <c r="M28" s="177">
        <v>39845</v>
      </c>
      <c r="N28" s="242"/>
      <c r="O28" s="242"/>
      <c r="P28" s="3"/>
      <c r="Q28" s="214">
        <v>0.36</v>
      </c>
      <c r="R28" s="247">
        <v>1</v>
      </c>
      <c r="AA28" s="214">
        <v>0.56000000000000005</v>
      </c>
      <c r="AB28" s="247">
        <v>1</v>
      </c>
      <c r="AG28" s="247">
        <f>Table2[[#This Row],[xFOSAs]]+Table2[[#This Row],[xFOSEs]]</f>
        <v>0.92</v>
      </c>
      <c r="AH28" s="247" t="s">
        <v>869</v>
      </c>
      <c r="AJ28" s="1" t="s">
        <v>1445</v>
      </c>
      <c r="AK28" s="1" t="s">
        <v>1446</v>
      </c>
    </row>
    <row r="29" spans="1:37" x14ac:dyDescent="0.25">
      <c r="A29" s="167" t="s">
        <v>664</v>
      </c>
      <c r="B29" s="167" t="s">
        <v>737</v>
      </c>
      <c r="C29" s="167" t="s">
        <v>189</v>
      </c>
      <c r="D29" s="170" t="s">
        <v>667</v>
      </c>
      <c r="E29" s="174" t="s">
        <v>1242</v>
      </c>
      <c r="F29" s="174">
        <v>-63.046999999999997</v>
      </c>
      <c r="G29" s="174">
        <v>-55.110999999999997</v>
      </c>
      <c r="H29" s="174" t="s">
        <v>1204</v>
      </c>
      <c r="I29" s="713" t="s">
        <v>1469</v>
      </c>
      <c r="J29" s="713" t="str">
        <f t="shared" si="0"/>
        <v/>
      </c>
      <c r="K29" s="713" t="str">
        <f t="shared" si="1"/>
        <v/>
      </c>
      <c r="L29" s="171">
        <v>9</v>
      </c>
      <c r="M29" s="177">
        <v>39845</v>
      </c>
      <c r="N29" s="242"/>
      <c r="O29" s="242"/>
      <c r="P29" s="3"/>
      <c r="Q29" s="214">
        <v>0.28000000000000003</v>
      </c>
      <c r="R29" s="247">
        <v>1</v>
      </c>
      <c r="AA29" s="214">
        <v>0.83</v>
      </c>
      <c r="AB29" s="247">
        <v>1</v>
      </c>
      <c r="AG29" s="247">
        <f>Table2[[#This Row],[xFOSAs]]+Table2[[#This Row],[xFOSEs]]</f>
        <v>1.1099999999999999</v>
      </c>
      <c r="AH29" s="247" t="s">
        <v>869</v>
      </c>
      <c r="AJ29" s="1" t="s">
        <v>1445</v>
      </c>
      <c r="AK29" s="1" t="s">
        <v>1446</v>
      </c>
    </row>
    <row r="30" spans="1:37" x14ac:dyDescent="0.25">
      <c r="A30" s="167" t="s">
        <v>664</v>
      </c>
      <c r="B30" s="167" t="s">
        <v>737</v>
      </c>
      <c r="C30" s="167" t="s">
        <v>190</v>
      </c>
      <c r="D30" s="170" t="s">
        <v>667</v>
      </c>
      <c r="E30" s="174" t="s">
        <v>1242</v>
      </c>
      <c r="F30" s="174">
        <v>-60.61</v>
      </c>
      <c r="G30" s="174">
        <v>-58.847999999999999</v>
      </c>
      <c r="H30" s="174" t="s">
        <v>1204</v>
      </c>
      <c r="I30" s="713" t="s">
        <v>1469</v>
      </c>
      <c r="J30" s="713" t="str">
        <f t="shared" si="0"/>
        <v/>
      </c>
      <c r="K30" s="713" t="str">
        <f t="shared" si="1"/>
        <v>yes</v>
      </c>
      <c r="L30" s="171">
        <v>9</v>
      </c>
      <c r="M30" s="177">
        <v>39845</v>
      </c>
      <c r="N30" s="242"/>
      <c r="O30" s="242"/>
      <c r="P30" s="3"/>
      <c r="Q30" s="214">
        <v>0.26</v>
      </c>
      <c r="R30" s="247">
        <v>1</v>
      </c>
      <c r="AB30" s="247">
        <v>0</v>
      </c>
      <c r="AG30" s="247">
        <f>Table2[[#This Row],[xFOSAs]]+Table2[[#This Row],[xFOSEs]]</f>
        <v>0.26</v>
      </c>
      <c r="AH30" s="247" t="s">
        <v>869</v>
      </c>
      <c r="AJ30" s="1" t="s">
        <v>1445</v>
      </c>
      <c r="AK30" s="1" t="s">
        <v>1446</v>
      </c>
    </row>
    <row r="31" spans="1:37" x14ac:dyDescent="0.25">
      <c r="A31" s="150" t="s">
        <v>408</v>
      </c>
      <c r="B31" s="150" t="s">
        <v>887</v>
      </c>
      <c r="C31" s="150" t="s">
        <v>896</v>
      </c>
      <c r="D31" s="168">
        <v>53.5</v>
      </c>
      <c r="E31" s="173">
        <v>9</v>
      </c>
      <c r="F31" s="173">
        <v>53.6</v>
      </c>
      <c r="G31" s="173">
        <v>9.593</v>
      </c>
      <c r="H31" s="214" t="s">
        <v>1200</v>
      </c>
      <c r="I31" s="214" t="s">
        <v>3</v>
      </c>
      <c r="J31" s="338" t="s">
        <v>1458</v>
      </c>
      <c r="K31" s="338" t="s">
        <v>1458</v>
      </c>
      <c r="L31" s="169">
        <v>3</v>
      </c>
      <c r="M31" s="180">
        <v>39385</v>
      </c>
      <c r="N31" s="316"/>
      <c r="O31" s="316"/>
      <c r="P31" s="702">
        <v>2.5</v>
      </c>
      <c r="Q31" s="243">
        <v>12.7</v>
      </c>
      <c r="R31" s="250">
        <v>1</v>
      </c>
      <c r="S31" s="250"/>
      <c r="T31" s="250"/>
      <c r="U31" s="250"/>
      <c r="V31" s="250"/>
      <c r="W31" s="250"/>
      <c r="X31" s="250"/>
      <c r="Y31" s="250"/>
      <c r="Z31" s="250"/>
      <c r="AA31" s="152">
        <f>0+1.3+0</f>
        <v>1.3</v>
      </c>
      <c r="AB31" s="250">
        <v>1</v>
      </c>
      <c r="AC31" s="250"/>
      <c r="AD31" s="250"/>
      <c r="AE31" s="250"/>
      <c r="AF31" s="250"/>
      <c r="AG31" s="250">
        <f>Table2[[#This Row],[xFOSAs]]+Table2[[#This Row],[xFOSEs]]</f>
        <v>14</v>
      </c>
      <c r="AH31" s="250" t="s">
        <v>869</v>
      </c>
      <c r="AI31" s="203" t="s">
        <v>455</v>
      </c>
      <c r="AJ31" s="203" t="s">
        <v>725</v>
      </c>
      <c r="AK31" s="203" t="s">
        <v>726</v>
      </c>
    </row>
    <row r="32" spans="1:37" x14ac:dyDescent="0.25">
      <c r="A32" s="150" t="s">
        <v>408</v>
      </c>
      <c r="B32" s="150" t="s">
        <v>887</v>
      </c>
      <c r="C32" s="209" t="s">
        <v>897</v>
      </c>
      <c r="D32" s="170">
        <v>54.7</v>
      </c>
      <c r="E32" s="174">
        <v>7</v>
      </c>
      <c r="F32" s="174">
        <v>54.667999999999999</v>
      </c>
      <c r="G32" s="214">
        <v>7.4989999999999997</v>
      </c>
      <c r="H32" s="214" t="s">
        <v>1200</v>
      </c>
      <c r="I32" s="713" t="s">
        <v>3</v>
      </c>
      <c r="J32" s="338" t="s">
        <v>1458</v>
      </c>
      <c r="K32" s="338" t="s">
        <v>1458</v>
      </c>
      <c r="L32" s="171">
        <v>2</v>
      </c>
      <c r="M32" s="180">
        <v>39387</v>
      </c>
      <c r="N32" s="316"/>
      <c r="O32" s="316"/>
      <c r="P32" s="702">
        <v>3.4</v>
      </c>
      <c r="Q32" s="214">
        <v>2.9</v>
      </c>
      <c r="R32" s="247">
        <v>1</v>
      </c>
      <c r="AA32" s="214">
        <f>0+2+0</f>
        <v>2</v>
      </c>
      <c r="AB32" s="247">
        <v>1</v>
      </c>
      <c r="AG32" s="247">
        <f>Table2[[#This Row],[xFOSAs]]+Table2[[#This Row],[xFOSEs]]</f>
        <v>4.9000000000000004</v>
      </c>
      <c r="AH32" s="250" t="s">
        <v>869</v>
      </c>
      <c r="AI32" s="203" t="s">
        <v>455</v>
      </c>
      <c r="AJ32" s="203" t="s">
        <v>725</v>
      </c>
      <c r="AK32" s="203" t="s">
        <v>726</v>
      </c>
    </row>
    <row r="33" spans="1:37" x14ac:dyDescent="0.25">
      <c r="A33" s="150" t="s">
        <v>408</v>
      </c>
      <c r="B33" s="150" t="s">
        <v>887</v>
      </c>
      <c r="C33" s="209" t="s">
        <v>898</v>
      </c>
      <c r="D33" s="170">
        <v>55.8</v>
      </c>
      <c r="E33" s="174">
        <v>4</v>
      </c>
      <c r="F33" s="174">
        <v>55.767000000000003</v>
      </c>
      <c r="G33" s="214">
        <v>4.2450000000000001</v>
      </c>
      <c r="H33" s="214" t="s">
        <v>1200</v>
      </c>
      <c r="I33" s="713" t="s">
        <v>3</v>
      </c>
      <c r="J33" s="338" t="s">
        <v>1458</v>
      </c>
      <c r="K33" s="338" t="s">
        <v>1458</v>
      </c>
      <c r="L33" s="171">
        <v>2</v>
      </c>
      <c r="M33" s="180">
        <v>39388</v>
      </c>
      <c r="N33" s="316"/>
      <c r="O33" s="316"/>
      <c r="P33" s="702" t="s">
        <v>1447</v>
      </c>
      <c r="Q33" s="244">
        <v>8.9</v>
      </c>
      <c r="R33" s="247">
        <v>1</v>
      </c>
      <c r="AA33" s="214">
        <f>0+2.5+0.3</f>
        <v>2.8</v>
      </c>
      <c r="AB33" s="247">
        <v>1</v>
      </c>
      <c r="AG33" s="247">
        <f>Table2[[#This Row],[xFOSAs]]+Table2[[#This Row],[xFOSEs]]</f>
        <v>11.7</v>
      </c>
      <c r="AH33" s="250" t="s">
        <v>869</v>
      </c>
      <c r="AI33" s="203" t="s">
        <v>455</v>
      </c>
      <c r="AJ33" s="203" t="s">
        <v>725</v>
      </c>
      <c r="AK33" s="203" t="s">
        <v>726</v>
      </c>
    </row>
    <row r="34" spans="1:37" x14ac:dyDescent="0.25">
      <c r="A34" s="150" t="s">
        <v>408</v>
      </c>
      <c r="B34" s="150" t="s">
        <v>887</v>
      </c>
      <c r="C34" s="209" t="s">
        <v>899</v>
      </c>
      <c r="D34" s="170">
        <v>55</v>
      </c>
      <c r="E34" s="174">
        <v>8</v>
      </c>
      <c r="F34" s="174">
        <v>54.994</v>
      </c>
      <c r="G34" s="214">
        <v>8.2409999999999997</v>
      </c>
      <c r="H34" s="214" t="s">
        <v>1200</v>
      </c>
      <c r="I34" s="713" t="s">
        <v>3</v>
      </c>
      <c r="J34" s="338" t="s">
        <v>1458</v>
      </c>
      <c r="K34" s="338" t="s">
        <v>1458</v>
      </c>
      <c r="L34" s="171">
        <v>2</v>
      </c>
      <c r="M34" s="180">
        <v>39389</v>
      </c>
      <c r="N34" s="316"/>
      <c r="O34" s="316"/>
      <c r="P34" s="702"/>
      <c r="Q34" s="244">
        <v>5.9</v>
      </c>
      <c r="R34" s="247">
        <v>1</v>
      </c>
      <c r="AA34" s="214">
        <f>2.2+0.3</f>
        <v>2.5</v>
      </c>
      <c r="AB34" s="247">
        <v>1</v>
      </c>
      <c r="AG34" s="247">
        <f>Table2[[#This Row],[xFOSAs]]+Table2[[#This Row],[xFOSEs]]</f>
        <v>8.4</v>
      </c>
      <c r="AH34" s="250" t="s">
        <v>869</v>
      </c>
      <c r="AI34" s="203" t="s">
        <v>455</v>
      </c>
      <c r="AJ34" s="203" t="s">
        <v>725</v>
      </c>
      <c r="AK34" s="203" t="s">
        <v>726</v>
      </c>
    </row>
    <row r="35" spans="1:37" x14ac:dyDescent="0.25">
      <c r="A35" s="150" t="s">
        <v>412</v>
      </c>
      <c r="B35" s="150" t="s">
        <v>887</v>
      </c>
      <c r="C35" s="209" t="s">
        <v>900</v>
      </c>
      <c r="D35" s="170">
        <v>53.5</v>
      </c>
      <c r="E35" s="174">
        <v>10</v>
      </c>
      <c r="F35" s="174">
        <v>53.392000000000003</v>
      </c>
      <c r="G35" s="214">
        <v>10.417999999999999</v>
      </c>
      <c r="H35" s="214" t="s">
        <v>1200</v>
      </c>
      <c r="I35" s="713" t="s">
        <v>3</v>
      </c>
      <c r="J35" s="338" t="s">
        <v>1458</v>
      </c>
      <c r="K35" s="338" t="s">
        <v>1458</v>
      </c>
      <c r="L35" s="171">
        <v>3</v>
      </c>
      <c r="M35" s="180">
        <v>39390</v>
      </c>
      <c r="N35" s="316"/>
      <c r="O35" s="316"/>
      <c r="P35" s="702"/>
      <c r="Q35" s="214">
        <f>0+1+0.7</f>
        <v>1.7</v>
      </c>
      <c r="R35" s="247">
        <v>1</v>
      </c>
      <c r="AA35" s="214">
        <f>0+0.7+0.3</f>
        <v>1</v>
      </c>
      <c r="AB35" s="247">
        <v>1</v>
      </c>
      <c r="AG35" s="247">
        <f>Table2[[#This Row],[xFOSAs]]+Table2[[#This Row],[xFOSEs]]</f>
        <v>2.7</v>
      </c>
      <c r="AH35" s="250" t="s">
        <v>869</v>
      </c>
      <c r="AI35" s="203" t="s">
        <v>455</v>
      </c>
      <c r="AJ35" s="203" t="s">
        <v>725</v>
      </c>
      <c r="AK35" s="203" t="s">
        <v>726</v>
      </c>
    </row>
    <row r="36" spans="1:37" x14ac:dyDescent="0.25">
      <c r="A36" s="166" t="s">
        <v>478</v>
      </c>
      <c r="B36" s="166" t="s">
        <v>888</v>
      </c>
      <c r="C36" s="166" t="s">
        <v>483</v>
      </c>
      <c r="D36" s="170" t="s">
        <v>577</v>
      </c>
      <c r="E36" s="174" t="s">
        <v>1244</v>
      </c>
      <c r="F36" s="174">
        <v>48.411999999999999</v>
      </c>
      <c r="G36" s="174">
        <v>-4.4455</v>
      </c>
      <c r="H36" s="174" t="s">
        <v>1201</v>
      </c>
      <c r="I36" s="174" t="s">
        <v>1469</v>
      </c>
      <c r="J36" s="713" t="str">
        <f t="shared" ref="J36:J99" si="2">IF(R36=0,"yes","")</f>
        <v/>
      </c>
      <c r="K36" s="713" t="str">
        <f t="shared" ref="K36:K99" si="3">IF(AB36=0,"yes","")</f>
        <v/>
      </c>
      <c r="L36" s="171">
        <v>3</v>
      </c>
      <c r="M36" s="177">
        <v>39356</v>
      </c>
      <c r="N36" s="242"/>
      <c r="O36" s="242"/>
      <c r="P36" s="3"/>
      <c r="Q36" s="214">
        <v>3.5</v>
      </c>
      <c r="R36" s="247">
        <v>1</v>
      </c>
      <c r="AA36" s="214">
        <v>3.5</v>
      </c>
      <c r="AB36" s="247">
        <v>1</v>
      </c>
      <c r="AG36" s="247">
        <f>Table2[[#This Row],[xFOSAs]]+Table2[[#This Row],[xFOSEs]]</f>
        <v>7</v>
      </c>
      <c r="AH36" s="247" t="s">
        <v>869</v>
      </c>
      <c r="AJ36" s="1" t="s">
        <v>1441</v>
      </c>
      <c r="AK36" s="1" t="s">
        <v>1442</v>
      </c>
    </row>
    <row r="37" spans="1:37" x14ac:dyDescent="0.25">
      <c r="A37" s="166" t="s">
        <v>478</v>
      </c>
      <c r="B37" s="166" t="s">
        <v>888</v>
      </c>
      <c r="C37" s="166" t="s">
        <v>492</v>
      </c>
      <c r="D37" s="170" t="s">
        <v>583</v>
      </c>
      <c r="E37" s="174" t="s">
        <v>1245</v>
      </c>
      <c r="F37" s="174">
        <v>26.7685</v>
      </c>
      <c r="G37" s="174">
        <v>-17.448499999999999</v>
      </c>
      <c r="H37" s="174" t="s">
        <v>1201</v>
      </c>
      <c r="I37" s="174" t="s">
        <v>1469</v>
      </c>
      <c r="J37" s="338" t="s">
        <v>1458</v>
      </c>
      <c r="K37" s="338" t="s">
        <v>1458</v>
      </c>
      <c r="L37" s="171">
        <v>4</v>
      </c>
      <c r="M37" s="177">
        <v>39387</v>
      </c>
      <c r="N37" s="242"/>
      <c r="O37" s="242"/>
      <c r="P37" s="3"/>
      <c r="Q37" s="214">
        <v>3.7</v>
      </c>
      <c r="R37" s="247">
        <v>1</v>
      </c>
      <c r="AA37" s="214">
        <v>2.2000000000000002</v>
      </c>
      <c r="AB37" s="247">
        <v>1</v>
      </c>
      <c r="AG37" s="247">
        <f>Table2[[#This Row],[xFOSAs]]+Table2[[#This Row],[xFOSEs]]</f>
        <v>5.9</v>
      </c>
      <c r="AH37" s="247" t="s">
        <v>869</v>
      </c>
      <c r="AJ37" s="1" t="s">
        <v>1441</v>
      </c>
      <c r="AK37" s="1" t="s">
        <v>1442</v>
      </c>
    </row>
    <row r="38" spans="1:37" x14ac:dyDescent="0.25">
      <c r="A38" s="166" t="s">
        <v>478</v>
      </c>
      <c r="B38" s="166" t="s">
        <v>888</v>
      </c>
      <c r="C38" s="166" t="s">
        <v>493</v>
      </c>
      <c r="D38" s="170" t="s">
        <v>584</v>
      </c>
      <c r="E38" s="174" t="s">
        <v>1246</v>
      </c>
      <c r="F38" s="174">
        <v>23.783000000000001</v>
      </c>
      <c r="G38" s="174">
        <v>-20.1645</v>
      </c>
      <c r="H38" s="174" t="s">
        <v>1201</v>
      </c>
      <c r="I38" s="174" t="s">
        <v>1469</v>
      </c>
      <c r="J38" s="713" t="str">
        <f t="shared" si="2"/>
        <v/>
      </c>
      <c r="K38" s="713" t="str">
        <f t="shared" si="3"/>
        <v/>
      </c>
      <c r="L38" s="171">
        <v>4</v>
      </c>
      <c r="M38" s="177">
        <v>39387</v>
      </c>
      <c r="N38" s="242"/>
      <c r="O38" s="242"/>
      <c r="P38" s="3"/>
      <c r="Q38" s="214">
        <v>9.8000000000000007</v>
      </c>
      <c r="R38" s="247">
        <v>1</v>
      </c>
      <c r="AA38" s="214">
        <v>3.3</v>
      </c>
      <c r="AB38" s="247">
        <v>1</v>
      </c>
      <c r="AG38" s="247">
        <f>Table2[[#This Row],[xFOSAs]]+Table2[[#This Row],[xFOSEs]]</f>
        <v>13.100000000000001</v>
      </c>
      <c r="AH38" s="247" t="s">
        <v>869</v>
      </c>
      <c r="AJ38" s="1" t="s">
        <v>1441</v>
      </c>
      <c r="AK38" s="1" t="s">
        <v>1442</v>
      </c>
    </row>
    <row r="39" spans="1:37" x14ac:dyDescent="0.25">
      <c r="A39" s="166" t="s">
        <v>478</v>
      </c>
      <c r="B39" s="166" t="s">
        <v>888</v>
      </c>
      <c r="C39" s="166" t="s">
        <v>494</v>
      </c>
      <c r="D39" s="170" t="s">
        <v>585</v>
      </c>
      <c r="E39" s="174" t="s">
        <v>1247</v>
      </c>
      <c r="F39" s="174">
        <v>19.448499999999999</v>
      </c>
      <c r="G39" s="174">
        <v>-21.008000000000003</v>
      </c>
      <c r="H39" s="174" t="s">
        <v>1201</v>
      </c>
      <c r="I39" s="174" t="s">
        <v>1469</v>
      </c>
      <c r="J39" s="713" t="str">
        <f t="shared" si="2"/>
        <v/>
      </c>
      <c r="K39" s="713" t="str">
        <f t="shared" si="3"/>
        <v/>
      </c>
      <c r="L39" s="171">
        <v>4</v>
      </c>
      <c r="M39" s="177">
        <v>39387</v>
      </c>
      <c r="N39" s="242"/>
      <c r="O39" s="242"/>
      <c r="P39" s="3"/>
      <c r="Q39" s="214">
        <v>1.4</v>
      </c>
      <c r="R39" s="247">
        <v>1</v>
      </c>
      <c r="AA39" s="214">
        <v>1.5</v>
      </c>
      <c r="AB39" s="247">
        <v>1</v>
      </c>
      <c r="AG39" s="247">
        <f>Table2[[#This Row],[xFOSAs]]+Table2[[#This Row],[xFOSEs]]</f>
        <v>2.9</v>
      </c>
      <c r="AH39" s="247" t="s">
        <v>869</v>
      </c>
      <c r="AJ39" s="1" t="s">
        <v>1441</v>
      </c>
      <c r="AK39" s="1" t="s">
        <v>1442</v>
      </c>
    </row>
    <row r="40" spans="1:37" x14ac:dyDescent="0.25">
      <c r="A40" s="166" t="s">
        <v>478</v>
      </c>
      <c r="B40" s="166" t="s">
        <v>888</v>
      </c>
      <c r="C40" s="166" t="s">
        <v>495</v>
      </c>
      <c r="D40" s="170" t="s">
        <v>644</v>
      </c>
      <c r="E40" s="174" t="s">
        <v>1248</v>
      </c>
      <c r="F40" s="174">
        <v>15.9345</v>
      </c>
      <c r="G40" s="174">
        <v>-20.3995</v>
      </c>
      <c r="H40" s="174" t="s">
        <v>1201</v>
      </c>
      <c r="I40" s="174" t="s">
        <v>1469</v>
      </c>
      <c r="J40" s="713" t="str">
        <f t="shared" si="2"/>
        <v/>
      </c>
      <c r="K40" s="713" t="str">
        <f t="shared" si="3"/>
        <v/>
      </c>
      <c r="L40" s="171">
        <v>5</v>
      </c>
      <c r="M40" s="177">
        <v>39387</v>
      </c>
      <c r="N40" s="242"/>
      <c r="O40" s="242"/>
      <c r="P40" s="3"/>
      <c r="Q40" s="214">
        <v>5.6</v>
      </c>
      <c r="R40" s="247">
        <v>1</v>
      </c>
      <c r="AA40" s="214">
        <v>5.5</v>
      </c>
      <c r="AB40" s="247">
        <v>1</v>
      </c>
      <c r="AG40" s="247">
        <f>Table2[[#This Row],[xFOSAs]]+Table2[[#This Row],[xFOSEs]]</f>
        <v>11.1</v>
      </c>
      <c r="AH40" s="247" t="s">
        <v>869</v>
      </c>
      <c r="AJ40" s="1" t="s">
        <v>1441</v>
      </c>
      <c r="AK40" s="1" t="s">
        <v>1442</v>
      </c>
    </row>
    <row r="41" spans="1:37" x14ac:dyDescent="0.25">
      <c r="A41" s="166" t="s">
        <v>478</v>
      </c>
      <c r="B41" s="166" t="s">
        <v>888</v>
      </c>
      <c r="C41" s="166" t="s">
        <v>496</v>
      </c>
      <c r="D41" s="170" t="s">
        <v>586</v>
      </c>
      <c r="E41" s="174" t="s">
        <v>1249</v>
      </c>
      <c r="F41" s="174">
        <v>14.202500000000001</v>
      </c>
      <c r="G41" s="174">
        <v>-20.6465</v>
      </c>
      <c r="H41" s="174" t="s">
        <v>1201</v>
      </c>
      <c r="I41" s="174" t="s">
        <v>1469</v>
      </c>
      <c r="J41" s="713" t="str">
        <f t="shared" si="2"/>
        <v/>
      </c>
      <c r="K41" s="713" t="str">
        <f t="shared" si="3"/>
        <v/>
      </c>
      <c r="L41" s="171">
        <v>5</v>
      </c>
      <c r="M41" s="177">
        <v>39387</v>
      </c>
      <c r="N41" s="242"/>
      <c r="O41" s="242"/>
      <c r="P41" s="3"/>
      <c r="Q41" s="214">
        <v>1.2</v>
      </c>
      <c r="R41" s="247" t="s">
        <v>446</v>
      </c>
      <c r="AA41" s="214">
        <v>1.8</v>
      </c>
      <c r="AB41" s="247">
        <v>1</v>
      </c>
      <c r="AG41" s="247">
        <f>Table2[[#This Row],[xFOSAs]]+Table2[[#This Row],[xFOSEs]]</f>
        <v>3</v>
      </c>
      <c r="AH41" s="247" t="s">
        <v>869</v>
      </c>
      <c r="AJ41" s="1" t="s">
        <v>1441</v>
      </c>
      <c r="AK41" s="1" t="s">
        <v>1442</v>
      </c>
    </row>
    <row r="42" spans="1:37" x14ac:dyDescent="0.25">
      <c r="A42" s="166" t="s">
        <v>478</v>
      </c>
      <c r="B42" s="166" t="s">
        <v>888</v>
      </c>
      <c r="C42" s="166" t="s">
        <v>497</v>
      </c>
      <c r="D42" s="170" t="s">
        <v>587</v>
      </c>
      <c r="E42" s="174" t="s">
        <v>1250</v>
      </c>
      <c r="F42" s="174">
        <v>10.688500000000001</v>
      </c>
      <c r="G42" s="174">
        <v>-20.173000000000002</v>
      </c>
      <c r="H42" s="174" t="s">
        <v>1201</v>
      </c>
      <c r="I42" s="174" t="s">
        <v>1469</v>
      </c>
      <c r="J42" s="713" t="str">
        <f t="shared" si="2"/>
        <v/>
      </c>
      <c r="K42" s="713" t="str">
        <f t="shared" si="3"/>
        <v/>
      </c>
      <c r="L42" s="171">
        <v>5</v>
      </c>
      <c r="M42" s="177">
        <v>39387</v>
      </c>
      <c r="N42" s="242"/>
      <c r="O42" s="242"/>
      <c r="P42" s="3"/>
      <c r="Q42" s="214">
        <v>3.8</v>
      </c>
      <c r="R42" s="247">
        <v>1</v>
      </c>
      <c r="AA42" s="214">
        <v>4.5999999999999996</v>
      </c>
      <c r="AB42" s="247">
        <v>1</v>
      </c>
      <c r="AG42" s="247">
        <f>Table2[[#This Row],[xFOSAs]]+Table2[[#This Row],[xFOSEs]]</f>
        <v>8.3999999999999986</v>
      </c>
      <c r="AH42" s="247" t="s">
        <v>869</v>
      </c>
      <c r="AJ42" s="1" t="s">
        <v>1441</v>
      </c>
      <c r="AK42" s="1" t="s">
        <v>1442</v>
      </c>
    </row>
    <row r="43" spans="1:37" x14ac:dyDescent="0.25">
      <c r="A43" s="166" t="s">
        <v>478</v>
      </c>
      <c r="B43" s="166" t="s">
        <v>888</v>
      </c>
      <c r="C43" s="166" t="s">
        <v>498</v>
      </c>
      <c r="D43" s="170" t="s">
        <v>588</v>
      </c>
      <c r="E43" s="174" t="s">
        <v>1251</v>
      </c>
      <c r="F43" s="174">
        <v>8.0090000000000003</v>
      </c>
      <c r="G43" s="174">
        <v>-18.637499999999999</v>
      </c>
      <c r="H43" s="174" t="s">
        <v>1201</v>
      </c>
      <c r="I43" s="174" t="s">
        <v>1469</v>
      </c>
      <c r="J43" s="713" t="str">
        <f t="shared" si="2"/>
        <v/>
      </c>
      <c r="K43" s="713" t="str">
        <f t="shared" si="3"/>
        <v/>
      </c>
      <c r="L43" s="171">
        <v>5</v>
      </c>
      <c r="M43" s="177">
        <v>39387</v>
      </c>
      <c r="N43" s="242"/>
      <c r="O43" s="242"/>
      <c r="P43" s="3"/>
      <c r="Q43" s="214">
        <v>1.2</v>
      </c>
      <c r="R43" s="247">
        <v>1</v>
      </c>
      <c r="AA43" s="214">
        <v>1.1000000000000001</v>
      </c>
      <c r="AB43" s="247">
        <v>1</v>
      </c>
      <c r="AG43" s="247">
        <f>Table2[[#This Row],[xFOSAs]]+Table2[[#This Row],[xFOSEs]]</f>
        <v>2.2999999999999998</v>
      </c>
      <c r="AH43" s="247" t="s">
        <v>869</v>
      </c>
      <c r="AJ43" s="1" t="s">
        <v>1441</v>
      </c>
      <c r="AK43" s="1" t="s">
        <v>1442</v>
      </c>
    </row>
    <row r="44" spans="1:37" x14ac:dyDescent="0.25">
      <c r="A44" s="166" t="s">
        <v>478</v>
      </c>
      <c r="B44" s="166" t="s">
        <v>888</v>
      </c>
      <c r="C44" s="166" t="s">
        <v>499</v>
      </c>
      <c r="D44" s="170" t="s">
        <v>589</v>
      </c>
      <c r="E44" s="174" t="s">
        <v>1252</v>
      </c>
      <c r="F44" s="174">
        <v>4.8840000000000003</v>
      </c>
      <c r="G44" s="174">
        <v>-16.149999999999999</v>
      </c>
      <c r="H44" s="174" t="s">
        <v>1201</v>
      </c>
      <c r="I44" s="174" t="s">
        <v>1469</v>
      </c>
      <c r="J44" s="713" t="str">
        <f t="shared" si="2"/>
        <v/>
      </c>
      <c r="K44" s="713" t="str">
        <f t="shared" si="3"/>
        <v/>
      </c>
      <c r="L44" s="171">
        <v>5</v>
      </c>
      <c r="M44" s="177">
        <v>39387</v>
      </c>
      <c r="N44" s="242"/>
      <c r="O44" s="242"/>
      <c r="P44" s="3"/>
      <c r="Q44" s="214">
        <v>2.2000000000000002</v>
      </c>
      <c r="R44" s="247">
        <v>1</v>
      </c>
      <c r="AA44" s="214">
        <v>1.8</v>
      </c>
      <c r="AB44" s="247">
        <v>1</v>
      </c>
      <c r="AG44" s="247">
        <f>Table2[[#This Row],[xFOSAs]]+Table2[[#This Row],[xFOSEs]]</f>
        <v>4</v>
      </c>
      <c r="AH44" s="247" t="s">
        <v>869</v>
      </c>
      <c r="AJ44" s="1" t="s">
        <v>1441</v>
      </c>
      <c r="AK44" s="1" t="s">
        <v>1442</v>
      </c>
    </row>
    <row r="45" spans="1:37" x14ac:dyDescent="0.25">
      <c r="A45" s="166" t="s">
        <v>478</v>
      </c>
      <c r="B45" s="166" t="s">
        <v>888</v>
      </c>
      <c r="C45" s="166" t="s">
        <v>484</v>
      </c>
      <c r="D45" s="170" t="s">
        <v>641</v>
      </c>
      <c r="E45" s="174" t="s">
        <v>1253</v>
      </c>
      <c r="F45" s="174">
        <v>47.944000000000003</v>
      </c>
      <c r="G45" s="174">
        <v>-4.5705</v>
      </c>
      <c r="H45" s="174" t="s">
        <v>1201</v>
      </c>
      <c r="I45" s="174" t="s">
        <v>1469</v>
      </c>
      <c r="J45" s="713" t="str">
        <f t="shared" si="2"/>
        <v/>
      </c>
      <c r="K45" s="713" t="str">
        <f t="shared" si="3"/>
        <v/>
      </c>
      <c r="L45" s="171">
        <v>3</v>
      </c>
      <c r="M45" s="177">
        <v>39356</v>
      </c>
      <c r="N45" s="242"/>
      <c r="O45" s="242"/>
      <c r="P45" s="3"/>
      <c r="Q45" s="214">
        <v>1.6</v>
      </c>
      <c r="R45" s="247">
        <v>1</v>
      </c>
      <c r="AA45" s="214">
        <v>3.5</v>
      </c>
      <c r="AB45" s="247">
        <v>1</v>
      </c>
      <c r="AG45" s="247">
        <f>Table2[[#This Row],[xFOSAs]]+Table2[[#This Row],[xFOSEs]]</f>
        <v>5.0999999999999996</v>
      </c>
      <c r="AH45" s="247" t="s">
        <v>869</v>
      </c>
      <c r="AJ45" s="1" t="s">
        <v>1441</v>
      </c>
      <c r="AK45" s="1" t="s">
        <v>1442</v>
      </c>
    </row>
    <row r="46" spans="1:37" x14ac:dyDescent="0.25">
      <c r="A46" s="166" t="s">
        <v>478</v>
      </c>
      <c r="B46" s="166" t="s">
        <v>888</v>
      </c>
      <c r="C46" s="166" t="s">
        <v>500</v>
      </c>
      <c r="D46" s="170" t="s">
        <v>590</v>
      </c>
      <c r="E46" s="174" t="s">
        <v>1254</v>
      </c>
      <c r="F46" s="174">
        <v>0.88749999999999996</v>
      </c>
      <c r="G46" s="174">
        <v>-11.516</v>
      </c>
      <c r="H46" s="174" t="s">
        <v>1201</v>
      </c>
      <c r="I46" s="174" t="s">
        <v>1469</v>
      </c>
      <c r="J46" s="713" t="str">
        <f t="shared" si="2"/>
        <v/>
      </c>
      <c r="K46" s="713" t="str">
        <f t="shared" si="3"/>
        <v/>
      </c>
      <c r="L46" s="171">
        <v>5</v>
      </c>
      <c r="M46" s="177">
        <v>39387</v>
      </c>
      <c r="N46" s="242"/>
      <c r="O46" s="242"/>
      <c r="P46" s="3"/>
      <c r="Q46" s="214">
        <v>0.8</v>
      </c>
      <c r="R46" s="247">
        <v>1</v>
      </c>
      <c r="AA46" s="214">
        <v>1.3</v>
      </c>
      <c r="AB46" s="247">
        <v>1</v>
      </c>
      <c r="AG46" s="247">
        <f>Table2[[#This Row],[xFOSAs]]+Table2[[#This Row],[xFOSEs]]</f>
        <v>2.1</v>
      </c>
      <c r="AH46" s="247" t="s">
        <v>869</v>
      </c>
      <c r="AJ46" s="1" t="s">
        <v>1441</v>
      </c>
      <c r="AK46" s="1" t="s">
        <v>1442</v>
      </c>
    </row>
    <row r="47" spans="1:37" x14ac:dyDescent="0.25">
      <c r="A47" s="166" t="s">
        <v>478</v>
      </c>
      <c r="B47" s="166" t="s">
        <v>888</v>
      </c>
      <c r="C47" s="166" t="s">
        <v>501</v>
      </c>
      <c r="D47" s="170" t="s">
        <v>1241</v>
      </c>
      <c r="E47" s="214" t="s">
        <v>1255</v>
      </c>
      <c r="F47" s="174">
        <v>-2.2780000000000005</v>
      </c>
      <c r="G47" s="174">
        <v>-8.9235000000000007</v>
      </c>
      <c r="H47" s="174" t="s">
        <v>1201</v>
      </c>
      <c r="I47" s="174" t="s">
        <v>1469</v>
      </c>
      <c r="J47" s="713" t="str">
        <f t="shared" si="2"/>
        <v/>
      </c>
      <c r="K47" s="713" t="str">
        <f t="shared" si="3"/>
        <v/>
      </c>
      <c r="L47" s="171">
        <v>6</v>
      </c>
      <c r="M47" s="177">
        <v>39387</v>
      </c>
      <c r="N47" s="242"/>
      <c r="O47" s="242"/>
      <c r="P47" s="3"/>
      <c r="Q47" s="214">
        <v>0</v>
      </c>
      <c r="R47" s="247" t="s">
        <v>446</v>
      </c>
      <c r="AA47" s="214">
        <v>5</v>
      </c>
      <c r="AB47" s="247">
        <v>1</v>
      </c>
      <c r="AG47" s="247">
        <f>Table2[[#This Row],[xFOSAs]]+Table2[[#This Row],[xFOSEs]]</f>
        <v>5</v>
      </c>
      <c r="AH47" s="247" t="s">
        <v>869</v>
      </c>
      <c r="AJ47" s="1" t="s">
        <v>1441</v>
      </c>
      <c r="AK47" s="1" t="s">
        <v>1442</v>
      </c>
    </row>
    <row r="48" spans="1:37" x14ac:dyDescent="0.25">
      <c r="A48" s="166" t="s">
        <v>478</v>
      </c>
      <c r="B48" s="166" t="s">
        <v>888</v>
      </c>
      <c r="C48" s="166" t="s">
        <v>502</v>
      </c>
      <c r="D48" s="170" t="s">
        <v>591</v>
      </c>
      <c r="E48" s="174" t="s">
        <v>1256</v>
      </c>
      <c r="F48" s="174">
        <v>-1.7269999999999999</v>
      </c>
      <c r="G48" s="174">
        <v>-8.6504999999999992</v>
      </c>
      <c r="H48" s="174" t="s">
        <v>1201</v>
      </c>
      <c r="I48" s="174" t="s">
        <v>1469</v>
      </c>
      <c r="J48" s="713" t="str">
        <f t="shared" si="2"/>
        <v/>
      </c>
      <c r="K48" s="713" t="str">
        <f t="shared" si="3"/>
        <v/>
      </c>
      <c r="L48" s="171">
        <v>6</v>
      </c>
      <c r="M48" s="177">
        <v>39387</v>
      </c>
      <c r="N48" s="242"/>
      <c r="O48" s="242"/>
      <c r="P48" s="3"/>
      <c r="Q48" s="214">
        <v>1.9</v>
      </c>
      <c r="R48" s="247">
        <v>1</v>
      </c>
      <c r="AA48" s="214">
        <v>1.4</v>
      </c>
      <c r="AB48" s="247">
        <v>1</v>
      </c>
      <c r="AG48" s="247">
        <f>Table2[[#This Row],[xFOSAs]]+Table2[[#This Row],[xFOSEs]]</f>
        <v>3.3</v>
      </c>
      <c r="AH48" s="247" t="s">
        <v>869</v>
      </c>
      <c r="AJ48" s="1" t="s">
        <v>1441</v>
      </c>
      <c r="AK48" s="1" t="s">
        <v>1442</v>
      </c>
    </row>
    <row r="49" spans="1:39" x14ac:dyDescent="0.25">
      <c r="A49" s="166" t="s">
        <v>478</v>
      </c>
      <c r="B49" s="166" t="s">
        <v>888</v>
      </c>
      <c r="C49" s="166" t="s">
        <v>503</v>
      </c>
      <c r="D49" s="170" t="s">
        <v>592</v>
      </c>
      <c r="E49" s="174" t="s">
        <v>1257</v>
      </c>
      <c r="F49" s="174">
        <v>-4.8925000000000001</v>
      </c>
      <c r="G49" s="174">
        <v>-6.0579999999999998</v>
      </c>
      <c r="H49" s="174" t="s">
        <v>1201</v>
      </c>
      <c r="I49" s="174" t="s">
        <v>1469</v>
      </c>
      <c r="J49" s="713" t="str">
        <f t="shared" si="2"/>
        <v/>
      </c>
      <c r="K49" s="713" t="str">
        <f t="shared" si="3"/>
        <v/>
      </c>
      <c r="L49" s="171">
        <v>6</v>
      </c>
      <c r="M49" s="177">
        <v>39387</v>
      </c>
      <c r="N49" s="242"/>
      <c r="O49" s="242"/>
      <c r="P49" s="3"/>
      <c r="Q49" s="214">
        <v>2.2999999999999998</v>
      </c>
      <c r="R49" s="247">
        <v>1</v>
      </c>
      <c r="AA49" s="214">
        <v>3.1</v>
      </c>
      <c r="AB49" s="247">
        <v>1</v>
      </c>
      <c r="AG49" s="247">
        <f>Table2[[#This Row],[xFOSAs]]+Table2[[#This Row],[xFOSEs]]</f>
        <v>5.4</v>
      </c>
      <c r="AH49" s="247" t="s">
        <v>869</v>
      </c>
      <c r="AJ49" s="1" t="s">
        <v>1441</v>
      </c>
      <c r="AK49" s="1" t="s">
        <v>1442</v>
      </c>
    </row>
    <row r="50" spans="1:39" x14ac:dyDescent="0.25">
      <c r="A50" s="166" t="s">
        <v>478</v>
      </c>
      <c r="B50" s="166" t="s">
        <v>888</v>
      </c>
      <c r="C50" s="166" t="s">
        <v>504</v>
      </c>
      <c r="D50" s="170" t="s">
        <v>593</v>
      </c>
      <c r="E50" s="174" t="s">
        <v>1258</v>
      </c>
      <c r="F50" s="174">
        <v>-8.2740000000000009</v>
      </c>
      <c r="G50" s="174">
        <v>-3.4779999999999998</v>
      </c>
      <c r="H50" s="174" t="s">
        <v>1201</v>
      </c>
      <c r="I50" s="174" t="s">
        <v>1469</v>
      </c>
      <c r="J50" s="713" t="str">
        <f t="shared" si="2"/>
        <v/>
      </c>
      <c r="K50" s="713" t="str">
        <f t="shared" si="3"/>
        <v/>
      </c>
      <c r="L50" s="171">
        <v>6</v>
      </c>
      <c r="M50" s="177">
        <v>39387</v>
      </c>
      <c r="N50" s="242"/>
      <c r="O50" s="242"/>
      <c r="P50" s="3"/>
      <c r="Q50" s="214">
        <v>1.8</v>
      </c>
      <c r="R50" s="247">
        <v>1</v>
      </c>
      <c r="AA50" s="214">
        <v>1.5</v>
      </c>
      <c r="AB50" s="247">
        <v>1</v>
      </c>
      <c r="AG50" s="247">
        <f>Table2[[#This Row],[xFOSAs]]+Table2[[#This Row],[xFOSEs]]</f>
        <v>3.3</v>
      </c>
      <c r="AH50" s="247" t="s">
        <v>869</v>
      </c>
      <c r="AJ50" s="1" t="s">
        <v>1441</v>
      </c>
      <c r="AK50" s="1" t="s">
        <v>1442</v>
      </c>
      <c r="AM50" s="1" t="s">
        <v>719</v>
      </c>
    </row>
    <row r="51" spans="1:39" x14ac:dyDescent="0.25">
      <c r="A51" s="166" t="s">
        <v>478</v>
      </c>
      <c r="B51" s="166" t="s">
        <v>888</v>
      </c>
      <c r="C51" s="166" t="s">
        <v>505</v>
      </c>
      <c r="D51" s="170" t="s">
        <v>645</v>
      </c>
      <c r="E51" s="174" t="s">
        <v>1259</v>
      </c>
      <c r="F51" s="174">
        <v>4.2929999999999993</v>
      </c>
      <c r="G51" s="174">
        <v>-1.4129999999999998</v>
      </c>
      <c r="H51" s="174" t="s">
        <v>1201</v>
      </c>
      <c r="I51" s="174" t="s">
        <v>1469</v>
      </c>
      <c r="J51" s="338" t="s">
        <v>1458</v>
      </c>
      <c r="K51" s="338" t="s">
        <v>1458</v>
      </c>
      <c r="L51" s="171">
        <v>5</v>
      </c>
      <c r="M51" s="177">
        <v>39387</v>
      </c>
      <c r="N51" s="242"/>
      <c r="O51" s="242"/>
      <c r="P51" s="3"/>
      <c r="Q51" s="214">
        <v>1.9</v>
      </c>
      <c r="R51" s="247">
        <v>1</v>
      </c>
      <c r="AA51" s="214">
        <v>2.9</v>
      </c>
      <c r="AB51" s="247">
        <v>1</v>
      </c>
      <c r="AG51" s="247">
        <f>Table2[[#This Row],[xFOSAs]]+Table2[[#This Row],[xFOSEs]]</f>
        <v>4.8</v>
      </c>
      <c r="AH51" s="247" t="s">
        <v>869</v>
      </c>
      <c r="AJ51" s="1" t="s">
        <v>1441</v>
      </c>
      <c r="AK51" s="1" t="s">
        <v>1442</v>
      </c>
    </row>
    <row r="52" spans="1:39" x14ac:dyDescent="0.25">
      <c r="A52" s="166" t="s">
        <v>478</v>
      </c>
      <c r="B52" s="166" t="s">
        <v>888</v>
      </c>
      <c r="C52" s="166" t="s">
        <v>506</v>
      </c>
      <c r="D52" s="170" t="s">
        <v>594</v>
      </c>
      <c r="E52" s="174" t="s">
        <v>1260</v>
      </c>
      <c r="F52" s="174">
        <v>-11.551500000000001</v>
      </c>
      <c r="G52" s="174">
        <v>-0.91499999999999992</v>
      </c>
      <c r="H52" s="174" t="s">
        <v>1201</v>
      </c>
      <c r="I52" s="174" t="s">
        <v>1469</v>
      </c>
      <c r="J52" s="713" t="str">
        <f t="shared" si="2"/>
        <v/>
      </c>
      <c r="K52" s="713" t="str">
        <f t="shared" si="3"/>
        <v/>
      </c>
      <c r="L52" s="171">
        <v>6</v>
      </c>
      <c r="M52" s="177">
        <v>39387</v>
      </c>
      <c r="N52" s="242"/>
      <c r="O52" s="242"/>
      <c r="P52" s="3"/>
      <c r="Q52" s="214">
        <v>2.7</v>
      </c>
      <c r="R52" s="247">
        <v>1</v>
      </c>
      <c r="AA52" s="214">
        <v>4.5</v>
      </c>
      <c r="AB52" s="247">
        <v>1</v>
      </c>
      <c r="AG52" s="247">
        <f>Table2[[#This Row],[xFOSAs]]+Table2[[#This Row],[xFOSEs]]</f>
        <v>7.2</v>
      </c>
      <c r="AH52" s="247" t="s">
        <v>869</v>
      </c>
      <c r="AJ52" s="1" t="s">
        <v>1441</v>
      </c>
      <c r="AK52" s="1" t="s">
        <v>1442</v>
      </c>
    </row>
    <row r="53" spans="1:39" x14ac:dyDescent="0.25">
      <c r="A53" s="166" t="s">
        <v>478</v>
      </c>
      <c r="B53" s="166" t="s">
        <v>888</v>
      </c>
      <c r="C53" s="166" t="s">
        <v>507</v>
      </c>
      <c r="D53" s="170" t="s">
        <v>595</v>
      </c>
      <c r="E53" s="174" t="s">
        <v>1261</v>
      </c>
      <c r="F53" s="174">
        <v>1.0155000000000003</v>
      </c>
      <c r="G53" s="174">
        <v>1.1499999999999999</v>
      </c>
      <c r="H53" s="174" t="s">
        <v>1201</v>
      </c>
      <c r="I53" s="174" t="s">
        <v>1469</v>
      </c>
      <c r="J53" s="713" t="str">
        <f t="shared" si="2"/>
        <v/>
      </c>
      <c r="K53" s="713" t="str">
        <f t="shared" si="3"/>
        <v/>
      </c>
      <c r="L53" s="171">
        <v>6</v>
      </c>
      <c r="M53" s="177">
        <v>39387</v>
      </c>
      <c r="N53" s="242"/>
      <c r="O53" s="242"/>
      <c r="P53" s="3"/>
      <c r="Q53" s="214">
        <v>2.7</v>
      </c>
      <c r="R53" s="247">
        <v>1</v>
      </c>
      <c r="AA53" s="214">
        <v>4.0999999999999996</v>
      </c>
      <c r="AB53" s="247">
        <v>1</v>
      </c>
      <c r="AG53" s="247">
        <f>Table2[[#This Row],[xFOSAs]]+Table2[[#This Row],[xFOSEs]]</f>
        <v>6.8</v>
      </c>
      <c r="AH53" s="247" t="s">
        <v>869</v>
      </c>
      <c r="AJ53" s="1" t="s">
        <v>1441</v>
      </c>
      <c r="AK53" s="1" t="s">
        <v>1442</v>
      </c>
    </row>
    <row r="54" spans="1:39" x14ac:dyDescent="0.25">
      <c r="A54" s="166" t="s">
        <v>478</v>
      </c>
      <c r="B54" s="166" t="s">
        <v>888</v>
      </c>
      <c r="C54" s="166" t="s">
        <v>485</v>
      </c>
      <c r="D54" s="170" t="s">
        <v>578</v>
      </c>
      <c r="E54" s="174" t="s">
        <v>1262</v>
      </c>
      <c r="F54" s="174">
        <v>46.316000000000003</v>
      </c>
      <c r="G54" s="174">
        <v>-6.5129999999999999</v>
      </c>
      <c r="H54" s="174" t="s">
        <v>1201</v>
      </c>
      <c r="I54" s="174" t="s">
        <v>1469</v>
      </c>
      <c r="J54" s="713" t="str">
        <f t="shared" si="2"/>
        <v/>
      </c>
      <c r="K54" s="713" t="str">
        <f t="shared" si="3"/>
        <v/>
      </c>
      <c r="L54" s="171">
        <v>3</v>
      </c>
      <c r="M54" s="177">
        <v>39356</v>
      </c>
      <c r="N54" s="242"/>
      <c r="O54" s="242"/>
      <c r="P54" s="3"/>
      <c r="Q54" s="214">
        <v>2.1</v>
      </c>
      <c r="R54" s="247">
        <v>1</v>
      </c>
      <c r="AA54" s="214">
        <v>1.2</v>
      </c>
      <c r="AB54" s="247">
        <v>1</v>
      </c>
      <c r="AG54" s="247">
        <f>Table2[[#This Row],[xFOSAs]]+Table2[[#This Row],[xFOSEs]]</f>
        <v>3.3</v>
      </c>
      <c r="AH54" s="247" t="s">
        <v>869</v>
      </c>
      <c r="AJ54" s="1" t="s">
        <v>1441</v>
      </c>
      <c r="AK54" s="1" t="s">
        <v>1442</v>
      </c>
    </row>
    <row r="55" spans="1:39" x14ac:dyDescent="0.25">
      <c r="A55" s="166" t="s">
        <v>478</v>
      </c>
      <c r="B55" s="166" t="s">
        <v>888</v>
      </c>
      <c r="C55" s="166" t="s">
        <v>486</v>
      </c>
      <c r="D55" s="170" t="s">
        <v>579</v>
      </c>
      <c r="E55" s="174" t="s">
        <v>1263</v>
      </c>
      <c r="F55" s="174">
        <v>44.010999999999996</v>
      </c>
      <c r="G55" s="174">
        <v>-8.6334999999999997</v>
      </c>
      <c r="H55" s="174" t="s">
        <v>1201</v>
      </c>
      <c r="I55" s="174" t="s">
        <v>1469</v>
      </c>
      <c r="J55" s="713" t="str">
        <f t="shared" si="2"/>
        <v/>
      </c>
      <c r="K55" s="713" t="str">
        <f t="shared" si="3"/>
        <v/>
      </c>
      <c r="L55" s="171">
        <v>3</v>
      </c>
      <c r="M55" s="177">
        <v>39356</v>
      </c>
      <c r="N55" s="242"/>
      <c r="O55" s="242"/>
      <c r="P55" s="3"/>
      <c r="Q55" s="214">
        <v>5.8</v>
      </c>
      <c r="R55" s="247">
        <v>1</v>
      </c>
      <c r="AA55" s="214">
        <v>2.9</v>
      </c>
      <c r="AB55" s="247">
        <v>1</v>
      </c>
      <c r="AG55" s="247">
        <f>Table2[[#This Row],[xFOSAs]]+Table2[[#This Row],[xFOSEs]]</f>
        <v>8.6999999999999993</v>
      </c>
      <c r="AH55" s="247" t="s">
        <v>869</v>
      </c>
      <c r="AJ55" s="1" t="s">
        <v>1441</v>
      </c>
      <c r="AK55" s="1" t="s">
        <v>1442</v>
      </c>
    </row>
    <row r="56" spans="1:39" x14ac:dyDescent="0.25">
      <c r="A56" s="166" t="s">
        <v>478</v>
      </c>
      <c r="B56" s="166" t="s">
        <v>888</v>
      </c>
      <c r="C56" s="166" t="s">
        <v>487</v>
      </c>
      <c r="D56" s="170" t="s">
        <v>642</v>
      </c>
      <c r="E56" s="174" t="s">
        <v>1264</v>
      </c>
      <c r="F56" s="174">
        <v>38.189499999999995</v>
      </c>
      <c r="G56" s="174">
        <v>-10.4955</v>
      </c>
      <c r="H56" s="174" t="s">
        <v>1201</v>
      </c>
      <c r="I56" s="174" t="s">
        <v>1469</v>
      </c>
      <c r="J56" s="713" t="str">
        <f t="shared" si="2"/>
        <v/>
      </c>
      <c r="K56" s="713" t="str">
        <f t="shared" si="3"/>
        <v/>
      </c>
      <c r="L56" s="171">
        <v>3</v>
      </c>
      <c r="M56" s="177">
        <v>39356</v>
      </c>
      <c r="N56" s="242"/>
      <c r="O56" s="242"/>
      <c r="P56" s="3"/>
      <c r="Q56" s="214">
        <v>5.0999999999999996</v>
      </c>
      <c r="R56" s="247">
        <v>1</v>
      </c>
      <c r="AA56" s="214">
        <v>2.6</v>
      </c>
      <c r="AB56" s="247">
        <v>1</v>
      </c>
      <c r="AG56" s="247">
        <f>Table2[[#This Row],[xFOSAs]]+Table2[[#This Row],[xFOSEs]]</f>
        <v>7.6999999999999993</v>
      </c>
      <c r="AH56" s="247" t="s">
        <v>869</v>
      </c>
      <c r="AJ56" s="1" t="s">
        <v>1441</v>
      </c>
      <c r="AK56" s="1" t="s">
        <v>1442</v>
      </c>
    </row>
    <row r="57" spans="1:39" x14ac:dyDescent="0.25">
      <c r="A57" s="166" t="s">
        <v>478</v>
      </c>
      <c r="B57" s="166" t="s">
        <v>888</v>
      </c>
      <c r="C57" s="166" t="s">
        <v>488</v>
      </c>
      <c r="D57" s="170" t="s">
        <v>580</v>
      </c>
      <c r="E57" s="174" t="s">
        <v>1265</v>
      </c>
      <c r="F57" s="174">
        <v>38.191500000000005</v>
      </c>
      <c r="G57" s="174">
        <v>-11.981999999999999</v>
      </c>
      <c r="H57" s="174" t="s">
        <v>1201</v>
      </c>
      <c r="I57" s="174" t="s">
        <v>1469</v>
      </c>
      <c r="J57" s="713" t="str">
        <f t="shared" si="2"/>
        <v/>
      </c>
      <c r="K57" s="713" t="str">
        <f t="shared" si="3"/>
        <v/>
      </c>
      <c r="L57" s="171">
        <v>3</v>
      </c>
      <c r="M57" s="177">
        <v>39356</v>
      </c>
      <c r="N57" s="242"/>
      <c r="O57" s="242"/>
      <c r="P57" s="3"/>
      <c r="Q57" s="214">
        <v>3.8</v>
      </c>
      <c r="R57" s="247">
        <v>1</v>
      </c>
      <c r="AA57" s="214">
        <v>2.9</v>
      </c>
      <c r="AB57" s="247">
        <v>1</v>
      </c>
      <c r="AG57" s="247">
        <f>Table2[[#This Row],[xFOSAs]]+Table2[[#This Row],[xFOSEs]]</f>
        <v>6.6999999999999993</v>
      </c>
      <c r="AH57" s="247" t="s">
        <v>869</v>
      </c>
      <c r="AJ57" s="1" t="s">
        <v>1441</v>
      </c>
      <c r="AK57" s="1" t="s">
        <v>1442</v>
      </c>
    </row>
    <row r="58" spans="1:39" x14ac:dyDescent="0.25">
      <c r="A58" s="166" t="s">
        <v>478</v>
      </c>
      <c r="B58" s="166" t="s">
        <v>888</v>
      </c>
      <c r="C58" s="166" t="s">
        <v>489</v>
      </c>
      <c r="D58" s="170" t="s">
        <v>581</v>
      </c>
      <c r="E58" s="174" t="s">
        <v>1266</v>
      </c>
      <c r="F58" s="174">
        <v>32.370000000000005</v>
      </c>
      <c r="G58" s="174">
        <v>-13.844000000000001</v>
      </c>
      <c r="H58" s="174" t="s">
        <v>1201</v>
      </c>
      <c r="I58" s="174" t="s">
        <v>1469</v>
      </c>
      <c r="J58" s="713" t="str">
        <f t="shared" si="2"/>
        <v/>
      </c>
      <c r="K58" s="713" t="str">
        <f t="shared" si="3"/>
        <v/>
      </c>
      <c r="L58" s="171">
        <v>4</v>
      </c>
      <c r="M58" s="177">
        <v>39387</v>
      </c>
      <c r="N58" s="242"/>
      <c r="O58" s="242"/>
      <c r="P58" s="3"/>
      <c r="Q58" s="214">
        <v>9.6999999999999993</v>
      </c>
      <c r="R58" s="247">
        <v>1</v>
      </c>
      <c r="AA58" s="214">
        <v>4.5</v>
      </c>
      <c r="AB58" s="247">
        <v>1</v>
      </c>
      <c r="AG58" s="247">
        <f>Table2[[#This Row],[xFOSAs]]+Table2[[#This Row],[xFOSEs]]</f>
        <v>14.2</v>
      </c>
      <c r="AH58" s="247" t="s">
        <v>869</v>
      </c>
      <c r="AJ58" s="1" t="s">
        <v>1441</v>
      </c>
      <c r="AK58" s="1" t="s">
        <v>1442</v>
      </c>
    </row>
    <row r="59" spans="1:39" x14ac:dyDescent="0.25">
      <c r="A59" s="166" t="s">
        <v>478</v>
      </c>
      <c r="B59" s="166" t="s">
        <v>888</v>
      </c>
      <c r="C59" s="166" t="s">
        <v>490</v>
      </c>
      <c r="D59" s="170" t="s">
        <v>582</v>
      </c>
      <c r="E59" s="174" t="s">
        <v>1637</v>
      </c>
      <c r="F59" s="174">
        <v>29.335000000000001</v>
      </c>
      <c r="G59" s="174">
        <v>-14.85</v>
      </c>
      <c r="H59" s="174" t="s">
        <v>1201</v>
      </c>
      <c r="I59" s="174" t="s">
        <v>1469</v>
      </c>
      <c r="J59" s="338" t="s">
        <v>1458</v>
      </c>
      <c r="K59" s="338" t="s">
        <v>1458</v>
      </c>
      <c r="L59" s="171">
        <v>4</v>
      </c>
      <c r="M59" s="177">
        <v>39387</v>
      </c>
      <c r="N59" s="242"/>
      <c r="O59" s="242"/>
      <c r="P59" s="3"/>
      <c r="Q59" s="214">
        <v>1.8</v>
      </c>
      <c r="R59" s="247">
        <v>1</v>
      </c>
      <c r="AA59" s="214">
        <v>1.6</v>
      </c>
      <c r="AB59" s="247">
        <v>1</v>
      </c>
      <c r="AG59" s="247">
        <f>Table2[[#This Row],[xFOSAs]]+Table2[[#This Row],[xFOSEs]]</f>
        <v>3.4000000000000004</v>
      </c>
      <c r="AH59" s="247" t="s">
        <v>869</v>
      </c>
      <c r="AJ59" s="1" t="s">
        <v>1441</v>
      </c>
      <c r="AK59" s="1" t="s">
        <v>1442</v>
      </c>
    </row>
    <row r="60" spans="1:39" x14ac:dyDescent="0.25">
      <c r="A60" s="166" t="s">
        <v>478</v>
      </c>
      <c r="B60" s="166" t="s">
        <v>888</v>
      </c>
      <c r="C60" s="166" t="s">
        <v>491</v>
      </c>
      <c r="D60" s="170" t="s">
        <v>643</v>
      </c>
      <c r="E60" s="174" t="s">
        <v>1267</v>
      </c>
      <c r="F60" s="174">
        <v>26.349499999999999</v>
      </c>
      <c r="G60" s="174">
        <v>-17.611499999999999</v>
      </c>
      <c r="H60" s="174" t="s">
        <v>1201</v>
      </c>
      <c r="I60" s="174" t="s">
        <v>1469</v>
      </c>
      <c r="J60" s="338" t="s">
        <v>1458</v>
      </c>
      <c r="K60" s="338" t="s">
        <v>1458</v>
      </c>
      <c r="L60" s="171">
        <v>4</v>
      </c>
      <c r="M60" s="177">
        <v>39387</v>
      </c>
      <c r="N60" s="242"/>
      <c r="O60" s="242"/>
      <c r="P60" s="3"/>
      <c r="Q60" s="214">
        <v>3.4</v>
      </c>
      <c r="R60" s="247">
        <v>1</v>
      </c>
      <c r="AA60" s="214">
        <v>0.9</v>
      </c>
      <c r="AB60" s="247" t="s">
        <v>446</v>
      </c>
      <c r="AG60" s="247">
        <f>Table2[[#This Row],[xFOSAs]]+Table2[[#This Row],[xFOSEs]]</f>
        <v>4.3</v>
      </c>
      <c r="AH60" s="247" t="s">
        <v>869</v>
      </c>
      <c r="AJ60" s="1" t="s">
        <v>1441</v>
      </c>
      <c r="AK60" s="1" t="s">
        <v>1442</v>
      </c>
    </row>
    <row r="61" spans="1:39" x14ac:dyDescent="0.25">
      <c r="A61" s="166" t="s">
        <v>478</v>
      </c>
      <c r="B61" s="166" t="s">
        <v>888</v>
      </c>
      <c r="C61" s="166" t="s">
        <v>508</v>
      </c>
      <c r="D61" s="170" t="s">
        <v>596</v>
      </c>
      <c r="E61" s="174" t="s">
        <v>1268</v>
      </c>
      <c r="F61" s="174">
        <v>-4.7450000000000001</v>
      </c>
      <c r="G61" s="174">
        <v>-8.0594999999999999</v>
      </c>
      <c r="H61" s="174" t="s">
        <v>1201</v>
      </c>
      <c r="I61" s="174" t="s">
        <v>1469</v>
      </c>
      <c r="J61" s="713" t="str">
        <f t="shared" si="2"/>
        <v/>
      </c>
      <c r="K61" s="713" t="str">
        <f t="shared" si="3"/>
        <v/>
      </c>
      <c r="L61" s="171">
        <v>6</v>
      </c>
      <c r="M61" s="177">
        <v>39753</v>
      </c>
      <c r="N61" s="242"/>
      <c r="O61" s="242"/>
      <c r="P61" s="3"/>
      <c r="Q61" s="214">
        <v>0.3</v>
      </c>
      <c r="R61" s="247" t="s">
        <v>446</v>
      </c>
      <c r="AA61" s="214">
        <v>1.5</v>
      </c>
      <c r="AB61" s="247">
        <v>1</v>
      </c>
      <c r="AG61" s="247">
        <f>Table2[[#This Row],[xFOSAs]]+Table2[[#This Row],[xFOSEs]]</f>
        <v>1.8</v>
      </c>
      <c r="AH61" s="247" t="s">
        <v>869</v>
      </c>
      <c r="AJ61" s="1" t="s">
        <v>1441</v>
      </c>
      <c r="AK61" s="1" t="s">
        <v>1442</v>
      </c>
    </row>
    <row r="62" spans="1:39" x14ac:dyDescent="0.25">
      <c r="A62" s="166" t="s">
        <v>478</v>
      </c>
      <c r="B62" s="166" t="s">
        <v>888</v>
      </c>
      <c r="C62" s="166" t="s">
        <v>509</v>
      </c>
      <c r="D62" s="170" t="s">
        <v>597</v>
      </c>
      <c r="E62" s="174" t="s">
        <v>1269</v>
      </c>
      <c r="F62" s="174">
        <v>-9.0474999999999994</v>
      </c>
      <c r="G62" s="174">
        <v>-4.3920000000000003</v>
      </c>
      <c r="H62" s="174" t="s">
        <v>1201</v>
      </c>
      <c r="I62" s="174" t="s">
        <v>1469</v>
      </c>
      <c r="J62" s="713" t="str">
        <f t="shared" si="2"/>
        <v/>
      </c>
      <c r="K62" s="713" t="str">
        <f t="shared" si="3"/>
        <v/>
      </c>
      <c r="L62" s="171">
        <v>6</v>
      </c>
      <c r="M62" s="177">
        <v>39753</v>
      </c>
      <c r="N62" s="242"/>
      <c r="O62" s="242"/>
      <c r="P62" s="3"/>
      <c r="Q62" s="214">
        <v>0.5</v>
      </c>
      <c r="R62" s="247" t="s">
        <v>446</v>
      </c>
      <c r="AA62" s="214">
        <v>0.8</v>
      </c>
      <c r="AB62" s="247">
        <v>1</v>
      </c>
      <c r="AG62" s="247">
        <f>Table2[[#This Row],[xFOSAs]]+Table2[[#This Row],[xFOSEs]]</f>
        <v>1.3</v>
      </c>
      <c r="AH62" s="247" t="s">
        <v>869</v>
      </c>
      <c r="AJ62" s="1" t="s">
        <v>1441</v>
      </c>
      <c r="AK62" s="1" t="s">
        <v>1442</v>
      </c>
    </row>
    <row r="63" spans="1:39" x14ac:dyDescent="0.25">
      <c r="A63" s="166" t="s">
        <v>478</v>
      </c>
      <c r="B63" s="166" t="s">
        <v>888</v>
      </c>
      <c r="C63" s="166" t="s">
        <v>510</v>
      </c>
      <c r="D63" s="170" t="s">
        <v>598</v>
      </c>
      <c r="E63" s="174" t="s">
        <v>1270</v>
      </c>
      <c r="F63" s="174">
        <v>-13.637</v>
      </c>
      <c r="G63" s="174">
        <v>-0.44850000000000001</v>
      </c>
      <c r="H63" s="174" t="s">
        <v>1201</v>
      </c>
      <c r="I63" s="174" t="s">
        <v>1469</v>
      </c>
      <c r="J63" s="713" t="str">
        <f t="shared" si="2"/>
        <v/>
      </c>
      <c r="K63" s="713" t="str">
        <f t="shared" si="3"/>
        <v/>
      </c>
      <c r="L63" s="171">
        <v>6</v>
      </c>
      <c r="M63" s="177">
        <v>39753</v>
      </c>
      <c r="N63" s="242"/>
      <c r="O63" s="242"/>
      <c r="P63" s="3"/>
      <c r="Q63" s="214">
        <v>0.1</v>
      </c>
      <c r="R63" s="247" t="s">
        <v>446</v>
      </c>
      <c r="AA63" s="214">
        <v>0.9</v>
      </c>
      <c r="AB63" s="247">
        <v>1</v>
      </c>
      <c r="AG63" s="247">
        <f>Table2[[#This Row],[xFOSAs]]+Table2[[#This Row],[xFOSEs]]</f>
        <v>1</v>
      </c>
      <c r="AH63" s="247" t="s">
        <v>869</v>
      </c>
      <c r="AJ63" s="1" t="s">
        <v>1441</v>
      </c>
      <c r="AK63" s="1" t="s">
        <v>1442</v>
      </c>
    </row>
    <row r="64" spans="1:39" x14ac:dyDescent="0.25">
      <c r="A64" s="166" t="s">
        <v>478</v>
      </c>
      <c r="B64" s="166" t="s">
        <v>888</v>
      </c>
      <c r="C64" s="166" t="s">
        <v>511</v>
      </c>
      <c r="D64" s="170" t="s">
        <v>599</v>
      </c>
      <c r="E64" s="174" t="s">
        <v>1271</v>
      </c>
      <c r="F64" s="174">
        <v>-16.526</v>
      </c>
      <c r="G64" s="174">
        <v>2.0699999999999998</v>
      </c>
      <c r="H64" s="174" t="s">
        <v>1201</v>
      </c>
      <c r="I64" s="174" t="s">
        <v>1469</v>
      </c>
      <c r="J64" s="713" t="str">
        <f t="shared" si="2"/>
        <v/>
      </c>
      <c r="K64" s="713" t="str">
        <f t="shared" si="3"/>
        <v/>
      </c>
      <c r="L64" s="171">
        <v>6</v>
      </c>
      <c r="M64" s="177">
        <v>39753</v>
      </c>
      <c r="N64" s="242"/>
      <c r="O64" s="242"/>
      <c r="P64" s="3"/>
      <c r="Q64" s="214">
        <v>0.2</v>
      </c>
      <c r="R64" s="247" t="s">
        <v>446</v>
      </c>
      <c r="AA64" s="214">
        <v>1</v>
      </c>
      <c r="AB64" s="247">
        <v>1</v>
      </c>
      <c r="AG64" s="247">
        <f>Table2[[#This Row],[xFOSAs]]+Table2[[#This Row],[xFOSEs]]</f>
        <v>1.2</v>
      </c>
      <c r="AH64" s="247" t="s">
        <v>869</v>
      </c>
      <c r="AJ64" s="1" t="s">
        <v>1441</v>
      </c>
      <c r="AK64" s="1" t="s">
        <v>1442</v>
      </c>
    </row>
    <row r="65" spans="1:37" x14ac:dyDescent="0.25">
      <c r="A65" s="166" t="s">
        <v>478</v>
      </c>
      <c r="B65" s="166" t="s">
        <v>888</v>
      </c>
      <c r="C65" s="166" t="s">
        <v>512</v>
      </c>
      <c r="D65" s="170" t="s">
        <v>600</v>
      </c>
      <c r="E65" s="174" t="s">
        <v>1272</v>
      </c>
      <c r="F65" s="174">
        <v>-19.533000000000001</v>
      </c>
      <c r="G65" s="174">
        <v>4.7424999999999997</v>
      </c>
      <c r="H65" s="174" t="s">
        <v>1201</v>
      </c>
      <c r="I65" s="174" t="s">
        <v>1469</v>
      </c>
      <c r="J65" s="713" t="str">
        <f t="shared" si="2"/>
        <v/>
      </c>
      <c r="K65" s="713" t="str">
        <f t="shared" si="3"/>
        <v/>
      </c>
      <c r="L65" s="171">
        <v>7</v>
      </c>
      <c r="M65" s="177">
        <v>39753</v>
      </c>
      <c r="N65" s="242"/>
      <c r="O65" s="242"/>
      <c r="P65" s="3"/>
      <c r="Q65" s="214">
        <v>1.5</v>
      </c>
      <c r="R65" s="247" t="s">
        <v>446</v>
      </c>
      <c r="AA65" s="214">
        <v>1.6</v>
      </c>
      <c r="AB65" s="247">
        <v>1</v>
      </c>
      <c r="AG65" s="247">
        <f>Table2[[#This Row],[xFOSAs]]+Table2[[#This Row],[xFOSEs]]</f>
        <v>3.1</v>
      </c>
      <c r="AH65" s="247" t="s">
        <v>869</v>
      </c>
      <c r="AJ65" s="1" t="s">
        <v>1441</v>
      </c>
      <c r="AK65" s="1" t="s">
        <v>1442</v>
      </c>
    </row>
    <row r="66" spans="1:37" x14ac:dyDescent="0.25">
      <c r="A66" s="166" t="s">
        <v>478</v>
      </c>
      <c r="B66" s="166" t="s">
        <v>888</v>
      </c>
      <c r="C66" s="166" t="s">
        <v>513</v>
      </c>
      <c r="D66" s="170" t="s">
        <v>601</v>
      </c>
      <c r="E66" s="174" t="s">
        <v>1273</v>
      </c>
      <c r="F66" s="174">
        <v>-22.490000000000002</v>
      </c>
      <c r="G66" s="174">
        <v>7.41</v>
      </c>
      <c r="H66" s="174" t="s">
        <v>1201</v>
      </c>
      <c r="I66" s="174" t="s">
        <v>1469</v>
      </c>
      <c r="J66" s="713" t="str">
        <f t="shared" si="2"/>
        <v/>
      </c>
      <c r="K66" s="713" t="str">
        <f t="shared" si="3"/>
        <v/>
      </c>
      <c r="L66" s="171">
        <v>7</v>
      </c>
      <c r="M66" s="177">
        <v>39753</v>
      </c>
      <c r="N66" s="242"/>
      <c r="O66" s="242"/>
      <c r="P66" s="3"/>
      <c r="Q66" s="214">
        <v>0.9</v>
      </c>
      <c r="R66" s="247" t="s">
        <v>446</v>
      </c>
      <c r="AA66" s="214">
        <v>0.7</v>
      </c>
      <c r="AB66" s="247" t="s">
        <v>446</v>
      </c>
      <c r="AG66" s="247">
        <f>Table2[[#This Row],[xFOSAs]]+Table2[[#This Row],[xFOSEs]]</f>
        <v>1.6</v>
      </c>
      <c r="AH66" s="247" t="s">
        <v>869</v>
      </c>
      <c r="AJ66" s="1" t="s">
        <v>1441</v>
      </c>
      <c r="AK66" s="1" t="s">
        <v>1442</v>
      </c>
    </row>
    <row r="67" spans="1:37" x14ac:dyDescent="0.25">
      <c r="A67" s="166" t="s">
        <v>478</v>
      </c>
      <c r="B67" s="166" t="s">
        <v>888</v>
      </c>
      <c r="C67" s="166" t="s">
        <v>514</v>
      </c>
      <c r="D67" s="170" t="s">
        <v>602</v>
      </c>
      <c r="E67" s="174" t="s">
        <v>1274</v>
      </c>
      <c r="F67" s="174">
        <v>-28.87</v>
      </c>
      <c r="G67" s="174">
        <v>13.344999999999999</v>
      </c>
      <c r="H67" s="174" t="s">
        <v>1201</v>
      </c>
      <c r="I67" s="174" t="s">
        <v>1469</v>
      </c>
      <c r="J67" s="713" t="str">
        <f t="shared" si="2"/>
        <v/>
      </c>
      <c r="K67" s="713" t="str">
        <f t="shared" si="3"/>
        <v/>
      </c>
      <c r="L67" s="171">
        <v>7</v>
      </c>
      <c r="M67" s="177">
        <v>39753</v>
      </c>
      <c r="N67" s="242"/>
      <c r="O67" s="242"/>
      <c r="P67" s="3"/>
      <c r="Q67" s="214">
        <v>0</v>
      </c>
      <c r="R67" s="247" t="s">
        <v>446</v>
      </c>
      <c r="AA67" s="214">
        <v>0.5</v>
      </c>
      <c r="AB67" s="247">
        <v>1</v>
      </c>
      <c r="AG67" s="247">
        <f>Table2[[#This Row],[xFOSAs]]+Table2[[#This Row],[xFOSEs]]</f>
        <v>0.5</v>
      </c>
      <c r="AH67" s="247" t="s">
        <v>869</v>
      </c>
      <c r="AJ67" s="1" t="s">
        <v>1441</v>
      </c>
      <c r="AK67" s="1" t="s">
        <v>1442</v>
      </c>
    </row>
    <row r="68" spans="1:37" x14ac:dyDescent="0.25">
      <c r="A68" s="166" t="s">
        <v>478</v>
      </c>
      <c r="B68" s="166" t="s">
        <v>888</v>
      </c>
      <c r="C68" s="166" t="s">
        <v>523</v>
      </c>
      <c r="D68" s="170" t="s">
        <v>611</v>
      </c>
      <c r="E68" s="174" t="s">
        <v>1275</v>
      </c>
      <c r="F68" s="174">
        <v>-58.779499999999999</v>
      </c>
      <c r="G68" s="174">
        <v>11.855</v>
      </c>
      <c r="H68" s="174" t="s">
        <v>1204</v>
      </c>
      <c r="I68" s="174" t="s">
        <v>1469</v>
      </c>
      <c r="J68" s="713" t="str">
        <f t="shared" si="2"/>
        <v/>
      </c>
      <c r="K68" s="713" t="str">
        <f t="shared" si="3"/>
        <v/>
      </c>
      <c r="L68" s="171">
        <v>9</v>
      </c>
      <c r="M68" s="177">
        <v>39783</v>
      </c>
      <c r="N68" s="242"/>
      <c r="O68" s="242"/>
      <c r="P68" s="3"/>
      <c r="Q68" s="214">
        <v>1.2</v>
      </c>
      <c r="R68" s="247" t="s">
        <v>446</v>
      </c>
      <c r="AA68" s="214">
        <v>2.2000000000000002</v>
      </c>
      <c r="AB68" s="247" t="s">
        <v>446</v>
      </c>
      <c r="AG68" s="247">
        <f>Table2[[#This Row],[xFOSAs]]+Table2[[#This Row],[xFOSEs]]</f>
        <v>3.4000000000000004</v>
      </c>
      <c r="AH68" s="247" t="s">
        <v>869</v>
      </c>
      <c r="AJ68" s="1" t="s">
        <v>1441</v>
      </c>
      <c r="AK68" s="1" t="s">
        <v>1442</v>
      </c>
    </row>
    <row r="69" spans="1:37" x14ac:dyDescent="0.25">
      <c r="A69" s="166" t="s">
        <v>478</v>
      </c>
      <c r="B69" s="166" t="s">
        <v>888</v>
      </c>
      <c r="C69" s="166" t="s">
        <v>524</v>
      </c>
      <c r="D69" s="170" t="s">
        <v>612</v>
      </c>
      <c r="E69" s="174" t="s">
        <v>1276</v>
      </c>
      <c r="F69" s="174">
        <v>-53.15</v>
      </c>
      <c r="G69" s="174">
        <v>12.864000000000001</v>
      </c>
      <c r="H69" s="174" t="s">
        <v>1201</v>
      </c>
      <c r="I69" s="174" t="s">
        <v>1469</v>
      </c>
      <c r="J69" s="713" t="str">
        <f t="shared" si="2"/>
        <v/>
      </c>
      <c r="K69" s="713" t="str">
        <f t="shared" si="3"/>
        <v/>
      </c>
      <c r="L69" s="171">
        <v>8</v>
      </c>
      <c r="M69" s="177">
        <v>39783</v>
      </c>
      <c r="N69" s="242"/>
      <c r="O69" s="242"/>
      <c r="P69" s="3"/>
      <c r="Q69" s="214">
        <v>0.2</v>
      </c>
      <c r="R69" s="247" t="s">
        <v>446</v>
      </c>
      <c r="AA69" s="214">
        <v>1.3</v>
      </c>
      <c r="AB69" s="247">
        <v>1</v>
      </c>
      <c r="AG69" s="247">
        <f>Table2[[#This Row],[xFOSAs]]+Table2[[#This Row],[xFOSEs]]</f>
        <v>1.5</v>
      </c>
      <c r="AH69" s="247" t="s">
        <v>869</v>
      </c>
      <c r="AJ69" s="1" t="s">
        <v>1441</v>
      </c>
      <c r="AK69" s="1" t="s">
        <v>1442</v>
      </c>
    </row>
    <row r="70" spans="1:37" x14ac:dyDescent="0.25">
      <c r="A70" s="166" t="s">
        <v>478</v>
      </c>
      <c r="B70" s="166" t="s">
        <v>888</v>
      </c>
      <c r="C70" s="166" t="s">
        <v>525</v>
      </c>
      <c r="D70" s="170" t="s">
        <v>613</v>
      </c>
      <c r="E70" s="174" t="s">
        <v>1277</v>
      </c>
      <c r="F70" s="174">
        <v>-48.046499999999995</v>
      </c>
      <c r="G70" s="174">
        <v>14.798999999999999</v>
      </c>
      <c r="H70" s="174" t="s">
        <v>1201</v>
      </c>
      <c r="I70" s="174" t="s">
        <v>1469</v>
      </c>
      <c r="J70" s="713" t="str">
        <f t="shared" si="2"/>
        <v/>
      </c>
      <c r="K70" s="713" t="str">
        <f t="shared" si="3"/>
        <v/>
      </c>
      <c r="L70" s="171">
        <v>8</v>
      </c>
      <c r="M70" s="177">
        <v>39783</v>
      </c>
      <c r="N70" s="242"/>
      <c r="O70" s="242"/>
      <c r="P70" s="3"/>
      <c r="Q70" s="214">
        <v>0</v>
      </c>
      <c r="R70" s="247" t="s">
        <v>446</v>
      </c>
      <c r="AA70" s="214">
        <v>0</v>
      </c>
      <c r="AB70" s="247" t="s">
        <v>446</v>
      </c>
      <c r="AG70" s="247">
        <f>Table2[[#This Row],[xFOSAs]]+Table2[[#This Row],[xFOSEs]]</f>
        <v>0</v>
      </c>
      <c r="AH70" s="247" t="s">
        <v>869</v>
      </c>
      <c r="AJ70" s="1" t="s">
        <v>1441</v>
      </c>
      <c r="AK70" s="1" t="s">
        <v>1442</v>
      </c>
    </row>
    <row r="71" spans="1:37" x14ac:dyDescent="0.25">
      <c r="A71" s="166" t="s">
        <v>478</v>
      </c>
      <c r="B71" s="166" t="s">
        <v>888</v>
      </c>
      <c r="C71" s="166" t="s">
        <v>526</v>
      </c>
      <c r="D71" s="170" t="s">
        <v>614</v>
      </c>
      <c r="E71" s="174" t="s">
        <v>1278</v>
      </c>
      <c r="F71" s="174">
        <v>-42.527999999999999</v>
      </c>
      <c r="G71" s="174">
        <v>15.882</v>
      </c>
      <c r="H71" s="174" t="s">
        <v>1201</v>
      </c>
      <c r="I71" s="174" t="s">
        <v>1469</v>
      </c>
      <c r="J71" s="713" t="str">
        <f t="shared" si="2"/>
        <v/>
      </c>
      <c r="K71" s="713" t="str">
        <f t="shared" si="3"/>
        <v/>
      </c>
      <c r="L71" s="171">
        <v>8</v>
      </c>
      <c r="M71" s="177">
        <v>39814</v>
      </c>
      <c r="N71" s="242"/>
      <c r="O71" s="242"/>
      <c r="P71" s="3"/>
      <c r="Q71" s="214">
        <v>0.6</v>
      </c>
      <c r="R71" s="247" t="s">
        <v>446</v>
      </c>
      <c r="AA71" s="214">
        <v>0</v>
      </c>
      <c r="AB71" s="247" t="s">
        <v>446</v>
      </c>
      <c r="AG71" s="247">
        <f>Table2[[#This Row],[xFOSAs]]+Table2[[#This Row],[xFOSEs]]</f>
        <v>0.6</v>
      </c>
      <c r="AH71" s="247" t="s">
        <v>869</v>
      </c>
      <c r="AJ71" s="1" t="s">
        <v>1441</v>
      </c>
      <c r="AK71" s="1" t="s">
        <v>1442</v>
      </c>
    </row>
    <row r="72" spans="1:37" x14ac:dyDescent="0.25">
      <c r="A72" s="166" t="s">
        <v>478</v>
      </c>
      <c r="B72" s="166" t="s">
        <v>888</v>
      </c>
      <c r="C72" s="166" t="s">
        <v>527</v>
      </c>
      <c r="D72" s="170" t="s">
        <v>615</v>
      </c>
      <c r="E72" s="174" t="s">
        <v>1279</v>
      </c>
      <c r="F72" s="174">
        <v>-38.352000000000004</v>
      </c>
      <c r="G72" s="174">
        <v>16.858499999999999</v>
      </c>
      <c r="H72" s="174" t="s">
        <v>1201</v>
      </c>
      <c r="I72" s="174" t="s">
        <v>1469</v>
      </c>
      <c r="J72" s="713" t="str">
        <f t="shared" si="2"/>
        <v/>
      </c>
      <c r="K72" s="713" t="str">
        <f t="shared" si="3"/>
        <v/>
      </c>
      <c r="L72" s="171">
        <v>8</v>
      </c>
      <c r="M72" s="177">
        <v>39814</v>
      </c>
      <c r="N72" s="242"/>
      <c r="O72" s="242"/>
      <c r="P72" s="3"/>
      <c r="Q72" s="214">
        <v>2.2999999999999998</v>
      </c>
      <c r="R72" s="247" t="s">
        <v>446</v>
      </c>
      <c r="AA72" s="214">
        <v>1.1000000000000001</v>
      </c>
      <c r="AB72" s="247" t="s">
        <v>446</v>
      </c>
      <c r="AG72" s="247">
        <f>Table2[[#This Row],[xFOSAs]]+Table2[[#This Row],[xFOSEs]]</f>
        <v>3.4</v>
      </c>
      <c r="AH72" s="247" t="s">
        <v>869</v>
      </c>
      <c r="AJ72" s="1" t="s">
        <v>1441</v>
      </c>
      <c r="AK72" s="1" t="s">
        <v>1442</v>
      </c>
    </row>
    <row r="73" spans="1:37" x14ac:dyDescent="0.25">
      <c r="A73" s="166" t="s">
        <v>478</v>
      </c>
      <c r="B73" s="166" t="s">
        <v>888</v>
      </c>
      <c r="C73" s="166" t="s">
        <v>515</v>
      </c>
      <c r="D73" s="170" t="s">
        <v>603</v>
      </c>
      <c r="E73" s="174" t="s">
        <v>1280</v>
      </c>
      <c r="F73" s="174">
        <v>-45.601500000000001</v>
      </c>
      <c r="G73" s="174">
        <v>6.2240000000000002</v>
      </c>
      <c r="H73" s="174" t="s">
        <v>1201</v>
      </c>
      <c r="I73" s="174" t="s">
        <v>1469</v>
      </c>
      <c r="J73" s="713" t="str">
        <f t="shared" si="2"/>
        <v/>
      </c>
      <c r="K73" s="713" t="str">
        <f t="shared" si="3"/>
        <v/>
      </c>
      <c r="L73" s="171">
        <v>8</v>
      </c>
      <c r="M73" s="177">
        <v>39783</v>
      </c>
      <c r="N73" s="242"/>
      <c r="O73" s="242"/>
      <c r="P73" s="3"/>
      <c r="Q73" s="214">
        <v>0.3</v>
      </c>
      <c r="R73" s="247" t="s">
        <v>446</v>
      </c>
      <c r="AA73" s="214">
        <v>1</v>
      </c>
      <c r="AB73" s="247">
        <v>1</v>
      </c>
      <c r="AG73" s="247">
        <f>Table2[[#This Row],[xFOSAs]]+Table2[[#This Row],[xFOSEs]]</f>
        <v>1.3</v>
      </c>
      <c r="AH73" s="247" t="s">
        <v>869</v>
      </c>
      <c r="AJ73" s="1" t="s">
        <v>1441</v>
      </c>
      <c r="AK73" s="1" t="s">
        <v>1442</v>
      </c>
    </row>
    <row r="74" spans="1:37" x14ac:dyDescent="0.25">
      <c r="A74" s="166" t="s">
        <v>478</v>
      </c>
      <c r="B74" s="166" t="s">
        <v>888</v>
      </c>
      <c r="C74" s="166" t="s">
        <v>516</v>
      </c>
      <c r="D74" s="170" t="s">
        <v>604</v>
      </c>
      <c r="E74" s="174" t="s">
        <v>1281</v>
      </c>
      <c r="F74" s="174">
        <v>-54.304500000000004</v>
      </c>
      <c r="G74" s="174">
        <v>1.5030000000000001</v>
      </c>
      <c r="H74" s="174" t="s">
        <v>1201</v>
      </c>
      <c r="I74" s="174" t="s">
        <v>1469</v>
      </c>
      <c r="J74" s="713" t="str">
        <f t="shared" si="2"/>
        <v/>
      </c>
      <c r="K74" s="713" t="str">
        <f t="shared" si="3"/>
        <v/>
      </c>
      <c r="L74" s="171">
        <v>8</v>
      </c>
      <c r="M74" s="177">
        <v>39783</v>
      </c>
      <c r="N74" s="242"/>
      <c r="O74" s="242"/>
      <c r="P74" s="3"/>
      <c r="Q74" s="214">
        <v>0.1</v>
      </c>
      <c r="R74" s="247">
        <v>1</v>
      </c>
      <c r="AA74" s="214">
        <v>0.6</v>
      </c>
      <c r="AB74" s="247" t="s">
        <v>446</v>
      </c>
      <c r="AG74" s="247">
        <f>Table2[[#This Row],[xFOSAs]]+Table2[[#This Row],[xFOSEs]]</f>
        <v>0.7</v>
      </c>
      <c r="AH74" s="247" t="s">
        <v>869</v>
      </c>
      <c r="AJ74" s="1" t="s">
        <v>1441</v>
      </c>
      <c r="AK74" s="1" t="s">
        <v>1442</v>
      </c>
    </row>
    <row r="75" spans="1:37" x14ac:dyDescent="0.25">
      <c r="A75" s="166" t="s">
        <v>478</v>
      </c>
      <c r="B75" s="166" t="s">
        <v>888</v>
      </c>
      <c r="C75" s="166" t="s">
        <v>517</v>
      </c>
      <c r="D75" s="170" t="s">
        <v>605</v>
      </c>
      <c r="E75" s="174" t="s">
        <v>1282</v>
      </c>
      <c r="F75" s="174">
        <v>-61.6905</v>
      </c>
      <c r="G75" s="174">
        <v>0.1075</v>
      </c>
      <c r="H75" s="174" t="s">
        <v>1204</v>
      </c>
      <c r="I75" s="174" t="s">
        <v>1469</v>
      </c>
      <c r="J75" s="713" t="str">
        <f t="shared" si="2"/>
        <v/>
      </c>
      <c r="K75" s="713" t="str">
        <f t="shared" si="3"/>
        <v/>
      </c>
      <c r="L75" s="171">
        <v>9</v>
      </c>
      <c r="M75" s="177">
        <v>39783</v>
      </c>
      <c r="N75" s="242"/>
      <c r="O75" s="242"/>
      <c r="P75" s="3"/>
      <c r="Q75" s="214">
        <v>0.2</v>
      </c>
      <c r="R75" s="247" t="s">
        <v>446</v>
      </c>
      <c r="AA75" s="214">
        <v>1.2</v>
      </c>
      <c r="AB75" s="247">
        <v>1</v>
      </c>
      <c r="AG75" s="247">
        <f>Table2[[#This Row],[xFOSAs]]+Table2[[#This Row],[xFOSEs]]</f>
        <v>1.4</v>
      </c>
      <c r="AH75" s="247" t="s">
        <v>869</v>
      </c>
      <c r="AJ75" s="1" t="s">
        <v>1441</v>
      </c>
      <c r="AK75" s="1" t="s">
        <v>1442</v>
      </c>
    </row>
    <row r="76" spans="1:37" x14ac:dyDescent="0.25">
      <c r="A76" s="166" t="s">
        <v>478</v>
      </c>
      <c r="B76" s="166" t="s">
        <v>888</v>
      </c>
      <c r="C76" s="166" t="s">
        <v>518</v>
      </c>
      <c r="D76" s="170" t="s">
        <v>606</v>
      </c>
      <c r="E76" s="174" t="s">
        <v>1283</v>
      </c>
      <c r="F76" s="174">
        <v>-67.039500000000004</v>
      </c>
      <c r="G76" s="174">
        <v>-2.7569999999999997</v>
      </c>
      <c r="H76" s="174" t="s">
        <v>1204</v>
      </c>
      <c r="I76" s="174" t="s">
        <v>1469</v>
      </c>
      <c r="J76" s="713" t="str">
        <f t="shared" si="2"/>
        <v/>
      </c>
      <c r="K76" s="713" t="str">
        <f t="shared" si="3"/>
        <v/>
      </c>
      <c r="L76" s="171">
        <v>9</v>
      </c>
      <c r="M76" s="177">
        <v>39783</v>
      </c>
      <c r="N76" s="242"/>
      <c r="O76" s="242"/>
      <c r="P76" s="3"/>
      <c r="Q76" s="214">
        <v>0.3</v>
      </c>
      <c r="R76" s="247">
        <v>1</v>
      </c>
      <c r="AA76" s="214">
        <v>1</v>
      </c>
      <c r="AB76" s="247">
        <v>1</v>
      </c>
      <c r="AG76" s="247">
        <f>Table2[[#This Row],[xFOSAs]]+Table2[[#This Row],[xFOSEs]]</f>
        <v>1.3</v>
      </c>
      <c r="AH76" s="247" t="s">
        <v>869</v>
      </c>
      <c r="AJ76" s="1" t="s">
        <v>1441</v>
      </c>
      <c r="AK76" s="1" t="s">
        <v>1442</v>
      </c>
    </row>
    <row r="77" spans="1:37" x14ac:dyDescent="0.25">
      <c r="A77" s="166" t="s">
        <v>478</v>
      </c>
      <c r="B77" s="166" t="s">
        <v>888</v>
      </c>
      <c r="C77" s="166" t="s">
        <v>519</v>
      </c>
      <c r="D77" s="170" t="s">
        <v>607</v>
      </c>
      <c r="E77" s="174" t="s">
        <v>1284</v>
      </c>
      <c r="F77" s="174">
        <v>-69.650000000000006</v>
      </c>
      <c r="G77" s="174">
        <v>-5.5369999999999999</v>
      </c>
      <c r="H77" s="174" t="s">
        <v>1204</v>
      </c>
      <c r="I77" s="174" t="s">
        <v>1469</v>
      </c>
      <c r="J77" s="713" t="str">
        <f t="shared" si="2"/>
        <v/>
      </c>
      <c r="K77" s="713" t="str">
        <f t="shared" si="3"/>
        <v/>
      </c>
      <c r="L77" s="171">
        <v>9</v>
      </c>
      <c r="M77" s="177">
        <v>39783</v>
      </c>
      <c r="N77" s="242"/>
      <c r="O77" s="242"/>
      <c r="P77" s="3"/>
      <c r="Q77" s="214">
        <v>0.2</v>
      </c>
      <c r="R77" s="247" t="s">
        <v>446</v>
      </c>
      <c r="AA77" s="214">
        <v>0.9</v>
      </c>
      <c r="AB77" s="247">
        <v>1</v>
      </c>
      <c r="AG77" s="247">
        <f>Table2[[#This Row],[xFOSAs]]+Table2[[#This Row],[xFOSEs]]</f>
        <v>1.1000000000000001</v>
      </c>
      <c r="AH77" s="247" t="s">
        <v>869</v>
      </c>
      <c r="AJ77" s="1" t="s">
        <v>1441</v>
      </c>
      <c r="AK77" s="1" t="s">
        <v>1442</v>
      </c>
    </row>
    <row r="78" spans="1:37" x14ac:dyDescent="0.25">
      <c r="A78" s="166" t="s">
        <v>478</v>
      </c>
      <c r="B78" s="166" t="s">
        <v>888</v>
      </c>
      <c r="C78" s="166" t="s">
        <v>520</v>
      </c>
      <c r="D78" s="170" t="s">
        <v>608</v>
      </c>
      <c r="E78" s="174" t="s">
        <v>1285</v>
      </c>
      <c r="F78" s="174">
        <v>-67.44550000000001</v>
      </c>
      <c r="G78" s="174">
        <v>-2.9410000000000003</v>
      </c>
      <c r="H78" s="174" t="s">
        <v>1204</v>
      </c>
      <c r="I78" s="174" t="s">
        <v>1469</v>
      </c>
      <c r="J78" s="713" t="str">
        <f t="shared" si="2"/>
        <v/>
      </c>
      <c r="K78" s="713" t="str">
        <f t="shared" si="3"/>
        <v/>
      </c>
      <c r="L78" s="171">
        <v>9</v>
      </c>
      <c r="M78" s="177">
        <v>39783</v>
      </c>
      <c r="N78" s="242"/>
      <c r="O78" s="242"/>
      <c r="P78" s="3"/>
      <c r="Q78" s="214">
        <v>0.4</v>
      </c>
      <c r="R78" s="247" t="s">
        <v>446</v>
      </c>
      <c r="AA78" s="214">
        <v>4.7</v>
      </c>
      <c r="AB78" s="247">
        <v>1</v>
      </c>
      <c r="AG78" s="247">
        <f>Table2[[#This Row],[xFOSAs]]+Table2[[#This Row],[xFOSEs]]</f>
        <v>5.1000000000000005</v>
      </c>
      <c r="AH78" s="247" t="s">
        <v>869</v>
      </c>
      <c r="AJ78" s="1" t="s">
        <v>1441</v>
      </c>
      <c r="AK78" s="1" t="s">
        <v>1442</v>
      </c>
    </row>
    <row r="79" spans="1:37" x14ac:dyDescent="0.25">
      <c r="A79" s="166" t="s">
        <v>478</v>
      </c>
      <c r="B79" s="166" t="s">
        <v>888</v>
      </c>
      <c r="C79" s="166" t="s">
        <v>521</v>
      </c>
      <c r="D79" s="170" t="s">
        <v>609</v>
      </c>
      <c r="E79" s="174" t="s">
        <v>1286</v>
      </c>
      <c r="F79" s="174">
        <v>-64.998500000000007</v>
      </c>
      <c r="G79" s="174">
        <v>2.8279999999999998</v>
      </c>
      <c r="H79" s="174" t="s">
        <v>1204</v>
      </c>
      <c r="I79" s="174" t="s">
        <v>1469</v>
      </c>
      <c r="J79" s="713" t="str">
        <f t="shared" si="2"/>
        <v/>
      </c>
      <c r="K79" s="713" t="str">
        <f t="shared" si="3"/>
        <v/>
      </c>
      <c r="L79" s="171">
        <v>9</v>
      </c>
      <c r="M79" s="177">
        <v>39783</v>
      </c>
      <c r="N79" s="242"/>
      <c r="O79" s="242"/>
      <c r="P79" s="3"/>
      <c r="Q79" s="214">
        <v>0.6</v>
      </c>
      <c r="R79" s="247">
        <v>1</v>
      </c>
      <c r="AA79" s="214">
        <v>0.6</v>
      </c>
      <c r="AB79" s="247">
        <v>1</v>
      </c>
      <c r="AG79" s="247">
        <f>Table2[[#This Row],[xFOSAs]]+Table2[[#This Row],[xFOSEs]]</f>
        <v>1.2</v>
      </c>
      <c r="AH79" s="247" t="s">
        <v>869</v>
      </c>
      <c r="AJ79" s="1" t="s">
        <v>1441</v>
      </c>
      <c r="AK79" s="1" t="s">
        <v>1442</v>
      </c>
    </row>
    <row r="80" spans="1:37" x14ac:dyDescent="0.25">
      <c r="A80" s="166" t="s">
        <v>478</v>
      </c>
      <c r="B80" s="166" t="s">
        <v>888</v>
      </c>
      <c r="C80" s="166" t="s">
        <v>522</v>
      </c>
      <c r="D80" s="170" t="s">
        <v>610</v>
      </c>
      <c r="E80" s="174" t="s">
        <v>1287</v>
      </c>
      <c r="F80" s="174">
        <v>-63.405999999999999</v>
      </c>
      <c r="G80" s="174">
        <v>8.423</v>
      </c>
      <c r="H80" s="174" t="s">
        <v>1204</v>
      </c>
      <c r="I80" s="174" t="s">
        <v>1469</v>
      </c>
      <c r="J80" s="713" t="str">
        <f t="shared" si="2"/>
        <v/>
      </c>
      <c r="K80" s="713" t="str">
        <f t="shared" si="3"/>
        <v/>
      </c>
      <c r="L80" s="171">
        <v>9</v>
      </c>
      <c r="M80" s="177">
        <v>39783</v>
      </c>
      <c r="N80" s="242"/>
      <c r="O80" s="242"/>
      <c r="P80" s="3"/>
      <c r="Q80" s="214">
        <v>0</v>
      </c>
      <c r="R80" s="247" t="s">
        <v>446</v>
      </c>
      <c r="AA80" s="214">
        <v>0.5</v>
      </c>
      <c r="AB80" s="247" t="s">
        <v>446</v>
      </c>
      <c r="AG80" s="247">
        <f>Table2[[#This Row],[xFOSAs]]+Table2[[#This Row],[xFOSEs]]</f>
        <v>0.5</v>
      </c>
      <c r="AH80" s="247" t="s">
        <v>869</v>
      </c>
      <c r="AJ80" s="1" t="s">
        <v>1441</v>
      </c>
      <c r="AK80" s="1" t="s">
        <v>1442</v>
      </c>
    </row>
    <row r="81" spans="1:37" x14ac:dyDescent="0.25">
      <c r="A81" s="166" t="s">
        <v>478</v>
      </c>
      <c r="B81" s="166" t="s">
        <v>888</v>
      </c>
      <c r="C81" s="166" t="s">
        <v>556</v>
      </c>
      <c r="D81" s="170" t="s">
        <v>635</v>
      </c>
      <c r="E81" s="174" t="s">
        <v>1288</v>
      </c>
      <c r="F81" s="174">
        <v>-4.9554999999999998</v>
      </c>
      <c r="G81" s="174">
        <v>-12.029</v>
      </c>
      <c r="H81" s="174" t="s">
        <v>1201</v>
      </c>
      <c r="I81" s="174" t="s">
        <v>1469</v>
      </c>
      <c r="J81" s="713" t="str">
        <f t="shared" si="2"/>
        <v/>
      </c>
      <c r="K81" s="713" t="str">
        <f t="shared" si="3"/>
        <v/>
      </c>
      <c r="L81" s="171">
        <v>6</v>
      </c>
      <c r="M81" s="177">
        <v>39448</v>
      </c>
      <c r="N81" s="242"/>
      <c r="O81" s="242"/>
      <c r="P81" s="3"/>
      <c r="Q81" s="214">
        <v>1.4</v>
      </c>
      <c r="R81" s="247" t="s">
        <v>446</v>
      </c>
      <c r="AA81" s="214">
        <v>10.4</v>
      </c>
      <c r="AB81" s="247">
        <v>1</v>
      </c>
      <c r="AG81" s="247">
        <f>Table2[[#This Row],[xFOSAs]]+Table2[[#This Row],[xFOSEs]]</f>
        <v>11.8</v>
      </c>
      <c r="AH81" s="247" t="s">
        <v>869</v>
      </c>
      <c r="AJ81" s="1" t="s">
        <v>1441</v>
      </c>
      <c r="AK81" s="1" t="s">
        <v>1442</v>
      </c>
    </row>
    <row r="82" spans="1:37" x14ac:dyDescent="0.25">
      <c r="A82" s="166" t="s">
        <v>478</v>
      </c>
      <c r="B82" s="166" t="s">
        <v>888</v>
      </c>
      <c r="C82" s="166" t="s">
        <v>557</v>
      </c>
      <c r="D82" s="170" t="s">
        <v>1240</v>
      </c>
      <c r="E82" s="174" t="s">
        <v>1289</v>
      </c>
      <c r="F82" s="174">
        <v>-1.4899999999999998</v>
      </c>
      <c r="G82" s="174">
        <v>-13.214</v>
      </c>
      <c r="H82" s="174" t="s">
        <v>1201</v>
      </c>
      <c r="I82" s="174" t="s">
        <v>1469</v>
      </c>
      <c r="J82" s="713" t="str">
        <f t="shared" si="2"/>
        <v/>
      </c>
      <c r="K82" s="713" t="str">
        <f t="shared" si="3"/>
        <v/>
      </c>
      <c r="L82" s="171">
        <v>6</v>
      </c>
      <c r="M82" s="177">
        <v>39448</v>
      </c>
      <c r="N82" s="242"/>
      <c r="O82" s="242"/>
      <c r="P82" s="3"/>
      <c r="Q82" s="214">
        <v>1.2</v>
      </c>
      <c r="R82" s="247" t="s">
        <v>446</v>
      </c>
      <c r="AA82" s="214">
        <v>0.9</v>
      </c>
      <c r="AB82" s="247">
        <v>1</v>
      </c>
      <c r="AG82" s="247">
        <f>Table2[[#This Row],[xFOSAs]]+Table2[[#This Row],[xFOSEs]]</f>
        <v>2.1</v>
      </c>
      <c r="AH82" s="247" t="s">
        <v>869</v>
      </c>
      <c r="AJ82" s="1" t="s">
        <v>1441</v>
      </c>
      <c r="AK82" s="1" t="s">
        <v>1442</v>
      </c>
    </row>
    <row r="83" spans="1:37" x14ac:dyDescent="0.25">
      <c r="A83" s="166" t="s">
        <v>478</v>
      </c>
      <c r="B83" s="166" t="s">
        <v>888</v>
      </c>
      <c r="C83" s="166" t="s">
        <v>558</v>
      </c>
      <c r="D83" s="170" t="s">
        <v>636</v>
      </c>
      <c r="E83" s="174" t="s">
        <v>1290</v>
      </c>
      <c r="F83" s="174">
        <v>3.552</v>
      </c>
      <c r="G83" s="174">
        <v>-14.6845</v>
      </c>
      <c r="H83" s="174" t="s">
        <v>1201</v>
      </c>
      <c r="I83" s="174" t="s">
        <v>1469</v>
      </c>
      <c r="J83" s="713" t="str">
        <f t="shared" si="2"/>
        <v/>
      </c>
      <c r="K83" s="713" t="str">
        <f t="shared" si="3"/>
        <v/>
      </c>
      <c r="L83" s="171">
        <v>5</v>
      </c>
      <c r="M83" s="177">
        <v>39448</v>
      </c>
      <c r="N83" s="242"/>
      <c r="O83" s="242"/>
      <c r="P83" s="3"/>
      <c r="Q83" s="214">
        <v>7.4</v>
      </c>
      <c r="R83" s="247">
        <v>1</v>
      </c>
      <c r="AA83" s="214">
        <v>9.1999999999999993</v>
      </c>
      <c r="AB83" s="247">
        <v>1</v>
      </c>
      <c r="AG83" s="247">
        <f>Table2[[#This Row],[xFOSAs]]+Table2[[#This Row],[xFOSEs]]</f>
        <v>16.600000000000001</v>
      </c>
      <c r="AH83" s="247" t="s">
        <v>869</v>
      </c>
      <c r="AJ83" s="1" t="s">
        <v>1441</v>
      </c>
      <c r="AK83" s="1" t="s">
        <v>1442</v>
      </c>
    </row>
    <row r="84" spans="1:37" x14ac:dyDescent="0.25">
      <c r="A84" s="166" t="s">
        <v>478</v>
      </c>
      <c r="B84" s="166" t="s">
        <v>888</v>
      </c>
      <c r="C84" s="166" t="s">
        <v>559</v>
      </c>
      <c r="D84" s="170" t="s">
        <v>637</v>
      </c>
      <c r="E84" s="174" t="s">
        <v>1291</v>
      </c>
      <c r="F84" s="174">
        <v>10.798</v>
      </c>
      <c r="G84" s="174">
        <v>-17.170999999999999</v>
      </c>
      <c r="H84" s="174" t="s">
        <v>1201</v>
      </c>
      <c r="I84" s="174" t="s">
        <v>1469</v>
      </c>
      <c r="J84" s="713" t="str">
        <f t="shared" si="2"/>
        <v/>
      </c>
      <c r="K84" s="713" t="str">
        <f t="shared" si="3"/>
        <v/>
      </c>
      <c r="L84" s="171">
        <v>5</v>
      </c>
      <c r="M84" s="177">
        <v>39448</v>
      </c>
      <c r="N84" s="242"/>
      <c r="O84" s="242"/>
      <c r="P84" s="3"/>
      <c r="Q84" s="214">
        <v>1.2</v>
      </c>
      <c r="R84" s="247" t="s">
        <v>446</v>
      </c>
      <c r="AA84" s="214">
        <v>4.3</v>
      </c>
      <c r="AB84" s="247" t="s">
        <v>446</v>
      </c>
      <c r="AG84" s="247">
        <f>Table2[[#This Row],[xFOSAs]]+Table2[[#This Row],[xFOSEs]]</f>
        <v>5.5</v>
      </c>
      <c r="AH84" s="247" t="s">
        <v>869</v>
      </c>
      <c r="AJ84" s="1" t="s">
        <v>1441</v>
      </c>
      <c r="AK84" s="1" t="s">
        <v>1442</v>
      </c>
    </row>
    <row r="85" spans="1:37" x14ac:dyDescent="0.25">
      <c r="A85" s="166" t="s">
        <v>478</v>
      </c>
      <c r="B85" s="166" t="s">
        <v>888</v>
      </c>
      <c r="C85" s="166" t="s">
        <v>550</v>
      </c>
      <c r="D85" s="170" t="s">
        <v>629</v>
      </c>
      <c r="E85" s="174" t="s">
        <v>1292</v>
      </c>
      <c r="F85" s="174">
        <v>-6.6055000000000001</v>
      </c>
      <c r="G85" s="174">
        <v>-24.594999999999999</v>
      </c>
      <c r="H85" s="174" t="s">
        <v>1201</v>
      </c>
      <c r="I85" s="174" t="s">
        <v>1469</v>
      </c>
      <c r="J85" s="713" t="str">
        <f t="shared" si="2"/>
        <v/>
      </c>
      <c r="K85" s="713" t="str">
        <f t="shared" si="3"/>
        <v/>
      </c>
      <c r="L85" s="171">
        <v>6</v>
      </c>
      <c r="M85" s="177">
        <v>39448</v>
      </c>
      <c r="N85" s="242"/>
      <c r="O85" s="242"/>
      <c r="P85" s="3"/>
      <c r="Q85" s="214">
        <v>2.5</v>
      </c>
      <c r="R85" s="247">
        <v>1</v>
      </c>
      <c r="AA85" s="214">
        <v>3.4</v>
      </c>
      <c r="AB85" s="247">
        <v>1</v>
      </c>
      <c r="AG85" s="247">
        <f>Table2[[#This Row],[xFOSAs]]+Table2[[#This Row],[xFOSEs]]</f>
        <v>5.9</v>
      </c>
      <c r="AH85" s="247" t="s">
        <v>869</v>
      </c>
      <c r="AJ85" s="1" t="s">
        <v>1441</v>
      </c>
      <c r="AK85" s="1" t="s">
        <v>1442</v>
      </c>
    </row>
    <row r="86" spans="1:37" x14ac:dyDescent="0.25">
      <c r="A86" s="166" t="s">
        <v>478</v>
      </c>
      <c r="B86" s="166" t="s">
        <v>888</v>
      </c>
      <c r="C86" s="166" t="s">
        <v>551</v>
      </c>
      <c r="D86" s="170" t="s">
        <v>630</v>
      </c>
      <c r="E86" s="174" t="s">
        <v>1293</v>
      </c>
      <c r="F86" s="174">
        <v>-5.5880000000000001</v>
      </c>
      <c r="G86" s="174">
        <v>-17.628499999999999</v>
      </c>
      <c r="H86" s="174" t="s">
        <v>1201</v>
      </c>
      <c r="I86" s="174" t="s">
        <v>1469</v>
      </c>
      <c r="J86" s="713" t="str">
        <f t="shared" si="2"/>
        <v/>
      </c>
      <c r="K86" s="713" t="str">
        <f t="shared" si="3"/>
        <v/>
      </c>
      <c r="L86" s="171">
        <v>6</v>
      </c>
      <c r="M86" s="177">
        <v>39448</v>
      </c>
      <c r="N86" s="242"/>
      <c r="O86" s="242"/>
      <c r="P86" s="3"/>
      <c r="Q86" s="214">
        <v>0.7</v>
      </c>
      <c r="R86" s="247">
        <v>1</v>
      </c>
      <c r="AA86" s="214">
        <v>5.3</v>
      </c>
      <c r="AB86" s="247">
        <v>1</v>
      </c>
      <c r="AG86" s="247">
        <f>Table2[[#This Row],[xFOSAs]]+Table2[[#This Row],[xFOSEs]]</f>
        <v>6</v>
      </c>
      <c r="AH86" s="247" t="s">
        <v>869</v>
      </c>
      <c r="AJ86" s="1" t="s">
        <v>1441</v>
      </c>
      <c r="AK86" s="1" t="s">
        <v>1442</v>
      </c>
    </row>
    <row r="87" spans="1:37" x14ac:dyDescent="0.25">
      <c r="A87" s="166" t="s">
        <v>478</v>
      </c>
      <c r="B87" s="166" t="s">
        <v>888</v>
      </c>
      <c r="C87" s="166" t="s">
        <v>552</v>
      </c>
      <c r="D87" s="170" t="s">
        <v>631</v>
      </c>
      <c r="E87" s="174" t="s">
        <v>1294</v>
      </c>
      <c r="F87" s="174">
        <v>-4.9324999999999992</v>
      </c>
      <c r="G87" s="174">
        <v>-13.227499999999999</v>
      </c>
      <c r="H87" s="174" t="s">
        <v>1201</v>
      </c>
      <c r="I87" s="174" t="s">
        <v>1469</v>
      </c>
      <c r="J87" s="713" t="str">
        <f t="shared" si="2"/>
        <v/>
      </c>
      <c r="K87" s="713" t="str">
        <f t="shared" si="3"/>
        <v/>
      </c>
      <c r="L87" s="171">
        <v>6</v>
      </c>
      <c r="M87" s="177">
        <v>39448</v>
      </c>
      <c r="N87" s="242"/>
      <c r="O87" s="242"/>
      <c r="P87" s="3"/>
      <c r="Q87" s="214">
        <v>1.5</v>
      </c>
      <c r="R87" s="247">
        <v>1</v>
      </c>
      <c r="AA87" s="214">
        <v>3.8</v>
      </c>
      <c r="AB87" s="247">
        <v>1</v>
      </c>
      <c r="AG87" s="247">
        <f>Table2[[#This Row],[xFOSAs]]+Table2[[#This Row],[xFOSEs]]</f>
        <v>5.3</v>
      </c>
      <c r="AH87" s="247" t="s">
        <v>869</v>
      </c>
      <c r="AJ87" s="1" t="s">
        <v>1441</v>
      </c>
      <c r="AK87" s="1" t="s">
        <v>1442</v>
      </c>
    </row>
    <row r="88" spans="1:37" x14ac:dyDescent="0.25">
      <c r="A88" s="166" t="s">
        <v>478</v>
      </c>
      <c r="B88" s="166" t="s">
        <v>888</v>
      </c>
      <c r="C88" s="166" t="s">
        <v>553</v>
      </c>
      <c r="D88" s="170" t="s">
        <v>632</v>
      </c>
      <c r="E88" s="174" t="s">
        <v>1295</v>
      </c>
      <c r="F88" s="174">
        <v>-4.9964999999999993</v>
      </c>
      <c r="G88" s="174">
        <v>-12.033000000000001</v>
      </c>
      <c r="H88" s="174" t="s">
        <v>1201</v>
      </c>
      <c r="I88" s="174" t="s">
        <v>1469</v>
      </c>
      <c r="J88" s="713" t="str">
        <f t="shared" si="2"/>
        <v/>
      </c>
      <c r="K88" s="713" t="str">
        <f t="shared" si="3"/>
        <v/>
      </c>
      <c r="L88" s="171">
        <v>6</v>
      </c>
      <c r="M88" s="177">
        <v>39448</v>
      </c>
      <c r="N88" s="242"/>
      <c r="O88" s="242"/>
      <c r="P88" s="3"/>
      <c r="Q88" s="214">
        <v>2.1</v>
      </c>
      <c r="R88" s="247">
        <v>1</v>
      </c>
      <c r="AA88" s="214">
        <v>8.1</v>
      </c>
      <c r="AB88" s="247">
        <v>1</v>
      </c>
      <c r="AG88" s="247">
        <f>Table2[[#This Row],[xFOSAs]]+Table2[[#This Row],[xFOSEs]]</f>
        <v>10.199999999999999</v>
      </c>
      <c r="AH88" s="247" t="s">
        <v>869</v>
      </c>
      <c r="AJ88" s="1" t="s">
        <v>1441</v>
      </c>
      <c r="AK88" s="1" t="s">
        <v>1442</v>
      </c>
    </row>
    <row r="89" spans="1:37" x14ac:dyDescent="0.25">
      <c r="A89" s="166" t="s">
        <v>478</v>
      </c>
      <c r="B89" s="166" t="s">
        <v>888</v>
      </c>
      <c r="C89" s="166" t="s">
        <v>554</v>
      </c>
      <c r="D89" s="170" t="s">
        <v>633</v>
      </c>
      <c r="E89" s="174" t="s">
        <v>1296</v>
      </c>
      <c r="F89" s="174">
        <v>-5.1400000000000006</v>
      </c>
      <c r="G89" s="174">
        <v>-11.6815</v>
      </c>
      <c r="H89" s="174" t="s">
        <v>1201</v>
      </c>
      <c r="I89" s="174" t="s">
        <v>1469</v>
      </c>
      <c r="J89" s="713" t="str">
        <f t="shared" si="2"/>
        <v/>
      </c>
      <c r="K89" s="713" t="str">
        <f t="shared" si="3"/>
        <v/>
      </c>
      <c r="L89" s="171">
        <v>6</v>
      </c>
      <c r="M89" s="177">
        <v>39448</v>
      </c>
      <c r="N89" s="242"/>
      <c r="O89" s="242"/>
      <c r="P89" s="3"/>
      <c r="Q89" s="214">
        <v>0.3</v>
      </c>
      <c r="R89" s="247">
        <v>1</v>
      </c>
      <c r="AA89" s="214">
        <v>0</v>
      </c>
      <c r="AB89" s="247" t="s">
        <v>446</v>
      </c>
      <c r="AG89" s="247">
        <f>Table2[[#This Row],[xFOSAs]]+Table2[[#This Row],[xFOSEs]]</f>
        <v>0.3</v>
      </c>
      <c r="AH89" s="247" t="s">
        <v>869</v>
      </c>
      <c r="AJ89" s="1" t="s">
        <v>1441</v>
      </c>
      <c r="AK89" s="1" t="s">
        <v>1442</v>
      </c>
    </row>
    <row r="90" spans="1:37" x14ac:dyDescent="0.25">
      <c r="A90" s="166" t="s">
        <v>478</v>
      </c>
      <c r="B90" s="166" t="s">
        <v>888</v>
      </c>
      <c r="C90" s="166" t="s">
        <v>555</v>
      </c>
      <c r="D90" s="170" t="s">
        <v>634</v>
      </c>
      <c r="E90" s="174" t="s">
        <v>1297</v>
      </c>
      <c r="F90" s="174">
        <v>-4.9535</v>
      </c>
      <c r="G90" s="174">
        <v>-12.021999999999998</v>
      </c>
      <c r="H90" s="174" t="s">
        <v>1201</v>
      </c>
      <c r="I90" s="174" t="s">
        <v>1469</v>
      </c>
      <c r="J90" s="713" t="str">
        <f t="shared" si="2"/>
        <v/>
      </c>
      <c r="K90" s="713" t="str">
        <f t="shared" si="3"/>
        <v/>
      </c>
      <c r="L90" s="171">
        <v>6</v>
      </c>
      <c r="M90" s="177">
        <v>39448</v>
      </c>
      <c r="N90" s="242"/>
      <c r="O90" s="242"/>
      <c r="P90" s="3"/>
      <c r="Q90" s="214">
        <v>1.8</v>
      </c>
      <c r="R90" s="247">
        <v>1</v>
      </c>
      <c r="AA90" s="214">
        <v>6</v>
      </c>
      <c r="AB90" s="247">
        <v>1</v>
      </c>
      <c r="AG90" s="247">
        <f>Table2[[#This Row],[xFOSAs]]+Table2[[#This Row],[xFOSEs]]</f>
        <v>7.8</v>
      </c>
      <c r="AH90" s="247" t="s">
        <v>869</v>
      </c>
      <c r="AJ90" s="1" t="s">
        <v>1441</v>
      </c>
      <c r="AK90" s="1" t="s">
        <v>1442</v>
      </c>
    </row>
    <row r="91" spans="1:37" x14ac:dyDescent="0.25">
      <c r="A91" s="166" t="s">
        <v>478</v>
      </c>
      <c r="B91" s="166" t="s">
        <v>888</v>
      </c>
      <c r="C91" s="166" t="s">
        <v>535</v>
      </c>
      <c r="D91" s="170" t="s">
        <v>659</v>
      </c>
      <c r="E91" s="174" t="s">
        <v>1298</v>
      </c>
      <c r="F91" s="174">
        <v>44.400999999999996</v>
      </c>
      <c r="G91" s="174">
        <v>-33.435499999999998</v>
      </c>
      <c r="H91" s="174" t="s">
        <v>1201</v>
      </c>
      <c r="I91" s="174" t="s">
        <v>1469</v>
      </c>
      <c r="J91" s="713" t="str">
        <f t="shared" si="2"/>
        <v/>
      </c>
      <c r="K91" s="713" t="str">
        <f t="shared" si="3"/>
        <v/>
      </c>
      <c r="L91" s="171">
        <v>3</v>
      </c>
      <c r="M91" s="177">
        <v>39173</v>
      </c>
      <c r="N91" s="242"/>
      <c r="O91" s="242"/>
      <c r="P91" s="3">
        <v>1.1000000000000001</v>
      </c>
      <c r="Q91" s="214">
        <v>3.7</v>
      </c>
      <c r="R91" s="247">
        <v>1</v>
      </c>
      <c r="AA91" s="214">
        <v>1.1000000000000001</v>
      </c>
      <c r="AB91" s="247" t="s">
        <v>446</v>
      </c>
      <c r="AG91" s="247">
        <f>Table2[[#This Row],[xFOSAs]]+Table2[[#This Row],[xFOSEs]]</f>
        <v>4.8000000000000007</v>
      </c>
      <c r="AH91" s="247" t="s">
        <v>869</v>
      </c>
      <c r="AJ91" s="1" t="s">
        <v>1441</v>
      </c>
      <c r="AK91" s="1" t="s">
        <v>1442</v>
      </c>
    </row>
    <row r="92" spans="1:37" x14ac:dyDescent="0.25">
      <c r="A92" s="166" t="s">
        <v>478</v>
      </c>
      <c r="B92" s="166" t="s">
        <v>888</v>
      </c>
      <c r="C92" s="166" t="s">
        <v>536</v>
      </c>
      <c r="D92" s="170" t="s">
        <v>619</v>
      </c>
      <c r="E92" s="174" t="s">
        <v>1299</v>
      </c>
      <c r="F92" s="174">
        <v>46.2425</v>
      </c>
      <c r="G92" s="174">
        <v>-32.795499999999997</v>
      </c>
      <c r="H92" s="174" t="s">
        <v>1201</v>
      </c>
      <c r="I92" s="174" t="s">
        <v>1469</v>
      </c>
      <c r="J92" s="713" t="str">
        <f t="shared" si="2"/>
        <v/>
      </c>
      <c r="K92" s="713" t="str">
        <f t="shared" si="3"/>
        <v/>
      </c>
      <c r="L92" s="171">
        <v>3</v>
      </c>
      <c r="M92" s="177">
        <v>39173</v>
      </c>
      <c r="N92" s="242"/>
      <c r="O92" s="242"/>
      <c r="P92" s="3"/>
      <c r="Q92" s="214">
        <v>0.5</v>
      </c>
      <c r="R92" s="247">
        <v>1</v>
      </c>
      <c r="AA92" s="214">
        <v>1.9</v>
      </c>
      <c r="AB92" s="247">
        <v>1</v>
      </c>
      <c r="AG92" s="247">
        <f>Table2[[#This Row],[xFOSAs]]+Table2[[#This Row],[xFOSEs]]</f>
        <v>2.4</v>
      </c>
      <c r="AH92" s="247" t="s">
        <v>869</v>
      </c>
      <c r="AJ92" s="1" t="s">
        <v>1441</v>
      </c>
      <c r="AK92" s="1" t="s">
        <v>1442</v>
      </c>
    </row>
    <row r="93" spans="1:37" x14ac:dyDescent="0.25">
      <c r="A93" s="166" t="s">
        <v>478</v>
      </c>
      <c r="B93" s="166" t="s">
        <v>888</v>
      </c>
      <c r="C93" s="166" t="s">
        <v>537</v>
      </c>
      <c r="D93" s="170" t="s">
        <v>620</v>
      </c>
      <c r="E93" s="174" t="s">
        <v>1300</v>
      </c>
      <c r="F93" s="174">
        <v>44.604500000000002</v>
      </c>
      <c r="G93" s="174">
        <v>-35.903499999999994</v>
      </c>
      <c r="H93" s="174" t="s">
        <v>1201</v>
      </c>
      <c r="I93" s="174" t="s">
        <v>1469</v>
      </c>
      <c r="J93" s="713" t="str">
        <f t="shared" si="2"/>
        <v/>
      </c>
      <c r="K93" s="713" t="str">
        <f t="shared" si="3"/>
        <v/>
      </c>
      <c r="L93" s="171">
        <v>3</v>
      </c>
      <c r="M93" s="177">
        <v>39173</v>
      </c>
      <c r="N93" s="242"/>
      <c r="O93" s="242"/>
      <c r="P93" s="3">
        <v>2.6</v>
      </c>
      <c r="Q93" s="214">
        <v>2.8</v>
      </c>
      <c r="R93" s="247">
        <v>1</v>
      </c>
      <c r="AA93" s="214">
        <v>3.3</v>
      </c>
      <c r="AB93" s="247">
        <v>1</v>
      </c>
      <c r="AG93" s="247">
        <f>Table2[[#This Row],[xFOSAs]]+Table2[[#This Row],[xFOSEs]]</f>
        <v>6.1</v>
      </c>
      <c r="AH93" s="247" t="s">
        <v>869</v>
      </c>
      <c r="AJ93" s="1" t="s">
        <v>1441</v>
      </c>
      <c r="AK93" s="1" t="s">
        <v>1442</v>
      </c>
    </row>
    <row r="94" spans="1:37" x14ac:dyDescent="0.25">
      <c r="A94" s="166" t="s">
        <v>478</v>
      </c>
      <c r="B94" s="166" t="s">
        <v>888</v>
      </c>
      <c r="C94" s="166" t="s">
        <v>538</v>
      </c>
      <c r="D94" s="170" t="s">
        <v>621</v>
      </c>
      <c r="E94" s="174" t="s">
        <v>1301</v>
      </c>
      <c r="F94" s="174">
        <v>43.200499999999998</v>
      </c>
      <c r="G94" s="174">
        <v>-40.913499999999999</v>
      </c>
      <c r="H94" s="174" t="s">
        <v>1201</v>
      </c>
      <c r="I94" s="174" t="s">
        <v>1469</v>
      </c>
      <c r="J94" s="713" t="str">
        <f t="shared" si="2"/>
        <v/>
      </c>
      <c r="K94" s="713" t="str">
        <f t="shared" si="3"/>
        <v/>
      </c>
      <c r="L94" s="171">
        <v>3</v>
      </c>
      <c r="M94" s="177">
        <v>39173</v>
      </c>
      <c r="N94" s="242"/>
      <c r="O94" s="242"/>
      <c r="P94" s="3"/>
      <c r="Q94" s="214">
        <v>0.4</v>
      </c>
      <c r="R94" s="247" t="s">
        <v>446</v>
      </c>
      <c r="AA94" s="214">
        <v>1.4</v>
      </c>
      <c r="AB94" s="247">
        <v>1</v>
      </c>
      <c r="AG94" s="247">
        <f>Table2[[#This Row],[xFOSAs]]+Table2[[#This Row],[xFOSEs]]</f>
        <v>1.7999999999999998</v>
      </c>
      <c r="AH94" s="247" t="s">
        <v>869</v>
      </c>
      <c r="AJ94" s="1" t="s">
        <v>1441</v>
      </c>
      <c r="AK94" s="1" t="s">
        <v>1442</v>
      </c>
    </row>
    <row r="95" spans="1:37" x14ac:dyDescent="0.25">
      <c r="A95" s="166" t="s">
        <v>478</v>
      </c>
      <c r="B95" s="166" t="s">
        <v>888</v>
      </c>
      <c r="C95" s="166" t="s">
        <v>539</v>
      </c>
      <c r="D95" s="170" t="s">
        <v>660</v>
      </c>
      <c r="E95" s="174" t="s">
        <v>1302</v>
      </c>
      <c r="F95" s="174">
        <v>43.3735</v>
      </c>
      <c r="G95" s="174">
        <v>-42.525499999999994</v>
      </c>
      <c r="H95" s="174" t="s">
        <v>1201</v>
      </c>
      <c r="I95" s="174" t="s">
        <v>1469</v>
      </c>
      <c r="J95" s="713" t="str">
        <f t="shared" si="2"/>
        <v/>
      </c>
      <c r="K95" s="713" t="str">
        <f t="shared" si="3"/>
        <v/>
      </c>
      <c r="L95" s="171">
        <v>3</v>
      </c>
      <c r="M95" s="177">
        <v>39173</v>
      </c>
      <c r="N95" s="242"/>
      <c r="O95" s="242"/>
      <c r="P95" s="3">
        <v>0.2</v>
      </c>
      <c r="Q95" s="214">
        <v>0.8</v>
      </c>
      <c r="R95" s="247">
        <v>1</v>
      </c>
      <c r="AA95" s="214">
        <v>1.1000000000000001</v>
      </c>
      <c r="AB95" s="247">
        <v>1</v>
      </c>
      <c r="AG95" s="247">
        <f>Table2[[#This Row],[xFOSAs]]+Table2[[#This Row],[xFOSEs]]</f>
        <v>1.9000000000000001</v>
      </c>
      <c r="AH95" s="247" t="s">
        <v>869</v>
      </c>
      <c r="AJ95" s="1" t="s">
        <v>1441</v>
      </c>
      <c r="AK95" s="1" t="s">
        <v>1442</v>
      </c>
    </row>
    <row r="96" spans="1:37" x14ac:dyDescent="0.25">
      <c r="A96" s="166" t="s">
        <v>478</v>
      </c>
      <c r="B96" s="166" t="s">
        <v>888</v>
      </c>
      <c r="C96" s="166" t="s">
        <v>540</v>
      </c>
      <c r="D96" s="170" t="s">
        <v>622</v>
      </c>
      <c r="E96" s="174" t="s">
        <v>1303</v>
      </c>
      <c r="F96" s="174">
        <v>42.481999999999999</v>
      </c>
      <c r="G96" s="174">
        <v>-45.715000000000003</v>
      </c>
      <c r="H96" s="174" t="s">
        <v>1201</v>
      </c>
      <c r="I96" s="174" t="s">
        <v>1469</v>
      </c>
      <c r="J96" s="713" t="str">
        <f t="shared" si="2"/>
        <v/>
      </c>
      <c r="K96" s="713" t="str">
        <f t="shared" si="3"/>
        <v/>
      </c>
      <c r="L96" s="171">
        <v>3</v>
      </c>
      <c r="M96" s="177">
        <v>39173</v>
      </c>
      <c r="N96" s="242"/>
      <c r="O96" s="242"/>
      <c r="P96" s="3"/>
      <c r="Q96" s="214">
        <v>0.6</v>
      </c>
      <c r="R96" s="247">
        <v>1</v>
      </c>
      <c r="AA96" s="214">
        <v>0.7</v>
      </c>
      <c r="AB96" s="247">
        <v>1</v>
      </c>
      <c r="AG96" s="247">
        <f>Table2[[#This Row],[xFOSAs]]+Table2[[#This Row],[xFOSEs]]</f>
        <v>1.2999999999999998</v>
      </c>
      <c r="AH96" s="247" t="s">
        <v>869</v>
      </c>
      <c r="AJ96" s="1" t="s">
        <v>1441</v>
      </c>
      <c r="AK96" s="1" t="s">
        <v>1442</v>
      </c>
    </row>
    <row r="97" spans="1:37" x14ac:dyDescent="0.25">
      <c r="A97" s="166" t="s">
        <v>478</v>
      </c>
      <c r="B97" s="166" t="s">
        <v>888</v>
      </c>
      <c r="C97" s="166" t="s">
        <v>541</v>
      </c>
      <c r="D97" s="170" t="s">
        <v>623</v>
      </c>
      <c r="E97" s="174" t="s">
        <v>1304</v>
      </c>
      <c r="F97" s="174">
        <v>42.998000000000005</v>
      </c>
      <c r="G97" s="174">
        <v>-48.42</v>
      </c>
      <c r="H97" s="174" t="s">
        <v>1201</v>
      </c>
      <c r="I97" s="174" t="s">
        <v>1469</v>
      </c>
      <c r="J97" s="713" t="str">
        <f t="shared" si="2"/>
        <v/>
      </c>
      <c r="K97" s="713" t="str">
        <f t="shared" si="3"/>
        <v/>
      </c>
      <c r="L97" s="171">
        <v>3</v>
      </c>
      <c r="M97" s="177">
        <v>39173</v>
      </c>
      <c r="N97" s="242"/>
      <c r="O97" s="242"/>
      <c r="P97" s="3">
        <v>0.5</v>
      </c>
      <c r="Q97" s="214">
        <v>0.5</v>
      </c>
      <c r="R97" s="247">
        <v>1</v>
      </c>
      <c r="AA97" s="214">
        <v>0.8</v>
      </c>
      <c r="AB97" s="247">
        <v>1</v>
      </c>
      <c r="AG97" s="247">
        <f>Table2[[#This Row],[xFOSAs]]+Table2[[#This Row],[xFOSEs]]</f>
        <v>1.3</v>
      </c>
      <c r="AH97" s="247" t="s">
        <v>869</v>
      </c>
      <c r="AJ97" s="1" t="s">
        <v>1441</v>
      </c>
      <c r="AK97" s="1" t="s">
        <v>1442</v>
      </c>
    </row>
    <row r="98" spans="1:37" x14ac:dyDescent="0.25">
      <c r="A98" s="166" t="s">
        <v>478</v>
      </c>
      <c r="B98" s="166" t="s">
        <v>888</v>
      </c>
      <c r="C98" s="166" t="s">
        <v>542</v>
      </c>
      <c r="D98" s="170" t="s">
        <v>661</v>
      </c>
      <c r="E98" s="214" t="s">
        <v>1305</v>
      </c>
      <c r="F98" s="174">
        <v>44.923500000000004</v>
      </c>
      <c r="G98" s="174">
        <v>-46.891500000000001</v>
      </c>
      <c r="H98" s="174" t="s">
        <v>1201</v>
      </c>
      <c r="I98" s="174" t="s">
        <v>1469</v>
      </c>
      <c r="J98" s="713" t="str">
        <f t="shared" si="2"/>
        <v/>
      </c>
      <c r="K98" s="713" t="str">
        <f t="shared" si="3"/>
        <v/>
      </c>
      <c r="L98" s="171">
        <v>3</v>
      </c>
      <c r="M98" s="177">
        <v>39173</v>
      </c>
      <c r="N98" s="242"/>
      <c r="O98" s="242"/>
      <c r="P98" s="3"/>
      <c r="Q98" s="214">
        <v>1.3</v>
      </c>
      <c r="R98" s="247">
        <v>1</v>
      </c>
      <c r="AA98" s="214">
        <v>0.7</v>
      </c>
      <c r="AB98" s="247">
        <v>1</v>
      </c>
      <c r="AG98" s="247">
        <f>Table2[[#This Row],[xFOSAs]]+Table2[[#This Row],[xFOSEs]]</f>
        <v>2</v>
      </c>
      <c r="AH98" s="247" t="s">
        <v>869</v>
      </c>
      <c r="AJ98" s="1" t="s">
        <v>1441</v>
      </c>
      <c r="AK98" s="1" t="s">
        <v>1442</v>
      </c>
    </row>
    <row r="99" spans="1:37" x14ac:dyDescent="0.25">
      <c r="A99" s="166" t="s">
        <v>478</v>
      </c>
      <c r="B99" s="166" t="s">
        <v>888</v>
      </c>
      <c r="C99" s="166" t="s">
        <v>543</v>
      </c>
      <c r="D99" s="170" t="s">
        <v>624</v>
      </c>
      <c r="E99" s="174" t="s">
        <v>1306</v>
      </c>
      <c r="F99" s="174">
        <v>45.266500000000001</v>
      </c>
      <c r="G99" s="174">
        <v>-47.984499999999997</v>
      </c>
      <c r="H99" s="174" t="s">
        <v>1201</v>
      </c>
      <c r="I99" s="174" t="s">
        <v>1469</v>
      </c>
      <c r="J99" s="713" t="str">
        <f t="shared" si="2"/>
        <v/>
      </c>
      <c r="K99" s="713" t="str">
        <f t="shared" si="3"/>
        <v/>
      </c>
      <c r="L99" s="171">
        <v>3</v>
      </c>
      <c r="M99" s="177">
        <v>39173</v>
      </c>
      <c r="N99" s="242"/>
      <c r="O99" s="242"/>
      <c r="P99" s="3">
        <v>4.4000000000000004</v>
      </c>
      <c r="Q99" s="214">
        <v>9.6999999999999993</v>
      </c>
      <c r="R99" s="247">
        <v>1</v>
      </c>
      <c r="AA99" s="214">
        <v>6.9</v>
      </c>
      <c r="AB99" s="247">
        <v>1</v>
      </c>
      <c r="AG99" s="247">
        <f>Table2[[#This Row],[xFOSAs]]+Table2[[#This Row],[xFOSEs]]</f>
        <v>16.600000000000001</v>
      </c>
      <c r="AH99" s="247" t="s">
        <v>869</v>
      </c>
      <c r="AJ99" s="1" t="s">
        <v>1441</v>
      </c>
      <c r="AK99" s="1" t="s">
        <v>1442</v>
      </c>
    </row>
    <row r="100" spans="1:37" x14ac:dyDescent="0.25">
      <c r="A100" s="166" t="s">
        <v>478</v>
      </c>
      <c r="B100" s="166" t="s">
        <v>888</v>
      </c>
      <c r="C100" s="166" t="s">
        <v>544</v>
      </c>
      <c r="D100" s="170" t="s">
        <v>625</v>
      </c>
      <c r="E100" s="174" t="s">
        <v>1307</v>
      </c>
      <c r="F100" s="174">
        <v>47.058999999999997</v>
      </c>
      <c r="G100" s="174">
        <v>-44.823</v>
      </c>
      <c r="H100" s="174" t="s">
        <v>1201</v>
      </c>
      <c r="I100" s="174" t="s">
        <v>1469</v>
      </c>
      <c r="J100" s="713" t="str">
        <f t="shared" ref="J100:J163" si="4">IF(R100=0,"yes","")</f>
        <v/>
      </c>
      <c r="K100" s="713" t="str">
        <f t="shared" ref="K100:K163" si="5">IF(AB100=0,"yes","")</f>
        <v/>
      </c>
      <c r="L100" s="171">
        <v>3</v>
      </c>
      <c r="M100" s="177">
        <v>39173</v>
      </c>
      <c r="N100" s="242"/>
      <c r="O100" s="242"/>
      <c r="P100" s="3"/>
      <c r="Q100" s="214">
        <v>1.4</v>
      </c>
      <c r="R100" s="247">
        <v>1</v>
      </c>
      <c r="AA100" s="214">
        <v>0.8</v>
      </c>
      <c r="AB100" s="247" t="s">
        <v>446</v>
      </c>
      <c r="AG100" s="247">
        <f>Table2[[#This Row],[xFOSAs]]+Table2[[#This Row],[xFOSEs]]</f>
        <v>2.2000000000000002</v>
      </c>
      <c r="AH100" s="247" t="s">
        <v>869</v>
      </c>
      <c r="AJ100" s="1" t="s">
        <v>1441</v>
      </c>
      <c r="AK100" s="1" t="s">
        <v>1442</v>
      </c>
    </row>
    <row r="101" spans="1:37" x14ac:dyDescent="0.25">
      <c r="A101" s="166" t="s">
        <v>478</v>
      </c>
      <c r="B101" s="166" t="s">
        <v>888</v>
      </c>
      <c r="C101" s="166" t="s">
        <v>528</v>
      </c>
      <c r="D101" s="170" t="s">
        <v>656</v>
      </c>
      <c r="E101" s="174" t="s">
        <v>1308</v>
      </c>
      <c r="F101" s="174">
        <v>28.523</v>
      </c>
      <c r="G101" s="174">
        <v>-15.6745</v>
      </c>
      <c r="H101" s="174" t="s">
        <v>1201</v>
      </c>
      <c r="I101" s="174" t="s">
        <v>1469</v>
      </c>
      <c r="J101" s="338" t="s">
        <v>1458</v>
      </c>
      <c r="K101" s="338" t="s">
        <v>1458</v>
      </c>
      <c r="L101" s="171">
        <v>4</v>
      </c>
      <c r="M101" s="177">
        <v>39173</v>
      </c>
      <c r="N101" s="242"/>
      <c r="O101" s="242"/>
      <c r="P101" s="3"/>
      <c r="Q101" s="214">
        <v>15.5</v>
      </c>
      <c r="R101" s="247">
        <v>1</v>
      </c>
      <c r="AA101" s="214">
        <v>6.3</v>
      </c>
      <c r="AB101" s="247">
        <v>1</v>
      </c>
      <c r="AG101" s="247">
        <f>Table2[[#This Row],[xFOSAs]]+Table2[[#This Row],[xFOSEs]]</f>
        <v>21.8</v>
      </c>
      <c r="AH101" s="247" t="s">
        <v>869</v>
      </c>
      <c r="AJ101" s="1" t="s">
        <v>1441</v>
      </c>
      <c r="AK101" s="1" t="s">
        <v>1442</v>
      </c>
    </row>
    <row r="102" spans="1:37" x14ac:dyDescent="0.25">
      <c r="A102" s="166" t="s">
        <v>478</v>
      </c>
      <c r="B102" s="166" t="s">
        <v>888</v>
      </c>
      <c r="C102" s="166" t="s">
        <v>545</v>
      </c>
      <c r="D102" s="170" t="s">
        <v>662</v>
      </c>
      <c r="E102" s="174" t="s">
        <v>1309</v>
      </c>
      <c r="F102" s="174">
        <v>47.119500000000002</v>
      </c>
      <c r="G102" s="174">
        <v>-44.396500000000003</v>
      </c>
      <c r="H102" s="174" t="s">
        <v>1201</v>
      </c>
      <c r="I102" s="174" t="s">
        <v>1469</v>
      </c>
      <c r="J102" s="713" t="str">
        <f t="shared" si="4"/>
        <v/>
      </c>
      <c r="K102" s="713" t="str">
        <f t="shared" si="5"/>
        <v/>
      </c>
      <c r="L102" s="171">
        <v>3</v>
      </c>
      <c r="M102" s="177">
        <v>39173</v>
      </c>
      <c r="N102" s="242"/>
      <c r="O102" s="242"/>
      <c r="P102" s="3"/>
      <c r="Q102" s="214">
        <v>0.5</v>
      </c>
      <c r="R102" s="247">
        <v>1</v>
      </c>
      <c r="AA102" s="214">
        <v>1.8</v>
      </c>
      <c r="AB102" s="247">
        <v>1</v>
      </c>
      <c r="AG102" s="247">
        <f>Table2[[#This Row],[xFOSAs]]+Table2[[#This Row],[xFOSEs]]</f>
        <v>2.2999999999999998</v>
      </c>
      <c r="AH102" s="247" t="s">
        <v>869</v>
      </c>
      <c r="AJ102" s="1" t="s">
        <v>1441</v>
      </c>
      <c r="AK102" s="1" t="s">
        <v>1442</v>
      </c>
    </row>
    <row r="103" spans="1:37" x14ac:dyDescent="0.25">
      <c r="A103" s="166" t="s">
        <v>478</v>
      </c>
      <c r="B103" s="166" t="s">
        <v>888</v>
      </c>
      <c r="C103" s="166" t="s">
        <v>546</v>
      </c>
      <c r="D103" s="170" t="s">
        <v>626</v>
      </c>
      <c r="E103" s="174" t="s">
        <v>1310</v>
      </c>
      <c r="F103" s="174">
        <v>46.986499999999999</v>
      </c>
      <c r="G103" s="174">
        <v>-42.763500000000001</v>
      </c>
      <c r="H103" s="174" t="s">
        <v>1201</v>
      </c>
      <c r="I103" s="174" t="s">
        <v>1469</v>
      </c>
      <c r="J103" s="713" t="str">
        <f t="shared" si="4"/>
        <v/>
      </c>
      <c r="K103" s="713" t="str">
        <f t="shared" si="5"/>
        <v/>
      </c>
      <c r="L103" s="171">
        <v>3</v>
      </c>
      <c r="M103" s="177">
        <v>39173</v>
      </c>
      <c r="N103" s="242"/>
      <c r="O103" s="242"/>
      <c r="P103" s="3"/>
      <c r="Q103" s="214">
        <v>0.8</v>
      </c>
      <c r="R103" s="247">
        <v>1</v>
      </c>
      <c r="AA103" s="214">
        <v>2.8</v>
      </c>
      <c r="AB103" s="247">
        <v>1</v>
      </c>
      <c r="AG103" s="247">
        <f>Table2[[#This Row],[xFOSAs]]+Table2[[#This Row],[xFOSEs]]</f>
        <v>3.5999999999999996</v>
      </c>
      <c r="AH103" s="247" t="s">
        <v>869</v>
      </c>
      <c r="AJ103" s="1" t="s">
        <v>1441</v>
      </c>
      <c r="AK103" s="1" t="s">
        <v>1442</v>
      </c>
    </row>
    <row r="104" spans="1:37" x14ac:dyDescent="0.25">
      <c r="A104" s="166" t="s">
        <v>478</v>
      </c>
      <c r="B104" s="166" t="s">
        <v>888</v>
      </c>
      <c r="C104" s="166" t="s">
        <v>547</v>
      </c>
      <c r="D104" s="170" t="s">
        <v>627</v>
      </c>
      <c r="E104" s="174" t="s">
        <v>1311</v>
      </c>
      <c r="F104" s="174">
        <v>47.1935</v>
      </c>
      <c r="G104" s="174">
        <v>-45.252000000000002</v>
      </c>
      <c r="H104" s="174" t="s">
        <v>1201</v>
      </c>
      <c r="I104" s="174" t="s">
        <v>1469</v>
      </c>
      <c r="J104" s="713" t="str">
        <f t="shared" si="4"/>
        <v/>
      </c>
      <c r="K104" s="713" t="str">
        <f t="shared" si="5"/>
        <v/>
      </c>
      <c r="L104" s="171">
        <v>3</v>
      </c>
      <c r="M104" s="177">
        <v>39173</v>
      </c>
      <c r="N104" s="242"/>
      <c r="O104" s="242"/>
      <c r="P104" s="3"/>
      <c r="Q104" s="214">
        <v>6.4</v>
      </c>
      <c r="R104" s="247">
        <v>1</v>
      </c>
      <c r="AA104" s="214">
        <v>3.9</v>
      </c>
      <c r="AB104" s="247">
        <v>1</v>
      </c>
      <c r="AG104" s="247">
        <f>Table2[[#This Row],[xFOSAs]]+Table2[[#This Row],[xFOSEs]]</f>
        <v>10.3</v>
      </c>
      <c r="AH104" s="247" t="s">
        <v>869</v>
      </c>
      <c r="AJ104" s="1" t="s">
        <v>1441</v>
      </c>
      <c r="AK104" s="1" t="s">
        <v>1442</v>
      </c>
    </row>
    <row r="105" spans="1:37" x14ac:dyDescent="0.25">
      <c r="A105" s="166" t="s">
        <v>478</v>
      </c>
      <c r="B105" s="166" t="s">
        <v>888</v>
      </c>
      <c r="C105" s="166" t="s">
        <v>548</v>
      </c>
      <c r="D105" s="170" t="s">
        <v>663</v>
      </c>
      <c r="E105" s="174" t="s">
        <v>1312</v>
      </c>
      <c r="F105" s="174">
        <v>47.298000000000002</v>
      </c>
      <c r="G105" s="174">
        <v>-47.364500000000007</v>
      </c>
      <c r="H105" s="174" t="s">
        <v>1201</v>
      </c>
      <c r="I105" s="174" t="s">
        <v>1469</v>
      </c>
      <c r="J105" s="713" t="str">
        <f t="shared" si="4"/>
        <v/>
      </c>
      <c r="K105" s="713" t="str">
        <f t="shared" si="5"/>
        <v/>
      </c>
      <c r="L105" s="171">
        <v>3</v>
      </c>
      <c r="M105" s="177">
        <v>39173</v>
      </c>
      <c r="N105" s="242"/>
      <c r="O105" s="242"/>
      <c r="P105" s="3"/>
      <c r="Q105" s="214">
        <v>0.5</v>
      </c>
      <c r="R105" s="247">
        <v>1</v>
      </c>
      <c r="AA105" s="214">
        <v>1.1000000000000001</v>
      </c>
      <c r="AB105" s="247">
        <v>1</v>
      </c>
      <c r="AG105" s="247">
        <f>Table2[[#This Row],[xFOSAs]]+Table2[[#This Row],[xFOSEs]]</f>
        <v>1.6</v>
      </c>
      <c r="AH105" s="247" t="s">
        <v>869</v>
      </c>
      <c r="AJ105" s="1" t="s">
        <v>1441</v>
      </c>
      <c r="AK105" s="1" t="s">
        <v>1442</v>
      </c>
    </row>
    <row r="106" spans="1:37" x14ac:dyDescent="0.25">
      <c r="A106" s="166" t="s">
        <v>478</v>
      </c>
      <c r="B106" s="166" t="s">
        <v>888</v>
      </c>
      <c r="C106" s="166" t="s">
        <v>549</v>
      </c>
      <c r="D106" s="170" t="s">
        <v>628</v>
      </c>
      <c r="E106" s="174" t="s">
        <v>1313</v>
      </c>
      <c r="F106" s="174">
        <v>47.444500000000005</v>
      </c>
      <c r="G106" s="174">
        <v>-50.279499999999999</v>
      </c>
      <c r="H106" s="174" t="s">
        <v>1201</v>
      </c>
      <c r="I106" s="174" t="s">
        <v>1469</v>
      </c>
      <c r="J106" s="713" t="str">
        <f t="shared" si="4"/>
        <v/>
      </c>
      <c r="K106" s="713" t="str">
        <f t="shared" si="5"/>
        <v/>
      </c>
      <c r="L106" s="171">
        <v>3</v>
      </c>
      <c r="M106" s="177">
        <v>39203</v>
      </c>
      <c r="N106" s="242"/>
      <c r="O106" s="242"/>
      <c r="P106" s="3"/>
      <c r="Q106" s="214">
        <v>8.4</v>
      </c>
      <c r="R106" s="247">
        <v>1</v>
      </c>
      <c r="AA106" s="214">
        <v>10.8</v>
      </c>
      <c r="AB106" s="247">
        <v>1</v>
      </c>
      <c r="AG106" s="247">
        <f>Table2[[#This Row],[xFOSAs]]+Table2[[#This Row],[xFOSEs]]</f>
        <v>19.200000000000003</v>
      </c>
      <c r="AH106" s="247" t="s">
        <v>869</v>
      </c>
      <c r="AJ106" s="1" t="s">
        <v>1441</v>
      </c>
      <c r="AK106" s="1" t="s">
        <v>1442</v>
      </c>
    </row>
    <row r="107" spans="1:37" x14ac:dyDescent="0.25">
      <c r="A107" s="166" t="s">
        <v>478</v>
      </c>
      <c r="B107" s="166" t="s">
        <v>888</v>
      </c>
      <c r="C107" s="166" t="s">
        <v>529</v>
      </c>
      <c r="D107" s="170" t="s">
        <v>656</v>
      </c>
      <c r="E107" s="174" t="s">
        <v>1308</v>
      </c>
      <c r="F107" s="174">
        <v>28.523</v>
      </c>
      <c r="G107" s="174">
        <v>-15.6745</v>
      </c>
      <c r="H107" s="174" t="s">
        <v>1201</v>
      </c>
      <c r="I107" s="174" t="s">
        <v>1469</v>
      </c>
      <c r="J107" s="338" t="s">
        <v>1458</v>
      </c>
      <c r="K107" s="338" t="s">
        <v>1458</v>
      </c>
      <c r="L107" s="171">
        <v>4</v>
      </c>
      <c r="M107" s="177">
        <v>39173</v>
      </c>
      <c r="N107" s="242"/>
      <c r="O107" s="242"/>
      <c r="P107" s="3">
        <v>11</v>
      </c>
      <c r="Q107" s="214">
        <v>8.8000000000000007</v>
      </c>
      <c r="R107" s="247">
        <v>1</v>
      </c>
      <c r="AA107" s="214">
        <v>14.6</v>
      </c>
      <c r="AB107" s="247">
        <v>1</v>
      </c>
      <c r="AG107" s="247">
        <f>Table2[[#This Row],[xFOSAs]]+Table2[[#This Row],[xFOSEs]]</f>
        <v>23.4</v>
      </c>
      <c r="AH107" s="247" t="s">
        <v>869</v>
      </c>
      <c r="AJ107" s="1" t="s">
        <v>1441</v>
      </c>
      <c r="AK107" s="1" t="s">
        <v>1442</v>
      </c>
    </row>
    <row r="108" spans="1:37" x14ac:dyDescent="0.25">
      <c r="A108" s="166" t="s">
        <v>478</v>
      </c>
      <c r="B108" s="166" t="s">
        <v>888</v>
      </c>
      <c r="C108" s="166" t="s">
        <v>530</v>
      </c>
      <c r="D108" s="170" t="s">
        <v>616</v>
      </c>
      <c r="E108" s="174" t="s">
        <v>1314</v>
      </c>
      <c r="F108" s="174">
        <v>30.907</v>
      </c>
      <c r="G108" s="174">
        <v>-17.8735</v>
      </c>
      <c r="H108" s="174" t="s">
        <v>1201</v>
      </c>
      <c r="I108" s="174" t="s">
        <v>1469</v>
      </c>
      <c r="J108" s="338" t="s">
        <v>1458</v>
      </c>
      <c r="K108" s="338" t="s">
        <v>1458</v>
      </c>
      <c r="L108" s="171">
        <v>4</v>
      </c>
      <c r="M108" s="177">
        <v>39173</v>
      </c>
      <c r="N108" s="242"/>
      <c r="O108" s="242"/>
      <c r="P108" s="3"/>
      <c r="Q108" s="214">
        <v>2.8</v>
      </c>
      <c r="R108" s="247">
        <v>1</v>
      </c>
      <c r="AA108" s="214">
        <v>1.1000000000000001</v>
      </c>
      <c r="AB108" s="247">
        <v>1</v>
      </c>
      <c r="AG108" s="247">
        <f>Table2[[#This Row],[xFOSAs]]+Table2[[#This Row],[xFOSEs]]</f>
        <v>3.9</v>
      </c>
      <c r="AH108" s="247" t="s">
        <v>869</v>
      </c>
      <c r="AJ108" s="1" t="s">
        <v>1441</v>
      </c>
      <c r="AK108" s="1" t="s">
        <v>1442</v>
      </c>
    </row>
    <row r="109" spans="1:37" x14ac:dyDescent="0.25">
      <c r="A109" s="166" t="s">
        <v>478</v>
      </c>
      <c r="B109" s="166" t="s">
        <v>888</v>
      </c>
      <c r="C109" s="166" t="s">
        <v>531</v>
      </c>
      <c r="D109" s="170" t="s">
        <v>657</v>
      </c>
      <c r="E109" s="174" t="s">
        <v>1315</v>
      </c>
      <c r="F109" s="174">
        <v>30.919999999999998</v>
      </c>
      <c r="G109" s="174">
        <v>-17.885999999999999</v>
      </c>
      <c r="H109" s="174" t="s">
        <v>1201</v>
      </c>
      <c r="I109" s="174" t="s">
        <v>1469</v>
      </c>
      <c r="J109" s="338" t="s">
        <v>1458</v>
      </c>
      <c r="K109" s="338" t="s">
        <v>1458</v>
      </c>
      <c r="L109" s="171">
        <v>4</v>
      </c>
      <c r="M109" s="177">
        <v>39173</v>
      </c>
      <c r="N109" s="242"/>
      <c r="O109" s="242"/>
      <c r="P109" s="3">
        <v>0.4</v>
      </c>
      <c r="Q109" s="214">
        <v>1.5</v>
      </c>
      <c r="R109" s="247">
        <v>1</v>
      </c>
      <c r="AA109" s="214">
        <v>2</v>
      </c>
      <c r="AB109" s="247">
        <v>1</v>
      </c>
      <c r="AG109" s="247">
        <f>Table2[[#This Row],[xFOSAs]]+Table2[[#This Row],[xFOSEs]]</f>
        <v>3.5</v>
      </c>
      <c r="AH109" s="247" t="s">
        <v>869</v>
      </c>
      <c r="AJ109" s="1" t="s">
        <v>1441</v>
      </c>
      <c r="AK109" s="1" t="s">
        <v>1442</v>
      </c>
    </row>
    <row r="110" spans="1:37" x14ac:dyDescent="0.25">
      <c r="A110" s="166" t="s">
        <v>478</v>
      </c>
      <c r="B110" s="166" t="s">
        <v>888</v>
      </c>
      <c r="C110" s="166" t="s">
        <v>532</v>
      </c>
      <c r="D110" s="170" t="s">
        <v>617</v>
      </c>
      <c r="E110" s="174" t="s">
        <v>1316</v>
      </c>
      <c r="F110" s="174">
        <v>34.764499999999998</v>
      </c>
      <c r="G110" s="174">
        <v>-21.6585</v>
      </c>
      <c r="H110" s="174" t="s">
        <v>1201</v>
      </c>
      <c r="I110" s="174" t="s">
        <v>1469</v>
      </c>
      <c r="J110" s="713" t="str">
        <f t="shared" si="4"/>
        <v/>
      </c>
      <c r="K110" s="713" t="str">
        <f t="shared" si="5"/>
        <v/>
      </c>
      <c r="L110" s="171">
        <v>4</v>
      </c>
      <c r="M110" s="177">
        <v>39173</v>
      </c>
      <c r="N110" s="242"/>
      <c r="O110" s="242"/>
      <c r="P110" s="3">
        <v>7.4</v>
      </c>
      <c r="Q110" s="214">
        <v>13.7</v>
      </c>
      <c r="R110" s="247">
        <v>1</v>
      </c>
      <c r="AA110" s="214">
        <v>11.1</v>
      </c>
      <c r="AB110" s="247">
        <v>1</v>
      </c>
      <c r="AG110" s="247">
        <f>Table2[[#This Row],[xFOSAs]]+Table2[[#This Row],[xFOSEs]]</f>
        <v>24.799999999999997</v>
      </c>
      <c r="AH110" s="247" t="s">
        <v>869</v>
      </c>
      <c r="AJ110" s="1" t="s">
        <v>1441</v>
      </c>
      <c r="AK110" s="1" t="s">
        <v>1442</v>
      </c>
    </row>
    <row r="111" spans="1:37" x14ac:dyDescent="0.25">
      <c r="A111" s="166" t="s">
        <v>478</v>
      </c>
      <c r="B111" s="166" t="s">
        <v>888</v>
      </c>
      <c r="C111" s="166" t="s">
        <v>533</v>
      </c>
      <c r="D111" s="170" t="s">
        <v>658</v>
      </c>
      <c r="E111" s="174" t="s">
        <v>1317</v>
      </c>
      <c r="F111" s="174">
        <v>38.828000000000003</v>
      </c>
      <c r="G111" s="174">
        <v>-24.490499999999997</v>
      </c>
      <c r="H111" s="174" t="s">
        <v>1201</v>
      </c>
      <c r="I111" s="174" t="s">
        <v>1469</v>
      </c>
      <c r="J111" s="713" t="str">
        <f t="shared" si="4"/>
        <v/>
      </c>
      <c r="K111" s="713" t="str">
        <f t="shared" si="5"/>
        <v/>
      </c>
      <c r="L111" s="171">
        <v>3</v>
      </c>
      <c r="M111" s="177">
        <v>39173</v>
      </c>
      <c r="N111" s="242"/>
      <c r="O111" s="242"/>
      <c r="P111" s="3"/>
      <c r="Q111" s="214">
        <v>1.9</v>
      </c>
      <c r="R111" s="247">
        <v>1</v>
      </c>
      <c r="AA111" s="214">
        <v>2.4</v>
      </c>
      <c r="AB111" s="247">
        <v>1</v>
      </c>
      <c r="AG111" s="247">
        <f>Table2[[#This Row],[xFOSAs]]+Table2[[#This Row],[xFOSEs]]</f>
        <v>4.3</v>
      </c>
      <c r="AH111" s="247" t="s">
        <v>869</v>
      </c>
      <c r="AJ111" s="1" t="s">
        <v>1441</v>
      </c>
      <c r="AK111" s="1" t="s">
        <v>1442</v>
      </c>
    </row>
    <row r="112" spans="1:37" x14ac:dyDescent="0.25">
      <c r="A112" s="166" t="s">
        <v>478</v>
      </c>
      <c r="B112" s="166" t="s">
        <v>888</v>
      </c>
      <c r="C112" s="166" t="s">
        <v>534</v>
      </c>
      <c r="D112" s="170" t="s">
        <v>618</v>
      </c>
      <c r="E112" s="174" t="s">
        <v>1318</v>
      </c>
      <c r="F112" s="174">
        <v>46.039000000000001</v>
      </c>
      <c r="G112" s="174">
        <v>-30.327500000000001</v>
      </c>
      <c r="H112" s="174" t="s">
        <v>1201</v>
      </c>
      <c r="I112" s="174" t="s">
        <v>1469</v>
      </c>
      <c r="J112" s="713" t="str">
        <f t="shared" si="4"/>
        <v/>
      </c>
      <c r="K112" s="713" t="str">
        <f t="shared" si="5"/>
        <v/>
      </c>
      <c r="L112" s="171">
        <v>3</v>
      </c>
      <c r="M112" s="177">
        <v>39173</v>
      </c>
      <c r="N112" s="242"/>
      <c r="O112" s="242"/>
      <c r="P112" s="3"/>
      <c r="Q112" s="214">
        <f>0.8</f>
        <v>0.8</v>
      </c>
      <c r="R112" s="247">
        <v>1</v>
      </c>
      <c r="AA112" s="214">
        <v>1.4</v>
      </c>
      <c r="AB112" s="247">
        <v>1</v>
      </c>
      <c r="AG112" s="247">
        <f>Table2[[#This Row],[xFOSAs]]+Table2[[#This Row],[xFOSEs]]</f>
        <v>2.2000000000000002</v>
      </c>
      <c r="AH112" s="247" t="s">
        <v>869</v>
      </c>
      <c r="AJ112" s="1" t="s">
        <v>1441</v>
      </c>
      <c r="AK112" s="1" t="s">
        <v>1442</v>
      </c>
    </row>
    <row r="113" spans="1:37" x14ac:dyDescent="0.25">
      <c r="A113" s="166" t="s">
        <v>478</v>
      </c>
      <c r="B113" s="166" t="s">
        <v>888</v>
      </c>
      <c r="C113" s="211" t="s">
        <v>479</v>
      </c>
      <c r="D113" s="170" t="s">
        <v>573</v>
      </c>
      <c r="E113" s="174" t="s">
        <v>1319</v>
      </c>
      <c r="F113" s="174">
        <v>75.073499999999996</v>
      </c>
      <c r="G113" s="174">
        <v>10.215</v>
      </c>
      <c r="H113" s="174" t="s">
        <v>1203</v>
      </c>
      <c r="I113" s="174" t="s">
        <v>1469</v>
      </c>
      <c r="J113" s="713" t="str">
        <f t="shared" si="4"/>
        <v/>
      </c>
      <c r="K113" s="713" t="str">
        <f t="shared" si="5"/>
        <v/>
      </c>
      <c r="L113" s="171">
        <v>1</v>
      </c>
      <c r="M113" s="177">
        <v>39301</v>
      </c>
      <c r="N113" s="242"/>
      <c r="O113" s="242"/>
      <c r="P113" s="3"/>
      <c r="Q113" s="214">
        <f>0.4+0.2</f>
        <v>0.60000000000000009</v>
      </c>
      <c r="R113" s="247">
        <v>1</v>
      </c>
      <c r="AA113" s="214">
        <v>1</v>
      </c>
      <c r="AB113" s="247" t="s">
        <v>446</v>
      </c>
      <c r="AG113" s="247">
        <f>Table2[[#This Row],[xFOSAs]]+Table2[[#This Row],[xFOSEs]]</f>
        <v>1.6</v>
      </c>
      <c r="AH113" s="247" t="s">
        <v>869</v>
      </c>
      <c r="AJ113" s="1" t="s">
        <v>1441</v>
      </c>
      <c r="AK113" s="1" t="s">
        <v>1442</v>
      </c>
    </row>
    <row r="114" spans="1:37" x14ac:dyDescent="0.25">
      <c r="A114" s="166" t="s">
        <v>478</v>
      </c>
      <c r="B114" s="166" t="s">
        <v>888</v>
      </c>
      <c r="C114" s="166" t="s">
        <v>562</v>
      </c>
      <c r="D114" s="170" t="s">
        <v>640</v>
      </c>
      <c r="E114" s="174" t="s">
        <v>1320</v>
      </c>
      <c r="F114" s="174">
        <v>55.864000000000004</v>
      </c>
      <c r="G114" s="174">
        <v>10.788</v>
      </c>
      <c r="H114" s="174" t="s">
        <v>1200</v>
      </c>
      <c r="I114" s="174" t="s">
        <v>1469</v>
      </c>
      <c r="J114" s="338" t="s">
        <v>1458</v>
      </c>
      <c r="K114" s="338" t="s">
        <v>1458</v>
      </c>
      <c r="L114" s="171">
        <v>2</v>
      </c>
      <c r="M114" s="177">
        <v>39295</v>
      </c>
      <c r="N114" s="242"/>
      <c r="O114" s="242"/>
      <c r="P114" s="3">
        <v>2.2000000000000002</v>
      </c>
      <c r="Q114" s="214">
        <v>7.6</v>
      </c>
      <c r="R114" s="247">
        <v>1</v>
      </c>
      <c r="AA114" s="214">
        <v>3.6</v>
      </c>
      <c r="AB114" s="247">
        <v>1</v>
      </c>
      <c r="AG114" s="247">
        <f>Table2[[#This Row],[xFOSAs]]+Table2[[#This Row],[xFOSEs]]</f>
        <v>11.2</v>
      </c>
      <c r="AH114" s="247" t="s">
        <v>869</v>
      </c>
      <c r="AJ114" s="1" t="s">
        <v>1441</v>
      </c>
      <c r="AK114" s="1" t="s">
        <v>1442</v>
      </c>
    </row>
    <row r="115" spans="1:37" x14ac:dyDescent="0.25">
      <c r="A115" s="166" t="s">
        <v>478</v>
      </c>
      <c r="B115" s="166" t="s">
        <v>888</v>
      </c>
      <c r="C115" s="166" t="s">
        <v>480</v>
      </c>
      <c r="D115" s="170" t="s">
        <v>574</v>
      </c>
      <c r="E115" s="174" t="s">
        <v>1321</v>
      </c>
      <c r="F115" s="174">
        <v>66.236500000000007</v>
      </c>
      <c r="G115" s="174">
        <v>1.3325</v>
      </c>
      <c r="H115" s="174" t="s">
        <v>1203</v>
      </c>
      <c r="I115" s="174" t="s">
        <v>1469</v>
      </c>
      <c r="J115" s="713" t="str">
        <f t="shared" si="4"/>
        <v/>
      </c>
      <c r="K115" s="713" t="str">
        <f t="shared" si="5"/>
        <v/>
      </c>
      <c r="L115" s="171">
        <v>2</v>
      </c>
      <c r="M115" s="177">
        <v>39295</v>
      </c>
      <c r="N115" s="242"/>
      <c r="O115" s="242"/>
      <c r="P115" s="3"/>
      <c r="Q115" s="214">
        <v>0.7</v>
      </c>
      <c r="R115" s="247">
        <v>1</v>
      </c>
      <c r="AA115" s="214">
        <v>1.1000000000000001</v>
      </c>
      <c r="AB115" s="247">
        <v>1</v>
      </c>
      <c r="AG115" s="247">
        <f>Table2[[#This Row],[xFOSAs]]+Table2[[#This Row],[xFOSEs]]</f>
        <v>1.8</v>
      </c>
      <c r="AH115" s="247" t="s">
        <v>869</v>
      </c>
      <c r="AJ115" s="1" t="s">
        <v>1441</v>
      </c>
      <c r="AK115" s="1" t="s">
        <v>1442</v>
      </c>
    </row>
    <row r="116" spans="1:37" x14ac:dyDescent="0.25">
      <c r="A116" s="166" t="s">
        <v>478</v>
      </c>
      <c r="B116" s="166" t="s">
        <v>888</v>
      </c>
      <c r="C116" s="166" t="s">
        <v>560</v>
      </c>
      <c r="D116" s="170" t="s">
        <v>638</v>
      </c>
      <c r="E116" s="174" t="s">
        <v>1322</v>
      </c>
      <c r="F116" s="174">
        <v>64.432999999999993</v>
      </c>
      <c r="G116" s="174">
        <v>2.9790000000000001</v>
      </c>
      <c r="H116" s="174" t="s">
        <v>1203</v>
      </c>
      <c r="I116" s="174" t="s">
        <v>1469</v>
      </c>
      <c r="J116" s="713" t="str">
        <f t="shared" si="4"/>
        <v/>
      </c>
      <c r="K116" s="713" t="str">
        <f t="shared" si="5"/>
        <v/>
      </c>
      <c r="L116" s="171">
        <v>2</v>
      </c>
      <c r="M116" s="177">
        <v>39295</v>
      </c>
      <c r="N116" s="242"/>
      <c r="O116" s="242"/>
      <c r="P116" s="3">
        <v>1</v>
      </c>
      <c r="Q116" s="214">
        <v>5.0999999999999996</v>
      </c>
      <c r="R116" s="247">
        <v>1</v>
      </c>
      <c r="AA116" s="214">
        <v>4.5</v>
      </c>
      <c r="AB116" s="247">
        <v>1</v>
      </c>
      <c r="AG116" s="247">
        <f>Table2[[#This Row],[xFOSAs]]+Table2[[#This Row],[xFOSEs]]</f>
        <v>9.6</v>
      </c>
      <c r="AH116" s="247" t="s">
        <v>869</v>
      </c>
      <c r="AJ116" s="1" t="s">
        <v>1441</v>
      </c>
      <c r="AK116" s="1" t="s">
        <v>1442</v>
      </c>
    </row>
    <row r="117" spans="1:37" x14ac:dyDescent="0.25">
      <c r="A117" s="166" t="s">
        <v>478</v>
      </c>
      <c r="B117" s="166" t="s">
        <v>888</v>
      </c>
      <c r="C117" s="166" t="s">
        <v>481</v>
      </c>
      <c r="D117" s="170" t="s">
        <v>575</v>
      </c>
      <c r="E117" s="174" t="s">
        <v>1323</v>
      </c>
      <c r="F117" s="174">
        <v>62.619500000000002</v>
      </c>
      <c r="G117" s="174">
        <v>2.2115</v>
      </c>
      <c r="H117" s="174" t="s">
        <v>1203</v>
      </c>
      <c r="I117" s="174" t="s">
        <v>1469</v>
      </c>
      <c r="J117" s="713" t="str">
        <f t="shared" si="4"/>
        <v/>
      </c>
      <c r="K117" s="713" t="str">
        <f t="shared" si="5"/>
        <v/>
      </c>
      <c r="L117" s="171">
        <v>2</v>
      </c>
      <c r="M117" s="177">
        <v>39295</v>
      </c>
      <c r="N117" s="242"/>
      <c r="O117" s="242"/>
      <c r="P117" s="3"/>
      <c r="Q117" s="214">
        <v>1.2</v>
      </c>
      <c r="R117" s="247">
        <v>1</v>
      </c>
      <c r="AA117" s="214">
        <v>1.1000000000000001</v>
      </c>
      <c r="AB117" s="247">
        <v>1</v>
      </c>
      <c r="AG117" s="247">
        <f>Table2[[#This Row],[xFOSAs]]+Table2[[#This Row],[xFOSEs]]</f>
        <v>2.2999999999999998</v>
      </c>
      <c r="AH117" s="247" t="s">
        <v>869</v>
      </c>
      <c r="AJ117" s="1" t="s">
        <v>1441</v>
      </c>
      <c r="AK117" s="1" t="s">
        <v>1442</v>
      </c>
    </row>
    <row r="118" spans="1:37" x14ac:dyDescent="0.25">
      <c r="A118" s="166" t="s">
        <v>478</v>
      </c>
      <c r="B118" s="166" t="s">
        <v>888</v>
      </c>
      <c r="C118" s="166" t="s">
        <v>482</v>
      </c>
      <c r="D118" s="170" t="s">
        <v>576</v>
      </c>
      <c r="E118" s="174" t="s">
        <v>1324</v>
      </c>
      <c r="F118" s="174">
        <v>59.353000000000002</v>
      </c>
      <c r="G118" s="174">
        <v>5.5069999999999997</v>
      </c>
      <c r="H118" s="174" t="s">
        <v>1200</v>
      </c>
      <c r="I118" s="174" t="s">
        <v>1469</v>
      </c>
      <c r="J118" s="338" t="s">
        <v>1458</v>
      </c>
      <c r="K118" s="338" t="s">
        <v>1458</v>
      </c>
      <c r="L118" s="171">
        <v>2</v>
      </c>
      <c r="M118" s="177">
        <v>39295</v>
      </c>
      <c r="N118" s="242"/>
      <c r="O118" s="242"/>
      <c r="P118" s="3"/>
      <c r="Q118" s="214">
        <v>7.7</v>
      </c>
      <c r="R118" s="247" t="s">
        <v>446</v>
      </c>
      <c r="AA118" s="214">
        <v>3.2</v>
      </c>
      <c r="AB118" s="247">
        <v>1</v>
      </c>
      <c r="AG118" s="247">
        <f>Table2[[#This Row],[xFOSAs]]+Table2[[#This Row],[xFOSEs]]</f>
        <v>10.9</v>
      </c>
      <c r="AH118" s="247" t="s">
        <v>869</v>
      </c>
      <c r="AJ118" s="1" t="s">
        <v>1441</v>
      </c>
      <c r="AK118" s="1" t="s">
        <v>1442</v>
      </c>
    </row>
    <row r="119" spans="1:37" x14ac:dyDescent="0.25">
      <c r="A119" s="166" t="s">
        <v>478</v>
      </c>
      <c r="B119" s="166" t="s">
        <v>888</v>
      </c>
      <c r="C119" s="166" t="s">
        <v>561</v>
      </c>
      <c r="D119" s="170" t="s">
        <v>639</v>
      </c>
      <c r="E119" s="174" t="s">
        <v>1451</v>
      </c>
      <c r="F119" s="174">
        <v>58.076999999999998</v>
      </c>
      <c r="G119" s="174">
        <v>6.1683000000000003</v>
      </c>
      <c r="H119" s="174" t="s">
        <v>1200</v>
      </c>
      <c r="I119" s="174" t="s">
        <v>1469</v>
      </c>
      <c r="J119" s="338" t="s">
        <v>1458</v>
      </c>
      <c r="K119" s="338" t="s">
        <v>1458</v>
      </c>
      <c r="L119" s="171">
        <v>2</v>
      </c>
      <c r="M119" s="177">
        <v>39295</v>
      </c>
      <c r="N119" s="242"/>
      <c r="O119" s="242"/>
      <c r="P119" s="3"/>
      <c r="Q119" s="214">
        <v>6.4</v>
      </c>
      <c r="R119" s="247">
        <v>1</v>
      </c>
      <c r="AA119" s="214">
        <v>2</v>
      </c>
      <c r="AB119" s="247">
        <v>1</v>
      </c>
      <c r="AG119" s="247">
        <f>Table2[[#This Row],[xFOSAs]]+Table2[[#This Row],[xFOSEs]]</f>
        <v>8.4</v>
      </c>
      <c r="AH119" s="247" t="s">
        <v>869</v>
      </c>
      <c r="AJ119" s="1" t="s">
        <v>1441</v>
      </c>
      <c r="AK119" s="1" t="s">
        <v>1442</v>
      </c>
    </row>
    <row r="120" spans="1:37" x14ac:dyDescent="0.25">
      <c r="A120" s="166" t="s">
        <v>478</v>
      </c>
      <c r="B120" s="166" t="s">
        <v>888</v>
      </c>
      <c r="C120" s="166" t="s">
        <v>563</v>
      </c>
      <c r="D120" s="170" t="s">
        <v>646</v>
      </c>
      <c r="E120" s="174" t="s">
        <v>1325</v>
      </c>
      <c r="F120" s="174">
        <v>55.942</v>
      </c>
      <c r="G120" s="174">
        <v>12.842000000000001</v>
      </c>
      <c r="H120" s="174" t="s">
        <v>1205</v>
      </c>
      <c r="I120" s="174" t="s">
        <v>1469</v>
      </c>
      <c r="J120" s="338" t="s">
        <v>1458</v>
      </c>
      <c r="K120" s="338" t="s">
        <v>1458</v>
      </c>
      <c r="L120" s="171">
        <v>2</v>
      </c>
      <c r="M120" s="177">
        <v>39600</v>
      </c>
      <c r="N120" s="242"/>
      <c r="O120" s="242"/>
      <c r="P120" s="3"/>
      <c r="Q120" s="214">
        <v>5.4</v>
      </c>
      <c r="R120" s="247">
        <v>1</v>
      </c>
      <c r="AA120" s="214">
        <v>2.1</v>
      </c>
      <c r="AB120" s="247">
        <v>1</v>
      </c>
      <c r="AG120" s="247">
        <f>Table2[[#This Row],[xFOSAs]]+Table2[[#This Row],[xFOSEs]]</f>
        <v>7.5</v>
      </c>
      <c r="AH120" s="247" t="s">
        <v>869</v>
      </c>
      <c r="AJ120" s="1" t="s">
        <v>1441</v>
      </c>
      <c r="AK120" s="1" t="s">
        <v>1442</v>
      </c>
    </row>
    <row r="121" spans="1:37" x14ac:dyDescent="0.25">
      <c r="A121" s="166" t="s">
        <v>478</v>
      </c>
      <c r="B121" s="166" t="s">
        <v>888</v>
      </c>
      <c r="C121" s="166" t="s">
        <v>572</v>
      </c>
      <c r="D121" s="170" t="s">
        <v>655</v>
      </c>
      <c r="E121" s="174" t="s">
        <v>1326</v>
      </c>
      <c r="F121" s="174">
        <v>57.2545</v>
      </c>
      <c r="G121" s="174">
        <v>11.250500000000001</v>
      </c>
      <c r="H121" s="174" t="s">
        <v>1205</v>
      </c>
      <c r="I121" s="174" t="s">
        <v>1469</v>
      </c>
      <c r="J121" s="338" t="s">
        <v>1458</v>
      </c>
      <c r="K121" s="338" t="s">
        <v>1458</v>
      </c>
      <c r="L121" s="171">
        <v>2</v>
      </c>
      <c r="M121" s="177">
        <v>39630</v>
      </c>
      <c r="N121" s="242"/>
      <c r="O121" s="242"/>
      <c r="P121" s="3"/>
      <c r="Q121" s="214">
        <v>0.7</v>
      </c>
      <c r="R121" s="247">
        <v>1</v>
      </c>
      <c r="AA121" s="214">
        <v>1</v>
      </c>
      <c r="AB121" s="247" t="s">
        <v>446</v>
      </c>
      <c r="AG121" s="247">
        <f>Table2[[#This Row],[xFOSAs]]+Table2[[#This Row],[xFOSEs]]</f>
        <v>1.7</v>
      </c>
      <c r="AH121" s="247" t="s">
        <v>869</v>
      </c>
      <c r="AJ121" s="1" t="s">
        <v>1441</v>
      </c>
      <c r="AK121" s="1" t="s">
        <v>1442</v>
      </c>
    </row>
    <row r="122" spans="1:37" x14ac:dyDescent="0.25">
      <c r="A122" s="166" t="s">
        <v>478</v>
      </c>
      <c r="B122" s="166" t="s">
        <v>888</v>
      </c>
      <c r="C122" s="166" t="s">
        <v>564</v>
      </c>
      <c r="D122" s="170" t="s">
        <v>647</v>
      </c>
      <c r="E122" s="174" t="s">
        <v>1327</v>
      </c>
      <c r="F122" s="174">
        <v>55.075000000000003</v>
      </c>
      <c r="G122" s="174">
        <v>14.001999999999999</v>
      </c>
      <c r="H122" s="174" t="s">
        <v>1205</v>
      </c>
      <c r="I122" s="174" t="s">
        <v>1469</v>
      </c>
      <c r="J122" s="338" t="s">
        <v>1458</v>
      </c>
      <c r="K122" s="338" t="s">
        <v>1458</v>
      </c>
      <c r="L122" s="171">
        <v>2</v>
      </c>
      <c r="M122" s="177">
        <v>39600</v>
      </c>
      <c r="N122" s="242"/>
      <c r="O122" s="242"/>
      <c r="P122" s="3"/>
      <c r="Q122" s="214">
        <v>2.9</v>
      </c>
      <c r="R122" s="247">
        <v>1</v>
      </c>
      <c r="AA122" s="214">
        <v>0.8</v>
      </c>
      <c r="AB122" s="247">
        <v>1</v>
      </c>
      <c r="AG122" s="247">
        <f>Table2[[#This Row],[xFOSAs]]+Table2[[#This Row],[xFOSEs]]</f>
        <v>3.7</v>
      </c>
      <c r="AH122" s="247" t="s">
        <v>869</v>
      </c>
      <c r="AJ122" s="1" t="s">
        <v>1441</v>
      </c>
      <c r="AK122" s="1" t="s">
        <v>1442</v>
      </c>
    </row>
    <row r="123" spans="1:37" x14ac:dyDescent="0.25">
      <c r="A123" s="166" t="s">
        <v>478</v>
      </c>
      <c r="B123" s="166" t="s">
        <v>888</v>
      </c>
      <c r="C123" s="166" t="s">
        <v>565</v>
      </c>
      <c r="D123" s="170" t="s">
        <v>648</v>
      </c>
      <c r="E123" s="174" t="s">
        <v>1328</v>
      </c>
      <c r="F123" s="174">
        <v>56.372500000000002</v>
      </c>
      <c r="G123" s="174">
        <v>17.653500000000001</v>
      </c>
      <c r="H123" s="174" t="s">
        <v>1205</v>
      </c>
      <c r="I123" s="174" t="s">
        <v>1469</v>
      </c>
      <c r="J123" s="338" t="s">
        <v>1458</v>
      </c>
      <c r="K123" s="338" t="s">
        <v>1458</v>
      </c>
      <c r="L123" s="171">
        <v>2</v>
      </c>
      <c r="M123" s="177">
        <v>39600</v>
      </c>
      <c r="N123" s="242"/>
      <c r="O123" s="242"/>
      <c r="P123" s="3"/>
      <c r="Q123" s="214">
        <f>3</f>
        <v>3</v>
      </c>
      <c r="R123" s="247">
        <v>1</v>
      </c>
      <c r="AA123" s="214">
        <v>1.9</v>
      </c>
      <c r="AB123" s="247">
        <v>1</v>
      </c>
      <c r="AG123" s="247">
        <f>Table2[[#This Row],[xFOSAs]]+Table2[[#This Row],[xFOSEs]]</f>
        <v>4.9000000000000004</v>
      </c>
      <c r="AH123" s="247" t="s">
        <v>869</v>
      </c>
      <c r="AJ123" s="1" t="s">
        <v>1441</v>
      </c>
      <c r="AK123" s="1" t="s">
        <v>1442</v>
      </c>
    </row>
    <row r="124" spans="1:37" x14ac:dyDescent="0.25">
      <c r="A124" s="166" t="s">
        <v>478</v>
      </c>
      <c r="B124" s="166" t="s">
        <v>888</v>
      </c>
      <c r="C124" s="166" t="s">
        <v>566</v>
      </c>
      <c r="D124" s="170" t="s">
        <v>649</v>
      </c>
      <c r="E124" s="174" t="s">
        <v>1329</v>
      </c>
      <c r="F124" s="174">
        <v>57.445</v>
      </c>
      <c r="G124" s="174">
        <v>20.0335</v>
      </c>
      <c r="H124" s="174" t="s">
        <v>1205</v>
      </c>
      <c r="I124" s="174" t="s">
        <v>1469</v>
      </c>
      <c r="J124" s="338" t="s">
        <v>1458</v>
      </c>
      <c r="K124" s="338" t="s">
        <v>1458</v>
      </c>
      <c r="L124" s="171">
        <v>2</v>
      </c>
      <c r="M124" s="177">
        <v>39600</v>
      </c>
      <c r="N124" s="242"/>
      <c r="O124" s="242"/>
      <c r="P124" s="3"/>
      <c r="Q124" s="214">
        <v>6.2</v>
      </c>
      <c r="R124" s="247">
        <v>1</v>
      </c>
      <c r="AA124" s="214">
        <v>1.4</v>
      </c>
      <c r="AB124" s="247" t="s">
        <v>446</v>
      </c>
      <c r="AG124" s="247">
        <f>Table2[[#This Row],[xFOSAs]]+Table2[[#This Row],[xFOSEs]]</f>
        <v>7.6</v>
      </c>
      <c r="AH124" s="247" t="s">
        <v>869</v>
      </c>
      <c r="AJ124" s="1" t="s">
        <v>1441</v>
      </c>
      <c r="AK124" s="1" t="s">
        <v>1442</v>
      </c>
    </row>
    <row r="125" spans="1:37" x14ac:dyDescent="0.25">
      <c r="A125" s="166" t="s">
        <v>478</v>
      </c>
      <c r="B125" s="166" t="s">
        <v>888</v>
      </c>
      <c r="C125" s="166" t="s">
        <v>567</v>
      </c>
      <c r="D125" s="170" t="s">
        <v>650</v>
      </c>
      <c r="E125" s="174" t="s">
        <v>1330</v>
      </c>
      <c r="F125" s="174">
        <v>61.146000000000001</v>
      </c>
      <c r="G125" s="174">
        <v>21.021000000000001</v>
      </c>
      <c r="H125" s="174" t="s">
        <v>1205</v>
      </c>
      <c r="I125" s="174" t="s">
        <v>1469</v>
      </c>
      <c r="J125" s="338" t="s">
        <v>1458</v>
      </c>
      <c r="K125" s="338" t="s">
        <v>1458</v>
      </c>
      <c r="L125" s="171">
        <v>2</v>
      </c>
      <c r="M125" s="177">
        <v>39600</v>
      </c>
      <c r="N125" s="242"/>
      <c r="O125" s="242"/>
      <c r="P125" s="3"/>
      <c r="Q125" s="214">
        <v>1.8</v>
      </c>
      <c r="R125" s="247" t="s">
        <v>446</v>
      </c>
      <c r="AA125" s="214">
        <v>1.4</v>
      </c>
      <c r="AB125" s="247" t="s">
        <v>446</v>
      </c>
      <c r="AG125" s="247">
        <f>Table2[[#This Row],[xFOSAs]]+Table2[[#This Row],[xFOSEs]]</f>
        <v>3.2</v>
      </c>
      <c r="AH125" s="247" t="s">
        <v>869</v>
      </c>
      <c r="AJ125" s="1" t="s">
        <v>1441</v>
      </c>
      <c r="AK125" s="1" t="s">
        <v>1442</v>
      </c>
    </row>
    <row r="126" spans="1:37" x14ac:dyDescent="0.25">
      <c r="A126" s="166" t="s">
        <v>478</v>
      </c>
      <c r="B126" s="166" t="s">
        <v>888</v>
      </c>
      <c r="C126" s="166" t="s">
        <v>568</v>
      </c>
      <c r="D126" s="170" t="s">
        <v>651</v>
      </c>
      <c r="E126" s="174" t="s">
        <v>1453</v>
      </c>
      <c r="F126" s="174">
        <v>61.826999999999998</v>
      </c>
      <c r="G126" s="174">
        <v>20.719000000000001</v>
      </c>
      <c r="H126" s="174" t="s">
        <v>1205</v>
      </c>
      <c r="I126" s="174" t="s">
        <v>1469</v>
      </c>
      <c r="J126" s="338" t="s">
        <v>1458</v>
      </c>
      <c r="K126" s="338" t="s">
        <v>1458</v>
      </c>
      <c r="L126" s="171">
        <v>2</v>
      </c>
      <c r="M126" s="177">
        <v>39600</v>
      </c>
      <c r="N126" s="242"/>
      <c r="O126" s="242"/>
      <c r="P126" s="3"/>
      <c r="Q126" s="214">
        <v>2.6</v>
      </c>
      <c r="R126" s="247">
        <v>1</v>
      </c>
      <c r="AA126" s="214">
        <v>1.1000000000000001</v>
      </c>
      <c r="AB126" s="247">
        <v>1</v>
      </c>
      <c r="AG126" s="247">
        <f>Table2[[#This Row],[xFOSAs]]+Table2[[#This Row],[xFOSEs]]</f>
        <v>3.7</v>
      </c>
      <c r="AH126" s="247" t="s">
        <v>869</v>
      </c>
      <c r="AJ126" s="1" t="s">
        <v>1441</v>
      </c>
      <c r="AK126" s="1" t="s">
        <v>1442</v>
      </c>
    </row>
    <row r="127" spans="1:37" x14ac:dyDescent="0.25">
      <c r="A127" s="166" t="s">
        <v>478</v>
      </c>
      <c r="B127" s="166" t="s">
        <v>888</v>
      </c>
      <c r="C127" s="166" t="s">
        <v>569</v>
      </c>
      <c r="D127" s="170" t="s">
        <v>652</v>
      </c>
      <c r="E127" s="174" t="s">
        <v>1331</v>
      </c>
      <c r="F127" s="174">
        <v>59.42</v>
      </c>
      <c r="G127" s="174">
        <v>23.790500000000002</v>
      </c>
      <c r="H127" s="174" t="s">
        <v>1205</v>
      </c>
      <c r="I127" s="174" t="s">
        <v>1469</v>
      </c>
      <c r="J127" s="338" t="s">
        <v>1458</v>
      </c>
      <c r="K127" s="338" t="s">
        <v>1458</v>
      </c>
      <c r="L127" s="171">
        <v>2</v>
      </c>
      <c r="M127" s="177">
        <v>39630</v>
      </c>
      <c r="N127" s="242"/>
      <c r="O127" s="242"/>
      <c r="P127" s="3"/>
      <c r="Q127" s="214">
        <v>3.2</v>
      </c>
      <c r="R127" s="247">
        <v>1</v>
      </c>
      <c r="AA127" s="214">
        <v>2</v>
      </c>
      <c r="AB127" s="247">
        <v>1</v>
      </c>
      <c r="AG127" s="247">
        <f>Table2[[#This Row],[xFOSAs]]+Table2[[#This Row],[xFOSEs]]</f>
        <v>5.2</v>
      </c>
      <c r="AH127" s="247" t="s">
        <v>869</v>
      </c>
      <c r="AJ127" s="1" t="s">
        <v>1441</v>
      </c>
      <c r="AK127" s="1" t="s">
        <v>1442</v>
      </c>
    </row>
    <row r="128" spans="1:37" x14ac:dyDescent="0.25">
      <c r="A128" s="166" t="s">
        <v>478</v>
      </c>
      <c r="B128" s="166" t="s">
        <v>888</v>
      </c>
      <c r="C128" s="166" t="s">
        <v>570</v>
      </c>
      <c r="D128" s="170" t="s">
        <v>653</v>
      </c>
      <c r="E128" s="174" t="s">
        <v>1332</v>
      </c>
      <c r="F128" s="174">
        <v>59.015999999999998</v>
      </c>
      <c r="G128" s="174">
        <v>21.502500000000001</v>
      </c>
      <c r="H128" s="174" t="s">
        <v>1205</v>
      </c>
      <c r="I128" s="174" t="s">
        <v>1469</v>
      </c>
      <c r="J128" s="338" t="s">
        <v>1458</v>
      </c>
      <c r="K128" s="338" t="s">
        <v>1458</v>
      </c>
      <c r="L128" s="171">
        <v>2</v>
      </c>
      <c r="M128" s="177">
        <v>39630</v>
      </c>
      <c r="N128" s="242"/>
      <c r="O128" s="242"/>
      <c r="P128" s="3"/>
      <c r="Q128" s="214">
        <v>4.2</v>
      </c>
      <c r="R128" s="247">
        <v>1</v>
      </c>
      <c r="AA128" s="214">
        <v>1.4</v>
      </c>
      <c r="AB128" s="247" t="s">
        <v>446</v>
      </c>
      <c r="AG128" s="247">
        <f>Table2[[#This Row],[xFOSAs]]+Table2[[#This Row],[xFOSEs]]</f>
        <v>5.6</v>
      </c>
      <c r="AH128" s="247" t="s">
        <v>869</v>
      </c>
      <c r="AJ128" s="1" t="s">
        <v>1441</v>
      </c>
      <c r="AK128" s="1" t="s">
        <v>1442</v>
      </c>
    </row>
    <row r="129" spans="1:37" x14ac:dyDescent="0.25">
      <c r="A129" s="166" t="s">
        <v>478</v>
      </c>
      <c r="B129" s="166" t="s">
        <v>888</v>
      </c>
      <c r="C129" s="166" t="s">
        <v>571</v>
      </c>
      <c r="D129" s="170" t="s">
        <v>654</v>
      </c>
      <c r="E129" s="174" t="s">
        <v>1452</v>
      </c>
      <c r="F129" s="174">
        <v>55.645000000000003</v>
      </c>
      <c r="G129" s="174">
        <v>15.327999999999999</v>
      </c>
      <c r="H129" s="174" t="s">
        <v>1205</v>
      </c>
      <c r="I129" s="174" t="s">
        <v>1469</v>
      </c>
      <c r="J129" s="338" t="s">
        <v>1458</v>
      </c>
      <c r="K129" s="338" t="s">
        <v>1458</v>
      </c>
      <c r="L129" s="171">
        <v>2</v>
      </c>
      <c r="M129" s="177">
        <v>39630</v>
      </c>
      <c r="N129" s="242"/>
      <c r="O129" s="242"/>
      <c r="P129" s="3"/>
      <c r="Q129" s="214">
        <v>1.7</v>
      </c>
      <c r="R129" s="247">
        <v>1</v>
      </c>
      <c r="AA129" s="214">
        <v>0.7</v>
      </c>
      <c r="AB129" s="247" t="s">
        <v>446</v>
      </c>
      <c r="AG129" s="247">
        <f>Table2[[#This Row],[xFOSAs]]+Table2[[#This Row],[xFOSEs]]</f>
        <v>2.4</v>
      </c>
      <c r="AH129" s="247" t="s">
        <v>869</v>
      </c>
      <c r="AJ129" s="1" t="s">
        <v>1441</v>
      </c>
      <c r="AK129" s="1" t="s">
        <v>1442</v>
      </c>
    </row>
    <row r="130" spans="1:37" x14ac:dyDescent="0.25">
      <c r="A130" s="214" t="s">
        <v>774</v>
      </c>
      <c r="B130" s="214" t="s">
        <v>775</v>
      </c>
      <c r="C130" s="174" t="s">
        <v>884</v>
      </c>
      <c r="D130" s="170">
        <v>82.5</v>
      </c>
      <c r="E130" s="214">
        <v>-62.34</v>
      </c>
      <c r="F130" s="174">
        <v>82.5</v>
      </c>
      <c r="G130" s="214">
        <v>-62.34</v>
      </c>
      <c r="H130" s="214" t="s">
        <v>1203</v>
      </c>
      <c r="I130" s="174" t="s">
        <v>1469</v>
      </c>
      <c r="J130" s="713" t="str">
        <f t="shared" si="4"/>
        <v/>
      </c>
      <c r="K130" s="713" t="str">
        <f t="shared" si="5"/>
        <v/>
      </c>
      <c r="L130" s="171">
        <v>1</v>
      </c>
      <c r="M130" s="177">
        <v>38943</v>
      </c>
      <c r="N130" s="242"/>
      <c r="O130" s="242"/>
      <c r="P130" s="3"/>
      <c r="Q130" s="249">
        <v>0.47599999999999998</v>
      </c>
      <c r="R130" s="247">
        <v>1</v>
      </c>
      <c r="AA130" s="249">
        <v>0.36199999999999999</v>
      </c>
      <c r="AB130" s="247">
        <v>1</v>
      </c>
      <c r="AG130" s="247">
        <f>Table2[[#This Row],[xFOSAs]]+Table2[[#This Row],[xFOSEs]]</f>
        <v>0.83799999999999997</v>
      </c>
      <c r="AH130" s="247" t="s">
        <v>869</v>
      </c>
      <c r="AJ130" s="1" t="s">
        <v>776</v>
      </c>
      <c r="AK130" s="1" t="s">
        <v>736</v>
      </c>
    </row>
    <row r="131" spans="1:37" x14ac:dyDescent="0.25">
      <c r="A131" s="214" t="s">
        <v>774</v>
      </c>
      <c r="B131" s="214" t="s">
        <v>775</v>
      </c>
      <c r="C131" s="174" t="s">
        <v>884</v>
      </c>
      <c r="D131" s="170">
        <v>82.5</v>
      </c>
      <c r="E131" s="214">
        <v>-62.34</v>
      </c>
      <c r="F131" s="174">
        <v>82.5</v>
      </c>
      <c r="G131" s="214">
        <v>-62.34</v>
      </c>
      <c r="H131" s="214" t="s">
        <v>1203</v>
      </c>
      <c r="I131" s="174" t="s">
        <v>1469</v>
      </c>
      <c r="J131" s="713" t="str">
        <f t="shared" si="4"/>
        <v/>
      </c>
      <c r="K131" s="713" t="str">
        <f t="shared" si="5"/>
        <v/>
      </c>
      <c r="L131" s="171">
        <v>1</v>
      </c>
      <c r="M131" s="177">
        <v>38950</v>
      </c>
      <c r="N131" s="242"/>
      <c r="O131" s="242"/>
      <c r="P131" s="3"/>
      <c r="Q131" s="249">
        <v>0.55000000000000004</v>
      </c>
      <c r="R131" s="247">
        <v>1</v>
      </c>
      <c r="AA131" s="249">
        <v>0.58499999999999996</v>
      </c>
      <c r="AB131" s="247">
        <v>1</v>
      </c>
      <c r="AG131" s="247">
        <f>Table2[[#This Row],[xFOSAs]]+Table2[[#This Row],[xFOSEs]]</f>
        <v>1.135</v>
      </c>
      <c r="AH131" s="247" t="s">
        <v>869</v>
      </c>
      <c r="AJ131" s="1" t="s">
        <v>776</v>
      </c>
      <c r="AK131" s="1" t="s">
        <v>736</v>
      </c>
    </row>
    <row r="132" spans="1:37" x14ac:dyDescent="0.25">
      <c r="A132" s="214" t="s">
        <v>774</v>
      </c>
      <c r="B132" s="214" t="s">
        <v>775</v>
      </c>
      <c r="C132" s="214" t="s">
        <v>884</v>
      </c>
      <c r="D132" s="170">
        <v>82.5</v>
      </c>
      <c r="E132" s="214">
        <v>-62.34</v>
      </c>
      <c r="F132" s="174">
        <v>82.5</v>
      </c>
      <c r="G132" s="214">
        <v>-62.34</v>
      </c>
      <c r="H132" s="214" t="s">
        <v>1203</v>
      </c>
      <c r="I132" s="174" t="s">
        <v>1469</v>
      </c>
      <c r="J132" s="713" t="str">
        <f t="shared" si="4"/>
        <v/>
      </c>
      <c r="K132" s="713" t="str">
        <f t="shared" si="5"/>
        <v/>
      </c>
      <c r="L132" s="171">
        <v>1</v>
      </c>
      <c r="M132" s="177">
        <v>38957</v>
      </c>
      <c r="N132" s="242"/>
      <c r="O132" s="242"/>
      <c r="P132" s="3"/>
      <c r="Q132" s="249">
        <v>0.55500000000000005</v>
      </c>
      <c r="R132" s="247">
        <v>1</v>
      </c>
      <c r="AA132" s="249">
        <v>0.72499999999999998</v>
      </c>
      <c r="AB132" s="247">
        <v>1</v>
      </c>
      <c r="AG132" s="247">
        <f>Table2[[#This Row],[xFOSAs]]+Table2[[#This Row],[xFOSEs]]</f>
        <v>1.28</v>
      </c>
      <c r="AH132" s="247" t="s">
        <v>869</v>
      </c>
      <c r="AJ132" s="1" t="s">
        <v>776</v>
      </c>
      <c r="AK132" s="1" t="s">
        <v>736</v>
      </c>
    </row>
    <row r="133" spans="1:37" x14ac:dyDescent="0.25">
      <c r="A133" s="214" t="s">
        <v>774</v>
      </c>
      <c r="B133" s="214" t="s">
        <v>775</v>
      </c>
      <c r="C133" s="214" t="s">
        <v>884</v>
      </c>
      <c r="D133" s="170">
        <v>82.5</v>
      </c>
      <c r="E133" s="214">
        <v>-62.34</v>
      </c>
      <c r="F133" s="174">
        <v>82.5</v>
      </c>
      <c r="G133" s="214">
        <v>-62.34</v>
      </c>
      <c r="H133" s="214" t="s">
        <v>1203</v>
      </c>
      <c r="I133" s="174" t="s">
        <v>1469</v>
      </c>
      <c r="J133" s="713" t="str">
        <f t="shared" si="4"/>
        <v/>
      </c>
      <c r="K133" s="713" t="str">
        <f t="shared" si="5"/>
        <v/>
      </c>
      <c r="L133" s="171">
        <v>1</v>
      </c>
      <c r="M133" s="177">
        <v>38965</v>
      </c>
      <c r="N133" s="242"/>
      <c r="O133" s="242"/>
      <c r="P133" s="3"/>
      <c r="Q133" s="249">
        <v>0.57899999999999996</v>
      </c>
      <c r="R133" s="247">
        <v>1</v>
      </c>
      <c r="AA133" s="249">
        <v>0.68600000000000005</v>
      </c>
      <c r="AB133" s="247">
        <v>1</v>
      </c>
      <c r="AG133" s="247">
        <f>Table2[[#This Row],[xFOSAs]]+Table2[[#This Row],[xFOSEs]]</f>
        <v>1.2650000000000001</v>
      </c>
      <c r="AH133" s="247" t="s">
        <v>869</v>
      </c>
      <c r="AJ133" s="1" t="s">
        <v>776</v>
      </c>
      <c r="AK133" s="1" t="s">
        <v>736</v>
      </c>
    </row>
    <row r="134" spans="1:37" x14ac:dyDescent="0.25">
      <c r="A134" s="214" t="s">
        <v>774</v>
      </c>
      <c r="B134" s="214" t="s">
        <v>775</v>
      </c>
      <c r="C134" s="214" t="s">
        <v>884</v>
      </c>
      <c r="D134" s="170">
        <v>82.5</v>
      </c>
      <c r="E134" s="214">
        <v>-62.34</v>
      </c>
      <c r="F134" s="174">
        <v>82.5</v>
      </c>
      <c r="G134" s="214">
        <v>-62.34</v>
      </c>
      <c r="H134" s="214" t="s">
        <v>1203</v>
      </c>
      <c r="I134" s="174" t="s">
        <v>1469</v>
      </c>
      <c r="J134" s="713" t="str">
        <f t="shared" si="4"/>
        <v/>
      </c>
      <c r="K134" s="713" t="str">
        <f t="shared" si="5"/>
        <v/>
      </c>
      <c r="L134" s="171">
        <v>1</v>
      </c>
      <c r="M134" s="177">
        <v>38971</v>
      </c>
      <c r="N134" s="242"/>
      <c r="O134" s="242"/>
      <c r="P134" s="3"/>
      <c r="Q134" s="249">
        <v>0.51900000000000002</v>
      </c>
      <c r="R134" s="247">
        <v>1</v>
      </c>
      <c r="AA134" s="249">
        <v>0.496</v>
      </c>
      <c r="AB134" s="247">
        <v>1</v>
      </c>
      <c r="AG134" s="247">
        <f>Table2[[#This Row],[xFOSAs]]+Table2[[#This Row],[xFOSEs]]</f>
        <v>1.0150000000000001</v>
      </c>
      <c r="AH134" s="247" t="s">
        <v>869</v>
      </c>
      <c r="AJ134" s="1" t="s">
        <v>776</v>
      </c>
      <c r="AK134" s="1" t="s">
        <v>736</v>
      </c>
    </row>
    <row r="135" spans="1:37" x14ac:dyDescent="0.25">
      <c r="A135" s="214" t="s">
        <v>774</v>
      </c>
      <c r="B135" s="214" t="s">
        <v>775</v>
      </c>
      <c r="C135" s="214" t="s">
        <v>884</v>
      </c>
      <c r="D135" s="170">
        <v>82.5</v>
      </c>
      <c r="E135" s="214">
        <v>-62.34</v>
      </c>
      <c r="F135" s="174">
        <v>82.5</v>
      </c>
      <c r="G135" s="214">
        <v>-62.34</v>
      </c>
      <c r="H135" s="214" t="s">
        <v>1203</v>
      </c>
      <c r="I135" s="174" t="s">
        <v>1469</v>
      </c>
      <c r="J135" s="713" t="str">
        <f t="shared" si="4"/>
        <v/>
      </c>
      <c r="K135" s="713" t="str">
        <f t="shared" si="5"/>
        <v/>
      </c>
      <c r="L135" s="171">
        <v>1</v>
      </c>
      <c r="M135" s="177">
        <v>38978</v>
      </c>
      <c r="N135" s="242"/>
      <c r="O135" s="242"/>
      <c r="P135" s="3"/>
      <c r="Q135" s="249">
        <v>0.59499999999999997</v>
      </c>
      <c r="R135" s="247">
        <v>1</v>
      </c>
      <c r="AA135" s="249">
        <v>0.85099999999999998</v>
      </c>
      <c r="AB135" s="247">
        <v>1</v>
      </c>
      <c r="AG135" s="247">
        <f>Table2[[#This Row],[xFOSAs]]+Table2[[#This Row],[xFOSEs]]</f>
        <v>1.446</v>
      </c>
      <c r="AH135" s="247" t="s">
        <v>869</v>
      </c>
      <c r="AJ135" s="1" t="s">
        <v>776</v>
      </c>
      <c r="AK135" s="1" t="s">
        <v>736</v>
      </c>
    </row>
    <row r="136" spans="1:37" x14ac:dyDescent="0.25">
      <c r="A136" s="214" t="s">
        <v>774</v>
      </c>
      <c r="B136" s="214" t="s">
        <v>775</v>
      </c>
      <c r="C136" s="214" t="s">
        <v>884</v>
      </c>
      <c r="D136" s="170">
        <v>82.5</v>
      </c>
      <c r="E136" s="214">
        <v>-62.34</v>
      </c>
      <c r="F136" s="174">
        <v>82.5</v>
      </c>
      <c r="G136" s="214">
        <v>-62.34</v>
      </c>
      <c r="H136" s="214" t="s">
        <v>1203</v>
      </c>
      <c r="I136" s="174" t="s">
        <v>1469</v>
      </c>
      <c r="J136" s="713" t="str">
        <f t="shared" si="4"/>
        <v/>
      </c>
      <c r="K136" s="713" t="str">
        <f t="shared" si="5"/>
        <v/>
      </c>
      <c r="L136" s="171">
        <v>1</v>
      </c>
      <c r="M136" s="177">
        <v>38985</v>
      </c>
      <c r="N136" s="242"/>
      <c r="O136" s="242"/>
      <c r="P136" s="3"/>
      <c r="Q136" s="249">
        <v>0.48399999999999999</v>
      </c>
      <c r="R136" s="247">
        <v>1</v>
      </c>
      <c r="AA136" s="249">
        <v>0.373</v>
      </c>
      <c r="AB136" s="247">
        <v>1</v>
      </c>
      <c r="AG136" s="247">
        <f>Table2[[#This Row],[xFOSAs]]+Table2[[#This Row],[xFOSEs]]</f>
        <v>0.85699999999999998</v>
      </c>
      <c r="AH136" s="247" t="s">
        <v>869</v>
      </c>
      <c r="AJ136" s="1" t="s">
        <v>776</v>
      </c>
      <c r="AK136" s="1" t="s">
        <v>736</v>
      </c>
    </row>
    <row r="137" spans="1:37" x14ac:dyDescent="0.25">
      <c r="A137" s="214" t="s">
        <v>774</v>
      </c>
      <c r="B137" s="214" t="s">
        <v>775</v>
      </c>
      <c r="C137" s="214" t="s">
        <v>884</v>
      </c>
      <c r="D137" s="170">
        <v>82.5</v>
      </c>
      <c r="E137" s="214">
        <v>-62.34</v>
      </c>
      <c r="F137" s="174">
        <v>82.5</v>
      </c>
      <c r="G137" s="214">
        <v>-62.34</v>
      </c>
      <c r="H137" s="214" t="s">
        <v>1203</v>
      </c>
      <c r="I137" s="174" t="s">
        <v>1469</v>
      </c>
      <c r="J137" s="713" t="str">
        <f t="shared" si="4"/>
        <v/>
      </c>
      <c r="K137" s="713" t="str">
        <f t="shared" si="5"/>
        <v/>
      </c>
      <c r="L137" s="171">
        <v>1</v>
      </c>
      <c r="M137" s="177">
        <v>38999</v>
      </c>
      <c r="N137" s="242"/>
      <c r="O137" s="242"/>
      <c r="P137" s="3"/>
      <c r="Q137" s="249">
        <v>0.46</v>
      </c>
      <c r="R137" s="247">
        <v>1</v>
      </c>
      <c r="AA137" s="249">
        <v>0.35799999999999998</v>
      </c>
      <c r="AB137" s="247">
        <v>1</v>
      </c>
      <c r="AG137" s="247">
        <f>Table2[[#This Row],[xFOSAs]]+Table2[[#This Row],[xFOSEs]]</f>
        <v>0.81800000000000006</v>
      </c>
      <c r="AH137" s="247" t="s">
        <v>869</v>
      </c>
      <c r="AJ137" s="1" t="s">
        <v>776</v>
      </c>
      <c r="AK137" s="1" t="s">
        <v>736</v>
      </c>
    </row>
    <row r="138" spans="1:37" x14ac:dyDescent="0.25">
      <c r="A138" s="214" t="s">
        <v>774</v>
      </c>
      <c r="B138" s="214" t="s">
        <v>775</v>
      </c>
      <c r="C138" s="214" t="s">
        <v>884</v>
      </c>
      <c r="D138" s="170">
        <v>82.5</v>
      </c>
      <c r="E138" s="214">
        <v>-62.34</v>
      </c>
      <c r="F138" s="174">
        <v>82.5</v>
      </c>
      <c r="G138" s="214">
        <v>-62.34</v>
      </c>
      <c r="H138" s="214" t="s">
        <v>1203</v>
      </c>
      <c r="I138" s="174" t="s">
        <v>1469</v>
      </c>
      <c r="J138" s="713" t="str">
        <f t="shared" si="4"/>
        <v/>
      </c>
      <c r="K138" s="713" t="str">
        <f t="shared" si="5"/>
        <v/>
      </c>
      <c r="L138" s="171">
        <v>1</v>
      </c>
      <c r="M138" s="177">
        <v>39006</v>
      </c>
      <c r="N138" s="242"/>
      <c r="O138" s="242"/>
      <c r="P138" s="3"/>
      <c r="Q138" s="249">
        <v>0.47</v>
      </c>
      <c r="R138" s="247">
        <v>1</v>
      </c>
      <c r="AA138" s="249">
        <v>0.43099999999999999</v>
      </c>
      <c r="AB138" s="247">
        <v>1</v>
      </c>
      <c r="AG138" s="247">
        <f>Table2[[#This Row],[xFOSAs]]+Table2[[#This Row],[xFOSEs]]</f>
        <v>0.90100000000000002</v>
      </c>
      <c r="AH138" s="247" t="s">
        <v>869</v>
      </c>
      <c r="AJ138" s="1" t="s">
        <v>776</v>
      </c>
      <c r="AK138" s="1" t="s">
        <v>736</v>
      </c>
    </row>
    <row r="139" spans="1:37" x14ac:dyDescent="0.25">
      <c r="A139" s="214" t="s">
        <v>774</v>
      </c>
      <c r="B139" s="214" t="s">
        <v>775</v>
      </c>
      <c r="C139" s="214" t="s">
        <v>884</v>
      </c>
      <c r="D139" s="170">
        <v>82.5</v>
      </c>
      <c r="E139" s="214">
        <v>-62.34</v>
      </c>
      <c r="F139" s="174">
        <v>82.5</v>
      </c>
      <c r="G139" s="214">
        <v>-62.34</v>
      </c>
      <c r="H139" s="214" t="s">
        <v>1203</v>
      </c>
      <c r="I139" s="174" t="s">
        <v>1469</v>
      </c>
      <c r="J139" s="713" t="str">
        <f t="shared" si="4"/>
        <v/>
      </c>
      <c r="K139" s="713" t="str">
        <f t="shared" si="5"/>
        <v/>
      </c>
      <c r="L139" s="171">
        <v>1</v>
      </c>
      <c r="M139" s="177">
        <v>39039</v>
      </c>
      <c r="N139" s="242"/>
      <c r="O139" s="242"/>
      <c r="P139" s="3"/>
      <c r="Q139" s="249">
        <v>3.6999999999999998E-2</v>
      </c>
      <c r="R139" s="247" t="s">
        <v>446</v>
      </c>
      <c r="AA139" s="249">
        <v>0.34300000000000003</v>
      </c>
      <c r="AB139" s="247" t="s">
        <v>446</v>
      </c>
      <c r="AG139" s="247">
        <f>Table2[[#This Row],[xFOSAs]]+Table2[[#This Row],[xFOSEs]]</f>
        <v>0.38</v>
      </c>
      <c r="AH139" s="247" t="s">
        <v>869</v>
      </c>
      <c r="AJ139" s="1" t="s">
        <v>776</v>
      </c>
      <c r="AK139" s="1" t="s">
        <v>736</v>
      </c>
    </row>
    <row r="140" spans="1:37" x14ac:dyDescent="0.25">
      <c r="A140" s="214" t="s">
        <v>774</v>
      </c>
      <c r="B140" s="214" t="s">
        <v>775</v>
      </c>
      <c r="C140" s="214" t="s">
        <v>884</v>
      </c>
      <c r="D140" s="170">
        <v>82.5</v>
      </c>
      <c r="E140" s="214">
        <v>-62.34</v>
      </c>
      <c r="F140" s="174">
        <v>82.5</v>
      </c>
      <c r="G140" s="214">
        <v>-62.34</v>
      </c>
      <c r="H140" s="214" t="s">
        <v>1203</v>
      </c>
      <c r="I140" s="174" t="s">
        <v>1469</v>
      </c>
      <c r="J140" s="713" t="str">
        <f t="shared" si="4"/>
        <v/>
      </c>
      <c r="K140" s="713" t="str">
        <f t="shared" si="5"/>
        <v/>
      </c>
      <c r="L140" s="171">
        <v>1</v>
      </c>
      <c r="M140" s="177">
        <v>39097</v>
      </c>
      <c r="N140" s="242"/>
      <c r="O140" s="242"/>
      <c r="P140" s="3"/>
      <c r="Q140" s="249">
        <v>8.5999999999999993E-2</v>
      </c>
      <c r="R140" s="247">
        <v>1</v>
      </c>
      <c r="AA140" s="249">
        <v>0.77200000000000002</v>
      </c>
      <c r="AB140" s="247">
        <v>1</v>
      </c>
      <c r="AG140" s="247">
        <f>Table2[[#This Row],[xFOSAs]]+Table2[[#This Row],[xFOSEs]]</f>
        <v>0.85799999999999998</v>
      </c>
      <c r="AH140" s="247" t="s">
        <v>869</v>
      </c>
      <c r="AJ140" s="1" t="s">
        <v>776</v>
      </c>
      <c r="AK140" s="1" t="s">
        <v>736</v>
      </c>
    </row>
    <row r="141" spans="1:37" x14ac:dyDescent="0.25">
      <c r="A141" s="214" t="s">
        <v>774</v>
      </c>
      <c r="B141" s="214" t="s">
        <v>775</v>
      </c>
      <c r="C141" s="214" t="s">
        <v>884</v>
      </c>
      <c r="D141" s="170">
        <v>82.5</v>
      </c>
      <c r="E141" s="214">
        <v>-62.34</v>
      </c>
      <c r="F141" s="174">
        <v>82.5</v>
      </c>
      <c r="G141" s="214">
        <v>-62.34</v>
      </c>
      <c r="H141" s="214" t="s">
        <v>1203</v>
      </c>
      <c r="I141" s="174" t="s">
        <v>1469</v>
      </c>
      <c r="J141" s="713" t="str">
        <f t="shared" si="4"/>
        <v/>
      </c>
      <c r="K141" s="713" t="str">
        <f t="shared" si="5"/>
        <v/>
      </c>
      <c r="L141" s="171">
        <v>1</v>
      </c>
      <c r="M141" s="177">
        <v>39125</v>
      </c>
      <c r="N141" s="242"/>
      <c r="O141" s="242"/>
      <c r="P141" s="3"/>
      <c r="Q141" s="249">
        <v>0.63600000000000001</v>
      </c>
      <c r="R141" s="247">
        <v>1</v>
      </c>
      <c r="AA141" s="249">
        <v>1.994</v>
      </c>
      <c r="AB141" s="247">
        <v>1</v>
      </c>
      <c r="AG141" s="247">
        <f>Table2[[#This Row],[xFOSAs]]+Table2[[#This Row],[xFOSEs]]</f>
        <v>2.63</v>
      </c>
      <c r="AH141" s="247" t="s">
        <v>869</v>
      </c>
      <c r="AJ141" s="1" t="s">
        <v>776</v>
      </c>
      <c r="AK141" s="1" t="s">
        <v>736</v>
      </c>
    </row>
    <row r="142" spans="1:37" x14ac:dyDescent="0.25">
      <c r="A142" s="214" t="s">
        <v>774</v>
      </c>
      <c r="B142" s="214" t="s">
        <v>775</v>
      </c>
      <c r="C142" s="214" t="s">
        <v>884</v>
      </c>
      <c r="D142" s="170">
        <v>82.5</v>
      </c>
      <c r="E142" s="214">
        <v>-62.34</v>
      </c>
      <c r="F142" s="174">
        <v>82.5</v>
      </c>
      <c r="G142" s="214">
        <v>-62.34</v>
      </c>
      <c r="H142" s="214" t="s">
        <v>1203</v>
      </c>
      <c r="I142" s="174" t="s">
        <v>1469</v>
      </c>
      <c r="J142" s="713" t="str">
        <f t="shared" si="4"/>
        <v/>
      </c>
      <c r="K142" s="713" t="str">
        <f t="shared" si="5"/>
        <v/>
      </c>
      <c r="L142" s="171">
        <v>1</v>
      </c>
      <c r="M142" s="177">
        <v>39153</v>
      </c>
      <c r="N142" s="242"/>
      <c r="O142" s="242"/>
      <c r="P142" s="3"/>
      <c r="Q142" s="249">
        <v>0.59299999999999997</v>
      </c>
      <c r="R142" s="247">
        <v>1</v>
      </c>
      <c r="AA142" s="249">
        <v>0</v>
      </c>
      <c r="AB142" s="247" t="s">
        <v>446</v>
      </c>
      <c r="AG142" s="247">
        <f>Table2[[#This Row],[xFOSAs]]+Table2[[#This Row],[xFOSEs]]</f>
        <v>0.59299999999999997</v>
      </c>
      <c r="AH142" s="247" t="s">
        <v>869</v>
      </c>
      <c r="AJ142" s="1" t="s">
        <v>776</v>
      </c>
      <c r="AK142" s="1" t="s">
        <v>736</v>
      </c>
    </row>
    <row r="143" spans="1:37" x14ac:dyDescent="0.25">
      <c r="A143" s="214" t="s">
        <v>774</v>
      </c>
      <c r="B143" s="214" t="s">
        <v>775</v>
      </c>
      <c r="C143" s="214" t="s">
        <v>884</v>
      </c>
      <c r="D143" s="170">
        <v>82.5</v>
      </c>
      <c r="E143" s="214">
        <v>-62.34</v>
      </c>
      <c r="F143" s="174">
        <v>82.5</v>
      </c>
      <c r="G143" s="214">
        <v>-62.34</v>
      </c>
      <c r="H143" s="214" t="s">
        <v>1203</v>
      </c>
      <c r="I143" s="174" t="s">
        <v>1469</v>
      </c>
      <c r="J143" s="713" t="str">
        <f t="shared" si="4"/>
        <v/>
      </c>
      <c r="K143" s="713" t="str">
        <f t="shared" si="5"/>
        <v/>
      </c>
      <c r="L143" s="171">
        <v>1</v>
      </c>
      <c r="M143" s="177">
        <v>39167</v>
      </c>
      <c r="N143" s="242"/>
      <c r="O143" s="242"/>
      <c r="P143" s="3"/>
      <c r="Q143" s="249">
        <v>0.44700000000000001</v>
      </c>
      <c r="R143" s="247">
        <v>1</v>
      </c>
      <c r="AA143" s="249">
        <v>0.98499999999999999</v>
      </c>
      <c r="AB143" s="247">
        <v>1</v>
      </c>
      <c r="AG143" s="247">
        <f>Table2[[#This Row],[xFOSAs]]+Table2[[#This Row],[xFOSEs]]</f>
        <v>1.4319999999999999</v>
      </c>
      <c r="AH143" s="247" t="s">
        <v>869</v>
      </c>
      <c r="AJ143" s="1" t="s">
        <v>776</v>
      </c>
      <c r="AK143" s="1" t="s">
        <v>736</v>
      </c>
    </row>
    <row r="144" spans="1:37" x14ac:dyDescent="0.25">
      <c r="A144" s="214" t="s">
        <v>774</v>
      </c>
      <c r="B144" s="214" t="s">
        <v>775</v>
      </c>
      <c r="C144" s="214" t="s">
        <v>884</v>
      </c>
      <c r="D144" s="170">
        <v>82.5</v>
      </c>
      <c r="E144" s="214">
        <v>-62.34</v>
      </c>
      <c r="F144" s="174">
        <v>82.5</v>
      </c>
      <c r="G144" s="214">
        <v>-62.34</v>
      </c>
      <c r="H144" s="214" t="s">
        <v>1203</v>
      </c>
      <c r="I144" s="174" t="s">
        <v>1469</v>
      </c>
      <c r="J144" s="713" t="str">
        <f t="shared" si="4"/>
        <v/>
      </c>
      <c r="K144" s="713" t="str">
        <f t="shared" si="5"/>
        <v/>
      </c>
      <c r="L144" s="171">
        <v>1</v>
      </c>
      <c r="M144" s="177">
        <v>39195</v>
      </c>
      <c r="N144" s="242"/>
      <c r="O144" s="242"/>
      <c r="P144" s="3"/>
      <c r="Q144" s="249">
        <v>0.42099999999999999</v>
      </c>
      <c r="R144" s="247">
        <v>1</v>
      </c>
      <c r="AA144" s="249">
        <v>0.53</v>
      </c>
      <c r="AB144" s="247">
        <v>1</v>
      </c>
      <c r="AG144" s="247">
        <f>Table2[[#This Row],[xFOSAs]]+Table2[[#This Row],[xFOSEs]]</f>
        <v>0.95100000000000007</v>
      </c>
      <c r="AH144" s="247" t="s">
        <v>869</v>
      </c>
      <c r="AJ144" s="1" t="s">
        <v>776</v>
      </c>
      <c r="AK144" s="1" t="s">
        <v>736</v>
      </c>
    </row>
    <row r="145" spans="1:37" x14ac:dyDescent="0.25">
      <c r="A145" s="214" t="s">
        <v>774</v>
      </c>
      <c r="B145" s="214" t="s">
        <v>775</v>
      </c>
      <c r="C145" s="214" t="s">
        <v>884</v>
      </c>
      <c r="D145" s="170">
        <v>82.5</v>
      </c>
      <c r="E145" s="214">
        <v>-62.34</v>
      </c>
      <c r="F145" s="174">
        <v>82.5</v>
      </c>
      <c r="G145" s="214">
        <v>-62.34</v>
      </c>
      <c r="H145" s="214" t="s">
        <v>1203</v>
      </c>
      <c r="I145" s="174" t="s">
        <v>1469</v>
      </c>
      <c r="J145" s="713" t="str">
        <f t="shared" si="4"/>
        <v/>
      </c>
      <c r="K145" s="713" t="str">
        <f t="shared" si="5"/>
        <v/>
      </c>
      <c r="L145" s="171">
        <v>1</v>
      </c>
      <c r="M145" s="177">
        <v>39210</v>
      </c>
      <c r="N145" s="242"/>
      <c r="O145" s="242"/>
      <c r="P145" s="3"/>
      <c r="Q145" s="249">
        <v>0.56599999999999995</v>
      </c>
      <c r="R145" s="247">
        <v>1</v>
      </c>
      <c r="AA145" s="249">
        <v>0.95699999999999996</v>
      </c>
      <c r="AB145" s="247">
        <v>1</v>
      </c>
      <c r="AG145" s="247">
        <f>Table2[[#This Row],[xFOSAs]]+Table2[[#This Row],[xFOSEs]]</f>
        <v>1.5229999999999999</v>
      </c>
      <c r="AH145" s="247" t="s">
        <v>869</v>
      </c>
      <c r="AJ145" s="1" t="s">
        <v>776</v>
      </c>
      <c r="AK145" s="1" t="s">
        <v>736</v>
      </c>
    </row>
    <row r="146" spans="1:37" x14ac:dyDescent="0.25">
      <c r="A146" s="214" t="s">
        <v>774</v>
      </c>
      <c r="B146" s="214" t="s">
        <v>775</v>
      </c>
      <c r="C146" s="214" t="s">
        <v>884</v>
      </c>
      <c r="D146" s="170">
        <v>82.5</v>
      </c>
      <c r="E146" s="214">
        <v>-62.34</v>
      </c>
      <c r="F146" s="174">
        <v>82.5</v>
      </c>
      <c r="G146" s="214">
        <v>-62.34</v>
      </c>
      <c r="H146" s="214" t="s">
        <v>1203</v>
      </c>
      <c r="I146" s="174" t="s">
        <v>1469</v>
      </c>
      <c r="J146" s="713" t="str">
        <f t="shared" si="4"/>
        <v/>
      </c>
      <c r="K146" s="713" t="str">
        <f t="shared" si="5"/>
        <v/>
      </c>
      <c r="L146" s="171">
        <v>1</v>
      </c>
      <c r="M146" s="177">
        <v>39223</v>
      </c>
      <c r="N146" s="242"/>
      <c r="O146" s="242"/>
      <c r="P146" s="3"/>
      <c r="Q146" s="249">
        <v>0.498</v>
      </c>
      <c r="R146" s="247">
        <v>1</v>
      </c>
      <c r="AA146" s="249">
        <v>0.622</v>
      </c>
      <c r="AB146" s="247">
        <v>1</v>
      </c>
      <c r="AG146" s="247">
        <f>Table2[[#This Row],[xFOSAs]]+Table2[[#This Row],[xFOSEs]]</f>
        <v>1.1200000000000001</v>
      </c>
      <c r="AH146" s="247" t="s">
        <v>869</v>
      </c>
      <c r="AJ146" s="1" t="s">
        <v>776</v>
      </c>
      <c r="AK146" s="1" t="s">
        <v>736</v>
      </c>
    </row>
    <row r="147" spans="1:37" x14ac:dyDescent="0.25">
      <c r="A147" s="214" t="s">
        <v>774</v>
      </c>
      <c r="B147" s="214" t="s">
        <v>775</v>
      </c>
      <c r="C147" s="214" t="s">
        <v>884</v>
      </c>
      <c r="D147" s="170">
        <v>82.5</v>
      </c>
      <c r="E147" s="214">
        <v>-62.34</v>
      </c>
      <c r="F147" s="174">
        <v>82.5</v>
      </c>
      <c r="G147" s="214">
        <v>-62.34</v>
      </c>
      <c r="H147" s="214" t="s">
        <v>1203</v>
      </c>
      <c r="I147" s="174" t="s">
        <v>1469</v>
      </c>
      <c r="J147" s="713" t="str">
        <f t="shared" si="4"/>
        <v/>
      </c>
      <c r="K147" s="713" t="str">
        <f t="shared" si="5"/>
        <v/>
      </c>
      <c r="L147" s="171">
        <v>1</v>
      </c>
      <c r="M147" s="177">
        <v>39237</v>
      </c>
      <c r="N147" s="242"/>
      <c r="O147" s="242"/>
      <c r="P147" s="3"/>
      <c r="Q147" s="249">
        <v>0.60199999999999998</v>
      </c>
      <c r="R147" s="247">
        <v>1</v>
      </c>
      <c r="AA147" s="249">
        <v>1.8520000000000001</v>
      </c>
      <c r="AB147" s="247">
        <v>1</v>
      </c>
      <c r="AG147" s="247">
        <f>Table2[[#This Row],[xFOSAs]]+Table2[[#This Row],[xFOSEs]]</f>
        <v>2.4540000000000002</v>
      </c>
      <c r="AH147" s="247" t="s">
        <v>869</v>
      </c>
      <c r="AJ147" s="1" t="s">
        <v>776</v>
      </c>
      <c r="AK147" s="1" t="s">
        <v>736</v>
      </c>
    </row>
    <row r="148" spans="1:37" x14ac:dyDescent="0.25">
      <c r="A148" s="214" t="s">
        <v>774</v>
      </c>
      <c r="B148" s="214" t="s">
        <v>775</v>
      </c>
      <c r="C148" s="214" t="s">
        <v>884</v>
      </c>
      <c r="D148" s="170">
        <v>82.5</v>
      </c>
      <c r="E148" s="214">
        <v>-62.34</v>
      </c>
      <c r="F148" s="174">
        <v>82.5</v>
      </c>
      <c r="G148" s="214">
        <v>-62.34</v>
      </c>
      <c r="H148" s="214" t="s">
        <v>1203</v>
      </c>
      <c r="I148" s="174" t="s">
        <v>1469</v>
      </c>
      <c r="J148" s="713" t="str">
        <f t="shared" si="4"/>
        <v/>
      </c>
      <c r="K148" s="713" t="str">
        <f t="shared" si="5"/>
        <v/>
      </c>
      <c r="L148" s="171">
        <v>1</v>
      </c>
      <c r="M148" s="177">
        <v>39265</v>
      </c>
      <c r="N148" s="242"/>
      <c r="O148" s="242"/>
      <c r="P148" s="3"/>
      <c r="Q148" s="249">
        <v>0.627</v>
      </c>
      <c r="R148" s="247">
        <v>1</v>
      </c>
      <c r="AA148" s="249">
        <v>3.3860000000000001</v>
      </c>
      <c r="AB148" s="247">
        <v>1</v>
      </c>
      <c r="AG148" s="247">
        <f>Table2[[#This Row],[xFOSAs]]+Table2[[#This Row],[xFOSEs]]</f>
        <v>4.0129999999999999</v>
      </c>
      <c r="AH148" s="247" t="s">
        <v>869</v>
      </c>
      <c r="AJ148" s="1" t="s">
        <v>776</v>
      </c>
      <c r="AK148" s="1" t="s">
        <v>736</v>
      </c>
    </row>
    <row r="149" spans="1:37" x14ac:dyDescent="0.25">
      <c r="A149" s="214" t="s">
        <v>774</v>
      </c>
      <c r="B149" s="214" t="s">
        <v>775</v>
      </c>
      <c r="C149" s="214" t="s">
        <v>884</v>
      </c>
      <c r="D149" s="170">
        <v>82.5</v>
      </c>
      <c r="E149" s="214">
        <v>-62.34</v>
      </c>
      <c r="F149" s="174">
        <v>82.5</v>
      </c>
      <c r="G149" s="214">
        <v>-62.34</v>
      </c>
      <c r="H149" s="214" t="s">
        <v>1203</v>
      </c>
      <c r="I149" s="174" t="s">
        <v>1469</v>
      </c>
      <c r="J149" s="713" t="str">
        <f t="shared" si="4"/>
        <v/>
      </c>
      <c r="K149" s="713" t="str">
        <f t="shared" si="5"/>
        <v/>
      </c>
      <c r="L149" s="171">
        <v>1</v>
      </c>
      <c r="M149" s="177">
        <v>39279</v>
      </c>
      <c r="N149" s="242"/>
      <c r="O149" s="242"/>
      <c r="P149" s="3"/>
      <c r="Q149" s="249">
        <v>0.5</v>
      </c>
      <c r="R149" s="247">
        <v>1</v>
      </c>
      <c r="AA149" s="249">
        <v>1.597</v>
      </c>
      <c r="AB149" s="247">
        <v>1</v>
      </c>
      <c r="AG149" s="247">
        <f>Table2[[#This Row],[xFOSAs]]+Table2[[#This Row],[xFOSEs]]</f>
        <v>2.097</v>
      </c>
      <c r="AH149" s="247" t="s">
        <v>869</v>
      </c>
      <c r="AJ149" s="1" t="s">
        <v>776</v>
      </c>
      <c r="AK149" s="1" t="s">
        <v>736</v>
      </c>
    </row>
    <row r="150" spans="1:37" x14ac:dyDescent="0.25">
      <c r="A150" s="214" t="s">
        <v>774</v>
      </c>
      <c r="B150" s="214" t="s">
        <v>775</v>
      </c>
      <c r="C150" s="214" t="s">
        <v>884</v>
      </c>
      <c r="D150" s="170">
        <v>82.5</v>
      </c>
      <c r="E150" s="214">
        <v>-62.34</v>
      </c>
      <c r="F150" s="174">
        <v>82.5</v>
      </c>
      <c r="G150" s="214">
        <v>-62.34</v>
      </c>
      <c r="H150" s="214" t="s">
        <v>1203</v>
      </c>
      <c r="I150" s="174" t="s">
        <v>1469</v>
      </c>
      <c r="J150" s="713" t="str">
        <f t="shared" si="4"/>
        <v/>
      </c>
      <c r="K150" s="713" t="str">
        <f t="shared" si="5"/>
        <v/>
      </c>
      <c r="L150" s="171">
        <v>1</v>
      </c>
      <c r="M150" s="177">
        <v>39293</v>
      </c>
      <c r="N150" s="242"/>
      <c r="O150" s="242"/>
      <c r="P150" s="3"/>
      <c r="Q150" s="249">
        <v>0.46800000000000003</v>
      </c>
      <c r="R150" s="247">
        <v>1</v>
      </c>
      <c r="AA150" s="249">
        <v>1.6519999999999999</v>
      </c>
      <c r="AB150" s="247">
        <v>1</v>
      </c>
      <c r="AG150" s="247">
        <f>Table2[[#This Row],[xFOSAs]]+Table2[[#This Row],[xFOSEs]]</f>
        <v>2.12</v>
      </c>
      <c r="AH150" s="247" t="s">
        <v>869</v>
      </c>
      <c r="AJ150" s="1" t="s">
        <v>776</v>
      </c>
      <c r="AK150" s="1" t="s">
        <v>736</v>
      </c>
    </row>
    <row r="151" spans="1:37" x14ac:dyDescent="0.25">
      <c r="A151" s="214" t="s">
        <v>774</v>
      </c>
      <c r="B151" s="214" t="s">
        <v>775</v>
      </c>
      <c r="C151" s="214" t="s">
        <v>884</v>
      </c>
      <c r="D151" s="170">
        <v>82.5</v>
      </c>
      <c r="E151" s="214">
        <v>-62.34</v>
      </c>
      <c r="F151" s="174">
        <v>82.5</v>
      </c>
      <c r="G151" s="214">
        <v>-62.34</v>
      </c>
      <c r="H151" s="214" t="s">
        <v>1203</v>
      </c>
      <c r="I151" s="174" t="s">
        <v>1469</v>
      </c>
      <c r="J151" s="713" t="str">
        <f t="shared" si="4"/>
        <v/>
      </c>
      <c r="K151" s="713" t="str">
        <f t="shared" si="5"/>
        <v/>
      </c>
      <c r="L151" s="171">
        <v>1</v>
      </c>
      <c r="M151" s="177">
        <v>39307</v>
      </c>
      <c r="N151" s="242"/>
      <c r="O151" s="242"/>
      <c r="P151" s="3"/>
      <c r="Q151" s="249">
        <v>0.46400000000000002</v>
      </c>
      <c r="R151" s="247">
        <v>1</v>
      </c>
      <c r="AA151" s="249">
        <v>1.123</v>
      </c>
      <c r="AB151" s="247">
        <v>1</v>
      </c>
      <c r="AG151" s="247">
        <f>Table2[[#This Row],[xFOSAs]]+Table2[[#This Row],[xFOSEs]]</f>
        <v>1.587</v>
      </c>
      <c r="AH151" s="247" t="s">
        <v>869</v>
      </c>
      <c r="AJ151" s="1" t="s">
        <v>776</v>
      </c>
      <c r="AK151" s="1" t="s">
        <v>736</v>
      </c>
    </row>
    <row r="152" spans="1:37" x14ac:dyDescent="0.25">
      <c r="A152" s="214" t="s">
        <v>774</v>
      </c>
      <c r="B152" s="214" t="s">
        <v>775</v>
      </c>
      <c r="C152" s="214" t="s">
        <v>884</v>
      </c>
      <c r="D152" s="170">
        <v>82.5</v>
      </c>
      <c r="E152" s="214">
        <v>-62.34</v>
      </c>
      <c r="F152" s="174">
        <v>82.5</v>
      </c>
      <c r="G152" s="214">
        <v>-62.34</v>
      </c>
      <c r="H152" s="214" t="s">
        <v>1203</v>
      </c>
      <c r="I152" s="174" t="s">
        <v>1469</v>
      </c>
      <c r="J152" s="713" t="str">
        <f t="shared" si="4"/>
        <v/>
      </c>
      <c r="K152" s="713" t="str">
        <f t="shared" si="5"/>
        <v/>
      </c>
      <c r="L152" s="171">
        <v>1</v>
      </c>
      <c r="M152" s="177">
        <v>39321</v>
      </c>
      <c r="N152" s="242"/>
      <c r="O152" s="242"/>
      <c r="P152" s="3"/>
      <c r="Q152" s="249">
        <v>0.42899999999999999</v>
      </c>
      <c r="R152" s="247">
        <v>1</v>
      </c>
      <c r="AA152" s="249">
        <v>1.4350000000000001</v>
      </c>
      <c r="AB152" s="247">
        <v>1</v>
      </c>
      <c r="AG152" s="247">
        <f>Table2[[#This Row],[xFOSAs]]+Table2[[#This Row],[xFOSEs]]</f>
        <v>1.8640000000000001</v>
      </c>
      <c r="AH152" s="247" t="s">
        <v>869</v>
      </c>
      <c r="AJ152" s="1" t="s">
        <v>776</v>
      </c>
      <c r="AK152" s="1" t="s">
        <v>736</v>
      </c>
    </row>
    <row r="153" spans="1:37" x14ac:dyDescent="0.25">
      <c r="A153" s="214" t="s">
        <v>774</v>
      </c>
      <c r="B153" s="214" t="s">
        <v>775</v>
      </c>
      <c r="C153" s="214" t="s">
        <v>884</v>
      </c>
      <c r="D153" s="170">
        <v>82.5</v>
      </c>
      <c r="E153" s="214">
        <v>-62.34</v>
      </c>
      <c r="F153" s="174">
        <v>82.5</v>
      </c>
      <c r="G153" s="214">
        <v>-62.34</v>
      </c>
      <c r="H153" s="214" t="s">
        <v>1203</v>
      </c>
      <c r="I153" s="174" t="s">
        <v>1469</v>
      </c>
      <c r="J153" s="713" t="str">
        <f t="shared" si="4"/>
        <v/>
      </c>
      <c r="K153" s="713" t="str">
        <f t="shared" si="5"/>
        <v/>
      </c>
      <c r="L153" s="171">
        <v>1</v>
      </c>
      <c r="M153" s="177">
        <v>39335</v>
      </c>
      <c r="N153" s="242"/>
      <c r="O153" s="242"/>
      <c r="P153" s="3"/>
      <c r="Q153" s="249">
        <v>0.374</v>
      </c>
      <c r="R153" s="247">
        <v>1</v>
      </c>
      <c r="AA153" s="249">
        <v>1.145</v>
      </c>
      <c r="AB153" s="247">
        <v>1</v>
      </c>
      <c r="AG153" s="247">
        <f>Table2[[#This Row],[xFOSAs]]+Table2[[#This Row],[xFOSEs]]</f>
        <v>1.5190000000000001</v>
      </c>
      <c r="AH153" s="247" t="s">
        <v>869</v>
      </c>
      <c r="AJ153" s="1" t="s">
        <v>776</v>
      </c>
      <c r="AK153" s="1" t="s">
        <v>736</v>
      </c>
    </row>
    <row r="154" spans="1:37" x14ac:dyDescent="0.25">
      <c r="A154" s="214" t="s">
        <v>774</v>
      </c>
      <c r="B154" s="214" t="s">
        <v>775</v>
      </c>
      <c r="C154" s="214" t="s">
        <v>884</v>
      </c>
      <c r="D154" s="170">
        <v>82.5</v>
      </c>
      <c r="E154" s="214">
        <v>-62.34</v>
      </c>
      <c r="F154" s="174">
        <v>82.5</v>
      </c>
      <c r="G154" s="214">
        <v>-62.34</v>
      </c>
      <c r="H154" s="214" t="s">
        <v>1203</v>
      </c>
      <c r="I154" s="174" t="s">
        <v>1469</v>
      </c>
      <c r="J154" s="713" t="str">
        <f t="shared" si="4"/>
        <v/>
      </c>
      <c r="K154" s="713" t="str">
        <f t="shared" si="5"/>
        <v/>
      </c>
      <c r="L154" s="171">
        <v>1</v>
      </c>
      <c r="M154" s="177">
        <v>39349</v>
      </c>
      <c r="N154" s="242"/>
      <c r="O154" s="242"/>
      <c r="P154" s="3"/>
      <c r="Q154" s="249">
        <v>0.42299999999999999</v>
      </c>
      <c r="R154" s="247">
        <v>1</v>
      </c>
      <c r="AA154" s="249">
        <v>0.26900000000000002</v>
      </c>
      <c r="AB154" s="247">
        <v>1</v>
      </c>
      <c r="AG154" s="247">
        <f>Table2[[#This Row],[xFOSAs]]+Table2[[#This Row],[xFOSEs]]</f>
        <v>0.69199999999999995</v>
      </c>
      <c r="AH154" s="247" t="s">
        <v>869</v>
      </c>
      <c r="AJ154" s="1" t="s">
        <v>776</v>
      </c>
      <c r="AK154" s="1" t="s">
        <v>736</v>
      </c>
    </row>
    <row r="155" spans="1:37" x14ac:dyDescent="0.25">
      <c r="A155" s="214" t="s">
        <v>774</v>
      </c>
      <c r="B155" s="214" t="s">
        <v>775</v>
      </c>
      <c r="C155" s="214" t="s">
        <v>884</v>
      </c>
      <c r="D155" s="170">
        <v>82.5</v>
      </c>
      <c r="E155" s="214">
        <v>-62.34</v>
      </c>
      <c r="F155" s="174">
        <v>82.5</v>
      </c>
      <c r="G155" s="214">
        <v>-62.34</v>
      </c>
      <c r="H155" s="214" t="s">
        <v>1203</v>
      </c>
      <c r="I155" s="174" t="s">
        <v>1469</v>
      </c>
      <c r="J155" s="713" t="str">
        <f t="shared" si="4"/>
        <v/>
      </c>
      <c r="K155" s="713" t="str">
        <f t="shared" si="5"/>
        <v/>
      </c>
      <c r="L155" s="171">
        <v>1</v>
      </c>
      <c r="M155" s="177">
        <v>39363</v>
      </c>
      <c r="N155" s="242"/>
      <c r="O155" s="242"/>
      <c r="P155" s="3"/>
      <c r="Q155" s="249">
        <v>0.48599999999999999</v>
      </c>
      <c r="R155" s="247">
        <v>1</v>
      </c>
      <c r="AA155" s="249">
        <v>6.2E-2</v>
      </c>
      <c r="AB155" s="247" t="s">
        <v>446</v>
      </c>
      <c r="AG155" s="247">
        <f>Table2[[#This Row],[xFOSAs]]+Table2[[#This Row],[xFOSEs]]</f>
        <v>0.54800000000000004</v>
      </c>
      <c r="AH155" s="247" t="s">
        <v>869</v>
      </c>
      <c r="AJ155" s="1" t="s">
        <v>776</v>
      </c>
      <c r="AK155" s="1" t="s">
        <v>736</v>
      </c>
    </row>
    <row r="156" spans="1:37" x14ac:dyDescent="0.25">
      <c r="A156" s="214" t="s">
        <v>774</v>
      </c>
      <c r="B156" s="214" t="s">
        <v>775</v>
      </c>
      <c r="C156" s="214" t="s">
        <v>884</v>
      </c>
      <c r="D156" s="170">
        <v>82.5</v>
      </c>
      <c r="E156" s="214">
        <v>-62.34</v>
      </c>
      <c r="F156" s="174">
        <v>82.5</v>
      </c>
      <c r="G156" s="214">
        <v>-62.34</v>
      </c>
      <c r="H156" s="214" t="s">
        <v>1203</v>
      </c>
      <c r="I156" s="174" t="s">
        <v>1469</v>
      </c>
      <c r="J156" s="713" t="str">
        <f t="shared" si="4"/>
        <v/>
      </c>
      <c r="K156" s="713" t="str">
        <f t="shared" si="5"/>
        <v/>
      </c>
      <c r="L156" s="171">
        <v>1</v>
      </c>
      <c r="M156" s="177">
        <v>39377</v>
      </c>
      <c r="N156" s="242"/>
      <c r="O156" s="242"/>
      <c r="P156" s="3"/>
      <c r="Q156" s="249">
        <v>0.433</v>
      </c>
      <c r="R156" s="247">
        <v>1</v>
      </c>
      <c r="AA156" s="249">
        <v>0.13600000000000001</v>
      </c>
      <c r="AB156" s="247">
        <v>1</v>
      </c>
      <c r="AG156" s="247">
        <f>Table2[[#This Row],[xFOSAs]]+Table2[[#This Row],[xFOSEs]]</f>
        <v>0.56899999999999995</v>
      </c>
      <c r="AH156" s="247" t="s">
        <v>869</v>
      </c>
      <c r="AJ156" s="1" t="s">
        <v>776</v>
      </c>
      <c r="AK156" s="1" t="s">
        <v>736</v>
      </c>
    </row>
    <row r="157" spans="1:37" x14ac:dyDescent="0.25">
      <c r="A157" s="214" t="s">
        <v>774</v>
      </c>
      <c r="B157" s="214" t="s">
        <v>775</v>
      </c>
      <c r="C157" s="214" t="s">
        <v>884</v>
      </c>
      <c r="D157" s="170">
        <v>82.5</v>
      </c>
      <c r="E157" s="214">
        <v>-62.34</v>
      </c>
      <c r="F157" s="174">
        <v>82.5</v>
      </c>
      <c r="G157" s="214">
        <v>-62.34</v>
      </c>
      <c r="H157" s="214" t="s">
        <v>1203</v>
      </c>
      <c r="I157" s="174" t="s">
        <v>1469</v>
      </c>
      <c r="J157" s="713" t="str">
        <f t="shared" si="4"/>
        <v/>
      </c>
      <c r="K157" s="713" t="str">
        <f t="shared" si="5"/>
        <v/>
      </c>
      <c r="L157" s="171">
        <v>1</v>
      </c>
      <c r="M157" s="177">
        <v>39391</v>
      </c>
      <c r="N157" s="242"/>
      <c r="O157" s="242"/>
      <c r="P157" s="3"/>
      <c r="Q157" s="249">
        <v>0.34899999999999998</v>
      </c>
      <c r="R157" s="247">
        <v>1</v>
      </c>
      <c r="AA157" s="249">
        <v>0.128</v>
      </c>
      <c r="AB157" s="247">
        <v>1</v>
      </c>
      <c r="AG157" s="247">
        <f>Table2[[#This Row],[xFOSAs]]+Table2[[#This Row],[xFOSEs]]</f>
        <v>0.47699999999999998</v>
      </c>
      <c r="AH157" s="247" t="s">
        <v>869</v>
      </c>
      <c r="AJ157" s="1" t="s">
        <v>776</v>
      </c>
      <c r="AK157" s="1" t="s">
        <v>736</v>
      </c>
    </row>
    <row r="158" spans="1:37" x14ac:dyDescent="0.25">
      <c r="A158" s="214" t="s">
        <v>774</v>
      </c>
      <c r="B158" s="214" t="s">
        <v>775</v>
      </c>
      <c r="C158" s="214" t="s">
        <v>884</v>
      </c>
      <c r="D158" s="170">
        <v>82.5</v>
      </c>
      <c r="E158" s="214">
        <v>-62.34</v>
      </c>
      <c r="F158" s="174">
        <v>82.5</v>
      </c>
      <c r="G158" s="214">
        <v>-62.34</v>
      </c>
      <c r="H158" s="214" t="s">
        <v>1203</v>
      </c>
      <c r="I158" s="174" t="s">
        <v>1469</v>
      </c>
      <c r="J158" s="713" t="str">
        <f t="shared" si="4"/>
        <v/>
      </c>
      <c r="K158" s="713" t="str">
        <f t="shared" si="5"/>
        <v/>
      </c>
      <c r="L158" s="171">
        <v>1</v>
      </c>
      <c r="M158" s="177">
        <v>39405</v>
      </c>
      <c r="N158" s="242"/>
      <c r="O158" s="242"/>
      <c r="P158" s="3"/>
      <c r="Q158" s="249">
        <v>0.309</v>
      </c>
      <c r="R158" s="247">
        <v>1</v>
      </c>
      <c r="AA158" s="249">
        <v>0.16400000000000001</v>
      </c>
      <c r="AB158" s="247">
        <v>1</v>
      </c>
      <c r="AG158" s="247">
        <f>Table2[[#This Row],[xFOSAs]]+Table2[[#This Row],[xFOSEs]]</f>
        <v>0.47299999999999998</v>
      </c>
      <c r="AH158" s="247" t="s">
        <v>869</v>
      </c>
      <c r="AJ158" s="1" t="s">
        <v>776</v>
      </c>
      <c r="AK158" s="1" t="s">
        <v>736</v>
      </c>
    </row>
    <row r="159" spans="1:37" x14ac:dyDescent="0.25">
      <c r="A159" s="214" t="s">
        <v>774</v>
      </c>
      <c r="B159" s="214" t="s">
        <v>775</v>
      </c>
      <c r="C159" s="214" t="s">
        <v>884</v>
      </c>
      <c r="D159" s="170">
        <v>82.5</v>
      </c>
      <c r="E159" s="214">
        <v>-62.34</v>
      </c>
      <c r="F159" s="174">
        <v>82.5</v>
      </c>
      <c r="G159" s="214">
        <v>-62.34</v>
      </c>
      <c r="H159" s="214" t="s">
        <v>1203</v>
      </c>
      <c r="I159" s="174" t="s">
        <v>1469</v>
      </c>
      <c r="J159" s="713" t="str">
        <f t="shared" si="4"/>
        <v/>
      </c>
      <c r="K159" s="713" t="str">
        <f t="shared" si="5"/>
        <v/>
      </c>
      <c r="L159" s="171">
        <v>1</v>
      </c>
      <c r="M159" s="177">
        <v>39426</v>
      </c>
      <c r="N159" s="242"/>
      <c r="O159" s="242"/>
      <c r="P159" s="3"/>
      <c r="Q159" s="249">
        <v>0.36299999999999999</v>
      </c>
      <c r="R159" s="247">
        <v>1</v>
      </c>
      <c r="AA159" s="249">
        <v>0.20300000000000001</v>
      </c>
      <c r="AB159" s="247">
        <v>1</v>
      </c>
      <c r="AG159" s="247">
        <f>Table2[[#This Row],[xFOSAs]]+Table2[[#This Row],[xFOSEs]]</f>
        <v>0.56600000000000006</v>
      </c>
      <c r="AH159" s="247" t="s">
        <v>869</v>
      </c>
      <c r="AJ159" s="1" t="s">
        <v>776</v>
      </c>
      <c r="AK159" s="1" t="s">
        <v>736</v>
      </c>
    </row>
    <row r="160" spans="1:37" x14ac:dyDescent="0.25">
      <c r="A160" s="214" t="s">
        <v>774</v>
      </c>
      <c r="B160" s="214" t="s">
        <v>775</v>
      </c>
      <c r="C160" s="214" t="s">
        <v>884</v>
      </c>
      <c r="D160" s="170">
        <v>82.5</v>
      </c>
      <c r="E160" s="214">
        <v>-62.34</v>
      </c>
      <c r="F160" s="174">
        <v>82.5</v>
      </c>
      <c r="G160" s="214">
        <v>-62.34</v>
      </c>
      <c r="H160" s="214" t="s">
        <v>1203</v>
      </c>
      <c r="I160" s="174" t="s">
        <v>1469</v>
      </c>
      <c r="J160" s="713" t="str">
        <f t="shared" si="4"/>
        <v/>
      </c>
      <c r="K160" s="713" t="str">
        <f t="shared" si="5"/>
        <v/>
      </c>
      <c r="L160" s="171">
        <v>1</v>
      </c>
      <c r="M160" s="177">
        <v>39461</v>
      </c>
      <c r="N160" s="242"/>
      <c r="O160" s="242"/>
      <c r="P160" s="3"/>
      <c r="Q160" s="249">
        <v>0.39800000000000002</v>
      </c>
      <c r="R160" s="247">
        <v>1</v>
      </c>
      <c r="AA160" s="249">
        <v>0.95899999999999996</v>
      </c>
      <c r="AB160" s="247">
        <v>1</v>
      </c>
      <c r="AG160" s="247">
        <f>Table2[[#This Row],[xFOSAs]]+Table2[[#This Row],[xFOSEs]]</f>
        <v>1.357</v>
      </c>
      <c r="AH160" s="247" t="s">
        <v>869</v>
      </c>
      <c r="AJ160" s="1" t="s">
        <v>776</v>
      </c>
      <c r="AK160" s="1" t="s">
        <v>736</v>
      </c>
    </row>
    <row r="161" spans="1:37" x14ac:dyDescent="0.25">
      <c r="A161" s="214" t="s">
        <v>774</v>
      </c>
      <c r="B161" s="214" t="s">
        <v>775</v>
      </c>
      <c r="C161" s="214" t="s">
        <v>884</v>
      </c>
      <c r="D161" s="170">
        <v>82.5</v>
      </c>
      <c r="E161" s="214">
        <v>-62.34</v>
      </c>
      <c r="F161" s="174">
        <v>82.5</v>
      </c>
      <c r="G161" s="214">
        <v>-62.34</v>
      </c>
      <c r="H161" s="214" t="s">
        <v>1203</v>
      </c>
      <c r="I161" s="174" t="s">
        <v>1469</v>
      </c>
      <c r="J161" s="713" t="str">
        <f t="shared" si="4"/>
        <v/>
      </c>
      <c r="K161" s="713" t="str">
        <f t="shared" si="5"/>
        <v/>
      </c>
      <c r="L161" s="171">
        <v>1</v>
      </c>
      <c r="M161" s="177">
        <v>39489</v>
      </c>
      <c r="N161" s="242"/>
      <c r="O161" s="242"/>
      <c r="P161" s="3"/>
      <c r="Q161" s="249">
        <v>0.44800000000000001</v>
      </c>
      <c r="R161" s="247">
        <v>1</v>
      </c>
      <c r="AA161" s="249">
        <v>4.2720000000000002</v>
      </c>
      <c r="AB161" s="247">
        <v>1</v>
      </c>
      <c r="AG161" s="247">
        <f>Table2[[#This Row],[xFOSAs]]+Table2[[#This Row],[xFOSEs]]</f>
        <v>4.7200000000000006</v>
      </c>
      <c r="AH161" s="247" t="s">
        <v>869</v>
      </c>
      <c r="AJ161" s="1" t="s">
        <v>776</v>
      </c>
      <c r="AK161" s="1" t="s">
        <v>736</v>
      </c>
    </row>
    <row r="162" spans="1:37" x14ac:dyDescent="0.25">
      <c r="A162" s="214" t="s">
        <v>774</v>
      </c>
      <c r="B162" s="214" t="s">
        <v>775</v>
      </c>
      <c r="C162" s="214" t="s">
        <v>884</v>
      </c>
      <c r="D162" s="170">
        <v>82.5</v>
      </c>
      <c r="E162" s="214">
        <v>-62.34</v>
      </c>
      <c r="F162" s="174">
        <v>82.5</v>
      </c>
      <c r="G162" s="214">
        <v>-62.34</v>
      </c>
      <c r="H162" s="214" t="s">
        <v>1203</v>
      </c>
      <c r="I162" s="174" t="s">
        <v>1469</v>
      </c>
      <c r="J162" s="713" t="str">
        <f t="shared" si="4"/>
        <v/>
      </c>
      <c r="K162" s="713" t="str">
        <f t="shared" si="5"/>
        <v/>
      </c>
      <c r="L162" s="171">
        <v>1</v>
      </c>
      <c r="M162" s="177">
        <v>39518</v>
      </c>
      <c r="N162" s="242"/>
      <c r="O162" s="242"/>
      <c r="P162" s="3"/>
      <c r="Q162" s="249">
        <v>0.55100000000000005</v>
      </c>
      <c r="R162" s="247">
        <v>1</v>
      </c>
      <c r="AA162" s="249">
        <v>4.5179999999999998</v>
      </c>
      <c r="AB162" s="247">
        <v>1</v>
      </c>
      <c r="AG162" s="247">
        <f>Table2[[#This Row],[xFOSAs]]+Table2[[#This Row],[xFOSEs]]</f>
        <v>5.069</v>
      </c>
      <c r="AH162" s="247" t="s">
        <v>869</v>
      </c>
      <c r="AJ162" s="1" t="s">
        <v>776</v>
      </c>
      <c r="AK162" s="1" t="s">
        <v>736</v>
      </c>
    </row>
    <row r="163" spans="1:37" x14ac:dyDescent="0.25">
      <c r="A163" s="214" t="s">
        <v>774</v>
      </c>
      <c r="B163" s="214" t="s">
        <v>775</v>
      </c>
      <c r="C163" s="214" t="s">
        <v>884</v>
      </c>
      <c r="D163" s="170">
        <v>82.5</v>
      </c>
      <c r="E163" s="214">
        <v>-62.34</v>
      </c>
      <c r="F163" s="174">
        <v>82.5</v>
      </c>
      <c r="G163" s="214">
        <v>-62.34</v>
      </c>
      <c r="H163" s="214" t="s">
        <v>1203</v>
      </c>
      <c r="I163" s="174" t="s">
        <v>1469</v>
      </c>
      <c r="J163" s="713" t="str">
        <f t="shared" si="4"/>
        <v/>
      </c>
      <c r="K163" s="713" t="str">
        <f t="shared" si="5"/>
        <v/>
      </c>
      <c r="L163" s="171">
        <v>1</v>
      </c>
      <c r="M163" s="177">
        <v>39531</v>
      </c>
      <c r="N163" s="242"/>
      <c r="O163" s="242"/>
      <c r="P163" s="3"/>
      <c r="Q163" s="249">
        <v>0.35599999999999998</v>
      </c>
      <c r="R163" s="247">
        <v>1</v>
      </c>
      <c r="AA163" s="249">
        <v>3.605</v>
      </c>
      <c r="AB163" s="247">
        <v>1</v>
      </c>
      <c r="AG163" s="247">
        <f>Table2[[#This Row],[xFOSAs]]+Table2[[#This Row],[xFOSEs]]</f>
        <v>3.9609999999999999</v>
      </c>
      <c r="AH163" s="247" t="s">
        <v>869</v>
      </c>
      <c r="AJ163" s="1" t="s">
        <v>776</v>
      </c>
      <c r="AK163" s="1" t="s">
        <v>736</v>
      </c>
    </row>
    <row r="164" spans="1:37" x14ac:dyDescent="0.25">
      <c r="A164" s="214" t="s">
        <v>774</v>
      </c>
      <c r="B164" s="214" t="s">
        <v>775</v>
      </c>
      <c r="C164" s="214" t="s">
        <v>884</v>
      </c>
      <c r="D164" s="170">
        <v>82.5</v>
      </c>
      <c r="E164" s="214">
        <v>-62.34</v>
      </c>
      <c r="F164" s="174">
        <v>82.5</v>
      </c>
      <c r="G164" s="214">
        <v>-62.34</v>
      </c>
      <c r="H164" s="214" t="s">
        <v>1203</v>
      </c>
      <c r="I164" s="174" t="s">
        <v>1469</v>
      </c>
      <c r="J164" s="713" t="str">
        <f t="shared" ref="J164:J227" si="6">IF(R164=0,"yes","")</f>
        <v/>
      </c>
      <c r="K164" s="713" t="str">
        <f t="shared" ref="K164:K227" si="7">IF(AB164=0,"yes","")</f>
        <v/>
      </c>
      <c r="L164" s="171">
        <v>1</v>
      </c>
      <c r="M164" s="177">
        <v>39545</v>
      </c>
      <c r="N164" s="242"/>
      <c r="O164" s="242"/>
      <c r="P164" s="3"/>
      <c r="Q164" s="249">
        <v>0.57199999999999995</v>
      </c>
      <c r="R164" s="247">
        <v>1</v>
      </c>
      <c r="AA164" s="249">
        <v>3.9260000000000002</v>
      </c>
      <c r="AB164" s="247">
        <v>1</v>
      </c>
      <c r="AG164" s="247">
        <f>Table2[[#This Row],[xFOSAs]]+Table2[[#This Row],[xFOSEs]]</f>
        <v>4.4980000000000002</v>
      </c>
      <c r="AH164" s="247" t="s">
        <v>869</v>
      </c>
      <c r="AJ164" s="1" t="s">
        <v>776</v>
      </c>
      <c r="AK164" s="1" t="s">
        <v>736</v>
      </c>
    </row>
    <row r="165" spans="1:37" x14ac:dyDescent="0.25">
      <c r="A165" s="214" t="s">
        <v>774</v>
      </c>
      <c r="B165" s="214" t="s">
        <v>775</v>
      </c>
      <c r="C165" s="214" t="s">
        <v>884</v>
      </c>
      <c r="D165" s="170">
        <v>82.5</v>
      </c>
      <c r="E165" s="214">
        <v>-62.34</v>
      </c>
      <c r="F165" s="174">
        <v>82.5</v>
      </c>
      <c r="G165" s="214">
        <v>-62.34</v>
      </c>
      <c r="H165" s="214" t="s">
        <v>1203</v>
      </c>
      <c r="I165" s="174" t="s">
        <v>1469</v>
      </c>
      <c r="J165" s="713" t="str">
        <f t="shared" si="6"/>
        <v/>
      </c>
      <c r="K165" s="713" t="str">
        <f t="shared" si="7"/>
        <v/>
      </c>
      <c r="L165" s="171">
        <v>1</v>
      </c>
      <c r="M165" s="177">
        <v>39559</v>
      </c>
      <c r="N165" s="242"/>
      <c r="O165" s="242"/>
      <c r="P165" s="3"/>
      <c r="Q165" s="249">
        <v>8.1000000000000003E-2</v>
      </c>
      <c r="R165" s="247" t="s">
        <v>446</v>
      </c>
      <c r="AA165" s="249">
        <v>3.105</v>
      </c>
      <c r="AB165" s="247">
        <v>1</v>
      </c>
      <c r="AG165" s="247">
        <f>Table2[[#This Row],[xFOSAs]]+Table2[[#This Row],[xFOSEs]]</f>
        <v>3.1859999999999999</v>
      </c>
      <c r="AH165" s="247" t="s">
        <v>869</v>
      </c>
      <c r="AJ165" s="1" t="s">
        <v>776</v>
      </c>
      <c r="AK165" s="1" t="s">
        <v>736</v>
      </c>
    </row>
    <row r="166" spans="1:37" x14ac:dyDescent="0.25">
      <c r="A166" s="214" t="s">
        <v>774</v>
      </c>
      <c r="B166" s="214" t="s">
        <v>775</v>
      </c>
      <c r="C166" s="214" t="s">
        <v>884</v>
      </c>
      <c r="D166" s="170">
        <v>82.5</v>
      </c>
      <c r="E166" s="214">
        <v>-62.34</v>
      </c>
      <c r="F166" s="174">
        <v>82.5</v>
      </c>
      <c r="G166" s="214">
        <v>-62.34</v>
      </c>
      <c r="H166" s="214" t="s">
        <v>1203</v>
      </c>
      <c r="I166" s="174" t="s">
        <v>1469</v>
      </c>
      <c r="J166" s="713" t="str">
        <f t="shared" si="6"/>
        <v/>
      </c>
      <c r="K166" s="713" t="str">
        <f t="shared" si="7"/>
        <v/>
      </c>
      <c r="L166" s="171">
        <v>1</v>
      </c>
      <c r="M166" s="177">
        <v>39573</v>
      </c>
      <c r="N166" s="242"/>
      <c r="O166" s="242"/>
      <c r="P166" s="3"/>
      <c r="Q166" s="249">
        <v>0.115</v>
      </c>
      <c r="R166" s="247">
        <v>1</v>
      </c>
      <c r="AA166" s="249">
        <v>3.1</v>
      </c>
      <c r="AB166" s="247">
        <v>1</v>
      </c>
      <c r="AG166" s="247">
        <f>Table2[[#This Row],[xFOSAs]]+Table2[[#This Row],[xFOSEs]]</f>
        <v>3.2150000000000003</v>
      </c>
      <c r="AH166" s="247" t="s">
        <v>869</v>
      </c>
      <c r="AJ166" s="1" t="s">
        <v>776</v>
      </c>
      <c r="AK166" s="1" t="s">
        <v>736</v>
      </c>
    </row>
    <row r="167" spans="1:37" x14ac:dyDescent="0.25">
      <c r="A167" s="214" t="s">
        <v>774</v>
      </c>
      <c r="B167" s="214" t="s">
        <v>775</v>
      </c>
      <c r="C167" s="214" t="s">
        <v>884</v>
      </c>
      <c r="D167" s="170">
        <v>82.5</v>
      </c>
      <c r="E167" s="214">
        <v>-62.34</v>
      </c>
      <c r="F167" s="174">
        <v>82.5</v>
      </c>
      <c r="G167" s="214">
        <v>-62.34</v>
      </c>
      <c r="H167" s="214" t="s">
        <v>1203</v>
      </c>
      <c r="I167" s="174" t="s">
        <v>1469</v>
      </c>
      <c r="J167" s="713" t="str">
        <f t="shared" si="6"/>
        <v/>
      </c>
      <c r="K167" s="713" t="str">
        <f t="shared" si="7"/>
        <v/>
      </c>
      <c r="L167" s="171">
        <v>1</v>
      </c>
      <c r="M167" s="177">
        <v>39587</v>
      </c>
      <c r="N167" s="242"/>
      <c r="O167" s="242"/>
      <c r="P167" s="3"/>
      <c r="Q167" s="249">
        <v>0.16</v>
      </c>
      <c r="R167" s="247">
        <v>1</v>
      </c>
      <c r="AA167" s="249">
        <v>2.282</v>
      </c>
      <c r="AB167" s="247">
        <v>1</v>
      </c>
      <c r="AG167" s="247">
        <f>Table2[[#This Row],[xFOSAs]]+Table2[[#This Row],[xFOSEs]]</f>
        <v>2.4420000000000002</v>
      </c>
      <c r="AH167" s="247" t="s">
        <v>869</v>
      </c>
      <c r="AJ167" s="1" t="s">
        <v>776</v>
      </c>
      <c r="AK167" s="1" t="s">
        <v>736</v>
      </c>
    </row>
    <row r="168" spans="1:37" x14ac:dyDescent="0.25">
      <c r="A168" s="214" t="s">
        <v>774</v>
      </c>
      <c r="B168" s="214" t="s">
        <v>775</v>
      </c>
      <c r="C168" s="214" t="s">
        <v>884</v>
      </c>
      <c r="D168" s="170">
        <v>82.5</v>
      </c>
      <c r="E168" s="214">
        <v>-62.34</v>
      </c>
      <c r="F168" s="174">
        <v>82.5</v>
      </c>
      <c r="G168" s="214">
        <v>-62.34</v>
      </c>
      <c r="H168" s="214" t="s">
        <v>1203</v>
      </c>
      <c r="I168" s="174" t="s">
        <v>1469</v>
      </c>
      <c r="J168" s="713" t="str">
        <f t="shared" si="6"/>
        <v/>
      </c>
      <c r="K168" s="713" t="str">
        <f t="shared" si="7"/>
        <v/>
      </c>
      <c r="L168" s="171">
        <v>1</v>
      </c>
      <c r="M168" s="177">
        <v>39601</v>
      </c>
      <c r="N168" s="242"/>
      <c r="O168" s="242"/>
      <c r="P168" s="3"/>
      <c r="Q168" s="249">
        <v>8.8999999999999996E-2</v>
      </c>
      <c r="R168" s="247">
        <v>1</v>
      </c>
      <c r="AA168" s="249">
        <v>2.3820000000000001</v>
      </c>
      <c r="AB168" s="247">
        <v>1</v>
      </c>
      <c r="AG168" s="247">
        <f>Table2[[#This Row],[xFOSAs]]+Table2[[#This Row],[xFOSEs]]</f>
        <v>2.4710000000000001</v>
      </c>
      <c r="AH168" s="247" t="s">
        <v>869</v>
      </c>
      <c r="AJ168" s="1" t="s">
        <v>776</v>
      </c>
      <c r="AK168" s="1" t="s">
        <v>736</v>
      </c>
    </row>
    <row r="169" spans="1:37" x14ac:dyDescent="0.25">
      <c r="A169" s="214" t="s">
        <v>774</v>
      </c>
      <c r="B169" s="214" t="s">
        <v>775</v>
      </c>
      <c r="C169" s="214" t="s">
        <v>884</v>
      </c>
      <c r="D169" s="170">
        <v>82.5</v>
      </c>
      <c r="E169" s="214">
        <v>-62.34</v>
      </c>
      <c r="F169" s="174">
        <v>82.5</v>
      </c>
      <c r="G169" s="214">
        <v>-62.34</v>
      </c>
      <c r="H169" s="214" t="s">
        <v>1203</v>
      </c>
      <c r="I169" s="174" t="s">
        <v>1469</v>
      </c>
      <c r="J169" s="713" t="str">
        <f t="shared" si="6"/>
        <v/>
      </c>
      <c r="K169" s="713" t="str">
        <f t="shared" si="7"/>
        <v/>
      </c>
      <c r="L169" s="171">
        <v>1</v>
      </c>
      <c r="M169" s="177">
        <v>39615</v>
      </c>
      <c r="N169" s="242"/>
      <c r="O169" s="242"/>
      <c r="P169" s="3"/>
      <c r="Q169" s="249">
        <v>0.104</v>
      </c>
      <c r="R169" s="247">
        <v>1</v>
      </c>
      <c r="AA169" s="249">
        <v>2.484</v>
      </c>
      <c r="AB169" s="247">
        <v>1</v>
      </c>
      <c r="AG169" s="247">
        <f>Table2[[#This Row],[xFOSAs]]+Table2[[#This Row],[xFOSEs]]</f>
        <v>2.5880000000000001</v>
      </c>
      <c r="AH169" s="247" t="s">
        <v>869</v>
      </c>
      <c r="AJ169" s="1" t="s">
        <v>776</v>
      </c>
      <c r="AK169" s="1" t="s">
        <v>736</v>
      </c>
    </row>
    <row r="170" spans="1:37" x14ac:dyDescent="0.25">
      <c r="A170" s="214" t="s">
        <v>774</v>
      </c>
      <c r="B170" s="214" t="s">
        <v>775</v>
      </c>
      <c r="C170" s="214" t="s">
        <v>884</v>
      </c>
      <c r="D170" s="170">
        <v>82.5</v>
      </c>
      <c r="E170" s="214">
        <v>-62.34</v>
      </c>
      <c r="F170" s="174">
        <v>82.5</v>
      </c>
      <c r="G170" s="214">
        <v>-62.34</v>
      </c>
      <c r="H170" s="214" t="s">
        <v>1203</v>
      </c>
      <c r="I170" s="174" t="s">
        <v>1469</v>
      </c>
      <c r="J170" s="713" t="str">
        <f t="shared" si="6"/>
        <v/>
      </c>
      <c r="K170" s="713" t="str">
        <f t="shared" si="7"/>
        <v/>
      </c>
      <c r="L170" s="171">
        <v>1</v>
      </c>
      <c r="M170" s="177">
        <v>39629</v>
      </c>
      <c r="N170" s="242"/>
      <c r="O170" s="242"/>
      <c r="P170" s="3"/>
      <c r="Q170" s="249">
        <v>0.126</v>
      </c>
      <c r="R170" s="247">
        <v>1</v>
      </c>
      <c r="AA170" s="249">
        <v>2.504</v>
      </c>
      <c r="AB170" s="247">
        <v>1</v>
      </c>
      <c r="AG170" s="247">
        <f>Table2[[#This Row],[xFOSAs]]+Table2[[#This Row],[xFOSEs]]</f>
        <v>2.63</v>
      </c>
      <c r="AH170" s="247" t="s">
        <v>869</v>
      </c>
      <c r="AJ170" s="1" t="s">
        <v>776</v>
      </c>
      <c r="AK170" s="1" t="s">
        <v>736</v>
      </c>
    </row>
    <row r="171" spans="1:37" x14ac:dyDescent="0.25">
      <c r="A171" s="214" t="s">
        <v>774</v>
      </c>
      <c r="B171" s="214" t="s">
        <v>775</v>
      </c>
      <c r="C171" s="214" t="s">
        <v>884</v>
      </c>
      <c r="D171" s="170">
        <v>82.5</v>
      </c>
      <c r="E171" s="214">
        <v>-62.34</v>
      </c>
      <c r="F171" s="174">
        <v>82.5</v>
      </c>
      <c r="G171" s="214">
        <v>-62.34</v>
      </c>
      <c r="H171" s="214" t="s">
        <v>1203</v>
      </c>
      <c r="I171" s="174" t="s">
        <v>1469</v>
      </c>
      <c r="J171" s="713" t="str">
        <f t="shared" si="6"/>
        <v/>
      </c>
      <c r="K171" s="713" t="str">
        <f t="shared" si="7"/>
        <v/>
      </c>
      <c r="L171" s="171">
        <v>1</v>
      </c>
      <c r="M171" s="177">
        <v>39643</v>
      </c>
      <c r="N171" s="242"/>
      <c r="O171" s="242"/>
      <c r="P171" s="3"/>
      <c r="Q171" s="249">
        <v>4.1000000000000002E-2</v>
      </c>
      <c r="R171" s="247" t="s">
        <v>446</v>
      </c>
      <c r="AA171" s="249">
        <v>2.9980000000000002</v>
      </c>
      <c r="AB171" s="247">
        <v>1</v>
      </c>
      <c r="AG171" s="247">
        <f>Table2[[#This Row],[xFOSAs]]+Table2[[#This Row],[xFOSEs]]</f>
        <v>3.0390000000000001</v>
      </c>
      <c r="AH171" s="247" t="s">
        <v>869</v>
      </c>
      <c r="AJ171" s="1" t="s">
        <v>776</v>
      </c>
      <c r="AK171" s="1" t="s">
        <v>736</v>
      </c>
    </row>
    <row r="172" spans="1:37" x14ac:dyDescent="0.25">
      <c r="A172" s="214" t="s">
        <v>774</v>
      </c>
      <c r="B172" s="214" t="s">
        <v>775</v>
      </c>
      <c r="C172" s="214" t="s">
        <v>884</v>
      </c>
      <c r="D172" s="170">
        <v>82.5</v>
      </c>
      <c r="E172" s="214">
        <v>-62.34</v>
      </c>
      <c r="F172" s="174">
        <v>82.5</v>
      </c>
      <c r="G172" s="214">
        <v>-62.34</v>
      </c>
      <c r="H172" s="214" t="s">
        <v>1203</v>
      </c>
      <c r="I172" s="174" t="s">
        <v>1469</v>
      </c>
      <c r="J172" s="713" t="str">
        <f t="shared" si="6"/>
        <v/>
      </c>
      <c r="K172" s="713" t="str">
        <f t="shared" si="7"/>
        <v/>
      </c>
      <c r="L172" s="171">
        <v>1</v>
      </c>
      <c r="M172" s="177">
        <v>39657</v>
      </c>
      <c r="N172" s="242"/>
      <c r="O172" s="242"/>
      <c r="P172" s="3"/>
      <c r="Q172" s="249">
        <v>4.3999999999999997E-2</v>
      </c>
      <c r="R172" s="247" t="s">
        <v>446</v>
      </c>
      <c r="AA172" s="249">
        <v>3.6669999999999998</v>
      </c>
      <c r="AB172" s="247">
        <v>1</v>
      </c>
      <c r="AG172" s="247">
        <f>Table2[[#This Row],[xFOSAs]]+Table2[[#This Row],[xFOSEs]]</f>
        <v>3.7109999999999999</v>
      </c>
      <c r="AH172" s="247" t="s">
        <v>869</v>
      </c>
      <c r="AJ172" s="1" t="s">
        <v>776</v>
      </c>
      <c r="AK172" s="1" t="s">
        <v>736</v>
      </c>
    </row>
    <row r="173" spans="1:37" x14ac:dyDescent="0.25">
      <c r="A173" s="214" t="s">
        <v>774</v>
      </c>
      <c r="B173" s="214" t="s">
        <v>775</v>
      </c>
      <c r="C173" s="214" t="s">
        <v>884</v>
      </c>
      <c r="D173" s="170">
        <v>82.5</v>
      </c>
      <c r="E173" s="214">
        <v>-62.34</v>
      </c>
      <c r="F173" s="174">
        <v>82.5</v>
      </c>
      <c r="G173" s="214">
        <v>-62.34</v>
      </c>
      <c r="H173" s="214" t="s">
        <v>1203</v>
      </c>
      <c r="I173" s="174" t="s">
        <v>1469</v>
      </c>
      <c r="J173" s="713" t="str">
        <f t="shared" si="6"/>
        <v/>
      </c>
      <c r="K173" s="713" t="str">
        <f t="shared" si="7"/>
        <v/>
      </c>
      <c r="L173" s="171">
        <v>1</v>
      </c>
      <c r="M173" s="177">
        <v>39671</v>
      </c>
      <c r="N173" s="242"/>
      <c r="O173" s="242"/>
      <c r="P173" s="3"/>
      <c r="Q173" s="249">
        <v>5.8999999999999997E-2</v>
      </c>
      <c r="R173" s="247" t="s">
        <v>446</v>
      </c>
      <c r="AA173" s="249">
        <v>1.9279999999999999</v>
      </c>
      <c r="AB173" s="247">
        <v>1</v>
      </c>
      <c r="AG173" s="247">
        <f>Table2[[#This Row],[xFOSAs]]+Table2[[#This Row],[xFOSEs]]</f>
        <v>1.9869999999999999</v>
      </c>
      <c r="AH173" s="247" t="s">
        <v>869</v>
      </c>
      <c r="AJ173" s="1" t="s">
        <v>776</v>
      </c>
      <c r="AK173" s="1" t="s">
        <v>736</v>
      </c>
    </row>
    <row r="174" spans="1:37" x14ac:dyDescent="0.25">
      <c r="A174" s="214" t="s">
        <v>774</v>
      </c>
      <c r="B174" s="214" t="s">
        <v>775</v>
      </c>
      <c r="C174" s="214" t="s">
        <v>884</v>
      </c>
      <c r="D174" s="170">
        <v>82.5</v>
      </c>
      <c r="E174" s="214">
        <v>-62.34</v>
      </c>
      <c r="F174" s="174">
        <v>82.5</v>
      </c>
      <c r="G174" s="214">
        <v>-62.34</v>
      </c>
      <c r="H174" s="214" t="s">
        <v>1203</v>
      </c>
      <c r="I174" s="174" t="s">
        <v>1469</v>
      </c>
      <c r="J174" s="713" t="str">
        <f t="shared" si="6"/>
        <v/>
      </c>
      <c r="K174" s="713" t="str">
        <f t="shared" si="7"/>
        <v/>
      </c>
      <c r="L174" s="171">
        <v>1</v>
      </c>
      <c r="M174" s="177">
        <v>39685</v>
      </c>
      <c r="N174" s="242"/>
      <c r="O174" s="242"/>
      <c r="P174" s="3"/>
      <c r="Q174" s="249">
        <v>2.5000000000000001E-2</v>
      </c>
      <c r="R174" s="247" t="s">
        <v>446</v>
      </c>
      <c r="AA174" s="249">
        <v>0.60599999999999998</v>
      </c>
      <c r="AB174" s="247">
        <v>1</v>
      </c>
      <c r="AG174" s="247">
        <f>Table2[[#This Row],[xFOSAs]]+Table2[[#This Row],[xFOSEs]]</f>
        <v>0.63100000000000001</v>
      </c>
      <c r="AH174" s="247" t="s">
        <v>869</v>
      </c>
      <c r="AJ174" s="1" t="s">
        <v>776</v>
      </c>
      <c r="AK174" s="1" t="s">
        <v>736</v>
      </c>
    </row>
    <row r="175" spans="1:37" x14ac:dyDescent="0.25">
      <c r="A175" s="214" t="s">
        <v>774</v>
      </c>
      <c r="B175" s="214" t="s">
        <v>775</v>
      </c>
      <c r="C175" s="214" t="s">
        <v>884</v>
      </c>
      <c r="D175" s="170">
        <v>82.5</v>
      </c>
      <c r="E175" s="214">
        <v>-62.34</v>
      </c>
      <c r="F175" s="174">
        <v>82.5</v>
      </c>
      <c r="G175" s="214">
        <v>-62.34</v>
      </c>
      <c r="H175" s="214" t="s">
        <v>1203</v>
      </c>
      <c r="I175" s="174" t="s">
        <v>1469</v>
      </c>
      <c r="J175" s="713" t="str">
        <f t="shared" si="6"/>
        <v/>
      </c>
      <c r="K175" s="713" t="str">
        <f t="shared" si="7"/>
        <v/>
      </c>
      <c r="L175" s="171">
        <v>1</v>
      </c>
      <c r="M175" s="177">
        <v>39699</v>
      </c>
      <c r="N175" s="242"/>
      <c r="O175" s="242"/>
      <c r="P175" s="3"/>
      <c r="Q175" s="249">
        <v>1.7000000000000001E-2</v>
      </c>
      <c r="R175" s="247" t="s">
        <v>446</v>
      </c>
      <c r="AA175" s="249">
        <v>1.3129999999999999</v>
      </c>
      <c r="AB175" s="247">
        <v>1</v>
      </c>
      <c r="AG175" s="247">
        <f>Table2[[#This Row],[xFOSAs]]+Table2[[#This Row],[xFOSEs]]</f>
        <v>1.3299999999999998</v>
      </c>
      <c r="AH175" s="247" t="s">
        <v>869</v>
      </c>
      <c r="AJ175" s="1" t="s">
        <v>776</v>
      </c>
      <c r="AK175" s="1" t="s">
        <v>736</v>
      </c>
    </row>
    <row r="176" spans="1:37" x14ac:dyDescent="0.25">
      <c r="A176" s="214" t="s">
        <v>774</v>
      </c>
      <c r="B176" s="214" t="s">
        <v>775</v>
      </c>
      <c r="C176" s="214" t="s">
        <v>884</v>
      </c>
      <c r="D176" s="170">
        <v>82.5</v>
      </c>
      <c r="E176" s="214">
        <v>-62.34</v>
      </c>
      <c r="F176" s="174">
        <v>82.5</v>
      </c>
      <c r="G176" s="214">
        <v>-62.34</v>
      </c>
      <c r="H176" s="214" t="s">
        <v>1203</v>
      </c>
      <c r="I176" s="174" t="s">
        <v>1469</v>
      </c>
      <c r="J176" s="713" t="str">
        <f t="shared" si="6"/>
        <v/>
      </c>
      <c r="K176" s="713" t="str">
        <f t="shared" si="7"/>
        <v/>
      </c>
      <c r="L176" s="171">
        <v>1</v>
      </c>
      <c r="M176" s="177">
        <v>39713</v>
      </c>
      <c r="N176" s="242"/>
      <c r="O176" s="242"/>
      <c r="P176" s="3"/>
      <c r="Q176" s="249">
        <v>3.5999999999999997E-2</v>
      </c>
      <c r="R176" s="247" t="s">
        <v>446</v>
      </c>
      <c r="AA176" s="249">
        <v>1.2430000000000001</v>
      </c>
      <c r="AB176" s="247">
        <v>1</v>
      </c>
      <c r="AG176" s="247">
        <f>Table2[[#This Row],[xFOSAs]]+Table2[[#This Row],[xFOSEs]]</f>
        <v>1.2790000000000001</v>
      </c>
      <c r="AH176" s="247" t="s">
        <v>869</v>
      </c>
      <c r="AJ176" s="1" t="s">
        <v>776</v>
      </c>
      <c r="AK176" s="1" t="s">
        <v>736</v>
      </c>
    </row>
    <row r="177" spans="1:37" x14ac:dyDescent="0.25">
      <c r="A177" s="214" t="s">
        <v>774</v>
      </c>
      <c r="B177" s="214" t="s">
        <v>775</v>
      </c>
      <c r="C177" s="214" t="s">
        <v>884</v>
      </c>
      <c r="D177" s="170">
        <v>82.5</v>
      </c>
      <c r="E177" s="214">
        <v>-62.34</v>
      </c>
      <c r="F177" s="174">
        <v>82.5</v>
      </c>
      <c r="G177" s="214">
        <v>-62.34</v>
      </c>
      <c r="H177" s="214" t="s">
        <v>1203</v>
      </c>
      <c r="I177" s="174" t="s">
        <v>1469</v>
      </c>
      <c r="J177" s="713" t="str">
        <f t="shared" si="6"/>
        <v/>
      </c>
      <c r="K177" s="713" t="str">
        <f t="shared" si="7"/>
        <v/>
      </c>
      <c r="L177" s="171">
        <v>1</v>
      </c>
      <c r="M177" s="177">
        <v>39734</v>
      </c>
      <c r="N177" s="242"/>
      <c r="O177" s="242"/>
      <c r="P177" s="3"/>
      <c r="Q177" s="249">
        <v>1.9E-2</v>
      </c>
      <c r="R177" s="247" t="s">
        <v>446</v>
      </c>
      <c r="AA177" s="249">
        <v>1.41</v>
      </c>
      <c r="AB177" s="247">
        <v>1</v>
      </c>
      <c r="AG177" s="247">
        <f>Table2[[#This Row],[xFOSAs]]+Table2[[#This Row],[xFOSEs]]</f>
        <v>1.4289999999999998</v>
      </c>
      <c r="AH177" s="247" t="s">
        <v>869</v>
      </c>
      <c r="AJ177" s="1" t="s">
        <v>776</v>
      </c>
      <c r="AK177" s="1" t="s">
        <v>736</v>
      </c>
    </row>
    <row r="178" spans="1:37" x14ac:dyDescent="0.25">
      <c r="A178" s="214" t="s">
        <v>774</v>
      </c>
      <c r="B178" s="214" t="s">
        <v>775</v>
      </c>
      <c r="C178" s="214" t="s">
        <v>884</v>
      </c>
      <c r="D178" s="170">
        <v>82.5</v>
      </c>
      <c r="E178" s="214">
        <v>-62.34</v>
      </c>
      <c r="F178" s="174">
        <v>82.5</v>
      </c>
      <c r="G178" s="214">
        <v>-62.34</v>
      </c>
      <c r="H178" s="214" t="s">
        <v>1203</v>
      </c>
      <c r="I178" s="174" t="s">
        <v>1469</v>
      </c>
      <c r="J178" s="713" t="str">
        <f t="shared" si="6"/>
        <v/>
      </c>
      <c r="K178" s="713" t="str">
        <f t="shared" si="7"/>
        <v/>
      </c>
      <c r="L178" s="171">
        <v>1</v>
      </c>
      <c r="M178" s="177">
        <v>39762</v>
      </c>
      <c r="N178" s="242"/>
      <c r="O178" s="242"/>
      <c r="P178" s="3"/>
      <c r="Q178" s="249">
        <v>6.5000000000000002E-2</v>
      </c>
      <c r="R178" s="247" t="s">
        <v>446</v>
      </c>
      <c r="AA178" s="249">
        <v>0.17</v>
      </c>
      <c r="AB178" s="247" t="s">
        <v>446</v>
      </c>
      <c r="AG178" s="247">
        <f>Table2[[#This Row],[xFOSAs]]+Table2[[#This Row],[xFOSEs]]</f>
        <v>0.23500000000000001</v>
      </c>
      <c r="AH178" s="247" t="s">
        <v>869</v>
      </c>
      <c r="AJ178" s="1" t="s">
        <v>776</v>
      </c>
      <c r="AK178" s="1" t="s">
        <v>736</v>
      </c>
    </row>
    <row r="179" spans="1:37" x14ac:dyDescent="0.25">
      <c r="A179" s="214" t="s">
        <v>774</v>
      </c>
      <c r="B179" s="214" t="s">
        <v>775</v>
      </c>
      <c r="C179" s="214" t="s">
        <v>884</v>
      </c>
      <c r="D179" s="170">
        <v>82.5</v>
      </c>
      <c r="E179" s="214">
        <v>-62.34</v>
      </c>
      <c r="F179" s="174">
        <v>82.5</v>
      </c>
      <c r="G179" s="214">
        <v>-62.34</v>
      </c>
      <c r="H179" s="214" t="s">
        <v>1203</v>
      </c>
      <c r="I179" s="174" t="s">
        <v>1469</v>
      </c>
      <c r="J179" s="713" t="str">
        <f t="shared" si="6"/>
        <v/>
      </c>
      <c r="K179" s="713" t="str">
        <f t="shared" si="7"/>
        <v/>
      </c>
      <c r="L179" s="171">
        <v>1</v>
      </c>
      <c r="M179" s="177">
        <v>39790</v>
      </c>
      <c r="N179" s="242"/>
      <c r="O179" s="242"/>
      <c r="P179" s="3"/>
      <c r="Q179" s="249">
        <v>1.7999999999999999E-2</v>
      </c>
      <c r="R179" s="247" t="s">
        <v>446</v>
      </c>
      <c r="AA179" s="249">
        <v>0.34100000000000003</v>
      </c>
      <c r="AB179" s="247">
        <v>1</v>
      </c>
      <c r="AG179" s="247">
        <f>Table2[[#This Row],[xFOSAs]]+Table2[[#This Row],[xFOSEs]]</f>
        <v>0.35900000000000004</v>
      </c>
      <c r="AH179" s="247" t="s">
        <v>869</v>
      </c>
      <c r="AJ179" s="1" t="s">
        <v>776</v>
      </c>
      <c r="AK179" s="1" t="s">
        <v>736</v>
      </c>
    </row>
    <row r="180" spans="1:37" x14ac:dyDescent="0.25">
      <c r="A180" s="214" t="s">
        <v>774</v>
      </c>
      <c r="B180" s="214" t="s">
        <v>775</v>
      </c>
      <c r="C180" s="214" t="s">
        <v>884</v>
      </c>
      <c r="D180" s="170">
        <v>82.5</v>
      </c>
      <c r="E180" s="214">
        <v>-62.34</v>
      </c>
      <c r="F180" s="174">
        <v>82.5</v>
      </c>
      <c r="G180" s="214">
        <v>-62.34</v>
      </c>
      <c r="H180" s="214" t="s">
        <v>1203</v>
      </c>
      <c r="I180" s="174" t="s">
        <v>1469</v>
      </c>
      <c r="J180" s="713" t="str">
        <f t="shared" si="6"/>
        <v/>
      </c>
      <c r="K180" s="713" t="str">
        <f t="shared" si="7"/>
        <v/>
      </c>
      <c r="L180" s="171">
        <v>1</v>
      </c>
      <c r="M180" s="177">
        <v>39818</v>
      </c>
      <c r="N180" s="242"/>
      <c r="O180" s="242"/>
      <c r="P180" s="3"/>
      <c r="Q180" s="249"/>
      <c r="R180" s="247" t="s">
        <v>446</v>
      </c>
      <c r="AA180" s="249">
        <v>1.2889999999999999</v>
      </c>
      <c r="AB180" s="247">
        <v>1</v>
      </c>
      <c r="AG180" s="247">
        <f>Table2[[#This Row],[xFOSAs]]+Table2[[#This Row],[xFOSEs]]</f>
        <v>1.2889999999999999</v>
      </c>
      <c r="AH180" s="247" t="s">
        <v>869</v>
      </c>
      <c r="AJ180" s="1" t="s">
        <v>776</v>
      </c>
      <c r="AK180" s="1" t="s">
        <v>736</v>
      </c>
    </row>
    <row r="181" spans="1:37" x14ac:dyDescent="0.25">
      <c r="A181" s="214" t="s">
        <v>774</v>
      </c>
      <c r="B181" s="214" t="s">
        <v>775</v>
      </c>
      <c r="C181" s="214" t="s">
        <v>884</v>
      </c>
      <c r="D181" s="170">
        <v>82.5</v>
      </c>
      <c r="E181" s="214">
        <v>-62.34</v>
      </c>
      <c r="F181" s="174">
        <v>82.5</v>
      </c>
      <c r="G181" s="214">
        <v>-62.34</v>
      </c>
      <c r="H181" s="214" t="s">
        <v>1203</v>
      </c>
      <c r="I181" s="174" t="s">
        <v>1469</v>
      </c>
      <c r="J181" s="713" t="str">
        <f t="shared" si="6"/>
        <v/>
      </c>
      <c r="K181" s="713" t="str">
        <f t="shared" si="7"/>
        <v/>
      </c>
      <c r="L181" s="171">
        <v>1</v>
      </c>
      <c r="M181" s="177">
        <v>39846</v>
      </c>
      <c r="N181" s="242"/>
      <c r="O181" s="242"/>
      <c r="P181" s="3"/>
      <c r="Q181" s="249"/>
      <c r="R181" s="247" t="s">
        <v>446</v>
      </c>
      <c r="AA181" s="249">
        <v>0</v>
      </c>
      <c r="AB181" s="247" t="s">
        <v>446</v>
      </c>
      <c r="AG181" s="247">
        <f>Table2[[#This Row],[xFOSAs]]+Table2[[#This Row],[xFOSEs]]</f>
        <v>0</v>
      </c>
      <c r="AH181" s="247" t="s">
        <v>869</v>
      </c>
      <c r="AJ181" s="1" t="s">
        <v>776</v>
      </c>
      <c r="AK181" s="1" t="s">
        <v>736</v>
      </c>
    </row>
    <row r="182" spans="1:37" x14ac:dyDescent="0.25">
      <c r="A182" s="214" t="s">
        <v>774</v>
      </c>
      <c r="B182" s="214" t="s">
        <v>775</v>
      </c>
      <c r="C182" s="214" t="s">
        <v>884</v>
      </c>
      <c r="D182" s="174">
        <v>82.5</v>
      </c>
      <c r="E182" s="214">
        <v>-62.34</v>
      </c>
      <c r="F182" s="174">
        <v>82.5</v>
      </c>
      <c r="G182" s="214">
        <v>-62.34</v>
      </c>
      <c r="H182" s="214" t="s">
        <v>1203</v>
      </c>
      <c r="I182" s="174" t="s">
        <v>1469</v>
      </c>
      <c r="J182" s="713" t="str">
        <f t="shared" si="6"/>
        <v/>
      </c>
      <c r="K182" s="713" t="str">
        <f t="shared" si="7"/>
        <v/>
      </c>
      <c r="L182" s="174">
        <v>1</v>
      </c>
      <c r="M182" s="242">
        <v>39874</v>
      </c>
      <c r="N182" s="242"/>
      <c r="O182" s="242"/>
      <c r="P182" s="3"/>
      <c r="Q182" s="249"/>
      <c r="R182" s="247" t="s">
        <v>446</v>
      </c>
      <c r="AA182" s="249">
        <v>5.0999999999999997E-2</v>
      </c>
      <c r="AB182" s="247" t="s">
        <v>446</v>
      </c>
      <c r="AG182" s="247">
        <f>Table2[[#This Row],[xFOSAs]]+Table2[[#This Row],[xFOSEs]]</f>
        <v>5.0999999999999997E-2</v>
      </c>
      <c r="AH182" s="247" t="s">
        <v>869</v>
      </c>
      <c r="AJ182" s="1" t="s">
        <v>776</v>
      </c>
      <c r="AK182" s="1" t="s">
        <v>736</v>
      </c>
    </row>
    <row r="183" spans="1:37" x14ac:dyDescent="0.25">
      <c r="A183" s="214" t="s">
        <v>774</v>
      </c>
      <c r="B183" s="214" t="s">
        <v>775</v>
      </c>
      <c r="C183" s="214" t="s">
        <v>884</v>
      </c>
      <c r="D183" s="170">
        <v>82.5</v>
      </c>
      <c r="E183" s="214">
        <v>-62.34</v>
      </c>
      <c r="F183" s="174">
        <v>82.5</v>
      </c>
      <c r="G183" s="214">
        <v>-62.34</v>
      </c>
      <c r="H183" s="214" t="s">
        <v>1203</v>
      </c>
      <c r="I183" s="174" t="s">
        <v>1469</v>
      </c>
      <c r="J183" s="713" t="str">
        <f t="shared" si="6"/>
        <v/>
      </c>
      <c r="K183" s="713" t="str">
        <f t="shared" si="7"/>
        <v/>
      </c>
      <c r="L183" s="171">
        <v>1</v>
      </c>
      <c r="M183" s="177">
        <v>39888</v>
      </c>
      <c r="N183" s="242"/>
      <c r="O183" s="242"/>
      <c r="P183" s="3"/>
      <c r="Q183" s="249"/>
      <c r="R183" s="247" t="s">
        <v>446</v>
      </c>
      <c r="AA183" s="249">
        <v>5.2999999999999999E-2</v>
      </c>
      <c r="AB183" s="247" t="s">
        <v>446</v>
      </c>
      <c r="AG183" s="247">
        <f>Table2[[#This Row],[xFOSAs]]+Table2[[#This Row],[xFOSEs]]</f>
        <v>5.2999999999999999E-2</v>
      </c>
      <c r="AH183" s="247" t="s">
        <v>869</v>
      </c>
      <c r="AJ183" s="1" t="s">
        <v>776</v>
      </c>
      <c r="AK183" s="1" t="s">
        <v>736</v>
      </c>
    </row>
    <row r="184" spans="1:37" x14ac:dyDescent="0.25">
      <c r="A184" s="214" t="s">
        <v>774</v>
      </c>
      <c r="B184" s="214" t="s">
        <v>775</v>
      </c>
      <c r="C184" s="214" t="s">
        <v>884</v>
      </c>
      <c r="D184" s="170">
        <v>82.5</v>
      </c>
      <c r="E184" s="214">
        <v>-62.34</v>
      </c>
      <c r="F184" s="174">
        <v>82.5</v>
      </c>
      <c r="G184" s="214">
        <v>-62.34</v>
      </c>
      <c r="H184" s="214" t="s">
        <v>1203</v>
      </c>
      <c r="I184" s="174" t="s">
        <v>1469</v>
      </c>
      <c r="J184" s="713" t="str">
        <f t="shared" si="6"/>
        <v/>
      </c>
      <c r="K184" s="713" t="str">
        <f t="shared" si="7"/>
        <v/>
      </c>
      <c r="L184" s="171">
        <v>1</v>
      </c>
      <c r="M184" s="177">
        <v>39902</v>
      </c>
      <c r="N184" s="242"/>
      <c r="O184" s="242"/>
      <c r="P184" s="3"/>
      <c r="Q184" s="249">
        <v>6.0000000000000001E-3</v>
      </c>
      <c r="R184" s="247" t="s">
        <v>446</v>
      </c>
      <c r="AA184" s="249">
        <v>0.125</v>
      </c>
      <c r="AB184" s="247" t="s">
        <v>446</v>
      </c>
      <c r="AG184" s="247">
        <f>Table2[[#This Row],[xFOSAs]]+Table2[[#This Row],[xFOSEs]]</f>
        <v>0.13100000000000001</v>
      </c>
      <c r="AH184" s="247" t="s">
        <v>869</v>
      </c>
      <c r="AJ184" s="1" t="s">
        <v>776</v>
      </c>
      <c r="AK184" s="1" t="s">
        <v>736</v>
      </c>
    </row>
    <row r="185" spans="1:37" x14ac:dyDescent="0.25">
      <c r="A185" s="214" t="s">
        <v>774</v>
      </c>
      <c r="B185" s="214" t="s">
        <v>775</v>
      </c>
      <c r="C185" s="214" t="s">
        <v>884</v>
      </c>
      <c r="D185" s="170">
        <v>82.5</v>
      </c>
      <c r="E185" s="214">
        <v>-62.34</v>
      </c>
      <c r="F185" s="174">
        <v>82.5</v>
      </c>
      <c r="G185" s="214">
        <v>-62.34</v>
      </c>
      <c r="H185" s="214" t="s">
        <v>1203</v>
      </c>
      <c r="I185" s="174" t="s">
        <v>1469</v>
      </c>
      <c r="J185" s="713" t="str">
        <f t="shared" si="6"/>
        <v/>
      </c>
      <c r="K185" s="713" t="str">
        <f t="shared" si="7"/>
        <v/>
      </c>
      <c r="L185" s="171">
        <v>1</v>
      </c>
      <c r="M185" s="177">
        <v>39916</v>
      </c>
      <c r="N185" s="242"/>
      <c r="O185" s="242"/>
      <c r="P185" s="3"/>
      <c r="Q185" s="249"/>
      <c r="R185" s="247" t="s">
        <v>446</v>
      </c>
      <c r="AA185" s="249">
        <v>0.06</v>
      </c>
      <c r="AB185" s="247" t="s">
        <v>446</v>
      </c>
      <c r="AG185" s="247">
        <f>Table2[[#This Row],[xFOSAs]]+Table2[[#This Row],[xFOSEs]]</f>
        <v>0.06</v>
      </c>
      <c r="AH185" s="247" t="s">
        <v>869</v>
      </c>
      <c r="AJ185" s="1" t="s">
        <v>776</v>
      </c>
      <c r="AK185" s="1" t="s">
        <v>736</v>
      </c>
    </row>
    <row r="186" spans="1:37" x14ac:dyDescent="0.25">
      <c r="A186" s="214" t="s">
        <v>774</v>
      </c>
      <c r="B186" s="214" t="s">
        <v>775</v>
      </c>
      <c r="C186" s="214" t="s">
        <v>884</v>
      </c>
      <c r="D186" s="170">
        <v>82.5</v>
      </c>
      <c r="E186" s="214">
        <v>-62.34</v>
      </c>
      <c r="F186" s="174">
        <v>82.5</v>
      </c>
      <c r="G186" s="214">
        <v>-62.34</v>
      </c>
      <c r="H186" s="214" t="s">
        <v>1203</v>
      </c>
      <c r="I186" s="174" t="s">
        <v>1469</v>
      </c>
      <c r="J186" s="713" t="str">
        <f t="shared" si="6"/>
        <v/>
      </c>
      <c r="K186" s="713" t="str">
        <f t="shared" si="7"/>
        <v/>
      </c>
      <c r="L186" s="171">
        <v>1</v>
      </c>
      <c r="M186" s="177">
        <v>39930</v>
      </c>
      <c r="N186" s="242"/>
      <c r="O186" s="242"/>
      <c r="P186" s="3"/>
      <c r="Q186" s="249">
        <v>2.9000000000000001E-2</v>
      </c>
      <c r="R186" s="247" t="s">
        <v>446</v>
      </c>
      <c r="AA186" s="249">
        <v>4.2000000000000003E-2</v>
      </c>
      <c r="AB186" s="247" t="s">
        <v>446</v>
      </c>
      <c r="AG186" s="247">
        <f>Table2[[#This Row],[xFOSAs]]+Table2[[#This Row],[xFOSEs]]</f>
        <v>7.1000000000000008E-2</v>
      </c>
      <c r="AH186" s="247" t="s">
        <v>869</v>
      </c>
      <c r="AJ186" s="1" t="s">
        <v>776</v>
      </c>
      <c r="AK186" s="1" t="s">
        <v>736</v>
      </c>
    </row>
    <row r="187" spans="1:37" x14ac:dyDescent="0.25">
      <c r="A187" s="214" t="s">
        <v>774</v>
      </c>
      <c r="B187" s="214" t="s">
        <v>775</v>
      </c>
      <c r="C187" s="214" t="s">
        <v>884</v>
      </c>
      <c r="D187" s="174">
        <v>82.5</v>
      </c>
      <c r="E187" s="214">
        <v>-62.34</v>
      </c>
      <c r="F187" s="174">
        <v>82.5</v>
      </c>
      <c r="G187" s="214">
        <v>-62.34</v>
      </c>
      <c r="H187" s="214" t="s">
        <v>1203</v>
      </c>
      <c r="I187" s="174" t="s">
        <v>1469</v>
      </c>
      <c r="J187" s="713" t="str">
        <f t="shared" si="6"/>
        <v/>
      </c>
      <c r="K187" s="713" t="str">
        <f t="shared" si="7"/>
        <v/>
      </c>
      <c r="L187" s="174">
        <v>1</v>
      </c>
      <c r="M187" s="177">
        <v>39944</v>
      </c>
      <c r="N187" s="242"/>
      <c r="O187" s="242"/>
      <c r="P187" s="3"/>
      <c r="Q187" s="249">
        <v>1.0999999999999999E-2</v>
      </c>
      <c r="R187" s="247" t="s">
        <v>446</v>
      </c>
      <c r="AA187" s="249">
        <v>3.2000000000000001E-2</v>
      </c>
      <c r="AB187" s="247" t="s">
        <v>446</v>
      </c>
      <c r="AG187" s="247">
        <f>Table2[[#This Row],[xFOSAs]]+Table2[[#This Row],[xFOSEs]]</f>
        <v>4.2999999999999997E-2</v>
      </c>
      <c r="AH187" s="247" t="s">
        <v>869</v>
      </c>
      <c r="AJ187" s="1" t="s">
        <v>776</v>
      </c>
      <c r="AK187" s="1" t="s">
        <v>736</v>
      </c>
    </row>
    <row r="188" spans="1:37" x14ac:dyDescent="0.25">
      <c r="A188" s="214" t="s">
        <v>774</v>
      </c>
      <c r="B188" s="214" t="s">
        <v>775</v>
      </c>
      <c r="C188" s="214" t="s">
        <v>884</v>
      </c>
      <c r="D188" s="174">
        <v>82.5</v>
      </c>
      <c r="E188" s="214">
        <v>-62.34</v>
      </c>
      <c r="F188" s="174">
        <v>82.5</v>
      </c>
      <c r="G188" s="214">
        <v>-62.34</v>
      </c>
      <c r="H188" s="214" t="s">
        <v>1203</v>
      </c>
      <c r="I188" s="174" t="s">
        <v>1469</v>
      </c>
      <c r="J188" s="713" t="str">
        <f t="shared" si="6"/>
        <v/>
      </c>
      <c r="K188" s="713" t="str">
        <f t="shared" si="7"/>
        <v/>
      </c>
      <c r="L188" s="174">
        <v>1</v>
      </c>
      <c r="M188" s="242">
        <v>39958</v>
      </c>
      <c r="N188" s="242"/>
      <c r="O188" s="242"/>
      <c r="P188" s="3"/>
      <c r="Q188" s="249">
        <v>2.5000000000000001E-2</v>
      </c>
      <c r="R188" s="247" t="s">
        <v>446</v>
      </c>
      <c r="AA188" s="249">
        <v>0.42199999999999999</v>
      </c>
      <c r="AB188" s="247">
        <v>1</v>
      </c>
      <c r="AG188" s="247">
        <f>Table2[[#This Row],[xFOSAs]]+Table2[[#This Row],[xFOSEs]]</f>
        <v>0.44700000000000001</v>
      </c>
      <c r="AH188" s="247" t="s">
        <v>869</v>
      </c>
      <c r="AJ188" s="1" t="s">
        <v>776</v>
      </c>
      <c r="AK188" s="1" t="s">
        <v>736</v>
      </c>
    </row>
    <row r="189" spans="1:37" x14ac:dyDescent="0.25">
      <c r="A189" s="214" t="s">
        <v>774</v>
      </c>
      <c r="B189" s="214" t="s">
        <v>775</v>
      </c>
      <c r="C189" s="214" t="s">
        <v>884</v>
      </c>
      <c r="D189" s="174">
        <v>82.5</v>
      </c>
      <c r="E189" s="214">
        <v>-62.34</v>
      </c>
      <c r="F189" s="174">
        <v>82.5</v>
      </c>
      <c r="G189" s="214">
        <v>-62.34</v>
      </c>
      <c r="H189" s="214" t="s">
        <v>1203</v>
      </c>
      <c r="I189" s="174" t="s">
        <v>1469</v>
      </c>
      <c r="J189" s="713" t="str">
        <f t="shared" si="6"/>
        <v/>
      </c>
      <c r="K189" s="713" t="str">
        <f t="shared" si="7"/>
        <v/>
      </c>
      <c r="L189" s="174">
        <v>1</v>
      </c>
      <c r="M189" s="242">
        <v>39972</v>
      </c>
      <c r="N189" s="242"/>
      <c r="O189" s="242"/>
      <c r="P189" s="3"/>
      <c r="Q189" s="249">
        <v>1.9E-2</v>
      </c>
      <c r="R189" s="247" t="s">
        <v>446</v>
      </c>
      <c r="AA189" s="249">
        <v>0.44500000000000001</v>
      </c>
      <c r="AB189" s="247">
        <v>1</v>
      </c>
      <c r="AG189" s="247">
        <f>Table2[[#This Row],[xFOSAs]]+Table2[[#This Row],[xFOSEs]]</f>
        <v>0.46400000000000002</v>
      </c>
      <c r="AH189" s="247" t="s">
        <v>869</v>
      </c>
      <c r="AJ189" s="1" t="s">
        <v>776</v>
      </c>
      <c r="AK189" s="1" t="s">
        <v>736</v>
      </c>
    </row>
    <row r="190" spans="1:37" x14ac:dyDescent="0.25">
      <c r="A190" s="214" t="s">
        <v>774</v>
      </c>
      <c r="B190" s="214" t="s">
        <v>775</v>
      </c>
      <c r="C190" s="214" t="s">
        <v>884</v>
      </c>
      <c r="D190" s="174">
        <v>82.5</v>
      </c>
      <c r="E190" s="214">
        <v>-62.34</v>
      </c>
      <c r="F190" s="174">
        <v>82.5</v>
      </c>
      <c r="G190" s="214">
        <v>-62.34</v>
      </c>
      <c r="H190" s="214" t="s">
        <v>1203</v>
      </c>
      <c r="I190" s="174" t="s">
        <v>1469</v>
      </c>
      <c r="J190" s="713" t="str">
        <f t="shared" si="6"/>
        <v/>
      </c>
      <c r="K190" s="713" t="str">
        <f t="shared" si="7"/>
        <v/>
      </c>
      <c r="L190" s="174">
        <v>1</v>
      </c>
      <c r="M190" s="242">
        <v>39986</v>
      </c>
      <c r="N190" s="242"/>
      <c r="O190" s="242"/>
      <c r="P190" s="3"/>
      <c r="Q190" s="249">
        <v>4.8000000000000001E-2</v>
      </c>
      <c r="R190" s="247" t="s">
        <v>446</v>
      </c>
      <c r="AA190" s="249">
        <v>0.69899999999999995</v>
      </c>
      <c r="AB190" s="247">
        <v>1</v>
      </c>
      <c r="AG190" s="247">
        <f>Table2[[#This Row],[xFOSAs]]+Table2[[#This Row],[xFOSEs]]</f>
        <v>0.747</v>
      </c>
      <c r="AH190" s="247" t="s">
        <v>869</v>
      </c>
      <c r="AJ190" s="1" t="s">
        <v>776</v>
      </c>
      <c r="AK190" s="1" t="s">
        <v>736</v>
      </c>
    </row>
    <row r="191" spans="1:37" x14ac:dyDescent="0.25">
      <c r="A191" s="214" t="s">
        <v>774</v>
      </c>
      <c r="B191" s="214" t="s">
        <v>775</v>
      </c>
      <c r="C191" s="214" t="s">
        <v>884</v>
      </c>
      <c r="D191" s="174">
        <v>82.5</v>
      </c>
      <c r="E191" s="214">
        <v>-62.34</v>
      </c>
      <c r="F191" s="174">
        <v>82.5</v>
      </c>
      <c r="G191" s="214">
        <v>-62.34</v>
      </c>
      <c r="H191" s="214" t="s">
        <v>1203</v>
      </c>
      <c r="I191" s="174" t="s">
        <v>1469</v>
      </c>
      <c r="J191" s="713" t="str">
        <f t="shared" si="6"/>
        <v/>
      </c>
      <c r="K191" s="713" t="str">
        <f t="shared" si="7"/>
        <v/>
      </c>
      <c r="L191" s="174">
        <v>1</v>
      </c>
      <c r="M191" s="242">
        <v>40000</v>
      </c>
      <c r="N191" s="242"/>
      <c r="O191" s="242"/>
      <c r="P191" s="3"/>
      <c r="Q191" s="249">
        <v>2.5999999999999999E-2</v>
      </c>
      <c r="R191" s="247" t="s">
        <v>446</v>
      </c>
      <c r="AA191" s="249">
        <v>0.73699999999999999</v>
      </c>
      <c r="AB191" s="247">
        <v>1</v>
      </c>
      <c r="AG191" s="247">
        <f>Table2[[#This Row],[xFOSAs]]+Table2[[#This Row],[xFOSEs]]</f>
        <v>0.76300000000000001</v>
      </c>
      <c r="AH191" s="247" t="s">
        <v>869</v>
      </c>
      <c r="AJ191" s="1" t="s">
        <v>776</v>
      </c>
      <c r="AK191" s="1" t="s">
        <v>736</v>
      </c>
    </row>
    <row r="192" spans="1:37" x14ac:dyDescent="0.25">
      <c r="A192" s="214" t="s">
        <v>774</v>
      </c>
      <c r="B192" s="214" t="s">
        <v>775</v>
      </c>
      <c r="C192" s="214" t="s">
        <v>884</v>
      </c>
      <c r="D192" s="174">
        <v>82.5</v>
      </c>
      <c r="E192" s="214">
        <v>-62.34</v>
      </c>
      <c r="F192" s="174">
        <v>82.5</v>
      </c>
      <c r="G192" s="214">
        <v>-62.34</v>
      </c>
      <c r="H192" s="214" t="s">
        <v>1203</v>
      </c>
      <c r="I192" s="174" t="s">
        <v>1469</v>
      </c>
      <c r="J192" s="713" t="str">
        <f t="shared" si="6"/>
        <v/>
      </c>
      <c r="K192" s="713" t="str">
        <f t="shared" si="7"/>
        <v/>
      </c>
      <c r="L192" s="174">
        <v>1</v>
      </c>
      <c r="M192" s="242">
        <v>40014</v>
      </c>
      <c r="N192" s="242"/>
      <c r="O192" s="242"/>
      <c r="P192" s="3"/>
      <c r="Q192" s="249">
        <v>4.2999999999999997E-2</v>
      </c>
      <c r="R192" s="247" t="s">
        <v>446</v>
      </c>
      <c r="AA192" s="249">
        <v>1.827</v>
      </c>
      <c r="AB192" s="247">
        <v>1</v>
      </c>
      <c r="AG192" s="247">
        <f>Table2[[#This Row],[xFOSAs]]+Table2[[#This Row],[xFOSEs]]</f>
        <v>1.8699999999999999</v>
      </c>
      <c r="AH192" s="247" t="s">
        <v>869</v>
      </c>
      <c r="AJ192" s="1" t="s">
        <v>776</v>
      </c>
      <c r="AK192" s="1" t="s">
        <v>736</v>
      </c>
    </row>
    <row r="193" spans="1:37" x14ac:dyDescent="0.25">
      <c r="A193" s="214" t="s">
        <v>774</v>
      </c>
      <c r="B193" s="214" t="s">
        <v>775</v>
      </c>
      <c r="C193" s="214" t="s">
        <v>884</v>
      </c>
      <c r="D193" s="174">
        <v>82.5</v>
      </c>
      <c r="E193" s="214">
        <v>-62.34</v>
      </c>
      <c r="F193" s="174">
        <v>82.5</v>
      </c>
      <c r="G193" s="214">
        <v>-62.34</v>
      </c>
      <c r="H193" s="214" t="s">
        <v>1203</v>
      </c>
      <c r="I193" s="174" t="s">
        <v>1469</v>
      </c>
      <c r="J193" s="713" t="str">
        <f t="shared" si="6"/>
        <v/>
      </c>
      <c r="K193" s="713" t="str">
        <f t="shared" si="7"/>
        <v/>
      </c>
      <c r="L193" s="174">
        <v>1</v>
      </c>
      <c r="M193" s="242">
        <v>40028</v>
      </c>
      <c r="N193" s="242"/>
      <c r="O193" s="242"/>
      <c r="P193" s="3"/>
      <c r="Q193" s="249">
        <v>6.0000000000000001E-3</v>
      </c>
      <c r="R193" s="247" t="s">
        <v>446</v>
      </c>
      <c r="AA193" s="249">
        <v>1.415</v>
      </c>
      <c r="AB193" s="247">
        <v>1</v>
      </c>
      <c r="AG193" s="247">
        <f>Table2[[#This Row],[xFOSAs]]+Table2[[#This Row],[xFOSEs]]</f>
        <v>1.421</v>
      </c>
      <c r="AH193" s="247" t="s">
        <v>869</v>
      </c>
      <c r="AJ193" s="1" t="s">
        <v>776</v>
      </c>
      <c r="AK193" s="1" t="s">
        <v>736</v>
      </c>
    </row>
    <row r="194" spans="1:37" x14ac:dyDescent="0.25">
      <c r="A194" s="214" t="s">
        <v>774</v>
      </c>
      <c r="B194" s="214" t="s">
        <v>775</v>
      </c>
      <c r="C194" s="214" t="s">
        <v>884</v>
      </c>
      <c r="D194" s="174">
        <v>82.5</v>
      </c>
      <c r="E194" s="214">
        <v>-62.34</v>
      </c>
      <c r="F194" s="174">
        <v>82.5</v>
      </c>
      <c r="G194" s="214">
        <v>-62.34</v>
      </c>
      <c r="H194" s="214" t="s">
        <v>1203</v>
      </c>
      <c r="I194" s="174" t="s">
        <v>1469</v>
      </c>
      <c r="J194" s="713" t="str">
        <f t="shared" si="6"/>
        <v/>
      </c>
      <c r="K194" s="713" t="str">
        <f t="shared" si="7"/>
        <v/>
      </c>
      <c r="L194" s="174">
        <v>1</v>
      </c>
      <c r="M194" s="242">
        <v>40042</v>
      </c>
      <c r="N194" s="242"/>
      <c r="O194" s="242"/>
      <c r="P194" s="3"/>
      <c r="Q194" s="249"/>
      <c r="R194" s="247" t="s">
        <v>446</v>
      </c>
      <c r="AA194" s="249">
        <v>0.53600000000000003</v>
      </c>
      <c r="AB194" s="247">
        <v>1</v>
      </c>
      <c r="AG194" s="247">
        <f>Table2[[#This Row],[xFOSAs]]+Table2[[#This Row],[xFOSEs]]</f>
        <v>0.53600000000000003</v>
      </c>
      <c r="AH194" s="247" t="s">
        <v>869</v>
      </c>
      <c r="AJ194" s="1" t="s">
        <v>776</v>
      </c>
      <c r="AK194" s="1" t="s">
        <v>736</v>
      </c>
    </row>
    <row r="195" spans="1:37" x14ac:dyDescent="0.25">
      <c r="A195" s="214" t="s">
        <v>774</v>
      </c>
      <c r="B195" s="214" t="s">
        <v>775</v>
      </c>
      <c r="C195" s="214" t="s">
        <v>884</v>
      </c>
      <c r="D195" s="174">
        <v>82.5</v>
      </c>
      <c r="E195" s="214">
        <v>-62.34</v>
      </c>
      <c r="F195" s="174">
        <v>82.5</v>
      </c>
      <c r="G195" s="214">
        <v>-62.34</v>
      </c>
      <c r="H195" s="214" t="s">
        <v>1203</v>
      </c>
      <c r="I195" s="174" t="s">
        <v>1469</v>
      </c>
      <c r="J195" s="713" t="str">
        <f t="shared" si="6"/>
        <v/>
      </c>
      <c r="K195" s="713" t="str">
        <f t="shared" si="7"/>
        <v/>
      </c>
      <c r="L195" s="174">
        <v>1</v>
      </c>
      <c r="M195" s="242">
        <v>40056</v>
      </c>
      <c r="N195" s="242"/>
      <c r="O195" s="242"/>
      <c r="P195" s="3"/>
      <c r="Q195" s="249">
        <v>1E-3</v>
      </c>
      <c r="R195" s="247" t="s">
        <v>446</v>
      </c>
      <c r="AA195" s="249">
        <v>0.42</v>
      </c>
      <c r="AB195" s="247">
        <v>1</v>
      </c>
      <c r="AG195" s="247">
        <f>Table2[[#This Row],[xFOSAs]]+Table2[[#This Row],[xFOSEs]]</f>
        <v>0.42099999999999999</v>
      </c>
      <c r="AH195" s="247" t="s">
        <v>869</v>
      </c>
      <c r="AJ195" s="1" t="s">
        <v>776</v>
      </c>
      <c r="AK195" s="1" t="s">
        <v>736</v>
      </c>
    </row>
    <row r="196" spans="1:37" x14ac:dyDescent="0.25">
      <c r="A196" s="214" t="s">
        <v>774</v>
      </c>
      <c r="B196" s="214" t="s">
        <v>775</v>
      </c>
      <c r="C196" s="214" t="s">
        <v>884</v>
      </c>
      <c r="D196" s="174">
        <v>82.5</v>
      </c>
      <c r="E196" s="214">
        <v>-62.34</v>
      </c>
      <c r="F196" s="174">
        <v>82.5</v>
      </c>
      <c r="G196" s="214">
        <v>-62.34</v>
      </c>
      <c r="H196" s="214" t="s">
        <v>1203</v>
      </c>
      <c r="I196" s="174" t="s">
        <v>1469</v>
      </c>
      <c r="J196" s="713" t="str">
        <f t="shared" si="6"/>
        <v/>
      </c>
      <c r="K196" s="713" t="str">
        <f t="shared" si="7"/>
        <v/>
      </c>
      <c r="L196" s="174">
        <v>1</v>
      </c>
      <c r="M196" s="242">
        <v>40070</v>
      </c>
      <c r="N196" s="242"/>
      <c r="O196" s="242"/>
      <c r="P196" s="3"/>
      <c r="Q196" s="249"/>
      <c r="R196" s="247" t="s">
        <v>446</v>
      </c>
      <c r="AA196" s="249">
        <v>6.0000000000000001E-3</v>
      </c>
      <c r="AB196" s="247" t="s">
        <v>446</v>
      </c>
      <c r="AG196" s="247">
        <f>Table2[[#This Row],[xFOSAs]]+Table2[[#This Row],[xFOSEs]]</f>
        <v>6.0000000000000001E-3</v>
      </c>
      <c r="AH196" s="247" t="s">
        <v>869</v>
      </c>
      <c r="AJ196" s="1" t="s">
        <v>776</v>
      </c>
      <c r="AK196" s="1" t="s">
        <v>736</v>
      </c>
    </row>
    <row r="197" spans="1:37" x14ac:dyDescent="0.25">
      <c r="A197" s="214" t="s">
        <v>774</v>
      </c>
      <c r="B197" s="214" t="s">
        <v>775</v>
      </c>
      <c r="C197" s="214" t="s">
        <v>884</v>
      </c>
      <c r="D197" s="174">
        <v>82.5</v>
      </c>
      <c r="E197" s="214">
        <v>-62.34</v>
      </c>
      <c r="F197" s="174">
        <v>82.5</v>
      </c>
      <c r="G197" s="214">
        <v>-62.34</v>
      </c>
      <c r="H197" s="214" t="s">
        <v>1203</v>
      </c>
      <c r="I197" s="174" t="s">
        <v>1469</v>
      </c>
      <c r="J197" s="713" t="str">
        <f t="shared" si="6"/>
        <v/>
      </c>
      <c r="K197" s="713" t="str">
        <f t="shared" si="7"/>
        <v/>
      </c>
      <c r="L197" s="174">
        <v>1</v>
      </c>
      <c r="M197" s="242">
        <v>40085</v>
      </c>
      <c r="N197" s="242"/>
      <c r="O197" s="242"/>
      <c r="P197" s="3"/>
      <c r="Q197" s="249"/>
      <c r="R197" s="247" t="s">
        <v>446</v>
      </c>
      <c r="AA197" s="249">
        <v>9.0999999999999998E-2</v>
      </c>
      <c r="AB197" s="247" t="s">
        <v>446</v>
      </c>
      <c r="AG197" s="247">
        <f>Table2[[#This Row],[xFOSAs]]+Table2[[#This Row],[xFOSEs]]</f>
        <v>9.0999999999999998E-2</v>
      </c>
      <c r="AH197" s="247" t="s">
        <v>869</v>
      </c>
      <c r="AJ197" s="1" t="s">
        <v>776</v>
      </c>
      <c r="AK197" s="1" t="s">
        <v>736</v>
      </c>
    </row>
    <row r="198" spans="1:37" x14ac:dyDescent="0.25">
      <c r="A198" s="214" t="s">
        <v>774</v>
      </c>
      <c r="B198" s="214" t="s">
        <v>775</v>
      </c>
      <c r="C198" s="214" t="s">
        <v>884</v>
      </c>
      <c r="D198" s="174">
        <v>82.5</v>
      </c>
      <c r="E198" s="214">
        <v>-62.34</v>
      </c>
      <c r="F198" s="174">
        <v>82.5</v>
      </c>
      <c r="G198" s="214">
        <v>-62.34</v>
      </c>
      <c r="H198" s="214" t="s">
        <v>1203</v>
      </c>
      <c r="I198" s="174" t="s">
        <v>1469</v>
      </c>
      <c r="J198" s="713" t="str">
        <f t="shared" si="6"/>
        <v/>
      </c>
      <c r="K198" s="713" t="str">
        <f t="shared" si="7"/>
        <v/>
      </c>
      <c r="L198" s="174">
        <v>1</v>
      </c>
      <c r="M198" s="242">
        <v>40102</v>
      </c>
      <c r="N198" s="242"/>
      <c r="O198" s="242"/>
      <c r="P198" s="3"/>
      <c r="Q198" s="249">
        <v>4.899</v>
      </c>
      <c r="R198" s="247">
        <v>1</v>
      </c>
      <c r="AA198" s="249">
        <v>2.367</v>
      </c>
      <c r="AB198" s="247" t="s">
        <v>446</v>
      </c>
      <c r="AG198" s="247">
        <f>Table2[[#This Row],[xFOSAs]]+Table2[[#This Row],[xFOSEs]]</f>
        <v>7.266</v>
      </c>
      <c r="AH198" s="247" t="s">
        <v>869</v>
      </c>
      <c r="AJ198" s="1" t="s">
        <v>776</v>
      </c>
      <c r="AK198" s="1" t="s">
        <v>736</v>
      </c>
    </row>
    <row r="199" spans="1:37" x14ac:dyDescent="0.25">
      <c r="A199" s="214" t="s">
        <v>774</v>
      </c>
      <c r="B199" s="214" t="s">
        <v>775</v>
      </c>
      <c r="C199" s="214" t="s">
        <v>884</v>
      </c>
      <c r="D199" s="174">
        <v>82.5</v>
      </c>
      <c r="E199" s="214">
        <v>-62.34</v>
      </c>
      <c r="F199" s="174">
        <v>82.5</v>
      </c>
      <c r="G199" s="214">
        <v>-62.34</v>
      </c>
      <c r="H199" s="214" t="s">
        <v>1203</v>
      </c>
      <c r="I199" s="174" t="s">
        <v>1469</v>
      </c>
      <c r="J199" s="713" t="str">
        <f t="shared" si="6"/>
        <v/>
      </c>
      <c r="K199" s="713" t="str">
        <f t="shared" si="7"/>
        <v/>
      </c>
      <c r="L199" s="174">
        <v>1</v>
      </c>
      <c r="M199" s="242">
        <v>40126</v>
      </c>
      <c r="N199" s="242"/>
      <c r="O199" s="242"/>
      <c r="P199" s="3"/>
      <c r="Q199" s="249">
        <v>3.8620000000000001</v>
      </c>
      <c r="R199" s="247">
        <v>1</v>
      </c>
      <c r="AA199" s="249">
        <v>1.849</v>
      </c>
      <c r="AB199" s="247" t="s">
        <v>446</v>
      </c>
      <c r="AG199" s="247">
        <f>Table2[[#This Row],[xFOSAs]]+Table2[[#This Row],[xFOSEs]]</f>
        <v>5.7110000000000003</v>
      </c>
      <c r="AH199" s="247" t="s">
        <v>869</v>
      </c>
      <c r="AJ199" s="1" t="s">
        <v>776</v>
      </c>
      <c r="AK199" s="1" t="s">
        <v>736</v>
      </c>
    </row>
    <row r="200" spans="1:37" x14ac:dyDescent="0.25">
      <c r="A200" s="214" t="s">
        <v>774</v>
      </c>
      <c r="B200" s="214" t="s">
        <v>775</v>
      </c>
      <c r="C200" s="214" t="s">
        <v>884</v>
      </c>
      <c r="D200" s="174">
        <v>82.5</v>
      </c>
      <c r="E200" s="214">
        <v>-62.34</v>
      </c>
      <c r="F200" s="174">
        <v>82.5</v>
      </c>
      <c r="G200" s="214">
        <v>-62.34</v>
      </c>
      <c r="H200" s="214" t="s">
        <v>1203</v>
      </c>
      <c r="I200" s="174" t="s">
        <v>1469</v>
      </c>
      <c r="J200" s="713" t="str">
        <f t="shared" si="6"/>
        <v/>
      </c>
      <c r="K200" s="713" t="str">
        <f t="shared" si="7"/>
        <v/>
      </c>
      <c r="L200" s="174">
        <v>1</v>
      </c>
      <c r="M200" s="242">
        <v>40154</v>
      </c>
      <c r="N200" s="242"/>
      <c r="O200" s="242"/>
      <c r="P200" s="3"/>
      <c r="Q200" s="249">
        <v>3.9470000000000001</v>
      </c>
      <c r="R200" s="247">
        <v>1</v>
      </c>
      <c r="AA200" s="249">
        <v>1.8919999999999999</v>
      </c>
      <c r="AB200" s="247" t="s">
        <v>446</v>
      </c>
      <c r="AG200" s="247">
        <f>Table2[[#This Row],[xFOSAs]]+Table2[[#This Row],[xFOSEs]]</f>
        <v>5.8390000000000004</v>
      </c>
      <c r="AH200" s="247" t="s">
        <v>869</v>
      </c>
      <c r="AJ200" s="1" t="s">
        <v>776</v>
      </c>
      <c r="AK200" s="1" t="s">
        <v>736</v>
      </c>
    </row>
    <row r="201" spans="1:37" x14ac:dyDescent="0.25">
      <c r="A201" s="214" t="s">
        <v>774</v>
      </c>
      <c r="B201" s="214" t="s">
        <v>775</v>
      </c>
      <c r="C201" s="214" t="s">
        <v>884</v>
      </c>
      <c r="D201" s="174">
        <v>82.5</v>
      </c>
      <c r="E201" s="214">
        <v>-62.34</v>
      </c>
      <c r="F201" s="174">
        <v>82.5</v>
      </c>
      <c r="G201" s="214">
        <v>-62.34</v>
      </c>
      <c r="H201" s="214" t="s">
        <v>1203</v>
      </c>
      <c r="I201" s="174" t="s">
        <v>1469</v>
      </c>
      <c r="J201" s="713" t="str">
        <f t="shared" si="6"/>
        <v/>
      </c>
      <c r="K201" s="713" t="str">
        <f t="shared" si="7"/>
        <v/>
      </c>
      <c r="L201" s="174">
        <v>1</v>
      </c>
      <c r="M201" s="242">
        <v>40219</v>
      </c>
      <c r="N201" s="242"/>
      <c r="O201" s="242"/>
      <c r="P201" s="3"/>
      <c r="Q201" s="249">
        <v>8.7999999999999995E-2</v>
      </c>
      <c r="R201" s="247" t="s">
        <v>446</v>
      </c>
      <c r="AA201" s="249">
        <v>0</v>
      </c>
      <c r="AB201" s="247" t="s">
        <v>446</v>
      </c>
      <c r="AG201" s="247">
        <f>Table2[[#This Row],[xFOSAs]]+Table2[[#This Row],[xFOSEs]]</f>
        <v>8.7999999999999995E-2</v>
      </c>
      <c r="AH201" s="247" t="s">
        <v>869</v>
      </c>
      <c r="AJ201" s="1" t="s">
        <v>776</v>
      </c>
      <c r="AK201" s="1" t="s">
        <v>736</v>
      </c>
    </row>
    <row r="202" spans="1:37" x14ac:dyDescent="0.25">
      <c r="A202" s="214" t="s">
        <v>774</v>
      </c>
      <c r="B202" s="214" t="s">
        <v>775</v>
      </c>
      <c r="C202" s="214" t="s">
        <v>884</v>
      </c>
      <c r="D202" s="174">
        <v>82.5</v>
      </c>
      <c r="E202" s="214">
        <v>-62.34</v>
      </c>
      <c r="F202" s="174">
        <v>82.5</v>
      </c>
      <c r="G202" s="214">
        <v>-62.34</v>
      </c>
      <c r="H202" s="214" t="s">
        <v>1203</v>
      </c>
      <c r="I202" s="174" t="s">
        <v>1469</v>
      </c>
      <c r="J202" s="713" t="str">
        <f t="shared" si="6"/>
        <v/>
      </c>
      <c r="K202" s="713" t="str">
        <f t="shared" si="7"/>
        <v/>
      </c>
      <c r="L202" s="174">
        <v>1</v>
      </c>
      <c r="M202" s="242">
        <v>40245</v>
      </c>
      <c r="N202" s="242"/>
      <c r="O202" s="242"/>
      <c r="P202" s="3"/>
      <c r="Q202" s="249">
        <v>0</v>
      </c>
      <c r="R202" s="247" t="s">
        <v>446</v>
      </c>
      <c r="AA202" s="249">
        <v>0</v>
      </c>
      <c r="AB202" s="247" t="s">
        <v>446</v>
      </c>
      <c r="AG202" s="247">
        <f>Table2[[#This Row],[xFOSAs]]+Table2[[#This Row],[xFOSEs]]</f>
        <v>0</v>
      </c>
      <c r="AH202" s="247" t="s">
        <v>869</v>
      </c>
      <c r="AJ202" s="1" t="s">
        <v>776</v>
      </c>
      <c r="AK202" s="1" t="s">
        <v>736</v>
      </c>
    </row>
    <row r="203" spans="1:37" x14ac:dyDescent="0.25">
      <c r="A203" s="214" t="s">
        <v>774</v>
      </c>
      <c r="B203" s="214" t="s">
        <v>775</v>
      </c>
      <c r="C203" s="214" t="s">
        <v>884</v>
      </c>
      <c r="D203" s="174">
        <v>82.5</v>
      </c>
      <c r="E203" s="214">
        <v>-62.34</v>
      </c>
      <c r="F203" s="174">
        <v>82.5</v>
      </c>
      <c r="G203" s="214">
        <v>-62.34</v>
      </c>
      <c r="H203" s="214" t="s">
        <v>1203</v>
      </c>
      <c r="I203" s="174" t="s">
        <v>1469</v>
      </c>
      <c r="J203" s="713" t="str">
        <f t="shared" si="6"/>
        <v/>
      </c>
      <c r="K203" s="713" t="str">
        <f t="shared" si="7"/>
        <v/>
      </c>
      <c r="L203" s="174">
        <v>1</v>
      </c>
      <c r="M203" s="242">
        <v>40259</v>
      </c>
      <c r="N203" s="242"/>
      <c r="O203" s="242"/>
      <c r="P203" s="3"/>
      <c r="Q203" s="249">
        <v>7.0000000000000007E-2</v>
      </c>
      <c r="R203" s="247" t="s">
        <v>446</v>
      </c>
      <c r="AA203" s="249">
        <v>0</v>
      </c>
      <c r="AB203" s="247" t="s">
        <v>446</v>
      </c>
      <c r="AG203" s="247">
        <f>Table2[[#This Row],[xFOSAs]]+Table2[[#This Row],[xFOSEs]]</f>
        <v>7.0000000000000007E-2</v>
      </c>
      <c r="AH203" s="247" t="s">
        <v>869</v>
      </c>
      <c r="AJ203" s="1" t="s">
        <v>776</v>
      </c>
      <c r="AK203" s="1" t="s">
        <v>736</v>
      </c>
    </row>
    <row r="204" spans="1:37" x14ac:dyDescent="0.25">
      <c r="A204" s="214" t="s">
        <v>774</v>
      </c>
      <c r="B204" s="214" t="s">
        <v>775</v>
      </c>
      <c r="C204" s="214" t="s">
        <v>884</v>
      </c>
      <c r="D204" s="174">
        <v>82.5</v>
      </c>
      <c r="E204" s="214">
        <v>-62.34</v>
      </c>
      <c r="F204" s="174">
        <v>82.5</v>
      </c>
      <c r="G204" s="214">
        <v>-62.34</v>
      </c>
      <c r="H204" s="214" t="s">
        <v>1203</v>
      </c>
      <c r="I204" s="174" t="s">
        <v>1469</v>
      </c>
      <c r="J204" s="713" t="str">
        <f t="shared" si="6"/>
        <v/>
      </c>
      <c r="K204" s="713" t="str">
        <f t="shared" si="7"/>
        <v/>
      </c>
      <c r="L204" s="174">
        <v>1</v>
      </c>
      <c r="M204" s="242">
        <v>40273</v>
      </c>
      <c r="N204" s="242"/>
      <c r="O204" s="242"/>
      <c r="P204" s="3"/>
      <c r="Q204" s="249">
        <v>0.08</v>
      </c>
      <c r="R204" s="247" t="s">
        <v>446</v>
      </c>
      <c r="AA204" s="249">
        <v>0</v>
      </c>
      <c r="AB204" s="247" t="s">
        <v>446</v>
      </c>
      <c r="AG204" s="247">
        <f>Table2[[#This Row],[xFOSAs]]+Table2[[#This Row],[xFOSEs]]</f>
        <v>0.08</v>
      </c>
      <c r="AH204" s="247" t="s">
        <v>869</v>
      </c>
      <c r="AJ204" s="1" t="s">
        <v>776</v>
      </c>
      <c r="AK204" s="1" t="s">
        <v>736</v>
      </c>
    </row>
    <row r="205" spans="1:37" x14ac:dyDescent="0.25">
      <c r="A205" s="214" t="s">
        <v>774</v>
      </c>
      <c r="B205" s="214" t="s">
        <v>775</v>
      </c>
      <c r="C205" s="214" t="s">
        <v>884</v>
      </c>
      <c r="D205" s="174">
        <v>82.5</v>
      </c>
      <c r="E205" s="214">
        <v>-62.34</v>
      </c>
      <c r="F205" s="174">
        <v>82.5</v>
      </c>
      <c r="G205" s="214">
        <v>-62.34</v>
      </c>
      <c r="H205" s="214" t="s">
        <v>1203</v>
      </c>
      <c r="I205" s="174" t="s">
        <v>1469</v>
      </c>
      <c r="J205" s="713" t="str">
        <f t="shared" si="6"/>
        <v/>
      </c>
      <c r="K205" s="713" t="str">
        <f t="shared" si="7"/>
        <v/>
      </c>
      <c r="L205" s="174">
        <v>1</v>
      </c>
      <c r="M205" s="242">
        <v>40287</v>
      </c>
      <c r="N205" s="242"/>
      <c r="O205" s="242"/>
      <c r="P205" s="3"/>
      <c r="Q205" s="249">
        <v>8.2000000000000003E-2</v>
      </c>
      <c r="R205" s="247" t="s">
        <v>446</v>
      </c>
      <c r="AA205" s="249">
        <v>3.0000000000000001E-3</v>
      </c>
      <c r="AB205" s="247" t="s">
        <v>446</v>
      </c>
      <c r="AG205" s="247">
        <f>Table2[[#This Row],[xFOSAs]]+Table2[[#This Row],[xFOSEs]]</f>
        <v>8.5000000000000006E-2</v>
      </c>
      <c r="AH205" s="247" t="s">
        <v>869</v>
      </c>
      <c r="AJ205" s="1" t="s">
        <v>776</v>
      </c>
      <c r="AK205" s="1" t="s">
        <v>736</v>
      </c>
    </row>
    <row r="206" spans="1:37" x14ac:dyDescent="0.25">
      <c r="A206" s="214" t="s">
        <v>774</v>
      </c>
      <c r="B206" s="214" t="s">
        <v>775</v>
      </c>
      <c r="C206" s="214" t="s">
        <v>884</v>
      </c>
      <c r="D206" s="174">
        <v>82.5</v>
      </c>
      <c r="E206" s="214">
        <v>-62.34</v>
      </c>
      <c r="F206" s="174">
        <v>82.5</v>
      </c>
      <c r="G206" s="214">
        <v>-62.34</v>
      </c>
      <c r="H206" s="214" t="s">
        <v>1203</v>
      </c>
      <c r="I206" s="174" t="s">
        <v>1469</v>
      </c>
      <c r="J206" s="713" t="str">
        <f t="shared" si="6"/>
        <v/>
      </c>
      <c r="K206" s="713" t="str">
        <f t="shared" si="7"/>
        <v/>
      </c>
      <c r="L206" s="174">
        <v>1</v>
      </c>
      <c r="M206" s="242">
        <v>40301</v>
      </c>
      <c r="N206" s="242"/>
      <c r="O206" s="242"/>
      <c r="P206" s="3"/>
      <c r="Q206" s="249">
        <v>7.6999999999999999E-2</v>
      </c>
      <c r="R206" s="247" t="s">
        <v>446</v>
      </c>
      <c r="AA206" s="249">
        <v>6.0000000000000001E-3</v>
      </c>
      <c r="AB206" s="247" t="s">
        <v>446</v>
      </c>
      <c r="AG206" s="247">
        <f>Table2[[#This Row],[xFOSAs]]+Table2[[#This Row],[xFOSEs]]</f>
        <v>8.3000000000000004E-2</v>
      </c>
      <c r="AH206" s="247" t="s">
        <v>869</v>
      </c>
      <c r="AJ206" s="1" t="s">
        <v>776</v>
      </c>
      <c r="AK206" s="1" t="s">
        <v>736</v>
      </c>
    </row>
    <row r="207" spans="1:37" x14ac:dyDescent="0.25">
      <c r="A207" s="214" t="s">
        <v>774</v>
      </c>
      <c r="B207" s="214" t="s">
        <v>775</v>
      </c>
      <c r="C207" s="214" t="s">
        <v>884</v>
      </c>
      <c r="D207" s="174">
        <v>82.5</v>
      </c>
      <c r="E207" s="214">
        <v>-62.34</v>
      </c>
      <c r="F207" s="174">
        <v>82.5</v>
      </c>
      <c r="G207" s="214">
        <v>-62.34</v>
      </c>
      <c r="H207" s="214" t="s">
        <v>1203</v>
      </c>
      <c r="I207" s="174" t="s">
        <v>1469</v>
      </c>
      <c r="J207" s="713" t="str">
        <f t="shared" si="6"/>
        <v/>
      </c>
      <c r="K207" s="713" t="str">
        <f t="shared" si="7"/>
        <v/>
      </c>
      <c r="L207" s="174">
        <v>1</v>
      </c>
      <c r="M207" s="242">
        <v>40315</v>
      </c>
      <c r="N207" s="242"/>
      <c r="O207" s="242"/>
      <c r="P207" s="3"/>
      <c r="Q207" s="249">
        <v>7.4999999999999997E-2</v>
      </c>
      <c r="R207" s="247" t="s">
        <v>446</v>
      </c>
      <c r="AA207" s="249">
        <v>0.13600000000000001</v>
      </c>
      <c r="AB207" s="247" t="s">
        <v>446</v>
      </c>
      <c r="AG207" s="247">
        <f>Table2[[#This Row],[xFOSAs]]+Table2[[#This Row],[xFOSEs]]</f>
        <v>0.21100000000000002</v>
      </c>
      <c r="AH207" s="247" t="s">
        <v>869</v>
      </c>
      <c r="AJ207" s="1" t="s">
        <v>776</v>
      </c>
      <c r="AK207" s="1" t="s">
        <v>736</v>
      </c>
    </row>
    <row r="208" spans="1:37" x14ac:dyDescent="0.25">
      <c r="A208" s="214" t="s">
        <v>774</v>
      </c>
      <c r="B208" s="214" t="s">
        <v>775</v>
      </c>
      <c r="C208" s="214" t="s">
        <v>884</v>
      </c>
      <c r="D208" s="174">
        <v>82.5</v>
      </c>
      <c r="E208" s="214">
        <v>-62.34</v>
      </c>
      <c r="F208" s="174">
        <v>82.5</v>
      </c>
      <c r="G208" s="214">
        <v>-62.34</v>
      </c>
      <c r="H208" s="214" t="s">
        <v>1203</v>
      </c>
      <c r="I208" s="174" t="s">
        <v>1469</v>
      </c>
      <c r="J208" s="713" t="str">
        <f t="shared" si="6"/>
        <v/>
      </c>
      <c r="K208" s="713" t="str">
        <f t="shared" si="7"/>
        <v/>
      </c>
      <c r="L208" s="174">
        <v>1</v>
      </c>
      <c r="M208" s="242">
        <v>40329</v>
      </c>
      <c r="N208" s="242"/>
      <c r="O208" s="242"/>
      <c r="P208" s="3"/>
      <c r="Q208" s="249">
        <v>0.14199999999999999</v>
      </c>
      <c r="R208" s="247" t="s">
        <v>446</v>
      </c>
      <c r="AA208" s="249">
        <v>0.36099999999999999</v>
      </c>
      <c r="AB208" s="247">
        <v>1</v>
      </c>
      <c r="AG208" s="247">
        <f>Table2[[#This Row],[xFOSAs]]+Table2[[#This Row],[xFOSEs]]</f>
        <v>0.503</v>
      </c>
      <c r="AH208" s="247" t="s">
        <v>869</v>
      </c>
      <c r="AJ208" s="1" t="s">
        <v>776</v>
      </c>
      <c r="AK208" s="1" t="s">
        <v>736</v>
      </c>
    </row>
    <row r="209" spans="1:37" x14ac:dyDescent="0.25">
      <c r="A209" s="214" t="s">
        <v>774</v>
      </c>
      <c r="B209" s="214" t="s">
        <v>775</v>
      </c>
      <c r="C209" s="214" t="s">
        <v>884</v>
      </c>
      <c r="D209" s="174">
        <v>82.5</v>
      </c>
      <c r="E209" s="214">
        <v>-62.34</v>
      </c>
      <c r="F209" s="174">
        <v>82.5</v>
      </c>
      <c r="G209" s="214">
        <v>-62.34</v>
      </c>
      <c r="H209" s="214" t="s">
        <v>1203</v>
      </c>
      <c r="I209" s="174" t="s">
        <v>1469</v>
      </c>
      <c r="J209" s="713" t="str">
        <f t="shared" si="6"/>
        <v/>
      </c>
      <c r="K209" s="713" t="str">
        <f t="shared" si="7"/>
        <v/>
      </c>
      <c r="L209" s="174">
        <v>1</v>
      </c>
      <c r="M209" s="242">
        <v>40343</v>
      </c>
      <c r="N209" s="242"/>
      <c r="O209" s="242"/>
      <c r="P209" s="3"/>
      <c r="Q209" s="249">
        <v>0.1</v>
      </c>
      <c r="R209" s="247" t="s">
        <v>446</v>
      </c>
      <c r="AA209" s="249">
        <v>7.3999999999999996E-2</v>
      </c>
      <c r="AB209" s="247" t="s">
        <v>446</v>
      </c>
      <c r="AG209" s="247">
        <f>Table2[[#This Row],[xFOSAs]]+Table2[[#This Row],[xFOSEs]]</f>
        <v>0.17399999999999999</v>
      </c>
      <c r="AH209" s="247" t="s">
        <v>869</v>
      </c>
      <c r="AJ209" s="1" t="s">
        <v>776</v>
      </c>
      <c r="AK209" s="1" t="s">
        <v>736</v>
      </c>
    </row>
    <row r="210" spans="1:37" x14ac:dyDescent="0.25">
      <c r="A210" s="214" t="s">
        <v>774</v>
      </c>
      <c r="B210" s="214" t="s">
        <v>775</v>
      </c>
      <c r="C210" s="214" t="s">
        <v>884</v>
      </c>
      <c r="D210" s="174">
        <v>82.5</v>
      </c>
      <c r="E210" s="214">
        <v>-62.34</v>
      </c>
      <c r="F210" s="174">
        <v>82.5</v>
      </c>
      <c r="G210" s="214">
        <v>-62.34</v>
      </c>
      <c r="H210" s="214" t="s">
        <v>1203</v>
      </c>
      <c r="I210" s="174" t="s">
        <v>1469</v>
      </c>
      <c r="J210" s="713" t="str">
        <f t="shared" si="6"/>
        <v/>
      </c>
      <c r="K210" s="713" t="str">
        <f t="shared" si="7"/>
        <v/>
      </c>
      <c r="L210" s="174">
        <v>1</v>
      </c>
      <c r="M210" s="242">
        <v>40357</v>
      </c>
      <c r="N210" s="242"/>
      <c r="O210" s="242"/>
      <c r="P210" s="3"/>
      <c r="Q210" s="249">
        <v>9.8000000000000004E-2</v>
      </c>
      <c r="R210" s="247" t="s">
        <v>446</v>
      </c>
      <c r="AA210" s="249">
        <v>0</v>
      </c>
      <c r="AB210" s="247" t="s">
        <v>446</v>
      </c>
      <c r="AG210" s="247">
        <f>Table2[[#This Row],[xFOSAs]]+Table2[[#This Row],[xFOSEs]]</f>
        <v>9.8000000000000004E-2</v>
      </c>
      <c r="AH210" s="247" t="s">
        <v>869</v>
      </c>
      <c r="AJ210" s="1" t="s">
        <v>776</v>
      </c>
      <c r="AK210" s="1" t="s">
        <v>736</v>
      </c>
    </row>
    <row r="211" spans="1:37" x14ac:dyDescent="0.25">
      <c r="A211" s="214" t="s">
        <v>774</v>
      </c>
      <c r="B211" s="214" t="s">
        <v>775</v>
      </c>
      <c r="C211" s="214" t="s">
        <v>884</v>
      </c>
      <c r="D211" s="174">
        <v>82.5</v>
      </c>
      <c r="E211" s="214">
        <v>-62.34</v>
      </c>
      <c r="F211" s="174">
        <v>82.5</v>
      </c>
      <c r="G211" s="214">
        <v>-62.34</v>
      </c>
      <c r="H211" s="214" t="s">
        <v>1203</v>
      </c>
      <c r="I211" s="174" t="s">
        <v>1469</v>
      </c>
      <c r="J211" s="713" t="str">
        <f t="shared" si="6"/>
        <v/>
      </c>
      <c r="K211" s="713" t="str">
        <f t="shared" si="7"/>
        <v/>
      </c>
      <c r="L211" s="174">
        <v>1</v>
      </c>
      <c r="M211" s="242">
        <v>40371</v>
      </c>
      <c r="N211" s="242"/>
      <c r="O211" s="242"/>
      <c r="P211" s="3"/>
      <c r="Q211" s="249">
        <v>0.11700000000000001</v>
      </c>
      <c r="R211" s="247" t="s">
        <v>446</v>
      </c>
      <c r="AA211" s="249">
        <v>0.53300000000000003</v>
      </c>
      <c r="AB211" s="247" t="s">
        <v>446</v>
      </c>
      <c r="AG211" s="247">
        <f>Table2[[#This Row],[xFOSAs]]+Table2[[#This Row],[xFOSEs]]</f>
        <v>0.65</v>
      </c>
      <c r="AH211" s="247" t="s">
        <v>869</v>
      </c>
      <c r="AJ211" s="1" t="s">
        <v>776</v>
      </c>
      <c r="AK211" s="1" t="s">
        <v>736</v>
      </c>
    </row>
    <row r="212" spans="1:37" x14ac:dyDescent="0.25">
      <c r="A212" s="214" t="s">
        <v>774</v>
      </c>
      <c r="B212" s="214" t="s">
        <v>775</v>
      </c>
      <c r="C212" s="214" t="s">
        <v>884</v>
      </c>
      <c r="D212" s="174">
        <v>82.5</v>
      </c>
      <c r="E212" s="214">
        <v>-62.34</v>
      </c>
      <c r="F212" s="174">
        <v>82.5</v>
      </c>
      <c r="G212" s="214">
        <v>-62.34</v>
      </c>
      <c r="H212" s="214" t="s">
        <v>1203</v>
      </c>
      <c r="I212" s="174" t="s">
        <v>1469</v>
      </c>
      <c r="J212" s="713" t="str">
        <f t="shared" si="6"/>
        <v/>
      </c>
      <c r="K212" s="713" t="str">
        <f t="shared" si="7"/>
        <v/>
      </c>
      <c r="L212" s="174">
        <v>1</v>
      </c>
      <c r="M212" s="242">
        <v>40385</v>
      </c>
      <c r="N212" s="242"/>
      <c r="O212" s="242"/>
      <c r="P212" s="3"/>
      <c r="Q212" s="249">
        <v>0.14099999999999999</v>
      </c>
      <c r="R212" s="247" t="s">
        <v>446</v>
      </c>
      <c r="AA212" s="249">
        <v>0.32100000000000001</v>
      </c>
      <c r="AB212" s="247">
        <v>1</v>
      </c>
      <c r="AG212" s="247">
        <f>Table2[[#This Row],[xFOSAs]]+Table2[[#This Row],[xFOSEs]]</f>
        <v>0.46199999999999997</v>
      </c>
      <c r="AH212" s="247" t="s">
        <v>869</v>
      </c>
      <c r="AJ212" s="1" t="s">
        <v>776</v>
      </c>
      <c r="AK212" s="1" t="s">
        <v>736</v>
      </c>
    </row>
    <row r="213" spans="1:37" x14ac:dyDescent="0.25">
      <c r="A213" s="214" t="s">
        <v>774</v>
      </c>
      <c r="B213" s="214" t="s">
        <v>775</v>
      </c>
      <c r="C213" s="214" t="s">
        <v>884</v>
      </c>
      <c r="D213" s="174">
        <v>82.5</v>
      </c>
      <c r="E213" s="214">
        <v>-62.34</v>
      </c>
      <c r="F213" s="174">
        <v>82.5</v>
      </c>
      <c r="G213" s="214">
        <v>-62.34</v>
      </c>
      <c r="H213" s="214" t="s">
        <v>1203</v>
      </c>
      <c r="I213" s="174" t="s">
        <v>1469</v>
      </c>
      <c r="J213" s="713" t="str">
        <f t="shared" si="6"/>
        <v/>
      </c>
      <c r="K213" s="713" t="str">
        <f t="shared" si="7"/>
        <v/>
      </c>
      <c r="L213" s="174">
        <v>1</v>
      </c>
      <c r="M213" s="242">
        <v>40399</v>
      </c>
      <c r="N213" s="242"/>
      <c r="O213" s="242"/>
      <c r="P213" s="3"/>
      <c r="Q213" s="249">
        <v>0.105</v>
      </c>
      <c r="R213" s="247" t="s">
        <v>446</v>
      </c>
      <c r="AA213" s="249">
        <v>0</v>
      </c>
      <c r="AB213" s="247" t="s">
        <v>446</v>
      </c>
      <c r="AG213" s="247">
        <f>Table2[[#This Row],[xFOSAs]]+Table2[[#This Row],[xFOSEs]]</f>
        <v>0.105</v>
      </c>
      <c r="AH213" s="247" t="s">
        <v>869</v>
      </c>
      <c r="AJ213" s="1" t="s">
        <v>776</v>
      </c>
      <c r="AK213" s="1" t="s">
        <v>736</v>
      </c>
    </row>
    <row r="214" spans="1:37" x14ac:dyDescent="0.25">
      <c r="A214" s="214" t="s">
        <v>774</v>
      </c>
      <c r="B214" s="214" t="s">
        <v>775</v>
      </c>
      <c r="C214" s="214" t="s">
        <v>884</v>
      </c>
      <c r="D214" s="174">
        <v>82.5</v>
      </c>
      <c r="E214" s="214">
        <v>-62.34</v>
      </c>
      <c r="F214" s="174">
        <v>82.5</v>
      </c>
      <c r="G214" s="214">
        <v>-62.34</v>
      </c>
      <c r="H214" s="214" t="s">
        <v>1203</v>
      </c>
      <c r="I214" s="174" t="s">
        <v>1469</v>
      </c>
      <c r="J214" s="713" t="str">
        <f t="shared" si="6"/>
        <v/>
      </c>
      <c r="K214" s="713" t="str">
        <f t="shared" si="7"/>
        <v/>
      </c>
      <c r="L214" s="174">
        <v>1</v>
      </c>
      <c r="M214" s="242">
        <v>40427</v>
      </c>
      <c r="N214" s="242"/>
      <c r="O214" s="242"/>
      <c r="P214" s="3"/>
      <c r="Q214" s="249">
        <v>8.4000000000000005E-2</v>
      </c>
      <c r="R214" s="247" t="s">
        <v>446</v>
      </c>
      <c r="AA214" s="249">
        <v>0</v>
      </c>
      <c r="AB214" s="247" t="s">
        <v>446</v>
      </c>
      <c r="AG214" s="247">
        <f>Table2[[#This Row],[xFOSAs]]+Table2[[#This Row],[xFOSEs]]</f>
        <v>8.4000000000000005E-2</v>
      </c>
      <c r="AH214" s="247" t="s">
        <v>869</v>
      </c>
      <c r="AJ214" s="1" t="s">
        <v>776</v>
      </c>
      <c r="AK214" s="1" t="s">
        <v>736</v>
      </c>
    </row>
    <row r="215" spans="1:37" x14ac:dyDescent="0.25">
      <c r="A215" s="214" t="s">
        <v>774</v>
      </c>
      <c r="B215" s="214" t="s">
        <v>775</v>
      </c>
      <c r="C215" s="214" t="s">
        <v>884</v>
      </c>
      <c r="D215" s="174">
        <v>82.5</v>
      </c>
      <c r="E215" s="214">
        <v>-62.34</v>
      </c>
      <c r="F215" s="174">
        <v>82.5</v>
      </c>
      <c r="G215" s="214">
        <v>-62.34</v>
      </c>
      <c r="H215" s="214" t="s">
        <v>1203</v>
      </c>
      <c r="I215" s="174" t="s">
        <v>1469</v>
      </c>
      <c r="J215" s="713" t="str">
        <f t="shared" si="6"/>
        <v/>
      </c>
      <c r="K215" s="713" t="str">
        <f t="shared" si="7"/>
        <v/>
      </c>
      <c r="L215" s="174">
        <v>1</v>
      </c>
      <c r="M215" s="242">
        <v>40441</v>
      </c>
      <c r="N215" s="242"/>
      <c r="O215" s="242"/>
      <c r="P215" s="3"/>
      <c r="Q215" s="249">
        <v>8.3000000000000004E-2</v>
      </c>
      <c r="R215" s="247" t="s">
        <v>446</v>
      </c>
      <c r="AA215" s="249">
        <v>1E-3</v>
      </c>
      <c r="AB215" s="247" t="s">
        <v>446</v>
      </c>
      <c r="AG215" s="247">
        <f>Table2[[#This Row],[xFOSAs]]+Table2[[#This Row],[xFOSEs]]</f>
        <v>8.4000000000000005E-2</v>
      </c>
      <c r="AH215" s="247" t="s">
        <v>869</v>
      </c>
      <c r="AJ215" s="1" t="s">
        <v>776</v>
      </c>
      <c r="AK215" s="1" t="s">
        <v>736</v>
      </c>
    </row>
    <row r="216" spans="1:37" x14ac:dyDescent="0.25">
      <c r="A216" s="214" t="s">
        <v>774</v>
      </c>
      <c r="B216" s="214" t="s">
        <v>775</v>
      </c>
      <c r="C216" s="214" t="s">
        <v>884</v>
      </c>
      <c r="D216" s="174">
        <v>82.5</v>
      </c>
      <c r="E216" s="214">
        <v>-62.34</v>
      </c>
      <c r="F216" s="174">
        <v>82.5</v>
      </c>
      <c r="G216" s="214">
        <v>-62.34</v>
      </c>
      <c r="H216" s="214" t="s">
        <v>1203</v>
      </c>
      <c r="I216" s="174" t="s">
        <v>1469</v>
      </c>
      <c r="J216" s="713" t="str">
        <f t="shared" si="6"/>
        <v/>
      </c>
      <c r="K216" s="713" t="str">
        <f t="shared" si="7"/>
        <v/>
      </c>
      <c r="L216" s="174">
        <v>1</v>
      </c>
      <c r="M216" s="242">
        <v>40469</v>
      </c>
      <c r="N216" s="242"/>
      <c r="O216" s="242"/>
      <c r="P216" s="3"/>
      <c r="Q216" s="249">
        <v>6.0999999999999999E-2</v>
      </c>
      <c r="R216" s="247" t="s">
        <v>446</v>
      </c>
      <c r="AA216" s="249">
        <v>0</v>
      </c>
      <c r="AB216" s="247" t="s">
        <v>446</v>
      </c>
      <c r="AG216" s="247">
        <f>Table2[[#This Row],[xFOSAs]]+Table2[[#This Row],[xFOSEs]]</f>
        <v>6.0999999999999999E-2</v>
      </c>
      <c r="AH216" s="247" t="s">
        <v>869</v>
      </c>
      <c r="AJ216" s="1" t="s">
        <v>776</v>
      </c>
      <c r="AK216" s="1" t="s">
        <v>736</v>
      </c>
    </row>
    <row r="217" spans="1:37" x14ac:dyDescent="0.25">
      <c r="A217" s="214" t="s">
        <v>774</v>
      </c>
      <c r="B217" s="214" t="s">
        <v>775</v>
      </c>
      <c r="C217" s="214" t="s">
        <v>884</v>
      </c>
      <c r="D217" s="174">
        <v>82.5</v>
      </c>
      <c r="E217" s="214">
        <v>-62.34</v>
      </c>
      <c r="F217" s="174">
        <v>82.5</v>
      </c>
      <c r="G217" s="214">
        <v>-62.34</v>
      </c>
      <c r="H217" s="214" t="s">
        <v>1203</v>
      </c>
      <c r="I217" s="174" t="s">
        <v>1469</v>
      </c>
      <c r="J217" s="713" t="str">
        <f t="shared" si="6"/>
        <v/>
      </c>
      <c r="K217" s="713" t="str">
        <f t="shared" si="7"/>
        <v/>
      </c>
      <c r="L217" s="174">
        <v>1</v>
      </c>
      <c r="M217" s="242">
        <v>40504</v>
      </c>
      <c r="N217" s="242"/>
      <c r="O217" s="242"/>
      <c r="P217" s="3"/>
      <c r="Q217" s="249"/>
      <c r="R217" s="247" t="s">
        <v>446</v>
      </c>
      <c r="AA217" s="249">
        <v>0.27600000000000002</v>
      </c>
      <c r="AB217" s="247" t="s">
        <v>446</v>
      </c>
      <c r="AG217" s="247">
        <f>Table2[[#This Row],[xFOSAs]]+Table2[[#This Row],[xFOSEs]]</f>
        <v>0.27600000000000002</v>
      </c>
      <c r="AH217" s="247" t="s">
        <v>869</v>
      </c>
      <c r="AJ217" s="1" t="s">
        <v>776</v>
      </c>
      <c r="AK217" s="1" t="s">
        <v>736</v>
      </c>
    </row>
    <row r="218" spans="1:37" x14ac:dyDescent="0.25">
      <c r="A218" s="214" t="s">
        <v>774</v>
      </c>
      <c r="B218" s="214" t="s">
        <v>775</v>
      </c>
      <c r="C218" s="214" t="s">
        <v>884</v>
      </c>
      <c r="D218" s="174">
        <v>82.5</v>
      </c>
      <c r="E218" s="214">
        <v>-62.34</v>
      </c>
      <c r="F218" s="174">
        <v>82.5</v>
      </c>
      <c r="G218" s="214">
        <v>-62.34</v>
      </c>
      <c r="H218" s="214" t="s">
        <v>1203</v>
      </c>
      <c r="I218" s="174" t="s">
        <v>1469</v>
      </c>
      <c r="J218" s="713" t="str">
        <f t="shared" si="6"/>
        <v/>
      </c>
      <c r="K218" s="713" t="str">
        <f t="shared" si="7"/>
        <v/>
      </c>
      <c r="L218" s="174">
        <v>1</v>
      </c>
      <c r="M218" s="242">
        <v>40525</v>
      </c>
      <c r="N218" s="242"/>
      <c r="O218" s="242"/>
      <c r="P218" s="3"/>
      <c r="Q218" s="249"/>
      <c r="R218" s="247" t="s">
        <v>446</v>
      </c>
      <c r="AA218" s="249">
        <v>0.24099999999999999</v>
      </c>
      <c r="AB218" s="247" t="s">
        <v>446</v>
      </c>
      <c r="AG218" s="247">
        <f>Table2[[#This Row],[xFOSAs]]+Table2[[#This Row],[xFOSEs]]</f>
        <v>0.24099999999999999</v>
      </c>
      <c r="AH218" s="247" t="s">
        <v>869</v>
      </c>
      <c r="AJ218" s="1" t="s">
        <v>776</v>
      </c>
      <c r="AK218" s="1" t="s">
        <v>736</v>
      </c>
    </row>
    <row r="219" spans="1:37" x14ac:dyDescent="0.25">
      <c r="A219" s="214" t="s">
        <v>774</v>
      </c>
      <c r="B219" s="214" t="s">
        <v>775</v>
      </c>
      <c r="C219" s="214" t="s">
        <v>884</v>
      </c>
      <c r="D219" s="174">
        <v>82.5</v>
      </c>
      <c r="E219" s="214">
        <v>-62.34</v>
      </c>
      <c r="F219" s="174">
        <v>82.5</v>
      </c>
      <c r="G219" s="214">
        <v>-62.34</v>
      </c>
      <c r="H219" s="214" t="s">
        <v>1203</v>
      </c>
      <c r="I219" s="174" t="s">
        <v>1469</v>
      </c>
      <c r="J219" s="713" t="str">
        <f t="shared" si="6"/>
        <v/>
      </c>
      <c r="K219" s="713" t="str">
        <f t="shared" si="7"/>
        <v/>
      </c>
      <c r="L219" s="174">
        <v>1</v>
      </c>
      <c r="M219" s="242">
        <v>40553</v>
      </c>
      <c r="N219" s="242"/>
      <c r="O219" s="242"/>
      <c r="P219" s="3"/>
      <c r="Q219" s="249">
        <v>5.8999999999999997E-2</v>
      </c>
      <c r="R219" s="247" t="s">
        <v>446</v>
      </c>
      <c r="AA219" s="249">
        <v>0.34300000000000003</v>
      </c>
      <c r="AB219" s="247" t="s">
        <v>446</v>
      </c>
      <c r="AG219" s="247">
        <f>Table2[[#This Row],[xFOSAs]]+Table2[[#This Row],[xFOSEs]]</f>
        <v>0.40200000000000002</v>
      </c>
      <c r="AH219" s="247" t="s">
        <v>869</v>
      </c>
      <c r="AJ219" s="1" t="s">
        <v>776</v>
      </c>
      <c r="AK219" s="1" t="s">
        <v>736</v>
      </c>
    </row>
    <row r="220" spans="1:37" x14ac:dyDescent="0.25">
      <c r="A220" s="214" t="s">
        <v>774</v>
      </c>
      <c r="B220" s="214" t="s">
        <v>775</v>
      </c>
      <c r="C220" s="214" t="s">
        <v>884</v>
      </c>
      <c r="D220" s="174">
        <v>82.5</v>
      </c>
      <c r="E220" s="214">
        <v>-62.34</v>
      </c>
      <c r="F220" s="174">
        <v>82.5</v>
      </c>
      <c r="G220" s="214">
        <v>-62.34</v>
      </c>
      <c r="H220" s="214" t="s">
        <v>1203</v>
      </c>
      <c r="I220" s="174" t="s">
        <v>1469</v>
      </c>
      <c r="J220" s="713" t="str">
        <f t="shared" si="6"/>
        <v/>
      </c>
      <c r="K220" s="713" t="str">
        <f t="shared" si="7"/>
        <v/>
      </c>
      <c r="L220" s="174">
        <v>1</v>
      </c>
      <c r="M220" s="242">
        <v>40581</v>
      </c>
      <c r="N220" s="242"/>
      <c r="O220" s="242"/>
      <c r="P220" s="3"/>
      <c r="Q220" s="249">
        <v>0</v>
      </c>
      <c r="R220" s="247" t="s">
        <v>446</v>
      </c>
      <c r="AA220" s="249">
        <v>0.311</v>
      </c>
      <c r="AB220" s="247" t="s">
        <v>446</v>
      </c>
      <c r="AG220" s="247">
        <f>Table2[[#This Row],[xFOSAs]]+Table2[[#This Row],[xFOSEs]]</f>
        <v>0.311</v>
      </c>
      <c r="AH220" s="247" t="s">
        <v>869</v>
      </c>
      <c r="AJ220" s="1" t="s">
        <v>776</v>
      </c>
      <c r="AK220" s="1" t="s">
        <v>736</v>
      </c>
    </row>
    <row r="221" spans="1:37" x14ac:dyDescent="0.25">
      <c r="A221" s="214" t="s">
        <v>774</v>
      </c>
      <c r="B221" s="214" t="s">
        <v>775</v>
      </c>
      <c r="C221" s="214" t="s">
        <v>884</v>
      </c>
      <c r="D221" s="174">
        <v>82.5</v>
      </c>
      <c r="E221" s="214">
        <v>-62.34</v>
      </c>
      <c r="F221" s="174">
        <v>82.5</v>
      </c>
      <c r="G221" s="214">
        <v>-62.34</v>
      </c>
      <c r="H221" s="214" t="s">
        <v>1203</v>
      </c>
      <c r="I221" s="174" t="s">
        <v>1469</v>
      </c>
      <c r="J221" s="713" t="str">
        <f t="shared" si="6"/>
        <v/>
      </c>
      <c r="K221" s="713" t="str">
        <f t="shared" si="7"/>
        <v/>
      </c>
      <c r="L221" s="174">
        <v>1</v>
      </c>
      <c r="M221" s="242">
        <v>40609</v>
      </c>
      <c r="N221" s="242"/>
      <c r="O221" s="242"/>
      <c r="P221" s="3"/>
      <c r="Q221" s="249">
        <v>3.5000000000000003E-2</v>
      </c>
      <c r="R221" s="247" t="s">
        <v>446</v>
      </c>
      <c r="AA221" s="249">
        <v>0.36599999999999999</v>
      </c>
      <c r="AB221" s="247">
        <v>1</v>
      </c>
      <c r="AG221" s="247">
        <f>Table2[[#This Row],[xFOSAs]]+Table2[[#This Row],[xFOSEs]]</f>
        <v>0.40100000000000002</v>
      </c>
      <c r="AH221" s="247" t="s">
        <v>869</v>
      </c>
      <c r="AJ221" s="1" t="s">
        <v>776</v>
      </c>
      <c r="AK221" s="1" t="s">
        <v>736</v>
      </c>
    </row>
    <row r="222" spans="1:37" x14ac:dyDescent="0.25">
      <c r="A222" s="214" t="s">
        <v>774</v>
      </c>
      <c r="B222" s="214" t="s">
        <v>775</v>
      </c>
      <c r="C222" s="214" t="s">
        <v>884</v>
      </c>
      <c r="D222" s="174">
        <v>82.5</v>
      </c>
      <c r="E222" s="214">
        <v>-62.34</v>
      </c>
      <c r="F222" s="174">
        <v>82.5</v>
      </c>
      <c r="G222" s="214">
        <v>-62.34</v>
      </c>
      <c r="H222" s="214" t="s">
        <v>1203</v>
      </c>
      <c r="I222" s="174" t="s">
        <v>1469</v>
      </c>
      <c r="J222" s="713" t="str">
        <f t="shared" si="6"/>
        <v/>
      </c>
      <c r="K222" s="713" t="str">
        <f t="shared" si="7"/>
        <v/>
      </c>
      <c r="L222" s="174">
        <v>1</v>
      </c>
      <c r="M222" s="242">
        <v>40623</v>
      </c>
      <c r="N222" s="242"/>
      <c r="O222" s="242"/>
      <c r="P222" s="3"/>
      <c r="Q222" s="249">
        <v>2.4E-2</v>
      </c>
      <c r="R222" s="247" t="s">
        <v>446</v>
      </c>
      <c r="AA222" s="249">
        <v>0.318</v>
      </c>
      <c r="AB222" s="247" t="s">
        <v>446</v>
      </c>
      <c r="AG222" s="247">
        <f>Table2[[#This Row],[xFOSAs]]+Table2[[#This Row],[xFOSEs]]</f>
        <v>0.34200000000000003</v>
      </c>
      <c r="AH222" s="247" t="s">
        <v>869</v>
      </c>
      <c r="AJ222" s="1" t="s">
        <v>776</v>
      </c>
      <c r="AK222" s="1" t="s">
        <v>736</v>
      </c>
    </row>
    <row r="223" spans="1:37" x14ac:dyDescent="0.25">
      <c r="A223" s="214" t="s">
        <v>774</v>
      </c>
      <c r="B223" s="214" t="s">
        <v>775</v>
      </c>
      <c r="C223" s="214" t="s">
        <v>884</v>
      </c>
      <c r="D223" s="174">
        <v>82.5</v>
      </c>
      <c r="E223" s="214">
        <v>-62.34</v>
      </c>
      <c r="F223" s="174">
        <v>82.5</v>
      </c>
      <c r="G223" s="214">
        <v>-62.34</v>
      </c>
      <c r="H223" s="214" t="s">
        <v>1203</v>
      </c>
      <c r="I223" s="174" t="s">
        <v>1469</v>
      </c>
      <c r="J223" s="713" t="str">
        <f t="shared" si="6"/>
        <v/>
      </c>
      <c r="K223" s="713" t="str">
        <f t="shared" si="7"/>
        <v/>
      </c>
      <c r="L223" s="174">
        <v>1</v>
      </c>
      <c r="M223" s="242">
        <v>40637</v>
      </c>
      <c r="N223" s="242"/>
      <c r="O223" s="242"/>
      <c r="P223" s="3"/>
      <c r="Q223" s="249"/>
      <c r="R223" s="247" t="s">
        <v>446</v>
      </c>
      <c r="AA223" s="249">
        <v>0.26800000000000002</v>
      </c>
      <c r="AB223" s="247" t="s">
        <v>446</v>
      </c>
      <c r="AG223" s="247">
        <f>Table2[[#This Row],[xFOSAs]]+Table2[[#This Row],[xFOSEs]]</f>
        <v>0.26800000000000002</v>
      </c>
      <c r="AH223" s="247" t="s">
        <v>869</v>
      </c>
      <c r="AJ223" s="1" t="s">
        <v>776</v>
      </c>
      <c r="AK223" s="1" t="s">
        <v>736</v>
      </c>
    </row>
    <row r="224" spans="1:37" x14ac:dyDescent="0.25">
      <c r="A224" s="214" t="s">
        <v>774</v>
      </c>
      <c r="B224" s="214" t="s">
        <v>775</v>
      </c>
      <c r="C224" s="214" t="s">
        <v>884</v>
      </c>
      <c r="D224" s="174">
        <v>82.5</v>
      </c>
      <c r="E224" s="214">
        <v>-62.34</v>
      </c>
      <c r="F224" s="174">
        <v>82.5</v>
      </c>
      <c r="G224" s="214">
        <v>-62.34</v>
      </c>
      <c r="H224" s="214" t="s">
        <v>1203</v>
      </c>
      <c r="I224" s="174" t="s">
        <v>1469</v>
      </c>
      <c r="J224" s="713" t="str">
        <f t="shared" si="6"/>
        <v/>
      </c>
      <c r="K224" s="713" t="str">
        <f t="shared" si="7"/>
        <v/>
      </c>
      <c r="L224" s="174">
        <v>1</v>
      </c>
      <c r="M224" s="242">
        <v>40651</v>
      </c>
      <c r="N224" s="242"/>
      <c r="O224" s="242"/>
      <c r="P224" s="3"/>
      <c r="Q224" s="249"/>
      <c r="R224" s="247" t="s">
        <v>446</v>
      </c>
      <c r="AA224" s="249">
        <v>0.47299999999999998</v>
      </c>
      <c r="AB224" s="247" t="s">
        <v>446</v>
      </c>
      <c r="AG224" s="247">
        <f>Table2[[#This Row],[xFOSAs]]+Table2[[#This Row],[xFOSEs]]</f>
        <v>0.47299999999999998</v>
      </c>
      <c r="AH224" s="247" t="s">
        <v>869</v>
      </c>
      <c r="AJ224" s="1" t="s">
        <v>776</v>
      </c>
      <c r="AK224" s="1" t="s">
        <v>736</v>
      </c>
    </row>
    <row r="225" spans="1:37" x14ac:dyDescent="0.25">
      <c r="A225" s="214" t="s">
        <v>774</v>
      </c>
      <c r="B225" s="214" t="s">
        <v>775</v>
      </c>
      <c r="C225" s="214" t="s">
        <v>884</v>
      </c>
      <c r="D225" s="174">
        <v>82.5</v>
      </c>
      <c r="E225" s="214">
        <v>-62.34</v>
      </c>
      <c r="F225" s="174">
        <v>82.5</v>
      </c>
      <c r="G225" s="214">
        <v>-62.34</v>
      </c>
      <c r="H225" s="214" t="s">
        <v>1203</v>
      </c>
      <c r="I225" s="174" t="s">
        <v>1469</v>
      </c>
      <c r="J225" s="713" t="str">
        <f t="shared" si="6"/>
        <v/>
      </c>
      <c r="K225" s="713" t="str">
        <f t="shared" si="7"/>
        <v/>
      </c>
      <c r="L225" s="174">
        <v>1</v>
      </c>
      <c r="M225" s="242">
        <v>40665</v>
      </c>
      <c r="N225" s="242"/>
      <c r="O225" s="242"/>
      <c r="P225" s="3"/>
      <c r="Q225" s="249">
        <v>1.4999999999999999E-2</v>
      </c>
      <c r="R225" s="247" t="s">
        <v>446</v>
      </c>
      <c r="AA225" s="249">
        <v>0.23300000000000001</v>
      </c>
      <c r="AB225" s="247" t="s">
        <v>446</v>
      </c>
      <c r="AG225" s="247">
        <f>Table2[[#This Row],[xFOSAs]]+Table2[[#This Row],[xFOSEs]]</f>
        <v>0.248</v>
      </c>
      <c r="AH225" s="247" t="s">
        <v>869</v>
      </c>
      <c r="AJ225" s="1" t="s">
        <v>776</v>
      </c>
      <c r="AK225" s="1" t="s">
        <v>736</v>
      </c>
    </row>
    <row r="226" spans="1:37" x14ac:dyDescent="0.25">
      <c r="A226" s="214" t="s">
        <v>774</v>
      </c>
      <c r="B226" s="214" t="s">
        <v>775</v>
      </c>
      <c r="C226" s="214" t="s">
        <v>884</v>
      </c>
      <c r="D226" s="174">
        <v>82.5</v>
      </c>
      <c r="E226" s="214">
        <v>-62.34</v>
      </c>
      <c r="F226" s="174">
        <v>82.5</v>
      </c>
      <c r="G226" s="214">
        <v>-62.34</v>
      </c>
      <c r="H226" s="214" t="s">
        <v>1203</v>
      </c>
      <c r="I226" s="174" t="s">
        <v>1469</v>
      </c>
      <c r="J226" s="713" t="str">
        <f t="shared" si="6"/>
        <v/>
      </c>
      <c r="K226" s="713" t="str">
        <f t="shared" si="7"/>
        <v/>
      </c>
      <c r="L226" s="174">
        <v>1</v>
      </c>
      <c r="M226" s="242">
        <v>40679</v>
      </c>
      <c r="N226" s="242"/>
      <c r="O226" s="242"/>
      <c r="P226" s="3"/>
      <c r="Q226" s="249">
        <v>3.3000000000000002E-2</v>
      </c>
      <c r="R226" s="247" t="s">
        <v>446</v>
      </c>
      <c r="AA226" s="249">
        <v>0.32600000000000001</v>
      </c>
      <c r="AB226" s="247" t="s">
        <v>446</v>
      </c>
      <c r="AG226" s="247">
        <f>Table2[[#This Row],[xFOSAs]]+Table2[[#This Row],[xFOSEs]]</f>
        <v>0.35899999999999999</v>
      </c>
      <c r="AH226" s="247" t="s">
        <v>869</v>
      </c>
      <c r="AJ226" s="1" t="s">
        <v>776</v>
      </c>
      <c r="AK226" s="1" t="s">
        <v>736</v>
      </c>
    </row>
    <row r="227" spans="1:37" x14ac:dyDescent="0.25">
      <c r="A227" s="214" t="s">
        <v>774</v>
      </c>
      <c r="B227" s="214" t="s">
        <v>775</v>
      </c>
      <c r="C227" s="214" t="s">
        <v>884</v>
      </c>
      <c r="D227" s="174">
        <v>82.5</v>
      </c>
      <c r="E227" s="214">
        <v>-62.34</v>
      </c>
      <c r="F227" s="174">
        <v>82.5</v>
      </c>
      <c r="G227" s="214">
        <v>-62.34</v>
      </c>
      <c r="H227" s="214" t="s">
        <v>1203</v>
      </c>
      <c r="I227" s="174" t="s">
        <v>1469</v>
      </c>
      <c r="J227" s="713" t="str">
        <f t="shared" si="6"/>
        <v/>
      </c>
      <c r="K227" s="713" t="str">
        <f t="shared" si="7"/>
        <v/>
      </c>
      <c r="L227" s="174">
        <v>1</v>
      </c>
      <c r="M227" s="242">
        <v>40693</v>
      </c>
      <c r="N227" s="242"/>
      <c r="O227" s="242"/>
      <c r="P227" s="3"/>
      <c r="Q227" s="249">
        <v>4.5999999999999999E-2</v>
      </c>
      <c r="R227" s="247" t="s">
        <v>446</v>
      </c>
      <c r="AA227" s="249">
        <v>0.27500000000000002</v>
      </c>
      <c r="AB227" s="247" t="s">
        <v>446</v>
      </c>
      <c r="AG227" s="247">
        <f>Table2[[#This Row],[xFOSAs]]+Table2[[#This Row],[xFOSEs]]</f>
        <v>0.32100000000000001</v>
      </c>
      <c r="AH227" s="247" t="s">
        <v>869</v>
      </c>
      <c r="AJ227" s="1" t="s">
        <v>776</v>
      </c>
      <c r="AK227" s="1" t="s">
        <v>736</v>
      </c>
    </row>
    <row r="228" spans="1:37" x14ac:dyDescent="0.25">
      <c r="A228" s="214" t="s">
        <v>774</v>
      </c>
      <c r="B228" s="214" t="s">
        <v>775</v>
      </c>
      <c r="C228" s="214" t="s">
        <v>884</v>
      </c>
      <c r="D228" s="174">
        <v>82.5</v>
      </c>
      <c r="E228" s="214">
        <v>-62.34</v>
      </c>
      <c r="F228" s="174">
        <v>82.5</v>
      </c>
      <c r="G228" s="214">
        <v>-62.34</v>
      </c>
      <c r="H228" s="214" t="s">
        <v>1203</v>
      </c>
      <c r="I228" s="174" t="s">
        <v>1469</v>
      </c>
      <c r="J228" s="713" t="str">
        <f t="shared" ref="J228:J253" si="8">IF(R228=0,"yes","")</f>
        <v/>
      </c>
      <c r="K228" s="713" t="str">
        <f t="shared" ref="K228:K253" si="9">IF(AB228=0,"yes","")</f>
        <v/>
      </c>
      <c r="L228" s="174">
        <v>1</v>
      </c>
      <c r="M228" s="242">
        <v>40707</v>
      </c>
      <c r="N228" s="242"/>
      <c r="O228" s="242"/>
      <c r="P228" s="3"/>
      <c r="Q228" s="249">
        <v>5.6000000000000001E-2</v>
      </c>
      <c r="R228" s="247" t="s">
        <v>446</v>
      </c>
      <c r="AA228" s="249">
        <v>0.68200000000000005</v>
      </c>
      <c r="AB228" s="247" t="s">
        <v>446</v>
      </c>
      <c r="AG228" s="247">
        <f>Table2[[#This Row],[xFOSAs]]+Table2[[#This Row],[xFOSEs]]</f>
        <v>0.7380000000000001</v>
      </c>
      <c r="AH228" s="247" t="s">
        <v>869</v>
      </c>
      <c r="AJ228" s="1" t="s">
        <v>776</v>
      </c>
      <c r="AK228" s="1" t="s">
        <v>736</v>
      </c>
    </row>
    <row r="229" spans="1:37" x14ac:dyDescent="0.25">
      <c r="A229" s="214" t="s">
        <v>774</v>
      </c>
      <c r="B229" s="214" t="s">
        <v>775</v>
      </c>
      <c r="C229" s="214" t="s">
        <v>884</v>
      </c>
      <c r="D229" s="174">
        <v>82.5</v>
      </c>
      <c r="E229" s="214">
        <v>-62.34</v>
      </c>
      <c r="F229" s="174">
        <v>82.5</v>
      </c>
      <c r="G229" s="214">
        <v>-62.34</v>
      </c>
      <c r="H229" s="214" t="s">
        <v>1203</v>
      </c>
      <c r="I229" s="174" t="s">
        <v>1469</v>
      </c>
      <c r="J229" s="713" t="str">
        <f t="shared" si="8"/>
        <v/>
      </c>
      <c r="K229" s="713" t="str">
        <f t="shared" si="9"/>
        <v/>
      </c>
      <c r="L229" s="174">
        <v>1</v>
      </c>
      <c r="M229" s="242">
        <v>40721</v>
      </c>
      <c r="N229" s="242"/>
      <c r="O229" s="242"/>
      <c r="P229" s="3"/>
      <c r="Q229" s="249">
        <v>5.5E-2</v>
      </c>
      <c r="R229" s="247" t="s">
        <v>446</v>
      </c>
      <c r="AA229" s="249">
        <v>0.57899999999999996</v>
      </c>
      <c r="AB229" s="247" t="s">
        <v>446</v>
      </c>
      <c r="AG229" s="247">
        <f>Table2[[#This Row],[xFOSAs]]+Table2[[#This Row],[xFOSEs]]</f>
        <v>0.63400000000000001</v>
      </c>
      <c r="AH229" s="247" t="s">
        <v>869</v>
      </c>
      <c r="AJ229" s="1" t="s">
        <v>776</v>
      </c>
      <c r="AK229" s="1" t="s">
        <v>736</v>
      </c>
    </row>
    <row r="230" spans="1:37" x14ac:dyDescent="0.25">
      <c r="A230" s="214" t="s">
        <v>774</v>
      </c>
      <c r="B230" s="214" t="s">
        <v>775</v>
      </c>
      <c r="C230" s="214" t="s">
        <v>884</v>
      </c>
      <c r="D230" s="174">
        <v>82.5</v>
      </c>
      <c r="E230" s="214">
        <v>-62.34</v>
      </c>
      <c r="F230" s="174">
        <v>82.5</v>
      </c>
      <c r="G230" s="214">
        <v>-62.34</v>
      </c>
      <c r="H230" s="214" t="s">
        <v>1203</v>
      </c>
      <c r="I230" s="174" t="s">
        <v>1469</v>
      </c>
      <c r="J230" s="713" t="str">
        <f t="shared" si="8"/>
        <v/>
      </c>
      <c r="K230" s="713" t="str">
        <f t="shared" si="9"/>
        <v/>
      </c>
      <c r="L230" s="174">
        <v>1</v>
      </c>
      <c r="M230" s="242">
        <v>40735</v>
      </c>
      <c r="N230" s="242"/>
      <c r="O230" s="242"/>
      <c r="P230" s="3"/>
      <c r="Q230" s="249">
        <v>5.8000000000000003E-2</v>
      </c>
      <c r="R230" s="247" t="s">
        <v>446</v>
      </c>
      <c r="AA230" s="249">
        <v>0.52700000000000002</v>
      </c>
      <c r="AB230" s="247">
        <v>1</v>
      </c>
      <c r="AG230" s="247">
        <f>Table2[[#This Row],[xFOSAs]]+Table2[[#This Row],[xFOSEs]]</f>
        <v>0.58500000000000008</v>
      </c>
      <c r="AH230" s="247" t="s">
        <v>869</v>
      </c>
      <c r="AJ230" s="1" t="s">
        <v>776</v>
      </c>
      <c r="AK230" s="1" t="s">
        <v>736</v>
      </c>
    </row>
    <row r="231" spans="1:37" x14ac:dyDescent="0.25">
      <c r="A231" s="214" t="s">
        <v>774</v>
      </c>
      <c r="B231" s="214" t="s">
        <v>775</v>
      </c>
      <c r="C231" s="214" t="s">
        <v>884</v>
      </c>
      <c r="D231" s="174">
        <v>82.5</v>
      </c>
      <c r="E231" s="214">
        <v>-62.34</v>
      </c>
      <c r="F231" s="174">
        <v>82.5</v>
      </c>
      <c r="G231" s="214">
        <v>-62.34</v>
      </c>
      <c r="H231" s="214" t="s">
        <v>1203</v>
      </c>
      <c r="I231" s="174" t="s">
        <v>1469</v>
      </c>
      <c r="J231" s="713" t="str">
        <f t="shared" si="8"/>
        <v/>
      </c>
      <c r="K231" s="713" t="str">
        <f t="shared" si="9"/>
        <v/>
      </c>
      <c r="L231" s="174">
        <v>1</v>
      </c>
      <c r="M231" s="242">
        <v>40749</v>
      </c>
      <c r="N231" s="242"/>
      <c r="O231" s="242"/>
      <c r="P231" s="3"/>
      <c r="Q231" s="249">
        <v>6.7000000000000004E-2</v>
      </c>
      <c r="R231" s="247" t="s">
        <v>446</v>
      </c>
      <c r="AA231" s="249">
        <v>0.39500000000000002</v>
      </c>
      <c r="AB231" s="247" t="s">
        <v>446</v>
      </c>
      <c r="AG231" s="247">
        <f>Table2[[#This Row],[xFOSAs]]+Table2[[#This Row],[xFOSEs]]</f>
        <v>0.46200000000000002</v>
      </c>
      <c r="AH231" s="247" t="s">
        <v>869</v>
      </c>
      <c r="AJ231" s="1" t="s">
        <v>776</v>
      </c>
      <c r="AK231" s="1" t="s">
        <v>736</v>
      </c>
    </row>
    <row r="232" spans="1:37" x14ac:dyDescent="0.25">
      <c r="A232" s="214" t="s">
        <v>774</v>
      </c>
      <c r="B232" s="214" t="s">
        <v>775</v>
      </c>
      <c r="C232" s="214" t="s">
        <v>884</v>
      </c>
      <c r="D232" s="174">
        <v>82.5</v>
      </c>
      <c r="E232" s="214">
        <v>-62.34</v>
      </c>
      <c r="F232" s="174">
        <v>82.5</v>
      </c>
      <c r="G232" s="214">
        <v>-62.34</v>
      </c>
      <c r="H232" s="214" t="s">
        <v>1203</v>
      </c>
      <c r="I232" s="174" t="s">
        <v>1469</v>
      </c>
      <c r="J232" s="713" t="str">
        <f t="shared" si="8"/>
        <v/>
      </c>
      <c r="K232" s="713" t="str">
        <f t="shared" si="9"/>
        <v/>
      </c>
      <c r="L232" s="174">
        <v>1</v>
      </c>
      <c r="M232" s="242">
        <v>40763</v>
      </c>
      <c r="N232" s="242"/>
      <c r="O232" s="242"/>
      <c r="P232" s="3"/>
      <c r="Q232" s="249">
        <v>0.217</v>
      </c>
      <c r="R232" s="247">
        <v>1</v>
      </c>
      <c r="AA232" s="249">
        <v>1.0349999999999999</v>
      </c>
      <c r="AB232" s="247" t="s">
        <v>446</v>
      </c>
      <c r="AG232" s="247">
        <f>Table2[[#This Row],[xFOSAs]]+Table2[[#This Row],[xFOSEs]]</f>
        <v>1.252</v>
      </c>
      <c r="AH232" s="247" t="s">
        <v>869</v>
      </c>
      <c r="AJ232" s="1" t="s">
        <v>776</v>
      </c>
      <c r="AK232" s="1" t="s">
        <v>736</v>
      </c>
    </row>
    <row r="233" spans="1:37" x14ac:dyDescent="0.25">
      <c r="A233" s="214" t="s">
        <v>774</v>
      </c>
      <c r="B233" s="214" t="s">
        <v>775</v>
      </c>
      <c r="C233" s="214" t="s">
        <v>884</v>
      </c>
      <c r="D233" s="174">
        <v>82.5</v>
      </c>
      <c r="E233" s="214">
        <v>-62.34</v>
      </c>
      <c r="F233" s="174">
        <v>82.5</v>
      </c>
      <c r="G233" s="214">
        <v>-62.34</v>
      </c>
      <c r="H233" s="214" t="s">
        <v>1203</v>
      </c>
      <c r="I233" s="174" t="s">
        <v>1469</v>
      </c>
      <c r="J233" s="713" t="str">
        <f t="shared" si="8"/>
        <v/>
      </c>
      <c r="K233" s="713" t="str">
        <f t="shared" si="9"/>
        <v/>
      </c>
      <c r="L233" s="174">
        <v>1</v>
      </c>
      <c r="M233" s="242">
        <v>40777</v>
      </c>
      <c r="N233" s="242"/>
      <c r="O233" s="242"/>
      <c r="P233" s="3"/>
      <c r="Q233" s="249">
        <v>2.5000000000000001E-2</v>
      </c>
      <c r="R233" s="247" t="s">
        <v>446</v>
      </c>
      <c r="AA233" s="249">
        <v>0.29399999999999998</v>
      </c>
      <c r="AB233" s="247" t="s">
        <v>446</v>
      </c>
      <c r="AG233" s="247">
        <f>Table2[[#This Row],[xFOSAs]]+Table2[[#This Row],[xFOSEs]]</f>
        <v>0.31900000000000001</v>
      </c>
      <c r="AH233" s="247" t="s">
        <v>869</v>
      </c>
      <c r="AJ233" s="1" t="s">
        <v>776</v>
      </c>
      <c r="AK233" s="1" t="s">
        <v>736</v>
      </c>
    </row>
    <row r="234" spans="1:37" x14ac:dyDescent="0.25">
      <c r="A234" s="214" t="s">
        <v>774</v>
      </c>
      <c r="B234" s="214" t="s">
        <v>775</v>
      </c>
      <c r="C234" s="214" t="s">
        <v>884</v>
      </c>
      <c r="D234" s="174">
        <v>82.5</v>
      </c>
      <c r="E234" s="214">
        <v>-62.34</v>
      </c>
      <c r="F234" s="174">
        <v>82.5</v>
      </c>
      <c r="G234" s="214">
        <v>-62.34</v>
      </c>
      <c r="H234" s="214" t="s">
        <v>1203</v>
      </c>
      <c r="I234" s="174" t="s">
        <v>1469</v>
      </c>
      <c r="J234" s="713" t="str">
        <f t="shared" si="8"/>
        <v/>
      </c>
      <c r="K234" s="713" t="str">
        <f t="shared" si="9"/>
        <v/>
      </c>
      <c r="L234" s="174">
        <v>1</v>
      </c>
      <c r="M234" s="242">
        <v>40791</v>
      </c>
      <c r="N234" s="242"/>
      <c r="O234" s="242"/>
      <c r="P234" s="3"/>
      <c r="Q234" s="249">
        <v>3.2000000000000001E-2</v>
      </c>
      <c r="R234" s="247" t="s">
        <v>446</v>
      </c>
      <c r="AA234" s="249">
        <v>0.19700000000000001</v>
      </c>
      <c r="AB234" s="247" t="s">
        <v>446</v>
      </c>
      <c r="AG234" s="247">
        <f>Table2[[#This Row],[xFOSAs]]+Table2[[#This Row],[xFOSEs]]</f>
        <v>0.22900000000000001</v>
      </c>
      <c r="AH234" s="247" t="s">
        <v>869</v>
      </c>
      <c r="AJ234" s="1" t="s">
        <v>776</v>
      </c>
      <c r="AK234" s="1" t="s">
        <v>736</v>
      </c>
    </row>
    <row r="235" spans="1:37" x14ac:dyDescent="0.25">
      <c r="A235" s="214" t="s">
        <v>774</v>
      </c>
      <c r="B235" s="214" t="s">
        <v>775</v>
      </c>
      <c r="C235" s="214" t="s">
        <v>884</v>
      </c>
      <c r="D235" s="174">
        <v>82.5</v>
      </c>
      <c r="E235" s="214">
        <v>-62.34</v>
      </c>
      <c r="F235" s="174">
        <v>82.5</v>
      </c>
      <c r="G235" s="214">
        <v>-62.34</v>
      </c>
      <c r="H235" s="214" t="s">
        <v>1203</v>
      </c>
      <c r="I235" s="174" t="s">
        <v>1469</v>
      </c>
      <c r="J235" s="713" t="str">
        <f t="shared" si="8"/>
        <v/>
      </c>
      <c r="K235" s="713" t="str">
        <f t="shared" si="9"/>
        <v/>
      </c>
      <c r="L235" s="174">
        <v>1</v>
      </c>
      <c r="M235" s="242">
        <v>40805</v>
      </c>
      <c r="N235" s="242"/>
      <c r="O235" s="242"/>
      <c r="P235" s="3"/>
      <c r="Q235" s="249"/>
      <c r="R235" s="247" t="s">
        <v>446</v>
      </c>
      <c r="AA235" s="249">
        <v>0.38600000000000001</v>
      </c>
      <c r="AB235" s="247" t="s">
        <v>446</v>
      </c>
      <c r="AG235" s="247">
        <f>Table2[[#This Row],[xFOSAs]]+Table2[[#This Row],[xFOSEs]]</f>
        <v>0.38600000000000001</v>
      </c>
      <c r="AH235" s="247" t="s">
        <v>869</v>
      </c>
      <c r="AJ235" s="1" t="s">
        <v>776</v>
      </c>
      <c r="AK235" s="1" t="s">
        <v>736</v>
      </c>
    </row>
    <row r="236" spans="1:37" x14ac:dyDescent="0.25">
      <c r="A236" s="214" t="s">
        <v>774</v>
      </c>
      <c r="B236" s="214" t="s">
        <v>775</v>
      </c>
      <c r="C236" s="214" t="s">
        <v>884</v>
      </c>
      <c r="D236" s="174">
        <v>82.5</v>
      </c>
      <c r="E236" s="214">
        <v>-62.34</v>
      </c>
      <c r="F236" s="174">
        <v>82.5</v>
      </c>
      <c r="G236" s="214">
        <v>-62.34</v>
      </c>
      <c r="H236" s="214" t="s">
        <v>1203</v>
      </c>
      <c r="I236" s="174" t="s">
        <v>1469</v>
      </c>
      <c r="J236" s="713" t="str">
        <f t="shared" si="8"/>
        <v/>
      </c>
      <c r="K236" s="713" t="str">
        <f t="shared" si="9"/>
        <v/>
      </c>
      <c r="L236" s="174">
        <v>1</v>
      </c>
      <c r="M236" s="242">
        <v>40826</v>
      </c>
      <c r="N236" s="242"/>
      <c r="O236" s="242"/>
      <c r="P236" s="3"/>
      <c r="Q236" s="249"/>
      <c r="R236" s="247" t="s">
        <v>446</v>
      </c>
      <c r="AA236" s="249">
        <v>0.216</v>
      </c>
      <c r="AB236" s="247" t="s">
        <v>446</v>
      </c>
      <c r="AG236" s="247">
        <f>Table2[[#This Row],[xFOSAs]]+Table2[[#This Row],[xFOSEs]]</f>
        <v>0.216</v>
      </c>
      <c r="AH236" s="247" t="s">
        <v>869</v>
      </c>
      <c r="AJ236" s="1" t="s">
        <v>776</v>
      </c>
      <c r="AK236" s="1" t="s">
        <v>736</v>
      </c>
    </row>
    <row r="237" spans="1:37" x14ac:dyDescent="0.25">
      <c r="A237" s="214" t="s">
        <v>774</v>
      </c>
      <c r="B237" s="214" t="s">
        <v>775</v>
      </c>
      <c r="C237" s="214" t="s">
        <v>884</v>
      </c>
      <c r="D237" s="174">
        <v>82.5</v>
      </c>
      <c r="E237" s="214">
        <v>-62.34</v>
      </c>
      <c r="F237" s="174">
        <v>82.5</v>
      </c>
      <c r="G237" s="214">
        <v>-62.34</v>
      </c>
      <c r="H237" s="214" t="s">
        <v>1203</v>
      </c>
      <c r="I237" s="174" t="s">
        <v>1469</v>
      </c>
      <c r="J237" s="713" t="str">
        <f t="shared" si="8"/>
        <v/>
      </c>
      <c r="K237" s="713" t="str">
        <f t="shared" si="9"/>
        <v/>
      </c>
      <c r="L237" s="174">
        <v>1</v>
      </c>
      <c r="M237" s="242">
        <v>40861</v>
      </c>
      <c r="N237" s="242"/>
      <c r="O237" s="242"/>
      <c r="P237" s="3"/>
      <c r="Q237" s="249">
        <v>1E-3</v>
      </c>
      <c r="R237" s="247" t="s">
        <v>446</v>
      </c>
      <c r="AA237" s="249">
        <v>0.20699999999999999</v>
      </c>
      <c r="AB237" s="247" t="s">
        <v>446</v>
      </c>
      <c r="AG237" s="247">
        <f>Table2[[#This Row],[xFOSAs]]+Table2[[#This Row],[xFOSEs]]</f>
        <v>0.20799999999999999</v>
      </c>
      <c r="AH237" s="247" t="s">
        <v>869</v>
      </c>
      <c r="AJ237" s="1" t="s">
        <v>776</v>
      </c>
      <c r="AK237" s="1" t="s">
        <v>736</v>
      </c>
    </row>
    <row r="238" spans="1:37" x14ac:dyDescent="0.25">
      <c r="A238" s="214" t="s">
        <v>774</v>
      </c>
      <c r="B238" s="214" t="s">
        <v>775</v>
      </c>
      <c r="C238" s="214" t="s">
        <v>884</v>
      </c>
      <c r="D238" s="174">
        <v>82.5</v>
      </c>
      <c r="E238" s="214">
        <v>-62.34</v>
      </c>
      <c r="F238" s="174">
        <v>82.5</v>
      </c>
      <c r="G238" s="214">
        <v>-62.34</v>
      </c>
      <c r="H238" s="214" t="s">
        <v>1203</v>
      </c>
      <c r="I238" s="174" t="s">
        <v>1469</v>
      </c>
      <c r="J238" s="713" t="str">
        <f t="shared" si="8"/>
        <v/>
      </c>
      <c r="K238" s="713" t="str">
        <f t="shared" si="9"/>
        <v/>
      </c>
      <c r="L238" s="174">
        <v>1</v>
      </c>
      <c r="M238" s="242">
        <v>40889</v>
      </c>
      <c r="N238" s="242"/>
      <c r="O238" s="242"/>
      <c r="P238" s="3"/>
      <c r="Q238" s="249"/>
      <c r="R238" s="247" t="s">
        <v>446</v>
      </c>
      <c r="AA238" s="249">
        <v>0.28000000000000003</v>
      </c>
      <c r="AB238" s="247" t="s">
        <v>446</v>
      </c>
      <c r="AG238" s="247">
        <f>Table2[[#This Row],[xFOSAs]]+Table2[[#This Row],[xFOSEs]]</f>
        <v>0.28000000000000003</v>
      </c>
      <c r="AH238" s="247" t="s">
        <v>869</v>
      </c>
      <c r="AJ238" s="1" t="s">
        <v>776</v>
      </c>
      <c r="AK238" s="1" t="s">
        <v>736</v>
      </c>
    </row>
    <row r="239" spans="1:37" x14ac:dyDescent="0.25">
      <c r="A239" s="214" t="s">
        <v>774</v>
      </c>
      <c r="B239" s="214" t="s">
        <v>775</v>
      </c>
      <c r="C239" s="214" t="s">
        <v>884</v>
      </c>
      <c r="D239" s="174">
        <v>82.5</v>
      </c>
      <c r="E239" s="214">
        <v>-62.34</v>
      </c>
      <c r="F239" s="174">
        <v>82.5</v>
      </c>
      <c r="G239" s="214">
        <v>-62.34</v>
      </c>
      <c r="H239" s="214" t="s">
        <v>1203</v>
      </c>
      <c r="I239" s="174" t="s">
        <v>1469</v>
      </c>
      <c r="J239" s="713" t="str">
        <f t="shared" si="8"/>
        <v/>
      </c>
      <c r="K239" s="713" t="str">
        <f t="shared" si="9"/>
        <v/>
      </c>
      <c r="L239" s="174">
        <v>1</v>
      </c>
      <c r="M239" s="242">
        <v>40917</v>
      </c>
      <c r="N239" s="242"/>
      <c r="O239" s="242"/>
      <c r="P239" s="3"/>
      <c r="Q239" s="249"/>
      <c r="R239" s="247" t="s">
        <v>446</v>
      </c>
      <c r="AA239" s="249">
        <v>0</v>
      </c>
      <c r="AB239" s="247" t="s">
        <v>446</v>
      </c>
      <c r="AG239" s="247">
        <f>Table2[[#This Row],[xFOSAs]]+Table2[[#This Row],[xFOSEs]]</f>
        <v>0</v>
      </c>
      <c r="AH239" s="247" t="s">
        <v>869</v>
      </c>
      <c r="AJ239" s="1" t="s">
        <v>776</v>
      </c>
      <c r="AK239" s="1" t="s">
        <v>736</v>
      </c>
    </row>
    <row r="240" spans="1:37" x14ac:dyDescent="0.25">
      <c r="A240" s="214" t="s">
        <v>774</v>
      </c>
      <c r="B240" s="214" t="s">
        <v>775</v>
      </c>
      <c r="C240" s="214" t="s">
        <v>884</v>
      </c>
      <c r="D240" s="174">
        <v>82.5</v>
      </c>
      <c r="E240" s="214">
        <v>-62.34</v>
      </c>
      <c r="F240" s="174">
        <v>82.5</v>
      </c>
      <c r="G240" s="214">
        <v>-62.34</v>
      </c>
      <c r="H240" s="214" t="s">
        <v>1203</v>
      </c>
      <c r="I240" s="174" t="s">
        <v>1469</v>
      </c>
      <c r="J240" s="713" t="str">
        <f t="shared" si="8"/>
        <v/>
      </c>
      <c r="K240" s="713" t="str">
        <f t="shared" si="9"/>
        <v/>
      </c>
      <c r="L240" s="174">
        <v>1</v>
      </c>
      <c r="M240" s="242">
        <v>40952</v>
      </c>
      <c r="N240" s="242"/>
      <c r="O240" s="242"/>
      <c r="P240" s="3"/>
      <c r="Q240" s="249">
        <v>1.4E-2</v>
      </c>
      <c r="R240" s="247" t="s">
        <v>446</v>
      </c>
      <c r="AA240" s="249">
        <v>0.36599999999999999</v>
      </c>
      <c r="AB240" s="247" t="s">
        <v>446</v>
      </c>
      <c r="AG240" s="247">
        <f>Table2[[#This Row],[xFOSAs]]+Table2[[#This Row],[xFOSEs]]</f>
        <v>0.38</v>
      </c>
      <c r="AH240" s="247" t="s">
        <v>869</v>
      </c>
      <c r="AJ240" s="1" t="s">
        <v>776</v>
      </c>
      <c r="AK240" s="1" t="s">
        <v>736</v>
      </c>
    </row>
    <row r="241" spans="1:37" x14ac:dyDescent="0.25">
      <c r="A241" s="214" t="s">
        <v>774</v>
      </c>
      <c r="B241" s="214" t="s">
        <v>775</v>
      </c>
      <c r="C241" s="214" t="s">
        <v>884</v>
      </c>
      <c r="D241" s="174">
        <v>82.5</v>
      </c>
      <c r="E241" s="214">
        <v>-62.34</v>
      </c>
      <c r="F241" s="174">
        <v>82.5</v>
      </c>
      <c r="G241" s="214">
        <v>-62.34</v>
      </c>
      <c r="H241" s="214" t="s">
        <v>1203</v>
      </c>
      <c r="I241" s="174" t="s">
        <v>1469</v>
      </c>
      <c r="J241" s="713" t="str">
        <f t="shared" si="8"/>
        <v/>
      </c>
      <c r="K241" s="713" t="str">
        <f t="shared" si="9"/>
        <v/>
      </c>
      <c r="L241" s="174">
        <v>1</v>
      </c>
      <c r="M241" s="242">
        <v>40973</v>
      </c>
      <c r="N241" s="242"/>
      <c r="O241" s="242"/>
      <c r="P241" s="3"/>
      <c r="Q241" s="249">
        <v>4.0000000000000001E-3</v>
      </c>
      <c r="R241" s="247" t="s">
        <v>446</v>
      </c>
      <c r="AA241" s="249">
        <v>0</v>
      </c>
      <c r="AB241" s="247" t="s">
        <v>446</v>
      </c>
      <c r="AG241" s="247">
        <f>Table2[[#This Row],[xFOSAs]]+Table2[[#This Row],[xFOSEs]]</f>
        <v>4.0000000000000001E-3</v>
      </c>
      <c r="AH241" s="247" t="s">
        <v>869</v>
      </c>
      <c r="AJ241" s="1" t="s">
        <v>776</v>
      </c>
      <c r="AK241" s="1" t="s">
        <v>736</v>
      </c>
    </row>
    <row r="242" spans="1:37" x14ac:dyDescent="0.25">
      <c r="A242" s="214" t="s">
        <v>774</v>
      </c>
      <c r="B242" s="214" t="s">
        <v>775</v>
      </c>
      <c r="C242" s="214" t="s">
        <v>884</v>
      </c>
      <c r="D242" s="174">
        <v>82.5</v>
      </c>
      <c r="E242" s="214">
        <v>-62.34</v>
      </c>
      <c r="F242" s="174">
        <v>82.5</v>
      </c>
      <c r="G242" s="214">
        <v>-62.34</v>
      </c>
      <c r="H242" s="214" t="s">
        <v>1203</v>
      </c>
      <c r="I242" s="174" t="s">
        <v>1469</v>
      </c>
      <c r="J242" s="713" t="str">
        <f t="shared" si="8"/>
        <v/>
      </c>
      <c r="K242" s="713" t="str">
        <f t="shared" si="9"/>
        <v/>
      </c>
      <c r="L242" s="174">
        <v>1</v>
      </c>
      <c r="M242" s="242">
        <v>40987</v>
      </c>
      <c r="N242" s="242"/>
      <c r="O242" s="242"/>
      <c r="P242" s="3"/>
      <c r="Q242" s="249">
        <v>6.4000000000000001E-2</v>
      </c>
      <c r="R242" s="247" t="s">
        <v>446</v>
      </c>
      <c r="AA242" s="249">
        <v>0.77600000000000002</v>
      </c>
      <c r="AB242" s="247">
        <v>1</v>
      </c>
      <c r="AG242" s="247">
        <f>Table2[[#This Row],[xFOSAs]]+Table2[[#This Row],[xFOSEs]]</f>
        <v>0.84000000000000008</v>
      </c>
      <c r="AH242" s="247" t="s">
        <v>869</v>
      </c>
      <c r="AJ242" s="1" t="s">
        <v>776</v>
      </c>
      <c r="AK242" s="1" t="s">
        <v>736</v>
      </c>
    </row>
    <row r="243" spans="1:37" x14ac:dyDescent="0.25">
      <c r="A243" s="214" t="s">
        <v>774</v>
      </c>
      <c r="B243" s="214" t="s">
        <v>775</v>
      </c>
      <c r="C243" s="214" t="s">
        <v>884</v>
      </c>
      <c r="D243" s="174">
        <v>82.5</v>
      </c>
      <c r="E243" s="214">
        <v>-62.34</v>
      </c>
      <c r="F243" s="174">
        <v>82.5</v>
      </c>
      <c r="G243" s="214">
        <v>-62.34</v>
      </c>
      <c r="H243" s="214" t="s">
        <v>1203</v>
      </c>
      <c r="I243" s="174" t="s">
        <v>1469</v>
      </c>
      <c r="J243" s="713" t="str">
        <f t="shared" si="8"/>
        <v/>
      </c>
      <c r="K243" s="713" t="str">
        <f t="shared" si="9"/>
        <v/>
      </c>
      <c r="L243" s="174">
        <v>1</v>
      </c>
      <c r="M243" s="242">
        <v>41001</v>
      </c>
      <c r="N243" s="242"/>
      <c r="O243" s="242"/>
      <c r="P243" s="3"/>
      <c r="Q243" s="249"/>
      <c r="R243" s="247" t="s">
        <v>446</v>
      </c>
      <c r="AA243" s="249">
        <v>0.63</v>
      </c>
      <c r="AB243" s="247" t="s">
        <v>446</v>
      </c>
      <c r="AG243" s="247">
        <f>Table2[[#This Row],[xFOSAs]]+Table2[[#This Row],[xFOSEs]]</f>
        <v>0.63</v>
      </c>
      <c r="AH243" s="247" t="s">
        <v>869</v>
      </c>
      <c r="AJ243" s="1" t="s">
        <v>776</v>
      </c>
      <c r="AK243" s="1" t="s">
        <v>736</v>
      </c>
    </row>
    <row r="244" spans="1:37" x14ac:dyDescent="0.25">
      <c r="A244" s="214" t="s">
        <v>774</v>
      </c>
      <c r="B244" s="214" t="s">
        <v>775</v>
      </c>
      <c r="C244" s="214" t="s">
        <v>884</v>
      </c>
      <c r="D244" s="174">
        <v>82.5</v>
      </c>
      <c r="E244" s="214">
        <v>-62.34</v>
      </c>
      <c r="F244" s="174">
        <v>82.5</v>
      </c>
      <c r="G244" s="214">
        <v>-62.34</v>
      </c>
      <c r="H244" s="214" t="s">
        <v>1203</v>
      </c>
      <c r="I244" s="174" t="s">
        <v>1469</v>
      </c>
      <c r="J244" s="713" t="str">
        <f t="shared" si="8"/>
        <v/>
      </c>
      <c r="K244" s="713" t="str">
        <f t="shared" si="9"/>
        <v/>
      </c>
      <c r="L244" s="174">
        <v>1</v>
      </c>
      <c r="M244" s="242">
        <v>41015</v>
      </c>
      <c r="N244" s="242"/>
      <c r="O244" s="242"/>
      <c r="P244" s="3"/>
      <c r="Q244" s="249"/>
      <c r="R244" s="247" t="s">
        <v>446</v>
      </c>
      <c r="AA244" s="249">
        <v>0.159</v>
      </c>
      <c r="AB244" s="247" t="s">
        <v>446</v>
      </c>
      <c r="AG244" s="247">
        <f>Table2[[#This Row],[xFOSAs]]+Table2[[#This Row],[xFOSEs]]</f>
        <v>0.159</v>
      </c>
      <c r="AH244" s="247" t="s">
        <v>869</v>
      </c>
      <c r="AJ244" s="1" t="s">
        <v>776</v>
      </c>
      <c r="AK244" s="1" t="s">
        <v>736</v>
      </c>
    </row>
    <row r="245" spans="1:37" x14ac:dyDescent="0.25">
      <c r="A245" s="214" t="s">
        <v>774</v>
      </c>
      <c r="B245" s="214" t="s">
        <v>775</v>
      </c>
      <c r="C245" s="214" t="s">
        <v>884</v>
      </c>
      <c r="D245" s="174">
        <v>82.5</v>
      </c>
      <c r="E245" s="214">
        <v>-62.34</v>
      </c>
      <c r="F245" s="174">
        <v>82.5</v>
      </c>
      <c r="G245" s="214">
        <v>-62.34</v>
      </c>
      <c r="H245" s="214" t="s">
        <v>1203</v>
      </c>
      <c r="I245" s="174" t="s">
        <v>1469</v>
      </c>
      <c r="J245" s="713" t="str">
        <f t="shared" si="8"/>
        <v/>
      </c>
      <c r="K245" s="713" t="str">
        <f t="shared" si="9"/>
        <v/>
      </c>
      <c r="L245" s="174">
        <v>1</v>
      </c>
      <c r="M245" s="242">
        <v>41029</v>
      </c>
      <c r="N245" s="242"/>
      <c r="O245" s="242"/>
      <c r="P245" s="3"/>
      <c r="Q245" s="249"/>
      <c r="R245" s="247" t="s">
        <v>446</v>
      </c>
      <c r="AA245" s="249">
        <v>0.71</v>
      </c>
      <c r="AB245" s="247">
        <v>1</v>
      </c>
      <c r="AG245" s="247">
        <f>Table2[[#This Row],[xFOSAs]]+Table2[[#This Row],[xFOSEs]]</f>
        <v>0.71</v>
      </c>
      <c r="AH245" s="247" t="s">
        <v>869</v>
      </c>
      <c r="AJ245" s="1" t="s">
        <v>776</v>
      </c>
      <c r="AK245" s="1" t="s">
        <v>736</v>
      </c>
    </row>
    <row r="246" spans="1:37" x14ac:dyDescent="0.25">
      <c r="A246" s="214" t="s">
        <v>774</v>
      </c>
      <c r="B246" s="214" t="s">
        <v>775</v>
      </c>
      <c r="C246" s="214" t="s">
        <v>884</v>
      </c>
      <c r="D246" s="174">
        <v>82.5</v>
      </c>
      <c r="E246" s="214">
        <v>-62.34</v>
      </c>
      <c r="F246" s="174">
        <v>82.5</v>
      </c>
      <c r="G246" s="214">
        <v>-62.34</v>
      </c>
      <c r="H246" s="214" t="s">
        <v>1203</v>
      </c>
      <c r="I246" s="174" t="s">
        <v>1469</v>
      </c>
      <c r="J246" s="713" t="str">
        <f t="shared" si="8"/>
        <v/>
      </c>
      <c r="K246" s="713" t="str">
        <f t="shared" si="9"/>
        <v/>
      </c>
      <c r="L246" s="174">
        <v>1</v>
      </c>
      <c r="M246" s="242">
        <v>41043</v>
      </c>
      <c r="N246" s="242"/>
      <c r="O246" s="242"/>
      <c r="P246" s="3"/>
      <c r="Q246" s="249">
        <v>2.5999999999999999E-2</v>
      </c>
      <c r="R246" s="247" t="s">
        <v>446</v>
      </c>
      <c r="AA246" s="249">
        <v>0</v>
      </c>
      <c r="AB246" s="247" t="s">
        <v>446</v>
      </c>
      <c r="AG246" s="247">
        <f>Table2[[#This Row],[xFOSAs]]+Table2[[#This Row],[xFOSEs]]</f>
        <v>2.5999999999999999E-2</v>
      </c>
      <c r="AH246" s="247" t="s">
        <v>869</v>
      </c>
      <c r="AJ246" s="1" t="s">
        <v>776</v>
      </c>
      <c r="AK246" s="1" t="s">
        <v>736</v>
      </c>
    </row>
    <row r="247" spans="1:37" x14ac:dyDescent="0.25">
      <c r="A247" s="214" t="s">
        <v>774</v>
      </c>
      <c r="B247" s="214" t="s">
        <v>775</v>
      </c>
      <c r="C247" s="214" t="s">
        <v>884</v>
      </c>
      <c r="D247" s="174">
        <v>82.5</v>
      </c>
      <c r="E247" s="214">
        <v>-62.34</v>
      </c>
      <c r="F247" s="174">
        <v>82.5</v>
      </c>
      <c r="G247" s="214">
        <v>-62.34</v>
      </c>
      <c r="H247" s="214" t="s">
        <v>1203</v>
      </c>
      <c r="I247" s="174" t="s">
        <v>1469</v>
      </c>
      <c r="J247" s="713" t="str">
        <f t="shared" si="8"/>
        <v/>
      </c>
      <c r="K247" s="713" t="str">
        <f t="shared" si="9"/>
        <v/>
      </c>
      <c r="L247" s="174">
        <v>1</v>
      </c>
      <c r="M247" s="242">
        <v>41057</v>
      </c>
      <c r="N247" s="242"/>
      <c r="O247" s="242"/>
      <c r="P247" s="3"/>
      <c r="Q247" s="249"/>
      <c r="R247" s="247" t="s">
        <v>446</v>
      </c>
      <c r="AA247" s="249">
        <v>0</v>
      </c>
      <c r="AB247" s="247" t="s">
        <v>446</v>
      </c>
      <c r="AG247" s="247">
        <f>Table2[[#This Row],[xFOSAs]]+Table2[[#This Row],[xFOSEs]]</f>
        <v>0</v>
      </c>
      <c r="AH247" s="247" t="s">
        <v>869</v>
      </c>
      <c r="AJ247" s="1" t="s">
        <v>776</v>
      </c>
      <c r="AK247" s="1" t="s">
        <v>736</v>
      </c>
    </row>
    <row r="248" spans="1:37" x14ac:dyDescent="0.25">
      <c r="A248" s="214" t="s">
        <v>774</v>
      </c>
      <c r="B248" s="214" t="s">
        <v>775</v>
      </c>
      <c r="C248" s="214" t="s">
        <v>884</v>
      </c>
      <c r="D248" s="174">
        <v>82.5</v>
      </c>
      <c r="E248" s="214">
        <v>-62.34</v>
      </c>
      <c r="F248" s="174">
        <v>82.5</v>
      </c>
      <c r="G248" s="214">
        <v>-62.34</v>
      </c>
      <c r="H248" s="214" t="s">
        <v>1203</v>
      </c>
      <c r="I248" s="174" t="s">
        <v>1469</v>
      </c>
      <c r="J248" s="713" t="str">
        <f t="shared" si="8"/>
        <v/>
      </c>
      <c r="K248" s="713" t="str">
        <f t="shared" si="9"/>
        <v/>
      </c>
      <c r="L248" s="174">
        <v>1</v>
      </c>
      <c r="M248" s="242">
        <v>41071</v>
      </c>
      <c r="N248" s="242"/>
      <c r="O248" s="242"/>
      <c r="P248" s="3"/>
      <c r="Q248" s="249"/>
      <c r="R248" s="247" t="s">
        <v>446</v>
      </c>
      <c r="AA248" s="249">
        <v>0.85599999999999998</v>
      </c>
      <c r="AB248" s="247">
        <v>1</v>
      </c>
      <c r="AG248" s="247">
        <f>Table2[[#This Row],[xFOSAs]]+Table2[[#This Row],[xFOSEs]]</f>
        <v>0.85599999999999998</v>
      </c>
      <c r="AH248" s="247" t="s">
        <v>869</v>
      </c>
      <c r="AJ248" s="1" t="s">
        <v>776</v>
      </c>
      <c r="AK248" s="1" t="s">
        <v>736</v>
      </c>
    </row>
    <row r="249" spans="1:37" x14ac:dyDescent="0.25">
      <c r="A249" s="214" t="s">
        <v>774</v>
      </c>
      <c r="B249" s="214" t="s">
        <v>775</v>
      </c>
      <c r="C249" s="214" t="s">
        <v>884</v>
      </c>
      <c r="D249" s="174">
        <v>82.5</v>
      </c>
      <c r="E249" s="214">
        <v>-62.34</v>
      </c>
      <c r="F249" s="174">
        <v>82.5</v>
      </c>
      <c r="G249" s="214">
        <v>-62.34</v>
      </c>
      <c r="H249" s="214" t="s">
        <v>1203</v>
      </c>
      <c r="I249" s="174" t="s">
        <v>1469</v>
      </c>
      <c r="J249" s="713" t="str">
        <f t="shared" si="8"/>
        <v/>
      </c>
      <c r="K249" s="713" t="str">
        <f t="shared" si="9"/>
        <v/>
      </c>
      <c r="L249" s="174">
        <v>1</v>
      </c>
      <c r="M249" s="242">
        <v>41085</v>
      </c>
      <c r="N249" s="242"/>
      <c r="O249" s="242"/>
      <c r="P249" s="3"/>
      <c r="Q249" s="249"/>
      <c r="R249" s="247" t="s">
        <v>446</v>
      </c>
      <c r="AA249" s="249">
        <v>0.47799999999999998</v>
      </c>
      <c r="AB249" s="247">
        <v>1</v>
      </c>
      <c r="AG249" s="247">
        <f>Table2[[#This Row],[xFOSAs]]+Table2[[#This Row],[xFOSEs]]</f>
        <v>0.47799999999999998</v>
      </c>
      <c r="AH249" s="247" t="s">
        <v>869</v>
      </c>
      <c r="AJ249" s="1" t="s">
        <v>776</v>
      </c>
      <c r="AK249" s="1" t="s">
        <v>736</v>
      </c>
    </row>
    <row r="250" spans="1:37" x14ac:dyDescent="0.25">
      <c r="A250" s="214" t="s">
        <v>774</v>
      </c>
      <c r="B250" s="214" t="s">
        <v>775</v>
      </c>
      <c r="C250" s="214" t="s">
        <v>884</v>
      </c>
      <c r="D250" s="174">
        <v>82.5</v>
      </c>
      <c r="E250" s="214">
        <v>-62.34</v>
      </c>
      <c r="F250" s="174">
        <v>82.5</v>
      </c>
      <c r="G250" s="214">
        <v>-62.34</v>
      </c>
      <c r="H250" s="214" t="s">
        <v>1203</v>
      </c>
      <c r="I250" s="174" t="s">
        <v>1469</v>
      </c>
      <c r="J250" s="713" t="str">
        <f t="shared" si="8"/>
        <v/>
      </c>
      <c r="K250" s="713" t="str">
        <f t="shared" si="9"/>
        <v/>
      </c>
      <c r="L250" s="174">
        <v>1</v>
      </c>
      <c r="M250" s="242">
        <v>41113</v>
      </c>
      <c r="N250" s="242"/>
      <c r="O250" s="242"/>
      <c r="P250" s="3"/>
      <c r="Q250" s="249"/>
      <c r="R250" s="247" t="s">
        <v>446</v>
      </c>
      <c r="AA250" s="249">
        <v>0.436</v>
      </c>
      <c r="AB250" s="247" t="s">
        <v>446</v>
      </c>
      <c r="AG250" s="247">
        <f>Table2[[#This Row],[xFOSAs]]+Table2[[#This Row],[xFOSEs]]</f>
        <v>0.436</v>
      </c>
      <c r="AH250" s="247" t="s">
        <v>869</v>
      </c>
      <c r="AJ250" s="1" t="s">
        <v>776</v>
      </c>
      <c r="AK250" s="1" t="s">
        <v>736</v>
      </c>
    </row>
    <row r="251" spans="1:37" x14ac:dyDescent="0.25">
      <c r="A251" s="214" t="s">
        <v>774</v>
      </c>
      <c r="B251" s="214" t="s">
        <v>775</v>
      </c>
      <c r="C251" s="214" t="s">
        <v>884</v>
      </c>
      <c r="D251" s="174">
        <v>82.5</v>
      </c>
      <c r="E251" s="214">
        <v>-62.34</v>
      </c>
      <c r="F251" s="174">
        <v>82.5</v>
      </c>
      <c r="G251" s="214">
        <v>-62.34</v>
      </c>
      <c r="H251" s="214" t="s">
        <v>1203</v>
      </c>
      <c r="I251" s="174" t="s">
        <v>1469</v>
      </c>
      <c r="J251" s="713" t="str">
        <f t="shared" si="8"/>
        <v/>
      </c>
      <c r="K251" s="713" t="str">
        <f t="shared" si="9"/>
        <v/>
      </c>
      <c r="L251" s="174">
        <v>1</v>
      </c>
      <c r="M251" s="242">
        <v>41127</v>
      </c>
      <c r="N251" s="242"/>
      <c r="O251" s="242"/>
      <c r="P251" s="3"/>
      <c r="Q251" s="249"/>
      <c r="R251" s="247" t="s">
        <v>446</v>
      </c>
      <c r="AA251" s="249">
        <v>0.57599999999999996</v>
      </c>
      <c r="AB251" s="247" t="s">
        <v>446</v>
      </c>
      <c r="AG251" s="247">
        <f>Table2[[#This Row],[xFOSAs]]+Table2[[#This Row],[xFOSEs]]</f>
        <v>0.57599999999999996</v>
      </c>
      <c r="AH251" s="247" t="s">
        <v>869</v>
      </c>
      <c r="AJ251" s="1" t="s">
        <v>776</v>
      </c>
      <c r="AK251" s="1" t="s">
        <v>736</v>
      </c>
    </row>
    <row r="252" spans="1:37" x14ac:dyDescent="0.25">
      <c r="A252" s="214" t="s">
        <v>774</v>
      </c>
      <c r="B252" s="214" t="s">
        <v>775</v>
      </c>
      <c r="C252" s="214" t="s">
        <v>884</v>
      </c>
      <c r="D252" s="174">
        <v>82.5</v>
      </c>
      <c r="E252" s="214">
        <v>-62.34</v>
      </c>
      <c r="F252" s="174">
        <v>82.5</v>
      </c>
      <c r="G252" s="214">
        <v>-62.34</v>
      </c>
      <c r="H252" s="214" t="s">
        <v>1203</v>
      </c>
      <c r="I252" s="174" t="s">
        <v>1469</v>
      </c>
      <c r="J252" s="713" t="str">
        <f t="shared" si="8"/>
        <v/>
      </c>
      <c r="K252" s="713" t="str">
        <f t="shared" si="9"/>
        <v/>
      </c>
      <c r="L252" s="174">
        <v>1</v>
      </c>
      <c r="M252" s="242">
        <v>41141</v>
      </c>
      <c r="N252" s="242"/>
      <c r="O252" s="242"/>
      <c r="P252" s="3"/>
      <c r="Q252" s="249"/>
      <c r="R252" s="247" t="s">
        <v>446</v>
      </c>
      <c r="AA252" s="249">
        <v>0</v>
      </c>
      <c r="AB252" s="247" t="s">
        <v>446</v>
      </c>
      <c r="AG252" s="247">
        <f>Table2[[#This Row],[xFOSAs]]+Table2[[#This Row],[xFOSEs]]</f>
        <v>0</v>
      </c>
      <c r="AH252" s="247" t="s">
        <v>869</v>
      </c>
      <c r="AJ252" s="1" t="s">
        <v>776</v>
      </c>
      <c r="AK252" s="1" t="s">
        <v>736</v>
      </c>
    </row>
    <row r="253" spans="1:37" x14ac:dyDescent="0.25">
      <c r="A253" s="214" t="s">
        <v>774</v>
      </c>
      <c r="B253" s="214" t="s">
        <v>775</v>
      </c>
      <c r="C253" s="214" t="s">
        <v>884</v>
      </c>
      <c r="D253" s="174">
        <v>82.5</v>
      </c>
      <c r="E253" s="214">
        <v>-62.34</v>
      </c>
      <c r="F253" s="174">
        <v>82.5</v>
      </c>
      <c r="G253" s="214">
        <v>-62.34</v>
      </c>
      <c r="H253" s="214" t="s">
        <v>1203</v>
      </c>
      <c r="I253" s="174" t="s">
        <v>1469</v>
      </c>
      <c r="J253" s="713" t="str">
        <f t="shared" si="8"/>
        <v/>
      </c>
      <c r="K253" s="713" t="str">
        <f t="shared" si="9"/>
        <v/>
      </c>
      <c r="L253" s="174">
        <v>1</v>
      </c>
      <c r="M253" s="242">
        <v>41155</v>
      </c>
      <c r="N253" s="242"/>
      <c r="O253" s="242"/>
      <c r="P253" s="3"/>
      <c r="Q253" s="249"/>
      <c r="R253" s="247" t="s">
        <v>446</v>
      </c>
      <c r="AA253" s="249">
        <v>0.39200000000000002</v>
      </c>
      <c r="AB253" s="247">
        <v>1</v>
      </c>
      <c r="AG253" s="247">
        <f>Table2[[#This Row],[xFOSAs]]+Table2[[#This Row],[xFOSEs]]</f>
        <v>0.39200000000000002</v>
      </c>
      <c r="AH253" s="247" t="s">
        <v>869</v>
      </c>
      <c r="AJ253" s="1" t="s">
        <v>776</v>
      </c>
      <c r="AK253" s="1" t="s">
        <v>736</v>
      </c>
    </row>
    <row r="254" spans="1:37" x14ac:dyDescent="0.25">
      <c r="A254" s="214" t="s">
        <v>774</v>
      </c>
      <c r="B254" s="214" t="s">
        <v>775</v>
      </c>
      <c r="C254" s="214" t="s">
        <v>884</v>
      </c>
      <c r="D254" s="174">
        <v>82.5</v>
      </c>
      <c r="E254" s="214">
        <v>-62.34</v>
      </c>
      <c r="F254" s="174">
        <v>82.5</v>
      </c>
      <c r="G254" s="214">
        <v>-62.34</v>
      </c>
      <c r="H254" s="214" t="s">
        <v>1203</v>
      </c>
      <c r="I254" s="174" t="s">
        <v>1469</v>
      </c>
      <c r="J254" s="713" t="str">
        <f>IF(R254=0,"yes","")</f>
        <v/>
      </c>
      <c r="K254" s="713" t="str">
        <f>IF(AB254=0,"yes","")</f>
        <v/>
      </c>
      <c r="L254" s="174">
        <v>1</v>
      </c>
      <c r="M254" s="242">
        <v>41169</v>
      </c>
      <c r="N254" s="242"/>
      <c r="O254" s="242"/>
      <c r="P254" s="3"/>
      <c r="Q254" s="249"/>
      <c r="R254" s="247" t="s">
        <v>446</v>
      </c>
      <c r="AA254" s="249">
        <v>0.39800000000000002</v>
      </c>
      <c r="AB254" s="247" t="s">
        <v>446</v>
      </c>
      <c r="AG254" s="247">
        <f>Table2[[#This Row],[xFOSAs]]+Table2[[#This Row],[xFOSEs]]</f>
        <v>0.39800000000000002</v>
      </c>
      <c r="AH254" s="247" t="s">
        <v>869</v>
      </c>
      <c r="AJ254" s="1" t="s">
        <v>776</v>
      </c>
      <c r="AK254" s="1" t="s">
        <v>736</v>
      </c>
    </row>
    <row r="255" spans="1:37" x14ac:dyDescent="0.25">
      <c r="A255" s="204" t="s">
        <v>413</v>
      </c>
      <c r="B255" s="204" t="s">
        <v>889</v>
      </c>
      <c r="C255" s="204" t="s">
        <v>414</v>
      </c>
      <c r="D255" s="174">
        <v>52.48</v>
      </c>
      <c r="E255" s="174">
        <v>10.45</v>
      </c>
      <c r="F255" s="174">
        <v>52.48</v>
      </c>
      <c r="G255" s="174">
        <v>10.45</v>
      </c>
      <c r="H255" s="174" t="s">
        <v>1206</v>
      </c>
      <c r="I255" s="174" t="s">
        <v>3</v>
      </c>
      <c r="J255" s="338" t="s">
        <v>1458</v>
      </c>
      <c r="K255" s="338" t="s">
        <v>1458</v>
      </c>
      <c r="L255" s="174">
        <v>3</v>
      </c>
      <c r="M255" s="316">
        <v>38491</v>
      </c>
      <c r="N255" s="316"/>
      <c r="O255" s="316"/>
      <c r="P255" s="702"/>
      <c r="Q255" s="214">
        <f>(6+6.5)/2+(2.8+2.6)/2</f>
        <v>8.9499999999999993</v>
      </c>
      <c r="R255" s="247">
        <v>1</v>
      </c>
      <c r="AA255" s="214">
        <f>(8+1.3+9+0.9)/2+(8+1.9+8.2+1.2)/2</f>
        <v>19.25</v>
      </c>
      <c r="AB255" s="247">
        <v>1</v>
      </c>
      <c r="AG255" s="247">
        <f>Table2[[#This Row],[xFOSAs]]+Table2[[#This Row],[xFOSEs]]</f>
        <v>28.2</v>
      </c>
      <c r="AH255" s="250" t="s">
        <v>869</v>
      </c>
      <c r="AI255" s="1" t="s">
        <v>422</v>
      </c>
      <c r="AJ255" s="1" t="s">
        <v>722</v>
      </c>
      <c r="AK255" s="1" t="s">
        <v>723</v>
      </c>
    </row>
    <row r="256" spans="1:37" x14ac:dyDescent="0.25">
      <c r="A256" s="204" t="s">
        <v>413</v>
      </c>
      <c r="B256" s="204" t="s">
        <v>889</v>
      </c>
      <c r="C256" s="204" t="s">
        <v>416</v>
      </c>
      <c r="D256" s="174">
        <v>52.48</v>
      </c>
      <c r="E256" s="174">
        <v>10.45</v>
      </c>
      <c r="F256" s="174">
        <v>52.48</v>
      </c>
      <c r="G256" s="174">
        <v>10.45</v>
      </c>
      <c r="H256" s="174" t="s">
        <v>1206</v>
      </c>
      <c r="I256" s="174" t="s">
        <v>3</v>
      </c>
      <c r="J256" s="338" t="s">
        <v>1458</v>
      </c>
      <c r="K256" s="338" t="s">
        <v>1458</v>
      </c>
      <c r="L256" s="174">
        <v>3</v>
      </c>
      <c r="M256" s="316">
        <v>38495</v>
      </c>
      <c r="N256" s="316"/>
      <c r="O256" s="316"/>
      <c r="P256" s="702"/>
      <c r="Q256" s="214">
        <f>(5.1+9.7)/2+(2.6+3.2)/2</f>
        <v>10.3</v>
      </c>
      <c r="R256" s="247">
        <v>1</v>
      </c>
      <c r="AA256" s="214">
        <f>(4.2+4.7+7.8+3.5)/2+(5.8+15+11+13)/2</f>
        <v>32.5</v>
      </c>
      <c r="AB256" s="247">
        <v>1</v>
      </c>
      <c r="AG256" s="247">
        <f>Table2[[#This Row],[xFOSAs]]+Table2[[#This Row],[xFOSEs]]</f>
        <v>42.8</v>
      </c>
      <c r="AH256" s="250" t="s">
        <v>869</v>
      </c>
      <c r="AI256" s="1" t="s">
        <v>421</v>
      </c>
      <c r="AJ256" s="1" t="s">
        <v>722</v>
      </c>
      <c r="AK256" s="1" t="s">
        <v>723</v>
      </c>
    </row>
    <row r="257" spans="1:37" x14ac:dyDescent="0.25">
      <c r="A257" s="204" t="s">
        <v>413</v>
      </c>
      <c r="B257" s="204" t="s">
        <v>889</v>
      </c>
      <c r="C257" s="204" t="s">
        <v>417</v>
      </c>
      <c r="D257" s="174">
        <v>52.48</v>
      </c>
      <c r="E257" s="174">
        <v>10.45</v>
      </c>
      <c r="F257" s="174">
        <v>52.48</v>
      </c>
      <c r="G257" s="174">
        <v>10.45</v>
      </c>
      <c r="H257" s="174" t="s">
        <v>1206</v>
      </c>
      <c r="I257" s="174" t="s">
        <v>3</v>
      </c>
      <c r="J257" s="338" t="s">
        <v>1458</v>
      </c>
      <c r="K257" s="338" t="s">
        <v>1458</v>
      </c>
      <c r="L257" s="174">
        <v>3</v>
      </c>
      <c r="M257" s="316">
        <v>38499</v>
      </c>
      <c r="N257" s="316"/>
      <c r="O257" s="316"/>
      <c r="P257" s="702"/>
      <c r="Q257" s="214">
        <f>(9.9+11)/2+(3.4+3.1)/2</f>
        <v>13.7</v>
      </c>
      <c r="R257" s="247">
        <v>1</v>
      </c>
      <c r="AA257" s="214">
        <f>(11+1.4+11+1.5)/2+(23+3+21+4.4)/2</f>
        <v>38.15</v>
      </c>
      <c r="AB257" s="247">
        <v>1</v>
      </c>
      <c r="AG257" s="247">
        <f>Table2[[#This Row],[xFOSAs]]+Table2[[#This Row],[xFOSEs]]</f>
        <v>51.849999999999994</v>
      </c>
      <c r="AH257" s="250" t="s">
        <v>869</v>
      </c>
      <c r="AI257" s="1" t="s">
        <v>421</v>
      </c>
      <c r="AJ257" s="1" t="s">
        <v>722</v>
      </c>
      <c r="AK257" s="1" t="s">
        <v>723</v>
      </c>
    </row>
    <row r="258" spans="1:37" x14ac:dyDescent="0.25">
      <c r="A258" s="204" t="s">
        <v>413</v>
      </c>
      <c r="B258" s="204" t="s">
        <v>889</v>
      </c>
      <c r="C258" s="204" t="s">
        <v>418</v>
      </c>
      <c r="D258" s="174">
        <v>52.48</v>
      </c>
      <c r="E258" s="174">
        <v>10.45</v>
      </c>
      <c r="F258" s="174">
        <v>52.48</v>
      </c>
      <c r="G258" s="174">
        <v>10.45</v>
      </c>
      <c r="H258" s="174" t="s">
        <v>1206</v>
      </c>
      <c r="I258" s="174" t="s">
        <v>3</v>
      </c>
      <c r="J258" s="338" t="s">
        <v>1458</v>
      </c>
      <c r="K258" s="338" t="s">
        <v>1458</v>
      </c>
      <c r="L258" s="174">
        <v>3</v>
      </c>
      <c r="M258" s="316">
        <v>38505</v>
      </c>
      <c r="N258" s="316"/>
      <c r="O258" s="316"/>
      <c r="P258" s="702"/>
      <c r="Q258" s="214">
        <f>(3.8+3.9)/2+(1.8+1.5)/2</f>
        <v>5.5</v>
      </c>
      <c r="R258" s="247" t="s">
        <v>446</v>
      </c>
      <c r="AA258" s="214">
        <f>(3.3+2.5)/2+(5.6+3.3)/2</f>
        <v>7.35</v>
      </c>
      <c r="AB258" s="247" t="s">
        <v>446</v>
      </c>
      <c r="AG258" s="247">
        <f>Table2[[#This Row],[xFOSAs]]+Table2[[#This Row],[xFOSEs]]</f>
        <v>12.85</v>
      </c>
      <c r="AH258" s="250" t="s">
        <v>869</v>
      </c>
      <c r="AI258" s="1" t="s">
        <v>420</v>
      </c>
      <c r="AJ258" s="1" t="s">
        <v>722</v>
      </c>
      <c r="AK258" s="1" t="s">
        <v>723</v>
      </c>
    </row>
    <row r="259" spans="1:37" x14ac:dyDescent="0.25">
      <c r="A259" s="160" t="s">
        <v>457</v>
      </c>
      <c r="B259" s="160" t="s">
        <v>890</v>
      </c>
      <c r="C259" s="638">
        <v>2</v>
      </c>
      <c r="D259" s="174" t="s">
        <v>458</v>
      </c>
      <c r="E259" s="205" t="s">
        <v>459</v>
      </c>
      <c r="F259" s="639">
        <v>45.5</v>
      </c>
      <c r="G259" s="639">
        <v>-5</v>
      </c>
      <c r="H259" s="205" t="s">
        <v>1201</v>
      </c>
      <c r="I259" s="713" t="s">
        <v>1468</v>
      </c>
      <c r="J259" s="713" t="str">
        <f t="shared" ref="J259:J265" si="10">IF(R259=0,"yes","")</f>
        <v/>
      </c>
      <c r="K259" s="713" t="str">
        <f t="shared" ref="K259:K265" si="11">IF(AB259=0,"yes","")</f>
        <v/>
      </c>
      <c r="L259" s="174">
        <v>3</v>
      </c>
      <c r="M259" s="242">
        <v>38642</v>
      </c>
      <c r="N259" s="242"/>
      <c r="O259" s="242"/>
      <c r="P259" s="3"/>
      <c r="Q259" s="214">
        <f>0.8+1.9</f>
        <v>2.7</v>
      </c>
      <c r="R259" s="247">
        <v>1</v>
      </c>
      <c r="AA259" s="214">
        <v>3.9</v>
      </c>
      <c r="AB259" s="247" t="s">
        <v>446</v>
      </c>
      <c r="AG259" s="247">
        <f>Table2[[#This Row],[xFOSAs]]+Table2[[#This Row],[xFOSEs]]</f>
        <v>6.6</v>
      </c>
      <c r="AH259" s="247" t="s">
        <v>869</v>
      </c>
      <c r="AJ259" s="1" t="s">
        <v>722</v>
      </c>
      <c r="AK259" s="1" t="s">
        <v>728</v>
      </c>
    </row>
    <row r="260" spans="1:37" x14ac:dyDescent="0.25">
      <c r="A260" s="160" t="s">
        <v>457</v>
      </c>
      <c r="B260" s="160" t="s">
        <v>890</v>
      </c>
      <c r="C260" s="638">
        <v>3</v>
      </c>
      <c r="D260" s="174" t="s">
        <v>460</v>
      </c>
      <c r="E260" s="205" t="s">
        <v>461</v>
      </c>
      <c r="F260" s="639">
        <v>35</v>
      </c>
      <c r="G260" s="639">
        <v>-13</v>
      </c>
      <c r="H260" s="205" t="s">
        <v>1201</v>
      </c>
      <c r="I260" s="713" t="s">
        <v>1468</v>
      </c>
      <c r="J260" s="713" t="str">
        <f t="shared" si="10"/>
        <v/>
      </c>
      <c r="K260" s="713" t="str">
        <f t="shared" si="11"/>
        <v/>
      </c>
      <c r="L260" s="174">
        <v>4</v>
      </c>
      <c r="M260" s="242">
        <v>38651</v>
      </c>
      <c r="N260" s="242"/>
      <c r="O260" s="242"/>
      <c r="P260" s="3"/>
      <c r="Q260" s="214">
        <f>1.4</f>
        <v>1.4</v>
      </c>
      <c r="R260" s="247" t="s">
        <v>446</v>
      </c>
      <c r="AA260" s="214">
        <v>2.5</v>
      </c>
      <c r="AB260" s="247">
        <v>1</v>
      </c>
      <c r="AG260" s="247">
        <f>Table2[[#This Row],[xFOSAs]]+Table2[[#This Row],[xFOSEs]]</f>
        <v>3.9</v>
      </c>
      <c r="AH260" s="247" t="s">
        <v>869</v>
      </c>
      <c r="AJ260" s="1" t="s">
        <v>722</v>
      </c>
      <c r="AK260" s="1" t="s">
        <v>728</v>
      </c>
    </row>
    <row r="261" spans="1:37" x14ac:dyDescent="0.25">
      <c r="A261" s="160" t="s">
        <v>457</v>
      </c>
      <c r="B261" s="160" t="s">
        <v>890</v>
      </c>
      <c r="C261" s="638">
        <v>4</v>
      </c>
      <c r="D261" s="174" t="s">
        <v>462</v>
      </c>
      <c r="E261" s="205" t="s">
        <v>463</v>
      </c>
      <c r="F261" s="639">
        <v>24</v>
      </c>
      <c r="G261" s="639">
        <v>-18</v>
      </c>
      <c r="H261" s="205" t="s">
        <v>1201</v>
      </c>
      <c r="I261" s="713" t="s">
        <v>1468</v>
      </c>
      <c r="J261" s="713" t="str">
        <f t="shared" si="10"/>
        <v/>
      </c>
      <c r="K261" s="713" t="str">
        <f t="shared" si="11"/>
        <v/>
      </c>
      <c r="L261" s="174">
        <v>4</v>
      </c>
      <c r="M261" s="242">
        <v>38654</v>
      </c>
      <c r="N261" s="242"/>
      <c r="O261" s="242"/>
      <c r="P261" s="3"/>
      <c r="Q261" s="214">
        <f>2.3</f>
        <v>2.2999999999999998</v>
      </c>
      <c r="R261" s="247">
        <v>1</v>
      </c>
      <c r="AA261" s="214">
        <v>3.1</v>
      </c>
      <c r="AB261" s="247" t="s">
        <v>446</v>
      </c>
      <c r="AG261" s="247">
        <f>Table2[[#This Row],[xFOSAs]]+Table2[[#This Row],[xFOSEs]]</f>
        <v>5.4</v>
      </c>
      <c r="AH261" s="247" t="s">
        <v>869</v>
      </c>
      <c r="AJ261" s="1" t="s">
        <v>722</v>
      </c>
      <c r="AK261" s="1" t="s">
        <v>728</v>
      </c>
    </row>
    <row r="262" spans="1:37" x14ac:dyDescent="0.25">
      <c r="A262" s="160" t="s">
        <v>457</v>
      </c>
      <c r="B262" s="160" t="s">
        <v>890</v>
      </c>
      <c r="C262" s="638">
        <v>5</v>
      </c>
      <c r="D262" s="174" t="s">
        <v>464</v>
      </c>
      <c r="E262" s="205" t="s">
        <v>465</v>
      </c>
      <c r="F262" s="639">
        <v>12</v>
      </c>
      <c r="G262" s="639">
        <v>-18</v>
      </c>
      <c r="H262" s="205" t="s">
        <v>1201</v>
      </c>
      <c r="I262" s="713" t="s">
        <v>1468</v>
      </c>
      <c r="J262" s="713" t="str">
        <f t="shared" si="10"/>
        <v/>
      </c>
      <c r="K262" s="713" t="str">
        <f t="shared" si="11"/>
        <v/>
      </c>
      <c r="L262" s="174">
        <v>5</v>
      </c>
      <c r="M262" s="242">
        <v>38658</v>
      </c>
      <c r="N262" s="242"/>
      <c r="O262" s="242"/>
      <c r="P262" s="3"/>
      <c r="Q262" s="214">
        <f>3.4</f>
        <v>3.4</v>
      </c>
      <c r="R262" s="247">
        <v>1</v>
      </c>
      <c r="AA262" s="214">
        <v>8.9</v>
      </c>
      <c r="AB262" s="247">
        <v>1</v>
      </c>
      <c r="AG262" s="247">
        <f>Table2[[#This Row],[xFOSAs]]+Table2[[#This Row],[xFOSEs]]</f>
        <v>12.3</v>
      </c>
      <c r="AH262" s="247" t="s">
        <v>869</v>
      </c>
      <c r="AJ262" s="1" t="s">
        <v>722</v>
      </c>
      <c r="AK262" s="1" t="s">
        <v>728</v>
      </c>
    </row>
    <row r="263" spans="1:37" x14ac:dyDescent="0.25">
      <c r="A263" s="160" t="s">
        <v>457</v>
      </c>
      <c r="B263" s="160" t="s">
        <v>890</v>
      </c>
      <c r="C263" s="638">
        <v>6</v>
      </c>
      <c r="D263" s="174" t="s">
        <v>467</v>
      </c>
      <c r="E263" s="205" t="s">
        <v>466</v>
      </c>
      <c r="F263" s="639">
        <v>1</v>
      </c>
      <c r="G263" s="639">
        <v>-12</v>
      </c>
      <c r="H263" s="205" t="s">
        <v>1201</v>
      </c>
      <c r="I263" s="713" t="s">
        <v>1468</v>
      </c>
      <c r="J263" s="713" t="str">
        <f t="shared" si="10"/>
        <v/>
      </c>
      <c r="K263" s="713" t="str">
        <f t="shared" si="11"/>
        <v/>
      </c>
      <c r="L263" s="174">
        <v>5</v>
      </c>
      <c r="M263" s="242">
        <v>38661</v>
      </c>
      <c r="N263" s="242"/>
      <c r="O263" s="242"/>
      <c r="P263" s="3"/>
      <c r="Q263" s="214">
        <f>0.6</f>
        <v>0.6</v>
      </c>
      <c r="R263" s="247" t="s">
        <v>446</v>
      </c>
      <c r="AA263" s="214">
        <v>0.9</v>
      </c>
      <c r="AB263" s="247" t="s">
        <v>446</v>
      </c>
      <c r="AG263" s="247">
        <f>Table2[[#This Row],[xFOSAs]]+Table2[[#This Row],[xFOSEs]]</f>
        <v>1.5</v>
      </c>
      <c r="AH263" s="247" t="s">
        <v>869</v>
      </c>
      <c r="AJ263" s="1" t="s">
        <v>722</v>
      </c>
      <c r="AK263" s="1" t="s">
        <v>728</v>
      </c>
    </row>
    <row r="264" spans="1:37" x14ac:dyDescent="0.25">
      <c r="A264" s="160" t="s">
        <v>457</v>
      </c>
      <c r="B264" s="160" t="s">
        <v>890</v>
      </c>
      <c r="C264" s="160">
        <v>7</v>
      </c>
      <c r="D264" s="174" t="s">
        <v>468</v>
      </c>
      <c r="E264" s="205" t="s">
        <v>470</v>
      </c>
      <c r="F264" s="639">
        <v>-12.5</v>
      </c>
      <c r="G264" s="639">
        <v>-1.5</v>
      </c>
      <c r="H264" s="205" t="s">
        <v>1201</v>
      </c>
      <c r="I264" s="713" t="s">
        <v>1468</v>
      </c>
      <c r="J264" s="713" t="str">
        <f t="shared" si="10"/>
        <v/>
      </c>
      <c r="K264" s="713" t="str">
        <f t="shared" si="11"/>
        <v/>
      </c>
      <c r="L264" s="174">
        <v>6</v>
      </c>
      <c r="M264" s="242">
        <v>38665</v>
      </c>
      <c r="N264" s="242"/>
      <c r="O264" s="242"/>
      <c r="P264" s="3"/>
      <c r="Q264" s="214">
        <f>2.5</f>
        <v>2.5</v>
      </c>
      <c r="R264" s="247" t="s">
        <v>446</v>
      </c>
      <c r="AA264" s="214">
        <v>0.9</v>
      </c>
      <c r="AB264" s="247" t="s">
        <v>446</v>
      </c>
      <c r="AG264" s="247">
        <f>Table2[[#This Row],[xFOSAs]]+Table2[[#This Row],[xFOSEs]]</f>
        <v>3.4</v>
      </c>
      <c r="AH264" s="247" t="s">
        <v>869</v>
      </c>
      <c r="AJ264" s="1" t="s">
        <v>722</v>
      </c>
      <c r="AK264" s="1" t="s">
        <v>728</v>
      </c>
    </row>
    <row r="265" spans="1:37" x14ac:dyDescent="0.25">
      <c r="A265" s="160" t="s">
        <v>457</v>
      </c>
      <c r="B265" s="160" t="s">
        <v>890</v>
      </c>
      <c r="C265" s="160">
        <v>8</v>
      </c>
      <c r="D265" s="174" t="s">
        <v>469</v>
      </c>
      <c r="E265" s="205" t="s">
        <v>471</v>
      </c>
      <c r="F265" s="639">
        <v>-21</v>
      </c>
      <c r="G265" s="639">
        <v>-5.5</v>
      </c>
      <c r="H265" s="205" t="s">
        <v>1201</v>
      </c>
      <c r="I265" s="713" t="s">
        <v>1468</v>
      </c>
      <c r="J265" s="713" t="str">
        <f t="shared" si="10"/>
        <v/>
      </c>
      <c r="K265" s="713" t="str">
        <f t="shared" si="11"/>
        <v>yes</v>
      </c>
      <c r="L265" s="174">
        <v>7</v>
      </c>
      <c r="M265" s="242">
        <v>38668</v>
      </c>
      <c r="N265" s="242"/>
      <c r="O265" s="242"/>
      <c r="P265" s="3"/>
      <c r="Q265" s="214">
        <f>0.5</f>
        <v>0.5</v>
      </c>
      <c r="R265" s="247" t="s">
        <v>446</v>
      </c>
      <c r="AB265" s="247">
        <v>0</v>
      </c>
      <c r="AG265" s="247">
        <f>Table2[[#This Row],[xFOSAs]]+Table2[[#This Row],[xFOSEs]]</f>
        <v>0.5</v>
      </c>
      <c r="AH265" s="247" t="s">
        <v>869</v>
      </c>
      <c r="AJ265" s="1" t="s">
        <v>722</v>
      </c>
      <c r="AK265" s="1" t="s">
        <v>728</v>
      </c>
    </row>
    <row r="266" spans="1:37" x14ac:dyDescent="0.25">
      <c r="A266" s="155" t="s">
        <v>440</v>
      </c>
      <c r="B266" s="155" t="s">
        <v>731</v>
      </c>
      <c r="C266" s="155" t="s">
        <v>441</v>
      </c>
      <c r="D266" s="174">
        <v>38.173999999999999</v>
      </c>
      <c r="E266" s="174">
        <v>120.75700000000001</v>
      </c>
      <c r="F266" s="174">
        <v>38.173999999999999</v>
      </c>
      <c r="G266" s="174">
        <v>120.75700000000001</v>
      </c>
      <c r="H266" s="174" t="s">
        <v>1206</v>
      </c>
      <c r="I266" s="174" t="s">
        <v>3</v>
      </c>
      <c r="J266" s="338" t="s">
        <v>1458</v>
      </c>
      <c r="K266" s="338" t="s">
        <v>1458</v>
      </c>
      <c r="L266" s="174">
        <v>3</v>
      </c>
      <c r="M266" s="316">
        <v>39814</v>
      </c>
      <c r="N266" s="316"/>
      <c r="O266" s="316"/>
      <c r="P266" s="702"/>
      <c r="Q266" s="214">
        <f>3.69+3.36</f>
        <v>7.05</v>
      </c>
      <c r="R266" s="247">
        <v>1</v>
      </c>
      <c r="AA266" s="214">
        <v>10.199999999999999</v>
      </c>
      <c r="AB266" s="247" t="s">
        <v>446</v>
      </c>
      <c r="AG266" s="247">
        <f>Table2[[#This Row],[xFOSAs]]+Table2[[#This Row],[xFOSEs]]</f>
        <v>17.25</v>
      </c>
      <c r="AH266" s="247" t="s">
        <v>868</v>
      </c>
      <c r="AI266" s="1" t="s">
        <v>445</v>
      </c>
      <c r="AJ266" s="1" t="s">
        <v>727</v>
      </c>
      <c r="AK266" s="1" t="s">
        <v>728</v>
      </c>
    </row>
    <row r="267" spans="1:37" x14ac:dyDescent="0.25">
      <c r="A267" s="155" t="s">
        <v>442</v>
      </c>
      <c r="B267" s="155" t="s">
        <v>731</v>
      </c>
      <c r="C267" s="155" t="s">
        <v>443</v>
      </c>
      <c r="D267" s="174">
        <v>18.818000000000001</v>
      </c>
      <c r="E267" s="174">
        <v>108.90900000000001</v>
      </c>
      <c r="F267" s="174">
        <v>18.818000000000001</v>
      </c>
      <c r="G267" s="174">
        <v>108.90900000000001</v>
      </c>
      <c r="H267" s="174" t="s">
        <v>1206</v>
      </c>
      <c r="I267" s="174" t="s">
        <v>3</v>
      </c>
      <c r="J267" s="338" t="s">
        <v>1458</v>
      </c>
      <c r="K267" s="338" t="s">
        <v>1458</v>
      </c>
      <c r="L267" s="174">
        <v>4</v>
      </c>
      <c r="M267" s="316">
        <v>39814</v>
      </c>
      <c r="N267" s="316"/>
      <c r="O267" s="316"/>
      <c r="P267" s="702"/>
      <c r="Q267" s="214">
        <f>7.25+0</f>
        <v>7.25</v>
      </c>
      <c r="R267" s="247" t="s">
        <v>446</v>
      </c>
      <c r="AA267" s="214">
        <f>4.63+1.02</f>
        <v>5.65</v>
      </c>
      <c r="AB267" s="247">
        <v>1</v>
      </c>
      <c r="AG267" s="247">
        <f>Table2[[#This Row],[xFOSAs]]+Table2[[#This Row],[xFOSEs]]</f>
        <v>12.9</v>
      </c>
      <c r="AH267" s="247" t="s">
        <v>868</v>
      </c>
      <c r="AI267" s="1" t="s">
        <v>730</v>
      </c>
      <c r="AJ267" s="1" t="s">
        <v>727</v>
      </c>
      <c r="AK267" s="1" t="s">
        <v>728</v>
      </c>
    </row>
    <row r="268" spans="1:37" x14ac:dyDescent="0.25">
      <c r="A268" s="155" t="s">
        <v>436</v>
      </c>
      <c r="B268" s="155" t="s">
        <v>731</v>
      </c>
      <c r="C268" s="155" t="s">
        <v>437</v>
      </c>
      <c r="D268" s="174">
        <v>23.087</v>
      </c>
      <c r="E268" s="174">
        <v>88.272000000000006</v>
      </c>
      <c r="F268" s="174">
        <v>23.087</v>
      </c>
      <c r="G268" s="174">
        <v>88.272000000000006</v>
      </c>
      <c r="H268" s="174" t="s">
        <v>1206</v>
      </c>
      <c r="I268" s="174" t="s">
        <v>3</v>
      </c>
      <c r="J268" s="338" t="s">
        <v>1458</v>
      </c>
      <c r="K268" s="338" t="s">
        <v>1458</v>
      </c>
      <c r="L268" s="174">
        <v>4</v>
      </c>
      <c r="M268" s="316">
        <v>39814</v>
      </c>
      <c r="N268" s="316"/>
      <c r="O268" s="316"/>
      <c r="P268" s="702"/>
      <c r="Q268" s="214">
        <f>4.57</f>
        <v>4.57</v>
      </c>
      <c r="R268" s="247" t="s">
        <v>446</v>
      </c>
      <c r="AA268" s="214">
        <f>30.4+11.7</f>
        <v>42.099999999999994</v>
      </c>
      <c r="AB268" s="247">
        <v>1</v>
      </c>
      <c r="AG268" s="247">
        <f>Table2[[#This Row],[xFOSAs]]+Table2[[#This Row],[xFOSEs]]</f>
        <v>46.669999999999995</v>
      </c>
      <c r="AH268" s="247" t="s">
        <v>868</v>
      </c>
      <c r="AI268" s="1" t="s">
        <v>444</v>
      </c>
      <c r="AJ268" s="1" t="s">
        <v>727</v>
      </c>
      <c r="AK268" s="1" t="s">
        <v>728</v>
      </c>
    </row>
    <row r="269" spans="1:37" x14ac:dyDescent="0.25">
      <c r="A269" s="155" t="s">
        <v>438</v>
      </c>
      <c r="B269" s="155" t="s">
        <v>731</v>
      </c>
      <c r="C269" s="155" t="s">
        <v>439</v>
      </c>
      <c r="D269" s="174">
        <v>23.951000000000001</v>
      </c>
      <c r="E269" s="174">
        <v>87.933999999999997</v>
      </c>
      <c r="F269" s="174">
        <v>23.951000000000001</v>
      </c>
      <c r="G269" s="174">
        <v>87.933999999999997</v>
      </c>
      <c r="H269" s="174" t="s">
        <v>1206</v>
      </c>
      <c r="I269" s="174" t="s">
        <v>3</v>
      </c>
      <c r="J269" s="338" t="s">
        <v>1458</v>
      </c>
      <c r="K269" s="338" t="s">
        <v>1458</v>
      </c>
      <c r="L269" s="174">
        <v>4</v>
      </c>
      <c r="M269" s="316">
        <v>39814</v>
      </c>
      <c r="N269" s="316"/>
      <c r="O269" s="316"/>
      <c r="P269" s="702"/>
      <c r="Q269" s="214">
        <f>9.28</f>
        <v>9.2799999999999994</v>
      </c>
      <c r="R269" s="247" t="s">
        <v>446</v>
      </c>
      <c r="AA269" s="214">
        <f>8.13+5.54</f>
        <v>13.670000000000002</v>
      </c>
      <c r="AB269" s="247">
        <v>1</v>
      </c>
      <c r="AG269" s="247">
        <f>Table2[[#This Row],[xFOSAs]]+Table2[[#This Row],[xFOSEs]]</f>
        <v>22.950000000000003</v>
      </c>
      <c r="AH269" s="247" t="s">
        <v>868</v>
      </c>
      <c r="AI269" s="1" t="s">
        <v>729</v>
      </c>
      <c r="AJ269" s="1" t="s">
        <v>727</v>
      </c>
      <c r="AK269" s="1" t="s">
        <v>728</v>
      </c>
    </row>
    <row r="270" spans="1:37" x14ac:dyDescent="0.25">
      <c r="A270" s="155" t="s">
        <v>423</v>
      </c>
      <c r="B270" s="155" t="s">
        <v>731</v>
      </c>
      <c r="C270" s="155" t="s">
        <v>424</v>
      </c>
      <c r="D270" s="174">
        <v>45.106000000000002</v>
      </c>
      <c r="E270" s="174">
        <v>142.358</v>
      </c>
      <c r="F270" s="174">
        <v>45.106000000000002</v>
      </c>
      <c r="G270" s="174">
        <v>142.358</v>
      </c>
      <c r="H270" s="174" t="s">
        <v>1206</v>
      </c>
      <c r="I270" s="174" t="s">
        <v>3</v>
      </c>
      <c r="J270" s="338" t="s">
        <v>1458</v>
      </c>
      <c r="K270" s="338" t="s">
        <v>1458</v>
      </c>
      <c r="L270" s="174">
        <v>3</v>
      </c>
      <c r="M270" s="316">
        <v>39814</v>
      </c>
      <c r="N270" s="316"/>
      <c r="O270" s="316"/>
      <c r="P270" s="702"/>
      <c r="Q270" s="214">
        <v>9.06</v>
      </c>
      <c r="R270" s="247" t="s">
        <v>446</v>
      </c>
      <c r="AA270" s="214">
        <f>5.26+1.39</f>
        <v>6.6499999999999995</v>
      </c>
      <c r="AB270" s="247">
        <v>1</v>
      </c>
      <c r="AG270" s="247">
        <f>Table2[[#This Row],[xFOSAs]]+Table2[[#This Row],[xFOSEs]]</f>
        <v>15.71</v>
      </c>
      <c r="AH270" s="247" t="s">
        <v>868</v>
      </c>
      <c r="AI270" s="1" t="s">
        <v>729</v>
      </c>
      <c r="AJ270" s="1" t="s">
        <v>727</v>
      </c>
      <c r="AK270" s="1" t="s">
        <v>728</v>
      </c>
    </row>
    <row r="271" spans="1:37" x14ac:dyDescent="0.25">
      <c r="A271" s="155" t="s">
        <v>426</v>
      </c>
      <c r="B271" s="155" t="s">
        <v>731</v>
      </c>
      <c r="C271" s="155" t="s">
        <v>427</v>
      </c>
      <c r="D271" s="174">
        <v>37.984999999999999</v>
      </c>
      <c r="E271" s="174">
        <v>139.29300000000001</v>
      </c>
      <c r="F271" s="174">
        <v>37.984999999999999</v>
      </c>
      <c r="G271" s="174">
        <v>139.29300000000001</v>
      </c>
      <c r="H271" s="174" t="s">
        <v>1206</v>
      </c>
      <c r="I271" s="174" t="s">
        <v>3</v>
      </c>
      <c r="J271" s="338" t="s">
        <v>1458</v>
      </c>
      <c r="K271" s="338" t="s">
        <v>1458</v>
      </c>
      <c r="L271" s="174">
        <v>3</v>
      </c>
      <c r="M271" s="316">
        <v>39814</v>
      </c>
      <c r="N271" s="316"/>
      <c r="O271" s="316"/>
      <c r="P271" s="702"/>
      <c r="Q271" s="214">
        <f>10.2+2.7</f>
        <v>12.899999999999999</v>
      </c>
      <c r="R271" s="247">
        <v>1</v>
      </c>
      <c r="AA271" s="214">
        <f>13.4+6.04</f>
        <v>19.440000000000001</v>
      </c>
      <c r="AB271" s="247">
        <v>1</v>
      </c>
      <c r="AG271" s="247">
        <f>Table2[[#This Row],[xFOSAs]]+Table2[[#This Row],[xFOSEs]]</f>
        <v>32.340000000000003</v>
      </c>
      <c r="AH271" s="247" t="s">
        <v>868</v>
      </c>
      <c r="AI271" s="1" t="s">
        <v>729</v>
      </c>
      <c r="AJ271" s="1" t="s">
        <v>727</v>
      </c>
      <c r="AK271" s="1" t="s">
        <v>728</v>
      </c>
    </row>
    <row r="272" spans="1:37" x14ac:dyDescent="0.25">
      <c r="A272" s="155" t="s">
        <v>428</v>
      </c>
      <c r="B272" s="155" t="s">
        <v>731</v>
      </c>
      <c r="C272" s="155" t="s">
        <v>429</v>
      </c>
      <c r="D272" s="174">
        <v>27.059000000000001</v>
      </c>
      <c r="E272" s="174">
        <v>142.20400000000001</v>
      </c>
      <c r="F272" s="174">
        <v>27.059000000000001</v>
      </c>
      <c r="G272" s="174">
        <v>142.20400000000001</v>
      </c>
      <c r="H272" s="174" t="s">
        <v>1206</v>
      </c>
      <c r="I272" s="174" t="s">
        <v>3</v>
      </c>
      <c r="J272" s="338" t="s">
        <v>1458</v>
      </c>
      <c r="K272" s="338" t="s">
        <v>1458</v>
      </c>
      <c r="L272" s="174">
        <v>4</v>
      </c>
      <c r="M272" s="316">
        <v>39814</v>
      </c>
      <c r="N272" s="316"/>
      <c r="O272" s="316"/>
      <c r="P272" s="702"/>
      <c r="Q272" s="214">
        <v>4.82</v>
      </c>
      <c r="R272" s="247" t="s">
        <v>446</v>
      </c>
      <c r="AA272" s="214">
        <f>4.36+0.89</f>
        <v>5.25</v>
      </c>
      <c r="AB272" s="247">
        <v>1</v>
      </c>
      <c r="AG272" s="247">
        <f>Table2[[#This Row],[xFOSAs]]+Table2[[#This Row],[xFOSEs]]</f>
        <v>10.07</v>
      </c>
      <c r="AH272" s="247" t="s">
        <v>868</v>
      </c>
      <c r="AI272" s="1" t="s">
        <v>730</v>
      </c>
      <c r="AJ272" s="1" t="s">
        <v>727</v>
      </c>
      <c r="AK272" s="1" t="s">
        <v>728</v>
      </c>
    </row>
    <row r="273" spans="1:37" x14ac:dyDescent="0.25">
      <c r="A273" s="155" t="s">
        <v>430</v>
      </c>
      <c r="B273" s="155" t="s">
        <v>731</v>
      </c>
      <c r="C273" s="155" t="s">
        <v>431</v>
      </c>
      <c r="D273" s="174">
        <v>33.587000000000003</v>
      </c>
      <c r="E273" s="174">
        <v>133.642</v>
      </c>
      <c r="F273" s="174">
        <v>33.587000000000003</v>
      </c>
      <c r="G273" s="174">
        <v>133.642</v>
      </c>
      <c r="H273" s="174" t="s">
        <v>1206</v>
      </c>
      <c r="I273" s="174" t="s">
        <v>3</v>
      </c>
      <c r="J273" s="338" t="s">
        <v>1458</v>
      </c>
      <c r="K273" s="338" t="s">
        <v>1458</v>
      </c>
      <c r="L273" s="174">
        <v>4</v>
      </c>
      <c r="M273" s="316">
        <v>39814</v>
      </c>
      <c r="N273" s="316"/>
      <c r="O273" s="316"/>
      <c r="P273" s="702"/>
      <c r="Q273" s="214">
        <f>4.68+4.89</f>
        <v>9.57</v>
      </c>
      <c r="R273" s="247">
        <v>1</v>
      </c>
      <c r="AA273" s="214">
        <f>4+1.91</f>
        <v>5.91</v>
      </c>
      <c r="AB273" s="247">
        <v>1</v>
      </c>
      <c r="AG273" s="247">
        <f>Table2[[#This Row],[xFOSAs]]+Table2[[#This Row],[xFOSEs]]</f>
        <v>15.48</v>
      </c>
      <c r="AH273" s="247" t="s">
        <v>868</v>
      </c>
      <c r="AI273" s="1" t="s">
        <v>444</v>
      </c>
      <c r="AJ273" s="1" t="s">
        <v>727</v>
      </c>
      <c r="AK273" s="1" t="s">
        <v>728</v>
      </c>
    </row>
    <row r="274" spans="1:37" x14ac:dyDescent="0.25">
      <c r="A274" s="155" t="s">
        <v>432</v>
      </c>
      <c r="B274" s="155" t="s">
        <v>731</v>
      </c>
      <c r="C274" s="155" t="s">
        <v>433</v>
      </c>
      <c r="D274" s="174">
        <v>33.503999999999998</v>
      </c>
      <c r="E274" s="174">
        <v>130.57</v>
      </c>
      <c r="F274" s="174">
        <v>33.503999999999998</v>
      </c>
      <c r="G274" s="174">
        <v>130.57</v>
      </c>
      <c r="H274" s="174" t="s">
        <v>1206</v>
      </c>
      <c r="I274" s="174" t="s">
        <v>3</v>
      </c>
      <c r="J274" s="338" t="s">
        <v>1458</v>
      </c>
      <c r="K274" s="338" t="s">
        <v>1458</v>
      </c>
      <c r="L274" s="174">
        <v>4</v>
      </c>
      <c r="M274" s="316">
        <v>39814</v>
      </c>
      <c r="N274" s="316"/>
      <c r="O274" s="316"/>
      <c r="P274" s="702"/>
      <c r="Q274" s="214">
        <f>5.91+5.18</f>
        <v>11.09</v>
      </c>
      <c r="R274" s="247">
        <v>1</v>
      </c>
      <c r="AA274" s="214">
        <f>18+2.51</f>
        <v>20.509999999999998</v>
      </c>
      <c r="AB274" s="247">
        <v>1</v>
      </c>
      <c r="AG274" s="247">
        <f>Table2[[#This Row],[xFOSAs]]+Table2[[#This Row],[xFOSEs]]</f>
        <v>31.599999999999998</v>
      </c>
      <c r="AH274" s="247" t="s">
        <v>868</v>
      </c>
      <c r="AI274" s="1" t="s">
        <v>444</v>
      </c>
      <c r="AJ274" s="1" t="s">
        <v>727</v>
      </c>
      <c r="AK274" s="1" t="s">
        <v>728</v>
      </c>
    </row>
    <row r="275" spans="1:37" x14ac:dyDescent="0.25">
      <c r="A275" s="155" t="s">
        <v>434</v>
      </c>
      <c r="B275" s="155" t="s">
        <v>731</v>
      </c>
      <c r="C275" s="155" t="s">
        <v>435</v>
      </c>
      <c r="D275" s="174">
        <v>26.202000000000002</v>
      </c>
      <c r="E275" s="174">
        <v>127.721</v>
      </c>
      <c r="F275" s="174">
        <v>26.202000000000002</v>
      </c>
      <c r="G275" s="174">
        <v>127.721</v>
      </c>
      <c r="H275" s="174" t="s">
        <v>1206</v>
      </c>
      <c r="I275" s="174" t="s">
        <v>3</v>
      </c>
      <c r="J275" s="338" t="s">
        <v>1458</v>
      </c>
      <c r="K275" s="338" t="s">
        <v>1458</v>
      </c>
      <c r="L275" s="174">
        <v>4</v>
      </c>
      <c r="M275" s="316">
        <v>39814</v>
      </c>
      <c r="N275" s="316"/>
      <c r="O275" s="316"/>
      <c r="P275" s="702"/>
      <c r="Q275" s="214">
        <f>1.94</f>
        <v>1.94</v>
      </c>
      <c r="R275" s="247" t="s">
        <v>446</v>
      </c>
      <c r="AA275" s="214">
        <f>2.89+2.5</f>
        <v>5.3900000000000006</v>
      </c>
      <c r="AB275" s="247">
        <v>1</v>
      </c>
      <c r="AG275" s="247">
        <f>Table2[[#This Row],[xFOSAs]]+Table2[[#This Row],[xFOSEs]]</f>
        <v>7.33</v>
      </c>
      <c r="AH275" s="247" t="s">
        <v>868</v>
      </c>
      <c r="AI275" s="1" t="s">
        <v>729</v>
      </c>
      <c r="AJ275" s="1" t="s">
        <v>727</v>
      </c>
      <c r="AK275" s="1" t="s">
        <v>728</v>
      </c>
    </row>
    <row r="276" spans="1:37" x14ac:dyDescent="0.25">
      <c r="A276" s="156" t="s">
        <v>447</v>
      </c>
      <c r="B276" s="156" t="s">
        <v>732</v>
      </c>
      <c r="C276" s="156" t="s">
        <v>901</v>
      </c>
      <c r="D276" s="174">
        <v>43.98</v>
      </c>
      <c r="E276" s="174">
        <v>-121.69</v>
      </c>
      <c r="F276" s="174">
        <v>43.98</v>
      </c>
      <c r="G276" s="174">
        <v>-121.69</v>
      </c>
      <c r="H276" s="174" t="s">
        <v>1206</v>
      </c>
      <c r="I276" s="174" t="s">
        <v>3</v>
      </c>
      <c r="J276" s="338" t="s">
        <v>1458</v>
      </c>
      <c r="K276" s="338" t="s">
        <v>1458</v>
      </c>
      <c r="L276" s="174">
        <v>3</v>
      </c>
      <c r="M276" s="316">
        <v>38718</v>
      </c>
      <c r="N276" s="316"/>
      <c r="O276" s="316"/>
      <c r="P276" s="702"/>
      <c r="R276" s="247" t="s">
        <v>446</v>
      </c>
      <c r="AB276" s="247" t="s">
        <v>446</v>
      </c>
      <c r="AG276" s="247">
        <f>Table2[[#This Row],[xFOSAs]]+Table2[[#This Row],[xFOSEs]]</f>
        <v>0</v>
      </c>
      <c r="AH276" s="247" t="s">
        <v>869</v>
      </c>
      <c r="AI276" s="1" t="s">
        <v>881</v>
      </c>
      <c r="AJ276" s="1" t="s">
        <v>724</v>
      </c>
      <c r="AK276" s="1" t="s">
        <v>735</v>
      </c>
    </row>
    <row r="277" spans="1:37" x14ac:dyDescent="0.25">
      <c r="A277" s="163" t="s">
        <v>670</v>
      </c>
      <c r="B277" s="163" t="s">
        <v>739</v>
      </c>
      <c r="C277" s="163" t="s">
        <v>132</v>
      </c>
      <c r="D277" s="174">
        <v>27.33</v>
      </c>
      <c r="E277" s="174">
        <v>-95.01</v>
      </c>
      <c r="F277" s="174">
        <v>27.33</v>
      </c>
      <c r="G277" s="174">
        <v>-95.01</v>
      </c>
      <c r="H277" s="174" t="s">
        <v>1201</v>
      </c>
      <c r="I277" s="174" t="s">
        <v>3</v>
      </c>
      <c r="J277" s="338" t="s">
        <v>1458</v>
      </c>
      <c r="K277" s="338" t="s">
        <v>1458</v>
      </c>
      <c r="L277" s="174">
        <v>4</v>
      </c>
      <c r="M277" s="242">
        <v>39264</v>
      </c>
      <c r="N277" s="242"/>
      <c r="O277" s="242"/>
      <c r="P277" s="3"/>
      <c r="Q277" s="214">
        <f>0.61+0.78</f>
        <v>1.3900000000000001</v>
      </c>
      <c r="R277" s="247">
        <v>1</v>
      </c>
      <c r="AA277" s="214">
        <f>10.7+1.49+2.95+2.18</f>
        <v>17.32</v>
      </c>
      <c r="AB277" s="247">
        <v>1</v>
      </c>
      <c r="AG277" s="247">
        <f>Table2[[#This Row],[xFOSAs]]+Table2[[#This Row],[xFOSEs]]</f>
        <v>18.71</v>
      </c>
      <c r="AH277" s="247" t="s">
        <v>869</v>
      </c>
      <c r="AI277" s="206" t="s">
        <v>676</v>
      </c>
      <c r="AJ277" s="206" t="s">
        <v>738</v>
      </c>
      <c r="AK277" s="206" t="s">
        <v>734</v>
      </c>
    </row>
    <row r="278" spans="1:37" x14ac:dyDescent="0.25">
      <c r="A278" s="163" t="s">
        <v>670</v>
      </c>
      <c r="B278" s="163" t="s">
        <v>739</v>
      </c>
      <c r="C278" s="163" t="s">
        <v>137</v>
      </c>
      <c r="D278" s="174">
        <v>39.47</v>
      </c>
      <c r="E278" s="174">
        <v>-69.510000000000005</v>
      </c>
      <c r="F278" s="174">
        <v>39.47</v>
      </c>
      <c r="G278" s="174">
        <v>-69.510000000000005</v>
      </c>
      <c r="H278" s="174" t="s">
        <v>1201</v>
      </c>
      <c r="I278" s="174" t="s">
        <v>3</v>
      </c>
      <c r="J278" s="338" t="s">
        <v>1458</v>
      </c>
      <c r="K278" s="338" t="s">
        <v>1458</v>
      </c>
      <c r="L278" s="174">
        <v>3</v>
      </c>
      <c r="M278" s="242">
        <v>39295</v>
      </c>
      <c r="N278" s="242"/>
      <c r="O278" s="242"/>
      <c r="P278" s="3"/>
      <c r="Q278" s="214">
        <f>8.77+9.72</f>
        <v>18.490000000000002</v>
      </c>
      <c r="R278" s="247">
        <v>1</v>
      </c>
      <c r="AA278" s="214">
        <f>33.81+16+5.3</f>
        <v>55.11</v>
      </c>
      <c r="AB278" s="247">
        <v>1</v>
      </c>
      <c r="AG278" s="247">
        <f>Table2[[#This Row],[xFOSAs]]+Table2[[#This Row],[xFOSEs]]</f>
        <v>73.599999999999994</v>
      </c>
      <c r="AH278" s="247" t="s">
        <v>869</v>
      </c>
      <c r="AI278" s="206" t="s">
        <v>676</v>
      </c>
      <c r="AJ278" s="206" t="s">
        <v>738</v>
      </c>
      <c r="AK278" s="206" t="s">
        <v>734</v>
      </c>
    </row>
    <row r="279" spans="1:37" x14ac:dyDescent="0.25">
      <c r="A279" s="163" t="s">
        <v>670</v>
      </c>
      <c r="B279" s="163" t="s">
        <v>739</v>
      </c>
      <c r="C279" s="163" t="s">
        <v>138</v>
      </c>
      <c r="D279" s="174">
        <v>37.39</v>
      </c>
      <c r="E279" s="174">
        <v>-68.2</v>
      </c>
      <c r="F279" s="174">
        <v>37.39</v>
      </c>
      <c r="G279" s="174">
        <v>-68.2</v>
      </c>
      <c r="H279" s="174" t="s">
        <v>1201</v>
      </c>
      <c r="I279" s="174" t="s">
        <v>3</v>
      </c>
      <c r="J279" s="338" t="s">
        <v>1458</v>
      </c>
      <c r="K279" s="338" t="s">
        <v>1458</v>
      </c>
      <c r="L279" s="174">
        <v>3</v>
      </c>
      <c r="M279" s="242">
        <v>39295</v>
      </c>
      <c r="N279" s="242"/>
      <c r="O279" s="242"/>
      <c r="P279" s="3"/>
      <c r="Q279" s="214">
        <f>2.51+0.92</f>
        <v>3.4299999999999997</v>
      </c>
      <c r="R279" s="247">
        <v>1</v>
      </c>
      <c r="AA279" s="214">
        <f>5.95+0.64+0.57+1.02</f>
        <v>8.18</v>
      </c>
      <c r="AB279" s="247">
        <v>1</v>
      </c>
      <c r="AG279" s="247">
        <f>Table2[[#This Row],[xFOSAs]]+Table2[[#This Row],[xFOSEs]]</f>
        <v>11.61</v>
      </c>
      <c r="AH279" s="247" t="s">
        <v>869</v>
      </c>
      <c r="AI279" s="206" t="s">
        <v>676</v>
      </c>
      <c r="AJ279" s="206" t="s">
        <v>738</v>
      </c>
      <c r="AK279" s="206" t="s">
        <v>734</v>
      </c>
    </row>
    <row r="280" spans="1:37" x14ac:dyDescent="0.25">
      <c r="A280" s="163" t="s">
        <v>670</v>
      </c>
      <c r="B280" s="163" t="s">
        <v>739</v>
      </c>
      <c r="C280" s="163" t="s">
        <v>133</v>
      </c>
      <c r="D280" s="174">
        <v>27.46</v>
      </c>
      <c r="E280" s="174">
        <v>-89.5</v>
      </c>
      <c r="F280" s="174">
        <v>27.46</v>
      </c>
      <c r="G280" s="174">
        <v>-89.5</v>
      </c>
      <c r="H280" s="174" t="s">
        <v>1201</v>
      </c>
      <c r="I280" s="174" t="s">
        <v>3</v>
      </c>
      <c r="J280" s="338" t="s">
        <v>1458</v>
      </c>
      <c r="K280" s="338" t="s">
        <v>1458</v>
      </c>
      <c r="L280" s="174">
        <v>4</v>
      </c>
      <c r="M280" s="242">
        <v>39264</v>
      </c>
      <c r="N280" s="242"/>
      <c r="O280" s="242"/>
      <c r="P280" s="3"/>
      <c r="Q280" s="214">
        <f>0.54+0.38</f>
        <v>0.92</v>
      </c>
      <c r="R280" s="247" t="s">
        <v>446</v>
      </c>
      <c r="AA280" s="214">
        <f>8.46+0.82+0.17+0.34</f>
        <v>9.7900000000000009</v>
      </c>
      <c r="AB280" s="247">
        <v>1</v>
      </c>
      <c r="AG280" s="247">
        <f>Table2[[#This Row],[xFOSAs]]+Table2[[#This Row],[xFOSEs]]</f>
        <v>10.71</v>
      </c>
      <c r="AH280" s="247" t="s">
        <v>869</v>
      </c>
      <c r="AI280" s="206" t="s">
        <v>676</v>
      </c>
      <c r="AJ280" s="206" t="s">
        <v>738</v>
      </c>
      <c r="AK280" s="206" t="s">
        <v>734</v>
      </c>
    </row>
    <row r="281" spans="1:37" x14ac:dyDescent="0.25">
      <c r="A281" s="163" t="s">
        <v>670</v>
      </c>
      <c r="B281" s="163" t="s">
        <v>739</v>
      </c>
      <c r="C281" s="163" t="s">
        <v>671</v>
      </c>
      <c r="D281" s="174">
        <v>25.43</v>
      </c>
      <c r="E281" s="174">
        <v>-86.14</v>
      </c>
      <c r="F281" s="174">
        <v>25.43</v>
      </c>
      <c r="G281" s="174">
        <v>-86.14</v>
      </c>
      <c r="H281" s="174" t="s">
        <v>1201</v>
      </c>
      <c r="I281" s="174" t="s">
        <v>3</v>
      </c>
      <c r="J281" s="338" t="s">
        <v>1458</v>
      </c>
      <c r="K281" s="338" t="s">
        <v>1458</v>
      </c>
      <c r="L281" s="174">
        <v>4</v>
      </c>
      <c r="M281" s="242">
        <v>39264</v>
      </c>
      <c r="N281" s="242"/>
      <c r="O281" s="242"/>
      <c r="P281" s="3"/>
      <c r="Q281" s="214">
        <f>0.54+0.34</f>
        <v>0.88000000000000012</v>
      </c>
      <c r="R281" s="247">
        <v>0</v>
      </c>
      <c r="AA281" s="214">
        <f>25.5+1.84+0.41+0.49</f>
        <v>28.24</v>
      </c>
      <c r="AB281" s="247">
        <v>1</v>
      </c>
      <c r="AG281" s="247">
        <f>Table2[[#This Row],[xFOSAs]]+Table2[[#This Row],[xFOSEs]]</f>
        <v>29.119999999999997</v>
      </c>
      <c r="AH281" s="247" t="s">
        <v>869</v>
      </c>
      <c r="AI281" s="206" t="s">
        <v>676</v>
      </c>
      <c r="AJ281" s="206" t="s">
        <v>738</v>
      </c>
      <c r="AK281" s="206" t="s">
        <v>734</v>
      </c>
    </row>
    <row r="282" spans="1:37" x14ac:dyDescent="0.25">
      <c r="A282" s="163" t="s">
        <v>670</v>
      </c>
      <c r="B282" s="163" t="s">
        <v>739</v>
      </c>
      <c r="C282" s="163" t="s">
        <v>672</v>
      </c>
      <c r="D282" s="174">
        <v>27.01</v>
      </c>
      <c r="E282" s="174">
        <v>-97.37</v>
      </c>
      <c r="F282" s="174">
        <v>27.01</v>
      </c>
      <c r="G282" s="174">
        <v>-97.37</v>
      </c>
      <c r="H282" s="174" t="s">
        <v>1201</v>
      </c>
      <c r="I282" s="174" t="s">
        <v>3</v>
      </c>
      <c r="J282" s="338" t="s">
        <v>1458</v>
      </c>
      <c r="K282" s="338" t="s">
        <v>1458</v>
      </c>
      <c r="L282" s="174">
        <v>4</v>
      </c>
      <c r="M282" s="242">
        <v>39264</v>
      </c>
      <c r="N282" s="242"/>
      <c r="O282" s="242"/>
      <c r="P282" s="3"/>
      <c r="Q282" s="214">
        <f>1.38+0.66</f>
        <v>2.04</v>
      </c>
      <c r="R282" s="247">
        <v>1</v>
      </c>
      <c r="AA282" s="214">
        <f>29.9+1.74+1.49+0.63</f>
        <v>33.76</v>
      </c>
      <c r="AB282" s="247">
        <v>1</v>
      </c>
      <c r="AG282" s="247">
        <f>Table2[[#This Row],[xFOSAs]]+Table2[[#This Row],[xFOSEs]]</f>
        <v>35.799999999999997</v>
      </c>
      <c r="AH282" s="247" t="s">
        <v>869</v>
      </c>
      <c r="AI282" s="206" t="s">
        <v>676</v>
      </c>
      <c r="AJ282" s="206" t="s">
        <v>738</v>
      </c>
      <c r="AK282" s="206" t="s">
        <v>734</v>
      </c>
    </row>
    <row r="283" spans="1:37" x14ac:dyDescent="0.25">
      <c r="A283" s="163" t="s">
        <v>670</v>
      </c>
      <c r="B283" s="163" t="s">
        <v>739</v>
      </c>
      <c r="C283" s="163" t="s">
        <v>673</v>
      </c>
      <c r="D283" s="174">
        <v>30.2</v>
      </c>
      <c r="E283" s="174">
        <v>-78.03</v>
      </c>
      <c r="F283" s="174">
        <v>30.2</v>
      </c>
      <c r="G283" s="174">
        <v>-78.03</v>
      </c>
      <c r="H283" s="174" t="s">
        <v>1201</v>
      </c>
      <c r="I283" s="174" t="s">
        <v>3</v>
      </c>
      <c r="J283" s="338" t="s">
        <v>1458</v>
      </c>
      <c r="K283" s="338" t="s">
        <v>1458</v>
      </c>
      <c r="L283" s="174">
        <v>4</v>
      </c>
      <c r="M283" s="242">
        <v>39264</v>
      </c>
      <c r="N283" s="242"/>
      <c r="O283" s="242"/>
      <c r="P283" s="3"/>
      <c r="Q283" s="214">
        <f>0.38+0.34</f>
        <v>0.72</v>
      </c>
      <c r="R283" s="247" t="s">
        <v>446</v>
      </c>
      <c r="AA283" s="214">
        <f>3.37+0.28+0.1+0.23</f>
        <v>3.9800000000000004</v>
      </c>
      <c r="AB283" s="247">
        <v>1</v>
      </c>
      <c r="AG283" s="247">
        <f>Table2[[#This Row],[xFOSAs]]+Table2[[#This Row],[xFOSEs]]</f>
        <v>4.7</v>
      </c>
      <c r="AH283" s="247" t="s">
        <v>869</v>
      </c>
      <c r="AI283" s="206" t="s">
        <v>676</v>
      </c>
      <c r="AJ283" s="206" t="s">
        <v>738</v>
      </c>
      <c r="AK283" s="206" t="s">
        <v>734</v>
      </c>
    </row>
    <row r="284" spans="1:37" x14ac:dyDescent="0.25">
      <c r="A284" s="163" t="s">
        <v>670</v>
      </c>
      <c r="B284" s="163" t="s">
        <v>739</v>
      </c>
      <c r="C284" s="163" t="s">
        <v>134</v>
      </c>
      <c r="D284" s="174">
        <v>35.090000000000003</v>
      </c>
      <c r="E284" s="174">
        <v>-73.150000000000006</v>
      </c>
      <c r="F284" s="174">
        <v>35.090000000000003</v>
      </c>
      <c r="G284" s="174">
        <v>-73.150000000000006</v>
      </c>
      <c r="H284" s="174" t="s">
        <v>1201</v>
      </c>
      <c r="I284" s="174" t="s">
        <v>3</v>
      </c>
      <c r="J284" s="338" t="s">
        <v>1458</v>
      </c>
      <c r="K284" s="338" t="s">
        <v>1458</v>
      </c>
      <c r="L284" s="174">
        <v>4</v>
      </c>
      <c r="M284" s="242">
        <v>39264</v>
      </c>
      <c r="N284" s="242"/>
      <c r="O284" s="242"/>
      <c r="P284" s="3"/>
      <c r="Q284" s="214">
        <f>0.93+0.34</f>
        <v>1.27</v>
      </c>
      <c r="R284" s="247" t="s">
        <v>446</v>
      </c>
      <c r="AA284" s="214">
        <f>2.02+0.14+0.1+0.16</f>
        <v>2.4200000000000004</v>
      </c>
      <c r="AB284" s="247" t="s">
        <v>446</v>
      </c>
      <c r="AG284" s="247">
        <f>Table2[[#This Row],[xFOSAs]]+Table2[[#This Row],[xFOSEs]]</f>
        <v>3.6900000000000004</v>
      </c>
      <c r="AH284" s="247" t="s">
        <v>869</v>
      </c>
      <c r="AI284" s="206" t="s">
        <v>676</v>
      </c>
      <c r="AJ284" s="206" t="s">
        <v>738</v>
      </c>
      <c r="AK284" s="206" t="s">
        <v>734</v>
      </c>
    </row>
    <row r="285" spans="1:37" x14ac:dyDescent="0.25">
      <c r="A285" s="163" t="s">
        <v>670</v>
      </c>
      <c r="B285" s="163" t="s">
        <v>739</v>
      </c>
      <c r="C285" s="163" t="s">
        <v>135</v>
      </c>
      <c r="D285" s="174">
        <v>39.28</v>
      </c>
      <c r="E285" s="174">
        <v>-74.14</v>
      </c>
      <c r="F285" s="174">
        <v>39.28</v>
      </c>
      <c r="G285" s="174">
        <v>-74.14</v>
      </c>
      <c r="H285" s="174" t="s">
        <v>1201</v>
      </c>
      <c r="I285" s="174" t="s">
        <v>3</v>
      </c>
      <c r="J285" s="338" t="s">
        <v>1458</v>
      </c>
      <c r="K285" s="338" t="s">
        <v>1458</v>
      </c>
      <c r="L285" s="174">
        <v>3</v>
      </c>
      <c r="M285" s="242">
        <v>39264</v>
      </c>
      <c r="N285" s="242"/>
      <c r="O285" s="242"/>
      <c r="P285" s="3"/>
      <c r="Q285" s="214">
        <v>24.8</v>
      </c>
      <c r="R285" s="247">
        <v>1</v>
      </c>
      <c r="AA285" s="214">
        <f>40.2+38.5</f>
        <v>78.7</v>
      </c>
      <c r="AB285" s="247">
        <v>1</v>
      </c>
      <c r="AG285" s="247">
        <f>Table2[[#This Row],[xFOSAs]]+Table2[[#This Row],[xFOSEs]]</f>
        <v>103.5</v>
      </c>
      <c r="AH285" s="247" t="s">
        <v>869</v>
      </c>
      <c r="AI285" s="206" t="s">
        <v>676</v>
      </c>
      <c r="AJ285" s="206" t="s">
        <v>738</v>
      </c>
      <c r="AK285" s="206" t="s">
        <v>734</v>
      </c>
    </row>
    <row r="286" spans="1:37" x14ac:dyDescent="0.25">
      <c r="A286" s="163" t="s">
        <v>670</v>
      </c>
      <c r="B286" s="163" t="s">
        <v>739</v>
      </c>
      <c r="C286" s="163" t="s">
        <v>674</v>
      </c>
      <c r="D286" s="174">
        <v>39.21</v>
      </c>
      <c r="E286" s="174">
        <v>-74.02</v>
      </c>
      <c r="F286" s="174">
        <v>39.21</v>
      </c>
      <c r="G286" s="174">
        <v>-74.02</v>
      </c>
      <c r="H286" s="174" t="s">
        <v>1201</v>
      </c>
      <c r="I286" s="174" t="s">
        <v>3</v>
      </c>
      <c r="J286" s="338" t="s">
        <v>1458</v>
      </c>
      <c r="K286" s="338" t="s">
        <v>1458</v>
      </c>
      <c r="L286" s="174">
        <v>3</v>
      </c>
      <c r="M286" s="242">
        <v>39264</v>
      </c>
      <c r="N286" s="242"/>
      <c r="O286" s="242"/>
      <c r="P286" s="3"/>
      <c r="Q286" s="214">
        <f>0.54+0.34</f>
        <v>0.88000000000000012</v>
      </c>
      <c r="R286" s="247">
        <v>0</v>
      </c>
      <c r="AA286" s="214">
        <f>1.78+0.1</f>
        <v>1.8800000000000001</v>
      </c>
      <c r="AB286" s="247" t="s">
        <v>446</v>
      </c>
      <c r="AG286" s="247">
        <f>Table2[[#This Row],[xFOSAs]]+Table2[[#This Row],[xFOSEs]]</f>
        <v>2.7600000000000002</v>
      </c>
      <c r="AH286" s="247" t="s">
        <v>869</v>
      </c>
      <c r="AI286" s="206" t="s">
        <v>676</v>
      </c>
      <c r="AJ286" s="206" t="s">
        <v>738</v>
      </c>
      <c r="AK286" s="206" t="s">
        <v>734</v>
      </c>
    </row>
    <row r="287" spans="1:37" x14ac:dyDescent="0.25">
      <c r="A287" s="163" t="s">
        <v>670</v>
      </c>
      <c r="B287" s="163" t="s">
        <v>739</v>
      </c>
      <c r="C287" s="163" t="s">
        <v>136</v>
      </c>
      <c r="D287" s="174">
        <v>40.29</v>
      </c>
      <c r="E287" s="174">
        <v>-70.19</v>
      </c>
      <c r="F287" s="174">
        <v>40.29</v>
      </c>
      <c r="G287" s="174">
        <v>-70.19</v>
      </c>
      <c r="H287" s="174" t="s">
        <v>1201</v>
      </c>
      <c r="I287" s="174" t="s">
        <v>3</v>
      </c>
      <c r="J287" s="338" t="s">
        <v>1458</v>
      </c>
      <c r="K287" s="338" t="s">
        <v>1458</v>
      </c>
      <c r="L287" s="174">
        <v>3</v>
      </c>
      <c r="M287" s="242">
        <v>39264</v>
      </c>
      <c r="N287" s="242"/>
      <c r="O287" s="242"/>
      <c r="P287" s="3"/>
      <c r="Q287" s="207">
        <f>6.32+4.19</f>
        <v>10.510000000000002</v>
      </c>
      <c r="R287" s="251">
        <v>0</v>
      </c>
      <c r="S287" s="251"/>
      <c r="T287" s="251"/>
      <c r="U287" s="251"/>
      <c r="V287" s="251"/>
      <c r="W287" s="251"/>
      <c r="X287" s="251"/>
      <c r="Y287" s="251"/>
      <c r="Z287" s="251"/>
      <c r="AA287" s="214">
        <f>9.2+4.5+0.01</f>
        <v>13.709999999999999</v>
      </c>
      <c r="AB287" s="247" t="s">
        <v>446</v>
      </c>
      <c r="AG287" s="247">
        <f>Table2[[#This Row],[xFOSAs]]+Table2[[#This Row],[xFOSEs]]</f>
        <v>24.22</v>
      </c>
      <c r="AH287" s="247" t="s">
        <v>869</v>
      </c>
      <c r="AI287" s="206" t="s">
        <v>676</v>
      </c>
      <c r="AJ287" s="206" t="s">
        <v>738</v>
      </c>
      <c r="AK287" s="206" t="s">
        <v>734</v>
      </c>
    </row>
    <row r="288" spans="1:37" x14ac:dyDescent="0.25">
      <c r="A288" s="163" t="s">
        <v>670</v>
      </c>
      <c r="B288" s="163" t="s">
        <v>739</v>
      </c>
      <c r="C288" s="163" t="s">
        <v>678</v>
      </c>
      <c r="D288" s="174">
        <v>43.56</v>
      </c>
      <c r="E288" s="174">
        <v>-60.01</v>
      </c>
      <c r="F288" s="174">
        <v>43.56</v>
      </c>
      <c r="G288" s="174">
        <v>-60.01</v>
      </c>
      <c r="H288" s="174" t="s">
        <v>1206</v>
      </c>
      <c r="I288" s="174" t="s">
        <v>3</v>
      </c>
      <c r="J288" s="338" t="s">
        <v>1458</v>
      </c>
      <c r="K288" s="338" t="s">
        <v>1458</v>
      </c>
      <c r="L288" s="174">
        <v>3</v>
      </c>
      <c r="M288" s="242">
        <v>39264</v>
      </c>
      <c r="N288" s="242"/>
      <c r="O288" s="242"/>
      <c r="P288" s="3"/>
      <c r="Q288" s="214">
        <f t="shared" ref="Q288:Q294" si="12">0.54+0.34</f>
        <v>0.88000000000000012</v>
      </c>
      <c r="R288" s="247">
        <v>0</v>
      </c>
      <c r="AA288" s="214">
        <f>23.2+0.29</f>
        <v>23.49</v>
      </c>
      <c r="AB288" s="247">
        <v>1</v>
      </c>
      <c r="AG288" s="247">
        <f>Table2[[#This Row],[xFOSAs]]+Table2[[#This Row],[xFOSEs]]</f>
        <v>24.369999999999997</v>
      </c>
      <c r="AH288" s="247" t="s">
        <v>869</v>
      </c>
      <c r="AJ288" s="206" t="s">
        <v>738</v>
      </c>
      <c r="AK288" s="206" t="s">
        <v>734</v>
      </c>
    </row>
    <row r="289" spans="1:37" x14ac:dyDescent="0.25">
      <c r="A289" s="163" t="s">
        <v>670</v>
      </c>
      <c r="B289" s="163" t="s">
        <v>739</v>
      </c>
      <c r="C289" s="163" t="s">
        <v>679</v>
      </c>
      <c r="D289" s="174">
        <v>43.56</v>
      </c>
      <c r="E289" s="174">
        <v>-60.01</v>
      </c>
      <c r="F289" s="174">
        <v>43.56</v>
      </c>
      <c r="G289" s="174">
        <v>-60.01</v>
      </c>
      <c r="H289" s="174" t="s">
        <v>1206</v>
      </c>
      <c r="I289" s="174" t="s">
        <v>3</v>
      </c>
      <c r="J289" s="338" t="s">
        <v>1458</v>
      </c>
      <c r="K289" s="338" t="s">
        <v>1458</v>
      </c>
      <c r="L289" s="174">
        <v>3</v>
      </c>
      <c r="M289" s="242">
        <v>39264</v>
      </c>
      <c r="N289" s="242"/>
      <c r="O289" s="242"/>
      <c r="P289" s="3"/>
      <c r="Q289" s="214">
        <f t="shared" si="12"/>
        <v>0.88000000000000012</v>
      </c>
      <c r="R289" s="247">
        <v>0</v>
      </c>
      <c r="AA289" s="214">
        <f>13.3+0.18</f>
        <v>13.48</v>
      </c>
      <c r="AB289" s="247">
        <v>1</v>
      </c>
      <c r="AG289" s="247">
        <f>Table2[[#This Row],[xFOSAs]]+Table2[[#This Row],[xFOSEs]]</f>
        <v>14.360000000000001</v>
      </c>
      <c r="AH289" s="247" t="s">
        <v>869</v>
      </c>
      <c r="AJ289" s="206" t="s">
        <v>738</v>
      </c>
      <c r="AK289" s="206" t="s">
        <v>734</v>
      </c>
    </row>
    <row r="290" spans="1:37" x14ac:dyDescent="0.25">
      <c r="A290" s="163" t="s">
        <v>670</v>
      </c>
      <c r="B290" s="163" t="s">
        <v>739</v>
      </c>
      <c r="C290" s="163" t="s">
        <v>680</v>
      </c>
      <c r="D290" s="174">
        <v>43.56</v>
      </c>
      <c r="E290" s="174">
        <v>-60.01</v>
      </c>
      <c r="F290" s="174">
        <v>43.56</v>
      </c>
      <c r="G290" s="174">
        <v>-60.01</v>
      </c>
      <c r="H290" s="174" t="s">
        <v>1206</v>
      </c>
      <c r="I290" s="174" t="s">
        <v>3</v>
      </c>
      <c r="J290" s="338" t="s">
        <v>1458</v>
      </c>
      <c r="K290" s="338" t="s">
        <v>1458</v>
      </c>
      <c r="L290" s="174">
        <v>3</v>
      </c>
      <c r="M290" s="242">
        <v>39264</v>
      </c>
      <c r="N290" s="242"/>
      <c r="O290" s="242"/>
      <c r="P290" s="3"/>
      <c r="Q290" s="214">
        <f t="shared" si="12"/>
        <v>0.88000000000000012</v>
      </c>
      <c r="R290" s="247">
        <v>0</v>
      </c>
      <c r="AA290" s="214">
        <f>13.4+0.17</f>
        <v>13.57</v>
      </c>
      <c r="AB290" s="247">
        <v>1</v>
      </c>
      <c r="AG290" s="247">
        <f>Table2[[#This Row],[xFOSAs]]+Table2[[#This Row],[xFOSEs]]</f>
        <v>14.450000000000001</v>
      </c>
      <c r="AH290" s="247" t="s">
        <v>869</v>
      </c>
      <c r="AJ290" s="206" t="s">
        <v>738</v>
      </c>
      <c r="AK290" s="206" t="s">
        <v>734</v>
      </c>
    </row>
    <row r="291" spans="1:37" x14ac:dyDescent="0.25">
      <c r="A291" s="163" t="s">
        <v>670</v>
      </c>
      <c r="B291" s="163" t="s">
        <v>739</v>
      </c>
      <c r="C291" s="163" t="s">
        <v>681</v>
      </c>
      <c r="D291" s="174">
        <v>43.56</v>
      </c>
      <c r="E291" s="174">
        <v>-60.01</v>
      </c>
      <c r="F291" s="174">
        <v>43.56</v>
      </c>
      <c r="G291" s="174">
        <v>-60.01</v>
      </c>
      <c r="H291" s="174" t="s">
        <v>1206</v>
      </c>
      <c r="I291" s="174" t="s">
        <v>3</v>
      </c>
      <c r="J291" s="338" t="s">
        <v>1458</v>
      </c>
      <c r="K291" s="338" t="s">
        <v>1458</v>
      </c>
      <c r="L291" s="174">
        <v>3</v>
      </c>
      <c r="M291" s="242">
        <v>39264</v>
      </c>
      <c r="N291" s="242"/>
      <c r="O291" s="242"/>
      <c r="P291" s="3"/>
      <c r="Q291" s="214">
        <f t="shared" si="12"/>
        <v>0.88000000000000012</v>
      </c>
      <c r="R291" s="247">
        <v>0</v>
      </c>
      <c r="AA291" s="214">
        <f>4.91+0.14</f>
        <v>5.05</v>
      </c>
      <c r="AB291" s="247" t="s">
        <v>446</v>
      </c>
      <c r="AG291" s="247">
        <f>Table2[[#This Row],[xFOSAs]]+Table2[[#This Row],[xFOSEs]]</f>
        <v>5.93</v>
      </c>
      <c r="AH291" s="247" t="s">
        <v>869</v>
      </c>
      <c r="AJ291" s="206" t="s">
        <v>738</v>
      </c>
      <c r="AK291" s="206" t="s">
        <v>734</v>
      </c>
    </row>
    <row r="292" spans="1:37" x14ac:dyDescent="0.25">
      <c r="A292" s="163" t="s">
        <v>670</v>
      </c>
      <c r="B292" s="163" t="s">
        <v>739</v>
      </c>
      <c r="C292" s="163" t="s">
        <v>682</v>
      </c>
      <c r="D292" s="174">
        <v>43.56</v>
      </c>
      <c r="E292" s="174">
        <v>-60.01</v>
      </c>
      <c r="F292" s="174">
        <v>43.56</v>
      </c>
      <c r="G292" s="174">
        <v>-60.01</v>
      </c>
      <c r="H292" s="174" t="s">
        <v>1206</v>
      </c>
      <c r="I292" s="174" t="s">
        <v>3</v>
      </c>
      <c r="J292" s="338" t="s">
        <v>1458</v>
      </c>
      <c r="K292" s="338" t="s">
        <v>1458</v>
      </c>
      <c r="L292" s="174">
        <v>3</v>
      </c>
      <c r="M292" s="242">
        <v>39264</v>
      </c>
      <c r="N292" s="242"/>
      <c r="O292" s="242"/>
      <c r="P292" s="3"/>
      <c r="Q292" s="214">
        <f t="shared" si="12"/>
        <v>0.88000000000000012</v>
      </c>
      <c r="R292" s="247">
        <v>0</v>
      </c>
      <c r="AA292" s="214">
        <v>16.14</v>
      </c>
      <c r="AB292" s="247" t="s">
        <v>446</v>
      </c>
      <c r="AG292" s="247">
        <f>Table2[[#This Row],[xFOSAs]]+Table2[[#This Row],[xFOSEs]]</f>
        <v>17.02</v>
      </c>
      <c r="AH292" s="247" t="s">
        <v>869</v>
      </c>
      <c r="AJ292" s="206" t="s">
        <v>738</v>
      </c>
      <c r="AK292" s="206" t="s">
        <v>734</v>
      </c>
    </row>
    <row r="293" spans="1:37" x14ac:dyDescent="0.25">
      <c r="A293" s="163" t="s">
        <v>670</v>
      </c>
      <c r="B293" s="163" t="s">
        <v>739</v>
      </c>
      <c r="C293" s="163" t="s">
        <v>683</v>
      </c>
      <c r="D293" s="174">
        <v>43.56</v>
      </c>
      <c r="E293" s="174">
        <v>-60.01</v>
      </c>
      <c r="F293" s="174">
        <v>43.56</v>
      </c>
      <c r="G293" s="174">
        <v>-60.01</v>
      </c>
      <c r="H293" s="174" t="s">
        <v>1206</v>
      </c>
      <c r="I293" s="174" t="s">
        <v>3</v>
      </c>
      <c r="J293" s="338" t="s">
        <v>1458</v>
      </c>
      <c r="K293" s="338" t="s">
        <v>1458</v>
      </c>
      <c r="L293" s="174">
        <v>3</v>
      </c>
      <c r="M293" s="242">
        <v>39295</v>
      </c>
      <c r="N293" s="242"/>
      <c r="O293" s="242"/>
      <c r="P293" s="3"/>
      <c r="Q293" s="214">
        <f t="shared" si="12"/>
        <v>0.88000000000000012</v>
      </c>
      <c r="R293" s="247">
        <v>0</v>
      </c>
      <c r="AA293" s="214">
        <f>14.9+0.24</f>
        <v>15.14</v>
      </c>
      <c r="AB293" s="247">
        <v>1</v>
      </c>
      <c r="AG293" s="247">
        <f>Table2[[#This Row],[xFOSAs]]+Table2[[#This Row],[xFOSEs]]</f>
        <v>16.02</v>
      </c>
      <c r="AH293" s="247" t="s">
        <v>869</v>
      </c>
      <c r="AJ293" s="206" t="s">
        <v>738</v>
      </c>
      <c r="AK293" s="206" t="s">
        <v>734</v>
      </c>
    </row>
    <row r="294" spans="1:37" x14ac:dyDescent="0.25">
      <c r="A294" s="163" t="s">
        <v>670</v>
      </c>
      <c r="B294" s="163" t="s">
        <v>739</v>
      </c>
      <c r="C294" s="163" t="s">
        <v>684</v>
      </c>
      <c r="D294" s="174">
        <v>43.56</v>
      </c>
      <c r="E294" s="174">
        <v>-60.01</v>
      </c>
      <c r="F294" s="174">
        <v>43.56</v>
      </c>
      <c r="G294" s="174">
        <v>-60.01</v>
      </c>
      <c r="H294" s="174" t="s">
        <v>1206</v>
      </c>
      <c r="I294" s="174" t="s">
        <v>3</v>
      </c>
      <c r="J294" s="338" t="s">
        <v>1458</v>
      </c>
      <c r="K294" s="338" t="s">
        <v>1458</v>
      </c>
      <c r="L294" s="174">
        <v>3</v>
      </c>
      <c r="M294" s="242">
        <v>39295</v>
      </c>
      <c r="N294" s="242"/>
      <c r="O294" s="242"/>
      <c r="P294" s="3"/>
      <c r="Q294" s="214">
        <f t="shared" si="12"/>
        <v>0.88000000000000012</v>
      </c>
      <c r="R294" s="247">
        <v>0</v>
      </c>
      <c r="AA294" s="214">
        <f>13.8+0.14</f>
        <v>13.940000000000001</v>
      </c>
      <c r="AB294" s="247" t="s">
        <v>446</v>
      </c>
      <c r="AG294" s="247">
        <f>Table2[[#This Row],[xFOSAs]]+Table2[[#This Row],[xFOSEs]]</f>
        <v>14.820000000000002</v>
      </c>
      <c r="AH294" s="247" t="s">
        <v>869</v>
      </c>
      <c r="AJ294" s="206" t="s">
        <v>738</v>
      </c>
      <c r="AK294" s="206" t="s">
        <v>734</v>
      </c>
    </row>
    <row r="295" spans="1:37" x14ac:dyDescent="0.25">
      <c r="A295" s="164" t="s">
        <v>1333</v>
      </c>
      <c r="B295" s="164" t="s">
        <v>778</v>
      </c>
      <c r="C295" s="317">
        <v>1</v>
      </c>
      <c r="D295" s="174" t="s">
        <v>686</v>
      </c>
      <c r="E295" s="174" t="s">
        <v>687</v>
      </c>
      <c r="F295" s="174">
        <v>74</v>
      </c>
      <c r="G295" s="174">
        <v>93.5</v>
      </c>
      <c r="H295" s="214" t="s">
        <v>1203</v>
      </c>
      <c r="I295" s="174" t="s">
        <v>3</v>
      </c>
      <c r="J295" s="338" t="s">
        <v>1458</v>
      </c>
      <c r="K295" s="338" t="s">
        <v>1458</v>
      </c>
      <c r="L295" s="174">
        <v>1</v>
      </c>
      <c r="M295" s="242">
        <v>38172</v>
      </c>
      <c r="N295" s="242"/>
      <c r="O295" s="242"/>
      <c r="P295" s="3"/>
      <c r="Q295" s="214">
        <v>10.6</v>
      </c>
      <c r="R295" s="247" t="s">
        <v>446</v>
      </c>
      <c r="AA295" s="214">
        <f>17.7+18</f>
        <v>35.700000000000003</v>
      </c>
      <c r="AB295" s="247">
        <v>1</v>
      </c>
      <c r="AG295" s="247">
        <f>Table2[[#This Row],[xFOSAs]]+Table2[[#This Row],[xFOSEs]]</f>
        <v>46.300000000000004</v>
      </c>
      <c r="AH295" s="247" t="s">
        <v>869</v>
      </c>
      <c r="AI295" s="1" t="s">
        <v>688</v>
      </c>
    </row>
    <row r="296" spans="1:37" x14ac:dyDescent="0.25">
      <c r="A296" s="164" t="s">
        <v>1333</v>
      </c>
      <c r="B296" s="164" t="s">
        <v>778</v>
      </c>
      <c r="C296" s="317">
        <v>2</v>
      </c>
      <c r="D296" s="174" t="s">
        <v>686</v>
      </c>
      <c r="E296" s="174" t="s">
        <v>687</v>
      </c>
      <c r="F296" s="174">
        <v>74</v>
      </c>
      <c r="G296" s="174">
        <v>93.5</v>
      </c>
      <c r="H296" s="214" t="s">
        <v>1203</v>
      </c>
      <c r="I296" s="174" t="s">
        <v>3</v>
      </c>
      <c r="J296" s="338" t="s">
        <v>1458</v>
      </c>
      <c r="K296" s="338" t="s">
        <v>1458</v>
      </c>
      <c r="L296" s="174">
        <v>1</v>
      </c>
      <c r="M296" s="242">
        <v>38175</v>
      </c>
      <c r="N296" s="242"/>
      <c r="O296" s="242"/>
      <c r="P296" s="3"/>
      <c r="Q296" s="214">
        <f>10</f>
        <v>10</v>
      </c>
      <c r="R296" s="247" t="s">
        <v>446</v>
      </c>
      <c r="AA296" s="214">
        <f>26.9+27.9</f>
        <v>54.8</v>
      </c>
      <c r="AB296" s="247">
        <v>1</v>
      </c>
      <c r="AG296" s="247">
        <f>Table2[[#This Row],[xFOSAs]]+Table2[[#This Row],[xFOSEs]]</f>
        <v>64.8</v>
      </c>
      <c r="AH296" s="247" t="s">
        <v>869</v>
      </c>
      <c r="AI296" s="1" t="s">
        <v>688</v>
      </c>
    </row>
    <row r="297" spans="1:37" x14ac:dyDescent="0.25">
      <c r="A297" s="164" t="s">
        <v>1333</v>
      </c>
      <c r="B297" s="164" t="s">
        <v>778</v>
      </c>
      <c r="C297" s="317">
        <v>4</v>
      </c>
      <c r="D297" s="174" t="s">
        <v>686</v>
      </c>
      <c r="E297" s="174" t="s">
        <v>687</v>
      </c>
      <c r="F297" s="174">
        <v>74</v>
      </c>
      <c r="G297" s="174">
        <v>93.5</v>
      </c>
      <c r="H297" s="214" t="s">
        <v>1203</v>
      </c>
      <c r="I297" s="174" t="s">
        <v>3</v>
      </c>
      <c r="J297" s="338" t="s">
        <v>1458</v>
      </c>
      <c r="K297" s="338" t="s">
        <v>1458</v>
      </c>
      <c r="L297" s="174">
        <v>1</v>
      </c>
      <c r="M297" s="242">
        <v>38181</v>
      </c>
      <c r="N297" s="242"/>
      <c r="O297" s="242"/>
      <c r="P297" s="3"/>
      <c r="R297" s="247">
        <v>0</v>
      </c>
      <c r="AA297" s="214">
        <v>6.4</v>
      </c>
      <c r="AB297" s="247">
        <v>0</v>
      </c>
      <c r="AG297" s="247">
        <f>Table2[[#This Row],[xFOSAs]]+Table2[[#This Row],[xFOSEs]]</f>
        <v>6.4</v>
      </c>
      <c r="AH297" s="247" t="s">
        <v>869</v>
      </c>
      <c r="AI297" s="1" t="s">
        <v>688</v>
      </c>
    </row>
    <row r="298" spans="1:37" x14ac:dyDescent="0.25">
      <c r="A298" s="164" t="s">
        <v>1333</v>
      </c>
      <c r="B298" s="164" t="s">
        <v>778</v>
      </c>
      <c r="C298" s="317">
        <v>5</v>
      </c>
      <c r="D298" s="174" t="s">
        <v>686</v>
      </c>
      <c r="E298" s="174" t="s">
        <v>687</v>
      </c>
      <c r="F298" s="174">
        <v>74</v>
      </c>
      <c r="G298" s="174">
        <v>93.5</v>
      </c>
      <c r="H298" s="214" t="s">
        <v>1203</v>
      </c>
      <c r="I298" s="174" t="s">
        <v>3</v>
      </c>
      <c r="J298" s="338" t="s">
        <v>1458</v>
      </c>
      <c r="K298" s="338" t="s">
        <v>1458</v>
      </c>
      <c r="L298" s="174">
        <v>1</v>
      </c>
      <c r="M298" s="242">
        <v>38169</v>
      </c>
      <c r="N298" s="242"/>
      <c r="O298" s="242"/>
      <c r="P298" s="3"/>
      <c r="R298" s="247">
        <v>0</v>
      </c>
      <c r="AA298" s="214">
        <v>1.6</v>
      </c>
      <c r="AB298" s="247">
        <v>0</v>
      </c>
      <c r="AG298" s="247">
        <f>Table2[[#This Row],[xFOSAs]]+Table2[[#This Row],[xFOSEs]]</f>
        <v>1.6</v>
      </c>
      <c r="AH298" s="247" t="s">
        <v>869</v>
      </c>
      <c r="AI298" s="1" t="s">
        <v>688</v>
      </c>
    </row>
    <row r="299" spans="1:37" x14ac:dyDescent="0.25">
      <c r="A299" s="164" t="s">
        <v>1333</v>
      </c>
      <c r="B299" s="164" t="s">
        <v>778</v>
      </c>
      <c r="C299" s="317">
        <v>6</v>
      </c>
      <c r="D299" s="174" t="s">
        <v>686</v>
      </c>
      <c r="E299" s="174" t="s">
        <v>687</v>
      </c>
      <c r="F299" s="174">
        <v>74</v>
      </c>
      <c r="G299" s="174">
        <v>93.5</v>
      </c>
      <c r="H299" s="214" t="s">
        <v>1203</v>
      </c>
      <c r="I299" s="174" t="s">
        <v>3</v>
      </c>
      <c r="J299" s="338" t="s">
        <v>1458</v>
      </c>
      <c r="K299" s="338" t="s">
        <v>1458</v>
      </c>
      <c r="L299" s="174">
        <v>1</v>
      </c>
      <c r="M299" s="242">
        <v>38169</v>
      </c>
      <c r="N299" s="242"/>
      <c r="O299" s="242"/>
      <c r="P299" s="3"/>
      <c r="Q299" s="214">
        <f>3+61.3+11.2</f>
        <v>75.5</v>
      </c>
      <c r="R299" s="247" t="s">
        <v>446</v>
      </c>
      <c r="AA299" s="214">
        <v>34.299999999999997</v>
      </c>
      <c r="AB299" s="247" t="s">
        <v>446</v>
      </c>
      <c r="AG299" s="247">
        <f>Table2[[#This Row],[xFOSAs]]+Table2[[#This Row],[xFOSEs]]</f>
        <v>109.8</v>
      </c>
      <c r="AH299" s="247" t="s">
        <v>869</v>
      </c>
      <c r="AI299" s="1" t="s">
        <v>688</v>
      </c>
    </row>
    <row r="300" spans="1:37" x14ac:dyDescent="0.25">
      <c r="A300" s="164" t="s">
        <v>1333</v>
      </c>
      <c r="B300" s="164" t="s">
        <v>778</v>
      </c>
      <c r="C300" s="317">
        <v>7</v>
      </c>
      <c r="D300" s="174" t="s">
        <v>686</v>
      </c>
      <c r="E300" s="174" t="s">
        <v>687</v>
      </c>
      <c r="F300" s="174">
        <v>74</v>
      </c>
      <c r="G300" s="174">
        <v>93.5</v>
      </c>
      <c r="H300" s="214" t="s">
        <v>1203</v>
      </c>
      <c r="I300" s="174" t="s">
        <v>3</v>
      </c>
      <c r="J300" s="338" t="s">
        <v>1458</v>
      </c>
      <c r="K300" s="338" t="s">
        <v>1458</v>
      </c>
      <c r="L300" s="174">
        <v>1</v>
      </c>
      <c r="M300" s="242">
        <v>38169</v>
      </c>
      <c r="N300" s="242"/>
      <c r="O300" s="242"/>
      <c r="P300" s="3"/>
      <c r="Q300" s="214">
        <f>18.6+42.1+2.7</f>
        <v>63.400000000000006</v>
      </c>
      <c r="R300" s="247" t="s">
        <v>446</v>
      </c>
      <c r="AA300" s="214">
        <v>31.2</v>
      </c>
      <c r="AB300" s="247">
        <v>0</v>
      </c>
      <c r="AG300" s="247">
        <f>Table2[[#This Row],[xFOSAs]]+Table2[[#This Row],[xFOSEs]]</f>
        <v>94.600000000000009</v>
      </c>
      <c r="AH300" s="247" t="s">
        <v>869</v>
      </c>
      <c r="AI300" s="1" t="s">
        <v>688</v>
      </c>
    </row>
    <row r="301" spans="1:37" x14ac:dyDescent="0.25">
      <c r="A301" s="164" t="s">
        <v>1333</v>
      </c>
      <c r="B301" s="164" t="s">
        <v>778</v>
      </c>
      <c r="C301" s="317">
        <v>8</v>
      </c>
      <c r="D301" s="174" t="s">
        <v>686</v>
      </c>
      <c r="E301" s="174" t="s">
        <v>687</v>
      </c>
      <c r="F301" s="174">
        <v>74</v>
      </c>
      <c r="G301" s="174">
        <v>93.5</v>
      </c>
      <c r="H301" s="214" t="s">
        <v>1203</v>
      </c>
      <c r="I301" s="174" t="s">
        <v>3</v>
      </c>
      <c r="J301" s="338" t="s">
        <v>1458</v>
      </c>
      <c r="K301" s="338" t="s">
        <v>1458</v>
      </c>
      <c r="L301" s="174">
        <v>1</v>
      </c>
      <c r="M301" s="242">
        <v>38169</v>
      </c>
      <c r="N301" s="242"/>
      <c r="O301" s="242"/>
      <c r="P301" s="3"/>
      <c r="Q301" s="214">
        <v>43</v>
      </c>
      <c r="R301" s="247" t="s">
        <v>446</v>
      </c>
      <c r="AA301" s="214">
        <v>39.200000000000003</v>
      </c>
      <c r="AB301" s="247" t="s">
        <v>446</v>
      </c>
      <c r="AG301" s="247">
        <f>Table2[[#This Row],[xFOSAs]]+Table2[[#This Row],[xFOSEs]]</f>
        <v>82.2</v>
      </c>
      <c r="AH301" s="247" t="s">
        <v>869</v>
      </c>
      <c r="AI301" s="1" t="s">
        <v>688</v>
      </c>
    </row>
    <row r="302" spans="1:37" x14ac:dyDescent="0.25">
      <c r="A302" s="164" t="s">
        <v>1333</v>
      </c>
      <c r="B302" s="164" t="s">
        <v>778</v>
      </c>
      <c r="C302" s="317">
        <v>9</v>
      </c>
      <c r="D302" s="174" t="s">
        <v>686</v>
      </c>
      <c r="E302" s="174" t="s">
        <v>687</v>
      </c>
      <c r="F302" s="174">
        <v>74</v>
      </c>
      <c r="G302" s="174">
        <v>93.5</v>
      </c>
      <c r="H302" s="214" t="s">
        <v>1203</v>
      </c>
      <c r="I302" s="174" t="s">
        <v>3</v>
      </c>
      <c r="J302" s="338" t="s">
        <v>1458</v>
      </c>
      <c r="K302" s="338" t="s">
        <v>1458</v>
      </c>
      <c r="L302" s="174">
        <v>1</v>
      </c>
      <c r="M302" s="242">
        <v>38200</v>
      </c>
      <c r="N302" s="242"/>
      <c r="O302" s="242"/>
      <c r="P302" s="3"/>
      <c r="Q302" s="214">
        <v>21.5</v>
      </c>
      <c r="R302" s="247" t="s">
        <v>446</v>
      </c>
      <c r="AB302" s="247">
        <v>0</v>
      </c>
      <c r="AG302" s="247">
        <f>Table2[[#This Row],[xFOSAs]]+Table2[[#This Row],[xFOSEs]]</f>
        <v>21.5</v>
      </c>
      <c r="AH302" s="247" t="s">
        <v>869</v>
      </c>
      <c r="AI302" s="1" t="s">
        <v>688</v>
      </c>
    </row>
    <row r="303" spans="1:37" x14ac:dyDescent="0.25">
      <c r="A303" s="164" t="s">
        <v>1333</v>
      </c>
      <c r="B303" s="164" t="s">
        <v>778</v>
      </c>
      <c r="C303" s="317">
        <v>10</v>
      </c>
      <c r="D303" s="174" t="s">
        <v>686</v>
      </c>
      <c r="E303" s="174" t="s">
        <v>687</v>
      </c>
      <c r="F303" s="174">
        <v>74</v>
      </c>
      <c r="G303" s="174">
        <v>93.5</v>
      </c>
      <c r="H303" s="214" t="s">
        <v>1203</v>
      </c>
      <c r="I303" s="174" t="s">
        <v>3</v>
      </c>
      <c r="J303" s="338" t="s">
        <v>1458</v>
      </c>
      <c r="K303" s="338" t="s">
        <v>1458</v>
      </c>
      <c r="L303" s="174">
        <v>1</v>
      </c>
      <c r="M303" s="242">
        <v>38200</v>
      </c>
      <c r="N303" s="242"/>
      <c r="O303" s="242"/>
      <c r="P303" s="3"/>
      <c r="Q303" s="214">
        <f>12.6+9.7</f>
        <v>22.299999999999997</v>
      </c>
      <c r="R303" s="247" t="s">
        <v>446</v>
      </c>
      <c r="AA303" s="214">
        <v>27.2</v>
      </c>
      <c r="AB303" s="247">
        <v>0</v>
      </c>
      <c r="AG303" s="247">
        <f>Table2[[#This Row],[xFOSAs]]+Table2[[#This Row],[xFOSEs]]</f>
        <v>49.5</v>
      </c>
      <c r="AH303" s="247" t="s">
        <v>869</v>
      </c>
      <c r="AI303" s="1" t="s">
        <v>688</v>
      </c>
    </row>
    <row r="304" spans="1:37" x14ac:dyDescent="0.25">
      <c r="A304" s="214" t="s">
        <v>478</v>
      </c>
      <c r="B304" s="214" t="s">
        <v>891</v>
      </c>
      <c r="C304" s="214" t="s">
        <v>113</v>
      </c>
      <c r="D304" s="174" t="s">
        <v>1367</v>
      </c>
      <c r="E304" s="214" t="s">
        <v>1334</v>
      </c>
      <c r="F304" s="214">
        <v>51.197499999999998</v>
      </c>
      <c r="G304" s="214">
        <v>-1.6875000000000002</v>
      </c>
      <c r="H304" s="214" t="s">
        <v>1200</v>
      </c>
      <c r="I304" s="713" t="s">
        <v>1468</v>
      </c>
      <c r="J304" s="338" t="s">
        <v>1458</v>
      </c>
      <c r="K304" s="338" t="s">
        <v>1458</v>
      </c>
      <c r="L304" s="174">
        <v>3</v>
      </c>
      <c r="M304" s="242">
        <v>40477</v>
      </c>
      <c r="N304" s="242"/>
      <c r="O304" s="242"/>
      <c r="P304" s="3"/>
      <c r="Q304" s="214">
        <v>0.72</v>
      </c>
      <c r="R304" s="247">
        <v>1</v>
      </c>
      <c r="S304" s="247">
        <v>0.04</v>
      </c>
      <c r="U304" s="247">
        <v>0.01</v>
      </c>
      <c r="AA304" s="214">
        <v>2</v>
      </c>
      <c r="AB304" s="247">
        <v>1</v>
      </c>
      <c r="AC304" s="247">
        <v>0.04</v>
      </c>
      <c r="AE304" s="247">
        <v>0.01</v>
      </c>
      <c r="AG304" s="247">
        <f>Table2[[#This Row],[xFOSAs]]+Table2[[#This Row],[xFOSEs]]</f>
        <v>2.7199999999999998</v>
      </c>
      <c r="AH304" s="247" t="s">
        <v>869</v>
      </c>
      <c r="AJ304" s="206" t="s">
        <v>738</v>
      </c>
      <c r="AK304" s="1" t="s">
        <v>736</v>
      </c>
    </row>
    <row r="305" spans="1:37" x14ac:dyDescent="0.25">
      <c r="A305" s="214" t="s">
        <v>478</v>
      </c>
      <c r="B305" s="214" t="s">
        <v>891</v>
      </c>
      <c r="C305" s="214" t="s">
        <v>123</v>
      </c>
      <c r="D305" s="174" t="s">
        <v>1376</v>
      </c>
      <c r="E305" s="214" t="s">
        <v>1343</v>
      </c>
      <c r="F305" s="214">
        <v>9.8339999999999996</v>
      </c>
      <c r="G305" s="214">
        <v>-20.584</v>
      </c>
      <c r="H305" s="214" t="s">
        <v>1201</v>
      </c>
      <c r="I305" s="713" t="s">
        <v>1468</v>
      </c>
      <c r="J305" s="713" t="str">
        <f t="shared" ref="J305:J336" si="13">IF(R305=0,"yes","")</f>
        <v/>
      </c>
      <c r="K305" s="713" t="str">
        <f t="shared" ref="K305:K336" si="14">IF(AB305=0,"yes","")</f>
        <v/>
      </c>
      <c r="L305" s="174">
        <v>4</v>
      </c>
      <c r="M305" s="242">
        <v>40491</v>
      </c>
      <c r="N305" s="242"/>
      <c r="O305" s="242"/>
      <c r="P305" s="3"/>
      <c r="Q305" s="214">
        <v>0.45</v>
      </c>
      <c r="R305" s="247">
        <v>1</v>
      </c>
      <c r="S305" s="247">
        <v>0.04</v>
      </c>
      <c r="U305" s="247">
        <v>0.01</v>
      </c>
      <c r="AA305" s="214">
        <v>0.86</v>
      </c>
      <c r="AB305" s="247">
        <v>1</v>
      </c>
      <c r="AC305" s="247">
        <v>0.04</v>
      </c>
      <c r="AE305" s="247">
        <v>0.01</v>
      </c>
      <c r="AG305" s="247">
        <f>Table2[[#This Row],[xFOSAs]]+Table2[[#This Row],[xFOSEs]]</f>
        <v>1.31</v>
      </c>
      <c r="AH305" s="247" t="s">
        <v>869</v>
      </c>
      <c r="AJ305" s="206" t="s">
        <v>738</v>
      </c>
      <c r="AK305" s="1" t="s">
        <v>736</v>
      </c>
    </row>
    <row r="306" spans="1:37" x14ac:dyDescent="0.25">
      <c r="A306" s="214" t="s">
        <v>478</v>
      </c>
      <c r="B306" s="214" t="s">
        <v>891</v>
      </c>
      <c r="C306" s="214" t="s">
        <v>124</v>
      </c>
      <c r="D306" s="174" t="s">
        <v>1377</v>
      </c>
      <c r="E306" s="214" t="s">
        <v>1344</v>
      </c>
      <c r="F306" s="214">
        <v>2.38</v>
      </c>
      <c r="G306" s="214">
        <v>-20.167999999999999</v>
      </c>
      <c r="H306" s="214" t="s">
        <v>1201</v>
      </c>
      <c r="I306" s="713" t="s">
        <v>1468</v>
      </c>
      <c r="J306" s="713" t="str">
        <f t="shared" si="13"/>
        <v/>
      </c>
      <c r="K306" s="713" t="str">
        <f t="shared" si="14"/>
        <v/>
      </c>
      <c r="L306" s="174">
        <v>5</v>
      </c>
      <c r="M306" s="242">
        <v>40493</v>
      </c>
      <c r="N306" s="242"/>
      <c r="O306" s="242"/>
      <c r="P306" s="3"/>
      <c r="Q306" s="214">
        <v>0.42000000000000004</v>
      </c>
      <c r="R306" s="247">
        <v>1</v>
      </c>
      <c r="S306" s="247">
        <v>0.04</v>
      </c>
      <c r="U306" s="247">
        <v>0.01</v>
      </c>
      <c r="AA306" s="214">
        <v>1.1499999999999999</v>
      </c>
      <c r="AB306" s="247">
        <v>1</v>
      </c>
      <c r="AC306" s="247">
        <v>0.04</v>
      </c>
      <c r="AE306" s="247">
        <v>0.01</v>
      </c>
      <c r="AG306" s="247">
        <f>Table2[[#This Row],[xFOSAs]]+Table2[[#This Row],[xFOSEs]]</f>
        <v>1.5699999999999998</v>
      </c>
      <c r="AH306" s="247" t="s">
        <v>869</v>
      </c>
      <c r="AJ306" s="206" t="s">
        <v>738</v>
      </c>
      <c r="AK306" s="1" t="s">
        <v>736</v>
      </c>
    </row>
    <row r="307" spans="1:37" x14ac:dyDescent="0.25">
      <c r="A307" s="214" t="s">
        <v>478</v>
      </c>
      <c r="B307" s="214" t="s">
        <v>891</v>
      </c>
      <c r="C307" s="214" t="s">
        <v>125</v>
      </c>
      <c r="D307" s="174" t="s">
        <v>1378</v>
      </c>
      <c r="E307" s="214" t="s">
        <v>1345</v>
      </c>
      <c r="F307" s="214">
        <v>-3.6069999999999998</v>
      </c>
      <c r="G307" s="214">
        <v>-14.4475</v>
      </c>
      <c r="H307" s="214" t="s">
        <v>1201</v>
      </c>
      <c r="I307" s="713" t="s">
        <v>1468</v>
      </c>
      <c r="J307" s="713" t="str">
        <f t="shared" si="13"/>
        <v/>
      </c>
      <c r="K307" s="713" t="str">
        <f t="shared" si="14"/>
        <v/>
      </c>
      <c r="L307" s="174">
        <v>6</v>
      </c>
      <c r="M307" s="242">
        <v>40495</v>
      </c>
      <c r="N307" s="242"/>
      <c r="O307" s="242"/>
      <c r="P307" s="3"/>
      <c r="Q307" s="214">
        <v>0.18</v>
      </c>
      <c r="R307" s="247">
        <v>1</v>
      </c>
      <c r="S307" s="247">
        <v>0.04</v>
      </c>
      <c r="U307" s="247">
        <v>0.01</v>
      </c>
      <c r="AA307" s="214">
        <v>0.33999999999999997</v>
      </c>
      <c r="AB307" s="247">
        <v>1</v>
      </c>
      <c r="AC307" s="247">
        <v>0.04</v>
      </c>
      <c r="AE307" s="247">
        <v>0.01</v>
      </c>
      <c r="AG307" s="247">
        <f>Table2[[#This Row],[xFOSAs]]+Table2[[#This Row],[xFOSEs]]</f>
        <v>0.52</v>
      </c>
      <c r="AH307" s="247" t="s">
        <v>869</v>
      </c>
      <c r="AJ307" s="206" t="s">
        <v>738</v>
      </c>
      <c r="AK307" s="1" t="s">
        <v>736</v>
      </c>
    </row>
    <row r="308" spans="1:37" x14ac:dyDescent="0.25">
      <c r="A308" s="214" t="s">
        <v>478</v>
      </c>
      <c r="B308" s="214" t="s">
        <v>891</v>
      </c>
      <c r="C308" s="214" t="s">
        <v>126</v>
      </c>
      <c r="D308" s="174" t="s">
        <v>1379</v>
      </c>
      <c r="E308" s="214" t="s">
        <v>1346</v>
      </c>
      <c r="F308" s="214">
        <v>-10.0585</v>
      </c>
      <c r="G308" s="214">
        <v>-7.7629999999999999</v>
      </c>
      <c r="H308" s="214" t="s">
        <v>1201</v>
      </c>
      <c r="I308" s="713" t="s">
        <v>1468</v>
      </c>
      <c r="J308" s="713" t="str">
        <f t="shared" si="13"/>
        <v/>
      </c>
      <c r="K308" s="713" t="str">
        <f t="shared" si="14"/>
        <v/>
      </c>
      <c r="L308" s="174">
        <v>6</v>
      </c>
      <c r="M308" s="242">
        <v>40497</v>
      </c>
      <c r="N308" s="242"/>
      <c r="O308" s="242"/>
      <c r="P308" s="3"/>
      <c r="Q308" s="214">
        <v>0.11000000000000001</v>
      </c>
      <c r="R308" s="247">
        <v>1</v>
      </c>
      <c r="S308" s="247">
        <v>0.04</v>
      </c>
      <c r="U308" s="247">
        <v>0.01</v>
      </c>
      <c r="AA308" s="214">
        <v>0.42</v>
      </c>
      <c r="AB308" s="247">
        <v>1</v>
      </c>
      <c r="AC308" s="247">
        <v>0.04</v>
      </c>
      <c r="AE308" s="247">
        <v>0.01</v>
      </c>
      <c r="AG308" s="247">
        <f>Table2[[#This Row],[xFOSAs]]+Table2[[#This Row],[xFOSEs]]</f>
        <v>0.53</v>
      </c>
      <c r="AH308" s="247" t="s">
        <v>869</v>
      </c>
      <c r="AJ308" s="206" t="s">
        <v>738</v>
      </c>
      <c r="AK308" s="1" t="s">
        <v>736</v>
      </c>
    </row>
    <row r="309" spans="1:37" x14ac:dyDescent="0.25">
      <c r="A309" s="214" t="s">
        <v>478</v>
      </c>
      <c r="B309" s="214" t="s">
        <v>891</v>
      </c>
      <c r="C309" s="214" t="s">
        <v>127</v>
      </c>
      <c r="D309" s="174" t="s">
        <v>1380</v>
      </c>
      <c r="E309" s="214" t="s">
        <v>1347</v>
      </c>
      <c r="F309" s="214">
        <v>-16.1875</v>
      </c>
      <c r="G309" s="214">
        <v>-0.6319999999999999</v>
      </c>
      <c r="H309" s="214" t="s">
        <v>1201</v>
      </c>
      <c r="I309" s="713" t="s">
        <v>1468</v>
      </c>
      <c r="J309" s="713" t="str">
        <f t="shared" si="13"/>
        <v/>
      </c>
      <c r="K309" s="713" t="str">
        <f t="shared" si="14"/>
        <v/>
      </c>
      <c r="L309" s="174">
        <v>6</v>
      </c>
      <c r="M309" s="242">
        <v>40499</v>
      </c>
      <c r="N309" s="242"/>
      <c r="O309" s="242"/>
      <c r="P309" s="3"/>
      <c r="Q309" s="214">
        <v>0.08</v>
      </c>
      <c r="R309" s="247" t="s">
        <v>446</v>
      </c>
      <c r="S309" s="247">
        <v>0.04</v>
      </c>
      <c r="U309" s="247">
        <v>0.01</v>
      </c>
      <c r="AA309" s="214">
        <v>0.16</v>
      </c>
      <c r="AB309" s="247">
        <v>1</v>
      </c>
      <c r="AC309" s="247">
        <v>0.04</v>
      </c>
      <c r="AE309" s="247">
        <v>0.01</v>
      </c>
      <c r="AG309" s="247">
        <f>Table2[[#This Row],[xFOSAs]]+Table2[[#This Row],[xFOSEs]]</f>
        <v>0.24</v>
      </c>
      <c r="AH309" s="247" t="s">
        <v>869</v>
      </c>
      <c r="AJ309" s="206" t="s">
        <v>738</v>
      </c>
      <c r="AK309" s="1" t="s">
        <v>736</v>
      </c>
    </row>
    <row r="310" spans="1:37" x14ac:dyDescent="0.25">
      <c r="A310" s="214" t="s">
        <v>478</v>
      </c>
      <c r="B310" s="214" t="s">
        <v>891</v>
      </c>
      <c r="C310" s="214" t="s">
        <v>128</v>
      </c>
      <c r="D310" s="174" t="s">
        <v>1381</v>
      </c>
      <c r="E310" s="214" t="s">
        <v>1348</v>
      </c>
      <c r="F310" s="214">
        <v>-21.991999999999997</v>
      </c>
      <c r="G310" s="214">
        <v>5.8845000000000001</v>
      </c>
      <c r="H310" s="214" t="s">
        <v>1201</v>
      </c>
      <c r="I310" s="713" t="s">
        <v>1468</v>
      </c>
      <c r="J310" s="713" t="str">
        <f t="shared" si="13"/>
        <v/>
      </c>
      <c r="K310" s="713" t="str">
        <f t="shared" si="14"/>
        <v/>
      </c>
      <c r="L310" s="174">
        <v>7</v>
      </c>
      <c r="M310" s="242">
        <v>40501</v>
      </c>
      <c r="N310" s="242"/>
      <c r="O310" s="242"/>
      <c r="P310" s="3"/>
      <c r="Q310" s="214">
        <v>0.11</v>
      </c>
      <c r="R310" s="247">
        <v>1</v>
      </c>
      <c r="S310" s="247">
        <v>0.04</v>
      </c>
      <c r="U310" s="247">
        <v>0.01</v>
      </c>
      <c r="AA310" s="214">
        <v>0.2</v>
      </c>
      <c r="AB310" s="704" t="s">
        <v>446</v>
      </c>
      <c r="AC310" s="247">
        <v>0.04</v>
      </c>
      <c r="AE310" s="247">
        <v>0.01</v>
      </c>
      <c r="AG310" s="247">
        <f>Table2[[#This Row],[xFOSAs]]+Table2[[#This Row],[xFOSEs]]</f>
        <v>0.31</v>
      </c>
      <c r="AH310" s="247" t="s">
        <v>869</v>
      </c>
      <c r="AJ310" s="206" t="s">
        <v>738</v>
      </c>
      <c r="AK310" s="1" t="s">
        <v>736</v>
      </c>
    </row>
    <row r="311" spans="1:37" x14ac:dyDescent="0.25">
      <c r="A311" s="214" t="s">
        <v>478</v>
      </c>
      <c r="B311" s="214" t="s">
        <v>891</v>
      </c>
      <c r="C311" s="214" t="s">
        <v>129</v>
      </c>
      <c r="D311" s="174" t="s">
        <v>1382</v>
      </c>
      <c r="E311" s="214" t="s">
        <v>1349</v>
      </c>
      <c r="F311" s="214">
        <v>-26.236499999999999</v>
      </c>
      <c r="G311" s="214">
        <v>10.858499999999999</v>
      </c>
      <c r="H311" s="214" t="s">
        <v>1201</v>
      </c>
      <c r="I311" s="713" t="s">
        <v>1468</v>
      </c>
      <c r="J311" s="713" t="str">
        <f t="shared" si="13"/>
        <v/>
      </c>
      <c r="K311" s="713" t="str">
        <f t="shared" si="14"/>
        <v/>
      </c>
      <c r="L311" s="174">
        <v>7</v>
      </c>
      <c r="M311" s="242">
        <v>40503</v>
      </c>
      <c r="N311" s="242"/>
      <c r="O311" s="242"/>
      <c r="P311" s="3"/>
      <c r="Q311" s="214">
        <v>0.06</v>
      </c>
      <c r="R311" s="247" t="s">
        <v>446</v>
      </c>
      <c r="S311" s="247">
        <v>0.04</v>
      </c>
      <c r="U311" s="247">
        <v>0.01</v>
      </c>
      <c r="AA311" s="214">
        <v>0.11</v>
      </c>
      <c r="AB311" s="704" t="s">
        <v>446</v>
      </c>
      <c r="AC311" s="247">
        <v>0.04</v>
      </c>
      <c r="AE311" s="247">
        <v>0.01</v>
      </c>
      <c r="AG311" s="247">
        <f>Table2[[#This Row],[xFOSAs]]+Table2[[#This Row],[xFOSEs]]</f>
        <v>0.16999999999999998</v>
      </c>
      <c r="AH311" s="247" t="s">
        <v>869</v>
      </c>
      <c r="AJ311" s="206" t="s">
        <v>738</v>
      </c>
      <c r="AK311" s="1" t="s">
        <v>736</v>
      </c>
    </row>
    <row r="312" spans="1:37" x14ac:dyDescent="0.25">
      <c r="A312" s="214" t="s">
        <v>478</v>
      </c>
      <c r="B312" s="214" t="s">
        <v>891</v>
      </c>
      <c r="C312" s="214" t="s">
        <v>130</v>
      </c>
      <c r="D312" s="174" t="s">
        <v>1383</v>
      </c>
      <c r="E312" s="214" t="s">
        <v>1350</v>
      </c>
      <c r="F312" s="214">
        <v>-29.966999999999999</v>
      </c>
      <c r="G312" s="214">
        <v>14.402000000000001</v>
      </c>
      <c r="H312" s="214" t="s">
        <v>1201</v>
      </c>
      <c r="I312" s="713" t="s">
        <v>1468</v>
      </c>
      <c r="J312" s="713" t="str">
        <f t="shared" si="13"/>
        <v/>
      </c>
      <c r="K312" s="713" t="str">
        <f t="shared" si="14"/>
        <v/>
      </c>
      <c r="L312" s="174">
        <v>7</v>
      </c>
      <c r="M312" s="242">
        <v>40505</v>
      </c>
      <c r="N312" s="242"/>
      <c r="O312" s="242"/>
      <c r="P312" s="3"/>
      <c r="Q312" s="214">
        <v>0.13</v>
      </c>
      <c r="R312" s="247" t="s">
        <v>446</v>
      </c>
      <c r="S312" s="247">
        <v>0.04</v>
      </c>
      <c r="U312" s="247">
        <v>0.01</v>
      </c>
      <c r="AA312" s="214">
        <v>0.24</v>
      </c>
      <c r="AB312" s="704" t="s">
        <v>446</v>
      </c>
      <c r="AC312" s="247">
        <v>0.04</v>
      </c>
      <c r="AE312" s="247">
        <v>0.01</v>
      </c>
      <c r="AG312" s="247">
        <f>Table2[[#This Row],[xFOSAs]]+Table2[[#This Row],[xFOSEs]]</f>
        <v>0.37</v>
      </c>
      <c r="AH312" s="247" t="s">
        <v>869</v>
      </c>
      <c r="AJ312" s="206" t="s">
        <v>738</v>
      </c>
      <c r="AK312" s="1" t="s">
        <v>736</v>
      </c>
    </row>
    <row r="313" spans="1:37" x14ac:dyDescent="0.25">
      <c r="A313" s="214" t="s">
        <v>478</v>
      </c>
      <c r="B313" s="214" t="s">
        <v>891</v>
      </c>
      <c r="C313" s="214" t="s">
        <v>131</v>
      </c>
      <c r="D313" s="174" t="s">
        <v>1384</v>
      </c>
      <c r="E313" s="214" t="s">
        <v>1351</v>
      </c>
      <c r="F313" s="214">
        <v>-32.718499999999999</v>
      </c>
      <c r="G313" s="214">
        <v>17.192499999999999</v>
      </c>
      <c r="H313" s="214" t="s">
        <v>1201</v>
      </c>
      <c r="I313" s="713" t="s">
        <v>1468</v>
      </c>
      <c r="J313" s="338" t="s">
        <v>1458</v>
      </c>
      <c r="K313" s="338" t="s">
        <v>1458</v>
      </c>
      <c r="L313" s="174">
        <v>7</v>
      </c>
      <c r="M313" s="242">
        <v>40506</v>
      </c>
      <c r="N313" s="242"/>
      <c r="O313" s="242"/>
      <c r="P313" s="3"/>
      <c r="Q313" s="214">
        <v>0.29000000000000004</v>
      </c>
      <c r="R313" s="247">
        <v>1</v>
      </c>
      <c r="S313" s="247">
        <v>0.04</v>
      </c>
      <c r="U313" s="247">
        <v>0.01</v>
      </c>
      <c r="AA313" s="214">
        <v>0.26</v>
      </c>
      <c r="AB313" s="247">
        <v>1</v>
      </c>
      <c r="AC313" s="247">
        <v>0.04</v>
      </c>
      <c r="AE313" s="247">
        <v>0.01</v>
      </c>
      <c r="AG313" s="247">
        <f>Table2[[#This Row],[xFOSAs]]+Table2[[#This Row],[xFOSEs]]</f>
        <v>0.55000000000000004</v>
      </c>
      <c r="AH313" s="247" t="s">
        <v>869</v>
      </c>
      <c r="AJ313" s="206" t="s">
        <v>738</v>
      </c>
      <c r="AK313" s="1" t="s">
        <v>736</v>
      </c>
    </row>
    <row r="314" spans="1:37" x14ac:dyDescent="0.25">
      <c r="A314" s="214" t="s">
        <v>478</v>
      </c>
      <c r="B314" s="214" t="s">
        <v>891</v>
      </c>
      <c r="C314" s="214" t="s">
        <v>168</v>
      </c>
      <c r="D314" s="174" t="s">
        <v>1385</v>
      </c>
      <c r="E314" s="214" t="s">
        <v>1352</v>
      </c>
      <c r="F314" s="214">
        <v>-38.628</v>
      </c>
      <c r="G314" s="214">
        <v>12.4015</v>
      </c>
      <c r="H314" s="214" t="s">
        <v>1201</v>
      </c>
      <c r="I314" s="713" t="s">
        <v>1468</v>
      </c>
      <c r="J314" s="713" t="str">
        <f t="shared" si="13"/>
        <v/>
      </c>
      <c r="K314" s="713" t="str">
        <f t="shared" si="14"/>
        <v/>
      </c>
      <c r="L314" s="174">
        <v>7</v>
      </c>
      <c r="M314" s="242">
        <v>40511</v>
      </c>
      <c r="N314" s="242"/>
      <c r="O314" s="242"/>
      <c r="P314" s="3"/>
      <c r="Q314" s="214">
        <v>0.14000000000000001</v>
      </c>
      <c r="R314" s="247">
        <v>1</v>
      </c>
      <c r="S314" s="247">
        <v>0.04</v>
      </c>
      <c r="U314" s="247">
        <v>0.01</v>
      </c>
      <c r="AA314" s="214">
        <v>0.30000000000000004</v>
      </c>
      <c r="AB314" s="247">
        <v>1</v>
      </c>
      <c r="AC314" s="247">
        <v>0.04</v>
      </c>
      <c r="AE314" s="247">
        <v>0.01</v>
      </c>
      <c r="AG314" s="247">
        <f>Table2[[#This Row],[xFOSAs]]+Table2[[#This Row],[xFOSEs]]</f>
        <v>0.44000000000000006</v>
      </c>
      <c r="AH314" s="247" t="s">
        <v>869</v>
      </c>
      <c r="AJ314" s="206" t="s">
        <v>738</v>
      </c>
      <c r="AK314" s="1" t="s">
        <v>736</v>
      </c>
    </row>
    <row r="315" spans="1:37" x14ac:dyDescent="0.25">
      <c r="A315" s="214" t="s">
        <v>478</v>
      </c>
      <c r="B315" s="214" t="s">
        <v>891</v>
      </c>
      <c r="C315" s="214" t="s">
        <v>114</v>
      </c>
      <c r="D315" s="174" t="s">
        <v>1368</v>
      </c>
      <c r="E315" s="214" t="s">
        <v>1335</v>
      </c>
      <c r="F315" s="214">
        <v>48.19</v>
      </c>
      <c r="G315" s="214">
        <v>-4.1844999999999999</v>
      </c>
      <c r="H315" s="214" t="s">
        <v>1200</v>
      </c>
      <c r="I315" s="713" t="s">
        <v>1468</v>
      </c>
      <c r="J315" s="338" t="s">
        <v>1458</v>
      </c>
      <c r="K315" s="338" t="s">
        <v>1458</v>
      </c>
      <c r="L315" s="174">
        <v>3</v>
      </c>
      <c r="M315" s="242">
        <v>40478</v>
      </c>
      <c r="N315" s="242"/>
      <c r="O315" s="242"/>
      <c r="P315" s="3"/>
      <c r="Q315" s="214">
        <v>0.43000000000000005</v>
      </c>
      <c r="R315" s="247">
        <v>1</v>
      </c>
      <c r="S315" s="247">
        <v>0.04</v>
      </c>
      <c r="U315" s="247">
        <v>0.01</v>
      </c>
      <c r="AA315" s="214">
        <v>1.1200000000000001</v>
      </c>
      <c r="AB315" s="247">
        <v>1</v>
      </c>
      <c r="AC315" s="247">
        <v>0.04</v>
      </c>
      <c r="AE315" s="247">
        <v>0.01</v>
      </c>
      <c r="AG315" s="247">
        <f>Table2[[#This Row],[xFOSAs]]+Table2[[#This Row],[xFOSEs]]</f>
        <v>1.5500000000000003</v>
      </c>
      <c r="AH315" s="247" t="s">
        <v>869</v>
      </c>
      <c r="AJ315" s="206" t="s">
        <v>738</v>
      </c>
      <c r="AK315" s="1" t="s">
        <v>736</v>
      </c>
    </row>
    <row r="316" spans="1:37" x14ac:dyDescent="0.25">
      <c r="A316" s="214" t="s">
        <v>478</v>
      </c>
      <c r="B316" s="214" t="s">
        <v>891</v>
      </c>
      <c r="C316" s="214" t="s">
        <v>169</v>
      </c>
      <c r="D316" s="174" t="s">
        <v>1386</v>
      </c>
      <c r="E316" s="214" t="s">
        <v>1353</v>
      </c>
      <c r="F316" s="214">
        <v>-44.656500000000001</v>
      </c>
      <c r="G316" s="214">
        <v>6.9030000000000005</v>
      </c>
      <c r="H316" s="214" t="s">
        <v>1201</v>
      </c>
      <c r="I316" s="713" t="s">
        <v>1468</v>
      </c>
      <c r="J316" s="713" t="str">
        <f t="shared" si="13"/>
        <v/>
      </c>
      <c r="K316" s="713" t="str">
        <f t="shared" si="14"/>
        <v/>
      </c>
      <c r="L316" s="174">
        <v>8</v>
      </c>
      <c r="M316" s="242">
        <v>40514</v>
      </c>
      <c r="N316" s="242"/>
      <c r="O316" s="242"/>
      <c r="P316" s="3"/>
      <c r="Q316" s="214">
        <v>0.2</v>
      </c>
      <c r="R316" s="247">
        <v>1</v>
      </c>
      <c r="S316" s="247">
        <v>0.04</v>
      </c>
      <c r="U316" s="247">
        <v>0.01</v>
      </c>
      <c r="AA316" s="214">
        <v>0.27</v>
      </c>
      <c r="AB316" s="247">
        <v>1</v>
      </c>
      <c r="AC316" s="247">
        <v>0.04</v>
      </c>
      <c r="AE316" s="247">
        <v>0.01</v>
      </c>
      <c r="AG316" s="247">
        <f>Table2[[#This Row],[xFOSAs]]+Table2[[#This Row],[xFOSEs]]</f>
        <v>0.47000000000000003</v>
      </c>
      <c r="AH316" s="247" t="s">
        <v>869</v>
      </c>
      <c r="AJ316" s="206" t="s">
        <v>738</v>
      </c>
      <c r="AK316" s="1" t="s">
        <v>736</v>
      </c>
    </row>
    <row r="317" spans="1:37" x14ac:dyDescent="0.25">
      <c r="A317" s="214" t="s">
        <v>478</v>
      </c>
      <c r="B317" s="214" t="s">
        <v>891</v>
      </c>
      <c r="C317" s="214" t="s">
        <v>170</v>
      </c>
      <c r="D317" s="174" t="s">
        <v>1387</v>
      </c>
      <c r="E317" s="214" t="s">
        <v>1354</v>
      </c>
      <c r="F317" s="214">
        <v>-51.636499999999998</v>
      </c>
      <c r="G317" s="214">
        <v>2.0720000000000001</v>
      </c>
      <c r="H317" s="214" t="s">
        <v>1201</v>
      </c>
      <c r="I317" s="713" t="s">
        <v>1468</v>
      </c>
      <c r="J317" s="713" t="str">
        <f t="shared" si="13"/>
        <v/>
      </c>
      <c r="K317" s="713" t="str">
        <f t="shared" si="14"/>
        <v/>
      </c>
      <c r="L317" s="174">
        <v>8</v>
      </c>
      <c r="M317" s="242">
        <v>40517</v>
      </c>
      <c r="N317" s="242"/>
      <c r="O317" s="242"/>
      <c r="P317" s="3"/>
      <c r="Q317" s="214">
        <v>0.14000000000000001</v>
      </c>
      <c r="R317" s="247">
        <v>1</v>
      </c>
      <c r="S317" s="247">
        <v>0.04</v>
      </c>
      <c r="U317" s="247">
        <v>0.01</v>
      </c>
      <c r="AA317" s="214">
        <v>0.39</v>
      </c>
      <c r="AB317" s="704" t="s">
        <v>446</v>
      </c>
      <c r="AC317" s="247">
        <v>0.04</v>
      </c>
      <c r="AE317" s="247">
        <v>0.01</v>
      </c>
      <c r="AG317" s="247">
        <f>Table2[[#This Row],[xFOSAs]]+Table2[[#This Row],[xFOSEs]]</f>
        <v>0.53</v>
      </c>
      <c r="AH317" s="247" t="s">
        <v>869</v>
      </c>
      <c r="AJ317" s="206" t="s">
        <v>738</v>
      </c>
      <c r="AK317" s="1" t="s">
        <v>736</v>
      </c>
    </row>
    <row r="318" spans="1:37" x14ac:dyDescent="0.25">
      <c r="A318" s="214" t="s">
        <v>478</v>
      </c>
      <c r="B318" s="214" t="s">
        <v>891</v>
      </c>
      <c r="C318" s="214" t="s">
        <v>171</v>
      </c>
      <c r="D318" s="174" t="s">
        <v>1388</v>
      </c>
      <c r="E318" s="214" t="s">
        <v>1355</v>
      </c>
      <c r="F318" s="214">
        <v>-57.387</v>
      </c>
      <c r="G318" s="214">
        <v>3.5000000000000001E-3</v>
      </c>
      <c r="H318" s="214" t="s">
        <v>1204</v>
      </c>
      <c r="I318" s="713" t="s">
        <v>1468</v>
      </c>
      <c r="J318" s="713" t="str">
        <f t="shared" si="13"/>
        <v/>
      </c>
      <c r="K318" s="713" t="str">
        <f t="shared" si="14"/>
        <v/>
      </c>
      <c r="L318" s="174">
        <v>9</v>
      </c>
      <c r="M318" s="242">
        <v>40521</v>
      </c>
      <c r="N318" s="242"/>
      <c r="O318" s="242"/>
      <c r="P318" s="3"/>
      <c r="Q318" s="214">
        <v>0.12</v>
      </c>
      <c r="R318" s="247">
        <v>1</v>
      </c>
      <c r="S318" s="247">
        <v>0.04</v>
      </c>
      <c r="U318" s="247">
        <v>0.01</v>
      </c>
      <c r="AA318" s="214">
        <v>0.22999999999999998</v>
      </c>
      <c r="AB318" s="247">
        <v>1</v>
      </c>
      <c r="AC318" s="247">
        <v>0.04</v>
      </c>
      <c r="AE318" s="247">
        <v>0.01</v>
      </c>
      <c r="AG318" s="247">
        <f>Table2[[#This Row],[xFOSAs]]+Table2[[#This Row],[xFOSEs]]</f>
        <v>0.35</v>
      </c>
      <c r="AH318" s="247" t="s">
        <v>869</v>
      </c>
      <c r="AJ318" s="206" t="s">
        <v>738</v>
      </c>
      <c r="AK318" s="1" t="s">
        <v>736</v>
      </c>
    </row>
    <row r="319" spans="1:37" x14ac:dyDescent="0.25">
      <c r="A319" s="214" t="s">
        <v>478</v>
      </c>
      <c r="B319" s="214" t="s">
        <v>891</v>
      </c>
      <c r="C319" s="214" t="s">
        <v>172</v>
      </c>
      <c r="D319" s="174" t="s">
        <v>1389</v>
      </c>
      <c r="E319" s="214" t="s">
        <v>1356</v>
      </c>
      <c r="F319" s="214">
        <v>-61.545500000000004</v>
      </c>
      <c r="G319" s="214">
        <v>-2.3E-2</v>
      </c>
      <c r="H319" s="214" t="s">
        <v>1204</v>
      </c>
      <c r="I319" s="713" t="s">
        <v>1468</v>
      </c>
      <c r="J319" s="713" t="str">
        <f t="shared" si="13"/>
        <v/>
      </c>
      <c r="K319" s="713" t="str">
        <f t="shared" si="14"/>
        <v/>
      </c>
      <c r="L319" s="174">
        <v>9</v>
      </c>
      <c r="M319" s="242">
        <v>40523</v>
      </c>
      <c r="N319" s="242"/>
      <c r="O319" s="242"/>
      <c r="P319" s="3"/>
      <c r="Q319" s="214">
        <v>0.19</v>
      </c>
      <c r="R319" s="247">
        <v>1</v>
      </c>
      <c r="S319" s="247">
        <v>0.04</v>
      </c>
      <c r="U319" s="247">
        <v>0.01</v>
      </c>
      <c r="AA319" s="214">
        <v>0.22</v>
      </c>
      <c r="AB319" s="704" t="s">
        <v>446</v>
      </c>
      <c r="AC319" s="247">
        <v>0.04</v>
      </c>
      <c r="AE319" s="247">
        <v>0.01</v>
      </c>
      <c r="AG319" s="247">
        <f>Table2[[#This Row],[xFOSAs]]+Table2[[#This Row],[xFOSEs]]</f>
        <v>0.41000000000000003</v>
      </c>
      <c r="AH319" s="247" t="s">
        <v>869</v>
      </c>
      <c r="AJ319" s="206" t="s">
        <v>738</v>
      </c>
      <c r="AK319" s="1" t="s">
        <v>736</v>
      </c>
    </row>
    <row r="320" spans="1:37" x14ac:dyDescent="0.25">
      <c r="A320" s="214" t="s">
        <v>478</v>
      </c>
      <c r="B320" s="214" t="s">
        <v>891</v>
      </c>
      <c r="C320" s="214" t="s">
        <v>173</v>
      </c>
      <c r="D320" s="174" t="s">
        <v>1390</v>
      </c>
      <c r="E320" s="214" t="s">
        <v>1357</v>
      </c>
      <c r="F320" s="214">
        <v>-62.096499999999999</v>
      </c>
      <c r="G320" s="214">
        <v>-0.5675</v>
      </c>
      <c r="H320" s="214" t="s">
        <v>1204</v>
      </c>
      <c r="I320" s="713" t="s">
        <v>1468</v>
      </c>
      <c r="J320" s="713" t="str">
        <f t="shared" si="13"/>
        <v/>
      </c>
      <c r="K320" s="713" t="str">
        <f t="shared" si="14"/>
        <v/>
      </c>
      <c r="L320" s="174">
        <v>9</v>
      </c>
      <c r="M320" s="242">
        <v>40527</v>
      </c>
      <c r="N320" s="242"/>
      <c r="O320" s="242"/>
      <c r="P320" s="3"/>
      <c r="Q320" s="214">
        <v>0.2</v>
      </c>
      <c r="R320" s="247">
        <v>1</v>
      </c>
      <c r="S320" s="247">
        <v>0.04</v>
      </c>
      <c r="U320" s="247">
        <v>0.01</v>
      </c>
      <c r="AA320" s="214">
        <v>0.21</v>
      </c>
      <c r="AB320" s="704" t="s">
        <v>446</v>
      </c>
      <c r="AC320" s="247">
        <v>0.04</v>
      </c>
      <c r="AE320" s="247">
        <v>0.01</v>
      </c>
      <c r="AG320" s="247">
        <f>Table2[[#This Row],[xFOSAs]]+Table2[[#This Row],[xFOSEs]]</f>
        <v>0.41000000000000003</v>
      </c>
      <c r="AH320" s="247" t="s">
        <v>869</v>
      </c>
      <c r="AJ320" s="206" t="s">
        <v>738</v>
      </c>
      <c r="AK320" s="1" t="s">
        <v>736</v>
      </c>
    </row>
    <row r="321" spans="1:37" x14ac:dyDescent="0.25">
      <c r="A321" s="214" t="s">
        <v>478</v>
      </c>
      <c r="B321" s="214" t="s">
        <v>891</v>
      </c>
      <c r="C321" s="214" t="s">
        <v>174</v>
      </c>
      <c r="D321" s="174" t="s">
        <v>1391</v>
      </c>
      <c r="E321" s="214" t="s">
        <v>1358</v>
      </c>
      <c r="F321" s="214">
        <v>-70.34</v>
      </c>
      <c r="G321" s="214">
        <v>-10.920999999999999</v>
      </c>
      <c r="H321" s="214" t="s">
        <v>1204</v>
      </c>
      <c r="I321" s="713" t="s">
        <v>1468</v>
      </c>
      <c r="J321" s="713" t="str">
        <f t="shared" si="13"/>
        <v/>
      </c>
      <c r="K321" s="713" t="str">
        <f t="shared" si="14"/>
        <v/>
      </c>
      <c r="L321" s="174">
        <v>9</v>
      </c>
      <c r="M321" s="242">
        <v>40534</v>
      </c>
      <c r="N321" s="242"/>
      <c r="O321" s="242"/>
      <c r="P321" s="3"/>
      <c r="Q321" s="214">
        <v>0.18</v>
      </c>
      <c r="R321" s="247">
        <v>1</v>
      </c>
      <c r="S321" s="247">
        <v>0.04</v>
      </c>
      <c r="U321" s="247">
        <v>0.01</v>
      </c>
      <c r="AA321" s="214">
        <v>0.15000000000000002</v>
      </c>
      <c r="AB321" s="247">
        <v>1</v>
      </c>
      <c r="AC321" s="247">
        <v>0.04</v>
      </c>
      <c r="AE321" s="247">
        <v>0.01</v>
      </c>
      <c r="AG321" s="247">
        <f>Table2[[#This Row],[xFOSAs]]+Table2[[#This Row],[xFOSEs]]</f>
        <v>0.33</v>
      </c>
      <c r="AH321" s="247" t="s">
        <v>869</v>
      </c>
      <c r="AJ321" s="206" t="s">
        <v>738</v>
      </c>
      <c r="AK321" s="1" t="s">
        <v>736</v>
      </c>
    </row>
    <row r="322" spans="1:37" x14ac:dyDescent="0.25">
      <c r="A322" s="214" t="s">
        <v>478</v>
      </c>
      <c r="B322" s="214" t="s">
        <v>891</v>
      </c>
      <c r="C322" s="214" t="s">
        <v>175</v>
      </c>
      <c r="D322" s="174" t="s">
        <v>1392</v>
      </c>
      <c r="E322" s="214" t="s">
        <v>1359</v>
      </c>
      <c r="F322" s="214">
        <v>-68.464500000000001</v>
      </c>
      <c r="G322" s="214">
        <v>-20.469000000000001</v>
      </c>
      <c r="H322" s="214" t="s">
        <v>1204</v>
      </c>
      <c r="I322" s="713" t="s">
        <v>1468</v>
      </c>
      <c r="J322" s="713" t="str">
        <f t="shared" si="13"/>
        <v/>
      </c>
      <c r="K322" s="713" t="str">
        <f t="shared" si="14"/>
        <v/>
      </c>
      <c r="L322" s="174">
        <v>9</v>
      </c>
      <c r="M322" s="242">
        <v>40537</v>
      </c>
      <c r="N322" s="242"/>
      <c r="O322" s="242"/>
      <c r="P322" s="3"/>
      <c r="Q322" s="214">
        <v>0.26</v>
      </c>
      <c r="R322" s="247">
        <v>1</v>
      </c>
      <c r="S322" s="247">
        <v>0.04</v>
      </c>
      <c r="U322" s="247">
        <v>0.01</v>
      </c>
      <c r="AA322" s="214">
        <v>0.14000000000000001</v>
      </c>
      <c r="AB322" s="247">
        <v>1</v>
      </c>
      <c r="AC322" s="247">
        <v>0.04</v>
      </c>
      <c r="AE322" s="247">
        <v>0.01</v>
      </c>
      <c r="AG322" s="247">
        <f>Table2[[#This Row],[xFOSAs]]+Table2[[#This Row],[xFOSEs]]</f>
        <v>0.4</v>
      </c>
      <c r="AH322" s="247" t="s">
        <v>869</v>
      </c>
      <c r="AJ322" s="206" t="s">
        <v>738</v>
      </c>
      <c r="AK322" s="1" t="s">
        <v>736</v>
      </c>
    </row>
    <row r="323" spans="1:37" x14ac:dyDescent="0.25">
      <c r="A323" s="214" t="s">
        <v>478</v>
      </c>
      <c r="B323" s="214" t="s">
        <v>891</v>
      </c>
      <c r="C323" s="214" t="s">
        <v>176</v>
      </c>
      <c r="D323" s="174" t="s">
        <v>1393</v>
      </c>
      <c r="E323" s="214" t="s">
        <v>1360</v>
      </c>
      <c r="F323" s="214">
        <v>-66.060500000000005</v>
      </c>
      <c r="G323" s="214">
        <v>-32.353999999999999</v>
      </c>
      <c r="H323" s="214" t="s">
        <v>1204</v>
      </c>
      <c r="I323" s="713" t="s">
        <v>1468</v>
      </c>
      <c r="J323" s="713" t="str">
        <f t="shared" si="13"/>
        <v/>
      </c>
      <c r="K323" s="713" t="str">
        <f t="shared" si="14"/>
        <v/>
      </c>
      <c r="L323" s="174">
        <v>9</v>
      </c>
      <c r="M323" s="242">
        <v>40541</v>
      </c>
      <c r="N323" s="242"/>
      <c r="O323" s="242"/>
      <c r="P323" s="3"/>
      <c r="Q323" s="214">
        <v>0.24</v>
      </c>
      <c r="R323" s="247">
        <v>1</v>
      </c>
      <c r="S323" s="247">
        <v>0.04</v>
      </c>
      <c r="U323" s="247">
        <v>0.01</v>
      </c>
      <c r="AA323" s="214">
        <v>0.15</v>
      </c>
      <c r="AB323" s="247">
        <v>1</v>
      </c>
      <c r="AC323" s="247">
        <v>0.04</v>
      </c>
      <c r="AE323" s="247">
        <v>0.01</v>
      </c>
      <c r="AG323" s="247">
        <f>Table2[[#This Row],[xFOSAs]]+Table2[[#This Row],[xFOSEs]]</f>
        <v>0.39</v>
      </c>
      <c r="AH323" s="247" t="s">
        <v>869</v>
      </c>
      <c r="AJ323" s="206" t="s">
        <v>738</v>
      </c>
      <c r="AK323" s="1" t="s">
        <v>736</v>
      </c>
    </row>
    <row r="324" spans="1:37" x14ac:dyDescent="0.25">
      <c r="A324" s="214" t="s">
        <v>478</v>
      </c>
      <c r="B324" s="214" t="s">
        <v>891</v>
      </c>
      <c r="C324" s="214" t="s">
        <v>177</v>
      </c>
      <c r="D324" s="174" t="s">
        <v>1394</v>
      </c>
      <c r="E324" s="214" t="s">
        <v>1361</v>
      </c>
      <c r="F324" s="214">
        <v>-64.740499999999997</v>
      </c>
      <c r="G324" s="214">
        <v>-43.073499999999996</v>
      </c>
      <c r="H324" s="214" t="s">
        <v>1204</v>
      </c>
      <c r="I324" s="713" t="s">
        <v>1468</v>
      </c>
      <c r="J324" s="713" t="str">
        <f t="shared" si="13"/>
        <v/>
      </c>
      <c r="K324" s="713" t="str">
        <f t="shared" si="14"/>
        <v/>
      </c>
      <c r="L324" s="174">
        <v>9</v>
      </c>
      <c r="M324" s="242">
        <v>40545</v>
      </c>
      <c r="N324" s="242"/>
      <c r="O324" s="242"/>
      <c r="P324" s="3"/>
      <c r="Q324" s="214">
        <v>0.41000000000000003</v>
      </c>
      <c r="R324" s="247">
        <v>1</v>
      </c>
      <c r="S324" s="247">
        <v>0.04</v>
      </c>
      <c r="U324" s="247">
        <v>0.01</v>
      </c>
      <c r="AA324" s="214">
        <v>0.64</v>
      </c>
      <c r="AB324" s="247">
        <v>1</v>
      </c>
      <c r="AC324" s="247">
        <v>0.04</v>
      </c>
      <c r="AE324" s="247">
        <v>0.01</v>
      </c>
      <c r="AG324" s="247">
        <f>Table2[[#This Row],[xFOSAs]]+Table2[[#This Row],[xFOSEs]]</f>
        <v>1.05</v>
      </c>
      <c r="AH324" s="247" t="s">
        <v>869</v>
      </c>
      <c r="AJ324" s="206" t="s">
        <v>738</v>
      </c>
      <c r="AK324" s="1" t="s">
        <v>736</v>
      </c>
    </row>
    <row r="325" spans="1:37" x14ac:dyDescent="0.25">
      <c r="A325" s="214" t="s">
        <v>478</v>
      </c>
      <c r="B325" s="214" t="s">
        <v>891</v>
      </c>
      <c r="C325" s="214" t="s">
        <v>178</v>
      </c>
      <c r="D325" s="174" t="s">
        <v>1395</v>
      </c>
      <c r="E325" s="214" t="s">
        <v>1362</v>
      </c>
      <c r="F325" s="214">
        <v>-63.798500000000004</v>
      </c>
      <c r="G325" s="214">
        <v>-52.326000000000001</v>
      </c>
      <c r="H325" s="214" t="s">
        <v>1204</v>
      </c>
      <c r="I325" s="713" t="s">
        <v>1468</v>
      </c>
      <c r="J325" s="713" t="str">
        <f t="shared" si="13"/>
        <v/>
      </c>
      <c r="K325" s="713" t="str">
        <f t="shared" si="14"/>
        <v/>
      </c>
      <c r="L325" s="174">
        <v>9</v>
      </c>
      <c r="M325" s="242">
        <v>40548</v>
      </c>
      <c r="N325" s="242"/>
      <c r="O325" s="242"/>
      <c r="P325" s="3"/>
      <c r="Q325" s="214">
        <v>0.13</v>
      </c>
      <c r="R325" s="247">
        <v>1</v>
      </c>
      <c r="S325" s="247">
        <v>0.04</v>
      </c>
      <c r="U325" s="247">
        <v>0.01</v>
      </c>
      <c r="AA325" s="214">
        <v>0.12000000000000001</v>
      </c>
      <c r="AB325" s="704" t="s">
        <v>446</v>
      </c>
      <c r="AC325" s="247">
        <v>0.04</v>
      </c>
      <c r="AE325" s="247">
        <v>0.01</v>
      </c>
      <c r="AG325" s="247">
        <f>Table2[[#This Row],[xFOSAs]]+Table2[[#This Row],[xFOSEs]]</f>
        <v>0.25</v>
      </c>
      <c r="AH325" s="247" t="s">
        <v>869</v>
      </c>
      <c r="AJ325" s="206" t="s">
        <v>738</v>
      </c>
      <c r="AK325" s="1" t="s">
        <v>736</v>
      </c>
    </row>
    <row r="326" spans="1:37" x14ac:dyDescent="0.25">
      <c r="A326" s="214" t="s">
        <v>478</v>
      </c>
      <c r="B326" s="214" t="s">
        <v>891</v>
      </c>
      <c r="C326" s="214" t="s">
        <v>115</v>
      </c>
      <c r="D326" s="174" t="s">
        <v>1369</v>
      </c>
      <c r="E326" s="214" t="s">
        <v>1336</v>
      </c>
      <c r="F326" s="214">
        <v>46.185000000000002</v>
      </c>
      <c r="G326" s="214">
        <v>-4.7390000000000008</v>
      </c>
      <c r="H326" s="214" t="s">
        <v>1201</v>
      </c>
      <c r="I326" s="713" t="s">
        <v>1468</v>
      </c>
      <c r="J326" s="713" t="str">
        <f t="shared" si="13"/>
        <v/>
      </c>
      <c r="K326" s="713" t="str">
        <f t="shared" si="14"/>
        <v/>
      </c>
      <c r="L326" s="174">
        <v>3</v>
      </c>
      <c r="M326" s="242">
        <v>40479</v>
      </c>
      <c r="N326" s="242"/>
      <c r="O326" s="242"/>
      <c r="P326" s="3"/>
      <c r="Q326" s="214">
        <v>0.4</v>
      </c>
      <c r="R326" s="247">
        <v>1</v>
      </c>
      <c r="S326" s="247">
        <v>0.04</v>
      </c>
      <c r="U326" s="247">
        <v>0.01</v>
      </c>
      <c r="AA326" s="214">
        <v>0.48</v>
      </c>
      <c r="AB326" s="247">
        <v>1</v>
      </c>
      <c r="AC326" s="247">
        <v>0.04</v>
      </c>
      <c r="AE326" s="247">
        <v>0.01</v>
      </c>
      <c r="AG326" s="247">
        <f>Table2[[#This Row],[xFOSAs]]+Table2[[#This Row],[xFOSEs]]</f>
        <v>0.88</v>
      </c>
      <c r="AH326" s="247" t="s">
        <v>869</v>
      </c>
      <c r="AJ326" s="206" t="s">
        <v>738</v>
      </c>
      <c r="AK326" s="1" t="s">
        <v>736</v>
      </c>
    </row>
    <row r="327" spans="1:37" x14ac:dyDescent="0.25">
      <c r="A327" s="214" t="s">
        <v>478</v>
      </c>
      <c r="B327" s="214" t="s">
        <v>891</v>
      </c>
      <c r="C327" s="214" t="s">
        <v>179</v>
      </c>
      <c r="D327" s="174" t="s">
        <v>1396</v>
      </c>
      <c r="E327" s="214" t="s">
        <v>1363</v>
      </c>
      <c r="F327" s="214">
        <v>-62.54</v>
      </c>
      <c r="G327" s="214">
        <v>-61.4315</v>
      </c>
      <c r="H327" s="214" t="s">
        <v>1204</v>
      </c>
      <c r="I327" s="713" t="s">
        <v>1468</v>
      </c>
      <c r="J327" s="713" t="str">
        <f t="shared" si="13"/>
        <v/>
      </c>
      <c r="K327" s="713" t="str">
        <f t="shared" si="14"/>
        <v/>
      </c>
      <c r="L327" s="174">
        <v>9</v>
      </c>
      <c r="M327" s="242">
        <v>40551</v>
      </c>
      <c r="N327" s="242"/>
      <c r="O327" s="242"/>
      <c r="P327" s="3"/>
      <c r="Q327" s="214">
        <v>0.2</v>
      </c>
      <c r="R327" s="247">
        <v>1</v>
      </c>
      <c r="S327" s="247">
        <v>0.04</v>
      </c>
      <c r="U327" s="247">
        <v>0.01</v>
      </c>
      <c r="AA327" s="214">
        <v>0.22</v>
      </c>
      <c r="AB327" s="704" t="s">
        <v>446</v>
      </c>
      <c r="AC327" s="247">
        <v>0.04</v>
      </c>
      <c r="AE327" s="247">
        <v>0.01</v>
      </c>
      <c r="AG327" s="247">
        <f>Table2[[#This Row],[xFOSAs]]+Table2[[#This Row],[xFOSEs]]</f>
        <v>0.42000000000000004</v>
      </c>
      <c r="AH327" s="247" t="s">
        <v>869</v>
      </c>
      <c r="AJ327" s="206" t="s">
        <v>738</v>
      </c>
      <c r="AK327" s="1" t="s">
        <v>736</v>
      </c>
    </row>
    <row r="328" spans="1:37" x14ac:dyDescent="0.25">
      <c r="A328" s="214" t="s">
        <v>478</v>
      </c>
      <c r="B328" s="214" t="s">
        <v>891</v>
      </c>
      <c r="C328" s="214" t="s">
        <v>180</v>
      </c>
      <c r="D328" s="174" t="s">
        <v>1397</v>
      </c>
      <c r="E328" s="214" t="s">
        <v>1364</v>
      </c>
      <c r="F328" s="214">
        <v>-65.427500000000009</v>
      </c>
      <c r="G328" s="214">
        <v>-67.429000000000002</v>
      </c>
      <c r="H328" s="214" t="s">
        <v>1204</v>
      </c>
      <c r="I328" s="713" t="s">
        <v>1468</v>
      </c>
      <c r="J328" s="713" t="str">
        <f t="shared" si="13"/>
        <v/>
      </c>
      <c r="K328" s="713" t="str">
        <f t="shared" si="14"/>
        <v/>
      </c>
      <c r="L328" s="174">
        <v>9</v>
      </c>
      <c r="M328" s="242">
        <v>40560</v>
      </c>
      <c r="N328" s="242"/>
      <c r="O328" s="242"/>
      <c r="P328" s="3"/>
      <c r="Q328" s="214">
        <v>0.1</v>
      </c>
      <c r="R328" s="247" t="s">
        <v>446</v>
      </c>
      <c r="S328" s="247">
        <v>0.04</v>
      </c>
      <c r="U328" s="247">
        <v>0.01</v>
      </c>
      <c r="AA328" s="214">
        <v>0.05</v>
      </c>
      <c r="AB328" s="704" t="s">
        <v>446</v>
      </c>
      <c r="AC328" s="247">
        <v>0.04</v>
      </c>
      <c r="AE328" s="247">
        <v>0.01</v>
      </c>
      <c r="AG328" s="247">
        <f>Table2[[#This Row],[xFOSAs]]+Table2[[#This Row],[xFOSEs]]</f>
        <v>0.15000000000000002</v>
      </c>
      <c r="AH328" s="247" t="s">
        <v>869</v>
      </c>
      <c r="AJ328" s="206" t="s">
        <v>738</v>
      </c>
      <c r="AK328" s="1" t="s">
        <v>736</v>
      </c>
    </row>
    <row r="329" spans="1:37" x14ac:dyDescent="0.25">
      <c r="A329" s="214" t="s">
        <v>478</v>
      </c>
      <c r="B329" s="214" t="s">
        <v>891</v>
      </c>
      <c r="C329" s="214" t="s">
        <v>181</v>
      </c>
      <c r="D329" s="174" t="s">
        <v>1398</v>
      </c>
      <c r="E329" s="214" t="s">
        <v>1365</v>
      </c>
      <c r="F329" s="214">
        <v>-67.335000000000008</v>
      </c>
      <c r="G329" s="214">
        <v>-71.891500000000008</v>
      </c>
      <c r="H329" s="214" t="s">
        <v>1204</v>
      </c>
      <c r="I329" s="713" t="s">
        <v>1468</v>
      </c>
      <c r="J329" s="713" t="str">
        <f t="shared" si="13"/>
        <v/>
      </c>
      <c r="K329" s="713" t="str">
        <f t="shared" si="14"/>
        <v/>
      </c>
      <c r="L329" s="174">
        <v>9</v>
      </c>
      <c r="M329" s="242">
        <v>40566</v>
      </c>
      <c r="N329" s="242"/>
      <c r="O329" s="242"/>
      <c r="P329" s="3"/>
      <c r="Q329" s="214">
        <v>0.2</v>
      </c>
      <c r="R329" s="247">
        <v>1</v>
      </c>
      <c r="S329" s="247">
        <v>0.04</v>
      </c>
      <c r="U329" s="247">
        <v>0.01</v>
      </c>
      <c r="AA329" s="214">
        <v>7.8E-2</v>
      </c>
      <c r="AB329" s="247">
        <v>1</v>
      </c>
      <c r="AC329" s="247">
        <v>0.04</v>
      </c>
      <c r="AE329" s="247">
        <v>0.01</v>
      </c>
      <c r="AG329" s="247">
        <f>Table2[[#This Row],[xFOSAs]]+Table2[[#This Row],[xFOSEs]]</f>
        <v>0.27800000000000002</v>
      </c>
      <c r="AH329" s="247" t="s">
        <v>869</v>
      </c>
      <c r="AJ329" s="206" t="s">
        <v>738</v>
      </c>
      <c r="AK329" s="1" t="s">
        <v>736</v>
      </c>
    </row>
    <row r="330" spans="1:37" x14ac:dyDescent="0.25">
      <c r="A330" s="214" t="s">
        <v>478</v>
      </c>
      <c r="B330" s="214" t="s">
        <v>891</v>
      </c>
      <c r="C330" s="214" t="s">
        <v>182</v>
      </c>
      <c r="D330" s="174" t="s">
        <v>1399</v>
      </c>
      <c r="E330" s="214" t="s">
        <v>1366</v>
      </c>
      <c r="F330" s="214">
        <v>-66.4435</v>
      </c>
      <c r="G330" s="214">
        <v>-70.234499999999997</v>
      </c>
      <c r="H330" s="214" t="s">
        <v>1204</v>
      </c>
      <c r="I330" s="713" t="s">
        <v>1468</v>
      </c>
      <c r="J330" s="713" t="str">
        <f t="shared" si="13"/>
        <v/>
      </c>
      <c r="K330" s="713" t="str">
        <f t="shared" si="14"/>
        <v/>
      </c>
      <c r="L330" s="174">
        <v>9</v>
      </c>
      <c r="M330" s="242">
        <v>40569</v>
      </c>
      <c r="N330" s="242"/>
      <c r="O330" s="242"/>
      <c r="P330" s="3"/>
      <c r="Q330" s="214">
        <v>0.2</v>
      </c>
      <c r="R330" s="247">
        <v>1</v>
      </c>
      <c r="S330" s="247">
        <v>0.04</v>
      </c>
      <c r="U330" s="247">
        <v>0.01</v>
      </c>
      <c r="AA330" s="214">
        <v>4.4999999999999998E-2</v>
      </c>
      <c r="AB330" s="704" t="s">
        <v>446</v>
      </c>
      <c r="AC330" s="247">
        <v>0.04</v>
      </c>
      <c r="AE330" s="247">
        <v>0.01</v>
      </c>
      <c r="AG330" s="247">
        <f>Table2[[#This Row],[xFOSAs]]+Table2[[#This Row],[xFOSEs]]</f>
        <v>0.245</v>
      </c>
      <c r="AH330" s="247" t="s">
        <v>869</v>
      </c>
      <c r="AJ330" s="206" t="s">
        <v>738</v>
      </c>
      <c r="AK330" s="1" t="s">
        <v>736</v>
      </c>
    </row>
    <row r="331" spans="1:37" x14ac:dyDescent="0.25">
      <c r="A331" s="214" t="s">
        <v>478</v>
      </c>
      <c r="B331" s="214" t="s">
        <v>891</v>
      </c>
      <c r="C331" s="214" t="s">
        <v>450</v>
      </c>
      <c r="D331" s="174" t="s">
        <v>1370</v>
      </c>
      <c r="E331" s="214" t="s">
        <v>1337</v>
      </c>
      <c r="F331" s="214">
        <v>44.546499999999995</v>
      </c>
      <c r="G331" s="214">
        <v>-7.5024999999999995</v>
      </c>
      <c r="H331" s="214" t="s">
        <v>1201</v>
      </c>
      <c r="I331" s="713" t="s">
        <v>1468</v>
      </c>
      <c r="J331" s="713" t="str">
        <f t="shared" si="13"/>
        <v/>
      </c>
      <c r="K331" s="713" t="str">
        <f t="shared" si="14"/>
        <v/>
      </c>
      <c r="L331" s="174">
        <v>3</v>
      </c>
      <c r="M331" s="242">
        <v>40480</v>
      </c>
      <c r="N331" s="242"/>
      <c r="O331" s="242"/>
      <c r="P331" s="3"/>
      <c r="Q331" s="214">
        <v>0.72</v>
      </c>
      <c r="R331" s="247">
        <v>1</v>
      </c>
      <c r="S331" s="247">
        <v>0.04</v>
      </c>
      <c r="U331" s="247">
        <v>0.01</v>
      </c>
      <c r="AA331" s="214">
        <v>0.68</v>
      </c>
      <c r="AB331" s="247">
        <v>1</v>
      </c>
      <c r="AC331" s="247">
        <v>0.04</v>
      </c>
      <c r="AE331" s="247">
        <v>0.01</v>
      </c>
      <c r="AG331" s="247">
        <f>Table2[[#This Row],[xFOSAs]]+Table2[[#This Row],[xFOSEs]]</f>
        <v>1.4</v>
      </c>
      <c r="AH331" s="247" t="s">
        <v>869</v>
      </c>
      <c r="AJ331" s="206" t="s">
        <v>738</v>
      </c>
      <c r="AK331" s="1" t="s">
        <v>736</v>
      </c>
    </row>
    <row r="332" spans="1:37" x14ac:dyDescent="0.25">
      <c r="A332" s="214" t="s">
        <v>478</v>
      </c>
      <c r="B332" s="214" t="s">
        <v>891</v>
      </c>
      <c r="C332" s="214" t="s">
        <v>451</v>
      </c>
      <c r="D332" s="174" t="s">
        <v>1371</v>
      </c>
      <c r="E332" s="214" t="s">
        <v>1338</v>
      </c>
      <c r="F332" s="214">
        <v>39.454499999999996</v>
      </c>
      <c r="G332" s="214">
        <v>-11.3285</v>
      </c>
      <c r="H332" s="214" t="s">
        <v>1201</v>
      </c>
      <c r="I332" s="713" t="s">
        <v>1468</v>
      </c>
      <c r="J332" s="713" t="str">
        <f t="shared" si="13"/>
        <v/>
      </c>
      <c r="K332" s="713" t="str">
        <f t="shared" si="14"/>
        <v/>
      </c>
      <c r="L332" s="174">
        <v>3</v>
      </c>
      <c r="M332" s="242">
        <v>40483</v>
      </c>
      <c r="N332" s="242"/>
      <c r="O332" s="242"/>
      <c r="P332" s="3"/>
      <c r="Q332" s="214">
        <v>0.56000000000000005</v>
      </c>
      <c r="R332" s="247">
        <v>1</v>
      </c>
      <c r="S332" s="247">
        <v>0.04</v>
      </c>
      <c r="U332" s="247">
        <v>0.01</v>
      </c>
      <c r="AA332" s="214">
        <v>0.69000000000000006</v>
      </c>
      <c r="AB332" s="247">
        <v>1</v>
      </c>
      <c r="AC332" s="247">
        <v>0.04</v>
      </c>
      <c r="AE332" s="247">
        <v>0.01</v>
      </c>
      <c r="AG332" s="247">
        <f>Table2[[#This Row],[xFOSAs]]+Table2[[#This Row],[xFOSEs]]</f>
        <v>1.25</v>
      </c>
      <c r="AH332" s="247" t="s">
        <v>869</v>
      </c>
      <c r="AJ332" s="206" t="s">
        <v>738</v>
      </c>
      <c r="AK332" s="1" t="s">
        <v>736</v>
      </c>
    </row>
    <row r="333" spans="1:37" x14ac:dyDescent="0.25">
      <c r="A333" s="214" t="s">
        <v>478</v>
      </c>
      <c r="B333" s="214" t="s">
        <v>891</v>
      </c>
      <c r="C333" s="214" t="s">
        <v>452</v>
      </c>
      <c r="D333" s="174" t="s">
        <v>1372</v>
      </c>
      <c r="E333" s="214" t="s">
        <v>1339</v>
      </c>
      <c r="F333" s="214">
        <v>34.980000000000004</v>
      </c>
      <c r="G333" s="214">
        <v>-13.009499999999999</v>
      </c>
      <c r="H333" s="214" t="s">
        <v>1201</v>
      </c>
      <c r="I333" s="713" t="s">
        <v>1468</v>
      </c>
      <c r="J333" s="713" t="str">
        <f t="shared" si="13"/>
        <v/>
      </c>
      <c r="K333" s="713" t="str">
        <f t="shared" si="14"/>
        <v/>
      </c>
      <c r="L333" s="174">
        <v>3</v>
      </c>
      <c r="M333" s="242">
        <v>40485</v>
      </c>
      <c r="N333" s="242"/>
      <c r="O333" s="242"/>
      <c r="P333" s="3"/>
      <c r="Q333" s="214">
        <v>1.0900000000000001</v>
      </c>
      <c r="R333" s="247">
        <v>1</v>
      </c>
      <c r="S333" s="247">
        <v>0.04</v>
      </c>
      <c r="U333" s="247">
        <v>0.01</v>
      </c>
      <c r="AA333" s="214">
        <v>0.96000000000000008</v>
      </c>
      <c r="AB333" s="247">
        <v>1</v>
      </c>
      <c r="AC333" s="247">
        <v>0.04</v>
      </c>
      <c r="AE333" s="247">
        <v>0.01</v>
      </c>
      <c r="AG333" s="247">
        <f>Table2[[#This Row],[xFOSAs]]+Table2[[#This Row],[xFOSEs]]</f>
        <v>2.0500000000000003</v>
      </c>
      <c r="AH333" s="247" t="s">
        <v>869</v>
      </c>
      <c r="AJ333" s="206" t="s">
        <v>738</v>
      </c>
      <c r="AK333" s="1" t="s">
        <v>736</v>
      </c>
    </row>
    <row r="334" spans="1:37" x14ac:dyDescent="0.25">
      <c r="A334" s="214" t="s">
        <v>478</v>
      </c>
      <c r="B334" s="214" t="s">
        <v>891</v>
      </c>
      <c r="C334" s="214" t="s">
        <v>453</v>
      </c>
      <c r="D334" s="174" t="s">
        <v>1373</v>
      </c>
      <c r="E334" s="214" t="s">
        <v>1340</v>
      </c>
      <c r="F334" s="214">
        <v>31.027499999999996</v>
      </c>
      <c r="G334" s="214">
        <v>-14.442</v>
      </c>
      <c r="H334" s="214" t="s">
        <v>1201</v>
      </c>
      <c r="I334" s="713" t="s">
        <v>1468</v>
      </c>
      <c r="J334" s="338" t="s">
        <v>1458</v>
      </c>
      <c r="K334" s="338" t="s">
        <v>1458</v>
      </c>
      <c r="L334" s="174">
        <v>4</v>
      </c>
      <c r="M334" s="242">
        <v>40486</v>
      </c>
      <c r="N334" s="242"/>
      <c r="O334" s="242"/>
      <c r="P334" s="3"/>
      <c r="Q334" s="214">
        <v>1.38</v>
      </c>
      <c r="R334" s="247">
        <v>1</v>
      </c>
      <c r="S334" s="247">
        <v>0.04</v>
      </c>
      <c r="U334" s="247">
        <v>0.01</v>
      </c>
      <c r="AA334" s="214">
        <v>1.1800000000000002</v>
      </c>
      <c r="AB334" s="247">
        <v>1</v>
      </c>
      <c r="AC334" s="247">
        <v>0.04</v>
      </c>
      <c r="AE334" s="247">
        <v>0.01</v>
      </c>
      <c r="AG334" s="247">
        <f>Table2[[#This Row],[xFOSAs]]+Table2[[#This Row],[xFOSEs]]</f>
        <v>2.56</v>
      </c>
      <c r="AH334" s="247" t="s">
        <v>869</v>
      </c>
      <c r="AJ334" s="206" t="s">
        <v>738</v>
      </c>
      <c r="AK334" s="1" t="s">
        <v>736</v>
      </c>
    </row>
    <row r="335" spans="1:37" x14ac:dyDescent="0.25">
      <c r="A335" s="214" t="s">
        <v>478</v>
      </c>
      <c r="B335" s="214" t="s">
        <v>891</v>
      </c>
      <c r="C335" s="214" t="s">
        <v>454</v>
      </c>
      <c r="D335" s="174" t="s">
        <v>1374</v>
      </c>
      <c r="E335" s="214" t="s">
        <v>1341</v>
      </c>
      <c r="F335" s="214">
        <v>26.148499999999999</v>
      </c>
      <c r="G335" s="214">
        <v>-17.994500000000002</v>
      </c>
      <c r="H335" s="214" t="s">
        <v>1201</v>
      </c>
      <c r="I335" s="713" t="s">
        <v>1468</v>
      </c>
      <c r="J335" s="338" t="s">
        <v>1458</v>
      </c>
      <c r="K335" s="338" t="s">
        <v>1458</v>
      </c>
      <c r="L335" s="174">
        <v>4</v>
      </c>
      <c r="M335" s="242">
        <v>40488</v>
      </c>
      <c r="N335" s="242"/>
      <c r="O335" s="242"/>
      <c r="P335" s="3"/>
      <c r="Q335" s="214">
        <v>1.06</v>
      </c>
      <c r="R335" s="247">
        <v>1</v>
      </c>
      <c r="S335" s="247">
        <v>0.04</v>
      </c>
      <c r="U335" s="247">
        <v>0.01</v>
      </c>
      <c r="AA335" s="214">
        <v>1.56</v>
      </c>
      <c r="AB335" s="247">
        <v>1</v>
      </c>
      <c r="AC335" s="247">
        <v>0.04</v>
      </c>
      <c r="AE335" s="247">
        <v>0.01</v>
      </c>
      <c r="AG335" s="247">
        <f>Table2[[#This Row],[xFOSAs]]+Table2[[#This Row],[xFOSEs]]</f>
        <v>2.62</v>
      </c>
      <c r="AH335" s="247" t="s">
        <v>869</v>
      </c>
      <c r="AJ335" s="206" t="s">
        <v>738</v>
      </c>
      <c r="AK335" s="1" t="s">
        <v>736</v>
      </c>
    </row>
    <row r="336" spans="1:37" x14ac:dyDescent="0.25">
      <c r="A336" s="214" t="s">
        <v>478</v>
      </c>
      <c r="B336" s="214" t="s">
        <v>891</v>
      </c>
      <c r="C336" s="214" t="s">
        <v>122</v>
      </c>
      <c r="D336" s="174" t="s">
        <v>1375</v>
      </c>
      <c r="E336" s="214" t="s">
        <v>1342</v>
      </c>
      <c r="F336" s="214">
        <v>19.369</v>
      </c>
      <c r="G336" s="214">
        <v>-20.782</v>
      </c>
      <c r="H336" s="214" t="s">
        <v>1201</v>
      </c>
      <c r="I336" s="713" t="s">
        <v>1468</v>
      </c>
      <c r="J336" s="713" t="str">
        <f t="shared" si="13"/>
        <v/>
      </c>
      <c r="K336" s="713" t="str">
        <f t="shared" si="14"/>
        <v/>
      </c>
      <c r="L336" s="174">
        <v>4</v>
      </c>
      <c r="M336" s="242">
        <v>40489</v>
      </c>
      <c r="N336" s="242"/>
      <c r="O336" s="242"/>
      <c r="P336" s="3"/>
      <c r="Q336" s="214">
        <v>0.75</v>
      </c>
      <c r="R336" s="247">
        <v>1</v>
      </c>
      <c r="S336" s="247">
        <v>0.04</v>
      </c>
      <c r="U336" s="247">
        <v>0.01</v>
      </c>
      <c r="AA336" s="214">
        <v>0.95</v>
      </c>
      <c r="AB336" s="247">
        <v>1</v>
      </c>
      <c r="AC336" s="247">
        <v>0.04</v>
      </c>
      <c r="AE336" s="247">
        <v>0.01</v>
      </c>
      <c r="AG336" s="247">
        <f>Table2[[#This Row],[xFOSAs]]+Table2[[#This Row],[xFOSEs]]</f>
        <v>1.7</v>
      </c>
      <c r="AH336" s="247" t="s">
        <v>869</v>
      </c>
      <c r="AJ336" s="206" t="s">
        <v>738</v>
      </c>
      <c r="AK336" s="1" t="s">
        <v>736</v>
      </c>
    </row>
    <row r="337" spans="1:37" x14ac:dyDescent="0.25">
      <c r="A337" s="161" t="s">
        <v>669</v>
      </c>
      <c r="B337" s="161" t="s">
        <v>717</v>
      </c>
      <c r="C337" s="161" t="s">
        <v>113</v>
      </c>
      <c r="D337" s="174">
        <v>54.689</v>
      </c>
      <c r="E337" s="174">
        <v>9.1859999999999999</v>
      </c>
      <c r="F337" s="174">
        <v>54.689</v>
      </c>
      <c r="G337" s="174">
        <v>9.1859999999999999</v>
      </c>
      <c r="H337" s="174" t="s">
        <v>1200</v>
      </c>
      <c r="I337" s="713" t="s">
        <v>1468</v>
      </c>
      <c r="J337" s="338" t="s">
        <v>1458</v>
      </c>
      <c r="K337" s="338" t="s">
        <v>1458</v>
      </c>
      <c r="L337" s="174">
        <v>2</v>
      </c>
      <c r="M337" s="242">
        <v>39934</v>
      </c>
      <c r="N337" s="242"/>
      <c r="O337" s="242"/>
      <c r="P337" s="3"/>
      <c r="Q337" s="214">
        <v>26.1</v>
      </c>
      <c r="R337" s="247">
        <v>1</v>
      </c>
      <c r="S337" s="247">
        <v>0.4</v>
      </c>
      <c r="U337" s="247">
        <v>0.1</v>
      </c>
      <c r="AA337" s="214">
        <v>14.8</v>
      </c>
      <c r="AB337" s="247">
        <v>1</v>
      </c>
      <c r="AC337" s="247">
        <v>0.1</v>
      </c>
      <c r="AE337" s="247">
        <v>0.8</v>
      </c>
      <c r="AG337" s="247">
        <f>Table2[[#This Row],[xFOSAs]]+Table2[[#This Row],[xFOSEs]]</f>
        <v>40.900000000000006</v>
      </c>
      <c r="AH337" s="247" t="s">
        <v>869</v>
      </c>
      <c r="AJ337" s="1" t="s">
        <v>738</v>
      </c>
      <c r="AK337" s="1" t="s">
        <v>736</v>
      </c>
    </row>
    <row r="338" spans="1:37" x14ac:dyDescent="0.25">
      <c r="A338" s="161" t="s">
        <v>669</v>
      </c>
      <c r="B338" s="161" t="s">
        <v>717</v>
      </c>
      <c r="C338" s="161" t="s">
        <v>114</v>
      </c>
      <c r="D338" s="174">
        <v>54.643000000000001</v>
      </c>
      <c r="E338" s="174">
        <v>6.36</v>
      </c>
      <c r="F338" s="174">
        <v>54.643000000000001</v>
      </c>
      <c r="G338" s="174">
        <v>6.36</v>
      </c>
      <c r="H338" s="174" t="s">
        <v>1200</v>
      </c>
      <c r="I338" s="713" t="s">
        <v>1468</v>
      </c>
      <c r="J338" s="338" t="s">
        <v>1458</v>
      </c>
      <c r="K338" s="338" t="s">
        <v>1458</v>
      </c>
      <c r="L338" s="174">
        <v>2</v>
      </c>
      <c r="M338" s="242">
        <v>39934</v>
      </c>
      <c r="N338" s="242"/>
      <c r="O338" s="242"/>
      <c r="P338" s="3"/>
      <c r="Q338" s="214">
        <v>8.6999999999999993</v>
      </c>
      <c r="R338" s="247">
        <v>1</v>
      </c>
      <c r="S338" s="247">
        <v>0.4</v>
      </c>
      <c r="U338" s="247">
        <v>0.1</v>
      </c>
      <c r="AA338" s="214">
        <v>6.5</v>
      </c>
      <c r="AB338" s="247">
        <v>1</v>
      </c>
      <c r="AC338" s="247">
        <v>0.1</v>
      </c>
      <c r="AE338" s="247">
        <v>0.8</v>
      </c>
      <c r="AG338" s="247">
        <f>Table2[[#This Row],[xFOSAs]]+Table2[[#This Row],[xFOSEs]]</f>
        <v>15.2</v>
      </c>
      <c r="AH338" s="247" t="s">
        <v>869</v>
      </c>
      <c r="AJ338" s="1" t="s">
        <v>738</v>
      </c>
      <c r="AK338" s="1" t="s">
        <v>736</v>
      </c>
    </row>
    <row r="339" spans="1:37" x14ac:dyDescent="0.25">
      <c r="A339" s="161" t="s">
        <v>669</v>
      </c>
      <c r="B339" s="161" t="s">
        <v>717</v>
      </c>
      <c r="C339" s="161" t="s">
        <v>115</v>
      </c>
      <c r="D339" s="174">
        <v>54.225999999999999</v>
      </c>
      <c r="E339" s="174">
        <v>8.2260000000000009</v>
      </c>
      <c r="F339" s="174">
        <v>54.225999999999999</v>
      </c>
      <c r="G339" s="174">
        <v>8.2260000000000009</v>
      </c>
      <c r="H339" s="174" t="s">
        <v>1200</v>
      </c>
      <c r="I339" s="713" t="s">
        <v>1468</v>
      </c>
      <c r="J339" s="338" t="s">
        <v>1458</v>
      </c>
      <c r="K339" s="338" t="s">
        <v>1458</v>
      </c>
      <c r="L339" s="174">
        <v>2</v>
      </c>
      <c r="M339" s="242">
        <v>39934</v>
      </c>
      <c r="N339" s="242"/>
      <c r="O339" s="242"/>
      <c r="P339" s="3"/>
      <c r="Q339" s="214">
        <f>4.8+6.3</f>
        <v>11.1</v>
      </c>
      <c r="R339" s="247">
        <v>1</v>
      </c>
      <c r="S339" s="247">
        <v>0.4</v>
      </c>
      <c r="U339" s="247">
        <v>0.1</v>
      </c>
      <c r="AA339" s="214">
        <v>2.2999999999999998</v>
      </c>
      <c r="AB339" s="247">
        <v>1</v>
      </c>
      <c r="AC339" s="247">
        <v>0.1</v>
      </c>
      <c r="AE339" s="247">
        <v>0.8</v>
      </c>
      <c r="AG339" s="247">
        <f>Table2[[#This Row],[xFOSAs]]+Table2[[#This Row],[xFOSEs]]</f>
        <v>13.399999999999999</v>
      </c>
      <c r="AH339" s="247" t="s">
        <v>869</v>
      </c>
      <c r="AJ339" s="1" t="s">
        <v>738</v>
      </c>
      <c r="AK339" s="1" t="s">
        <v>736</v>
      </c>
    </row>
    <row r="340" spans="1:37" x14ac:dyDescent="0.25">
      <c r="A340" s="161" t="s">
        <v>669</v>
      </c>
      <c r="B340" s="161" t="s">
        <v>717</v>
      </c>
      <c r="C340" s="161" t="s">
        <v>450</v>
      </c>
      <c r="D340" s="174">
        <v>54.006999999999998</v>
      </c>
      <c r="E340" s="174">
        <v>7.6340000000000003</v>
      </c>
      <c r="F340" s="174">
        <v>54.006999999999998</v>
      </c>
      <c r="G340" s="174">
        <v>7.6340000000000003</v>
      </c>
      <c r="H340" s="174" t="s">
        <v>1200</v>
      </c>
      <c r="I340" s="713" t="s">
        <v>1468</v>
      </c>
      <c r="J340" s="338" t="s">
        <v>1458</v>
      </c>
      <c r="K340" s="338" t="s">
        <v>1458</v>
      </c>
      <c r="L340" s="174">
        <v>2</v>
      </c>
      <c r="M340" s="242">
        <v>39934</v>
      </c>
      <c r="N340" s="242"/>
      <c r="O340" s="242"/>
      <c r="P340" s="3"/>
      <c r="Q340" s="214">
        <v>2.4</v>
      </c>
      <c r="R340" s="247">
        <v>1</v>
      </c>
      <c r="S340" s="247">
        <v>0.4</v>
      </c>
      <c r="U340" s="247">
        <v>0.1</v>
      </c>
      <c r="AA340" s="214">
        <v>3</v>
      </c>
      <c r="AB340" s="247">
        <v>1</v>
      </c>
      <c r="AC340" s="247">
        <v>0.1</v>
      </c>
      <c r="AE340" s="247">
        <v>0.8</v>
      </c>
      <c r="AG340" s="247">
        <f>Table2[[#This Row],[xFOSAs]]+Table2[[#This Row],[xFOSEs]]</f>
        <v>5.4</v>
      </c>
      <c r="AH340" s="247" t="s">
        <v>869</v>
      </c>
      <c r="AJ340" s="1" t="s">
        <v>738</v>
      </c>
      <c r="AK340" s="1" t="s">
        <v>736</v>
      </c>
    </row>
    <row r="341" spans="1:37" x14ac:dyDescent="0.25">
      <c r="A341" s="161" t="s">
        <v>669</v>
      </c>
      <c r="B341" s="161" t="s">
        <v>717</v>
      </c>
      <c r="C341" s="161" t="s">
        <v>451</v>
      </c>
      <c r="D341" s="174">
        <v>55.003999999999998</v>
      </c>
      <c r="E341" s="174">
        <v>6.3650000000000002</v>
      </c>
      <c r="F341" s="174">
        <v>55.003999999999998</v>
      </c>
      <c r="G341" s="174">
        <v>6.3650000000000002</v>
      </c>
      <c r="H341" s="174" t="s">
        <v>1200</v>
      </c>
      <c r="I341" s="713" t="s">
        <v>1468</v>
      </c>
      <c r="J341" s="338" t="s">
        <v>1458</v>
      </c>
      <c r="K341" s="338" t="s">
        <v>1458</v>
      </c>
      <c r="L341" s="174">
        <v>2</v>
      </c>
      <c r="M341" s="242">
        <v>39934</v>
      </c>
      <c r="N341" s="242"/>
      <c r="O341" s="242"/>
      <c r="P341" s="3"/>
      <c r="Q341" s="214">
        <v>4.5</v>
      </c>
      <c r="R341" s="247">
        <v>1</v>
      </c>
      <c r="S341" s="247">
        <v>0.4</v>
      </c>
      <c r="U341" s="247">
        <v>0.1</v>
      </c>
      <c r="AA341" s="214">
        <v>5.6</v>
      </c>
      <c r="AB341" s="247">
        <v>1</v>
      </c>
      <c r="AC341" s="247">
        <v>0.1</v>
      </c>
      <c r="AE341" s="247">
        <v>0.8</v>
      </c>
      <c r="AG341" s="247">
        <f>Table2[[#This Row],[xFOSAs]]+Table2[[#This Row],[xFOSEs]]</f>
        <v>10.1</v>
      </c>
      <c r="AH341" s="247" t="s">
        <v>869</v>
      </c>
      <c r="AJ341" s="1" t="s">
        <v>738</v>
      </c>
      <c r="AK341" s="1" t="s">
        <v>736</v>
      </c>
    </row>
    <row r="342" spans="1:37" x14ac:dyDescent="0.25">
      <c r="A342" s="161" t="s">
        <v>669</v>
      </c>
      <c r="B342" s="161" t="s">
        <v>717</v>
      </c>
      <c r="C342" s="161" t="s">
        <v>452</v>
      </c>
      <c r="D342" s="174">
        <v>55.000999999999998</v>
      </c>
      <c r="E342" s="174">
        <v>5.585</v>
      </c>
      <c r="F342" s="174">
        <v>55.000999999999998</v>
      </c>
      <c r="G342" s="174">
        <v>5.585</v>
      </c>
      <c r="H342" s="174" t="s">
        <v>1200</v>
      </c>
      <c r="I342" s="713" t="s">
        <v>1468</v>
      </c>
      <c r="J342" s="338" t="s">
        <v>1458</v>
      </c>
      <c r="K342" s="338" t="s">
        <v>1458</v>
      </c>
      <c r="L342" s="174">
        <v>2</v>
      </c>
      <c r="M342" s="242">
        <v>39934</v>
      </c>
      <c r="N342" s="242"/>
      <c r="O342" s="242"/>
      <c r="P342" s="3"/>
      <c r="Q342" s="214">
        <v>6.2</v>
      </c>
      <c r="R342" s="247">
        <v>1</v>
      </c>
      <c r="S342" s="247">
        <v>0.4</v>
      </c>
      <c r="U342" s="247">
        <v>0.1</v>
      </c>
      <c r="AA342" s="214">
        <v>6.7</v>
      </c>
      <c r="AB342" s="247">
        <v>1</v>
      </c>
      <c r="AC342" s="247">
        <v>0.1</v>
      </c>
      <c r="AE342" s="247">
        <v>0.8</v>
      </c>
      <c r="AG342" s="247">
        <f>Table2[[#This Row],[xFOSAs]]+Table2[[#This Row],[xFOSEs]]</f>
        <v>12.9</v>
      </c>
      <c r="AH342" s="247" t="s">
        <v>869</v>
      </c>
      <c r="AJ342" s="1" t="s">
        <v>738</v>
      </c>
      <c r="AK342" s="1" t="s">
        <v>736</v>
      </c>
    </row>
    <row r="343" spans="1:37" x14ac:dyDescent="0.25">
      <c r="A343" s="161" t="s">
        <v>669</v>
      </c>
      <c r="B343" s="161" t="s">
        <v>717</v>
      </c>
      <c r="C343" s="161" t="s">
        <v>453</v>
      </c>
      <c r="D343" s="174">
        <v>54.597999999999999</v>
      </c>
      <c r="E343" s="174">
        <v>4.5</v>
      </c>
      <c r="F343" s="174">
        <v>54.597999999999999</v>
      </c>
      <c r="G343" s="174">
        <v>4.5</v>
      </c>
      <c r="H343" s="174" t="s">
        <v>1200</v>
      </c>
      <c r="I343" s="713" t="s">
        <v>1468</v>
      </c>
      <c r="J343" s="338" t="s">
        <v>1458</v>
      </c>
      <c r="K343" s="338" t="s">
        <v>1458</v>
      </c>
      <c r="L343" s="174">
        <v>2</v>
      </c>
      <c r="M343" s="242">
        <v>39934</v>
      </c>
      <c r="N343" s="242"/>
      <c r="O343" s="242"/>
      <c r="P343" s="3"/>
      <c r="Q343" s="214">
        <v>2.2000000000000002</v>
      </c>
      <c r="R343" s="247">
        <v>1</v>
      </c>
      <c r="S343" s="247">
        <v>0.4</v>
      </c>
      <c r="U343" s="247">
        <v>0.1</v>
      </c>
      <c r="AA343" s="214">
        <v>4</v>
      </c>
      <c r="AB343" s="247">
        <v>1</v>
      </c>
      <c r="AC343" s="247">
        <v>0.1</v>
      </c>
      <c r="AE343" s="247">
        <v>0.8</v>
      </c>
      <c r="AG343" s="247">
        <f>Table2[[#This Row],[xFOSAs]]+Table2[[#This Row],[xFOSEs]]</f>
        <v>6.2</v>
      </c>
      <c r="AH343" s="247" t="s">
        <v>869</v>
      </c>
      <c r="AJ343" s="1" t="s">
        <v>738</v>
      </c>
      <c r="AK343" s="1" t="s">
        <v>736</v>
      </c>
    </row>
    <row r="344" spans="1:37" x14ac:dyDescent="0.25">
      <c r="A344" s="161" t="s">
        <v>669</v>
      </c>
      <c r="B344" s="161" t="s">
        <v>717</v>
      </c>
      <c r="C344" s="161" t="s">
        <v>454</v>
      </c>
      <c r="D344" s="174">
        <v>53.731999999999999</v>
      </c>
      <c r="E344" s="174">
        <v>5.5279999999999996</v>
      </c>
      <c r="F344" s="174">
        <v>53.731999999999999</v>
      </c>
      <c r="G344" s="174">
        <v>5.5279999999999996</v>
      </c>
      <c r="H344" s="174" t="s">
        <v>1200</v>
      </c>
      <c r="I344" s="713" t="s">
        <v>1468</v>
      </c>
      <c r="J344" s="338" t="s">
        <v>1458</v>
      </c>
      <c r="K344" s="338" t="s">
        <v>1458</v>
      </c>
      <c r="L344" s="174">
        <v>3</v>
      </c>
      <c r="M344" s="242">
        <v>39934</v>
      </c>
      <c r="N344" s="242"/>
      <c r="O344" s="242"/>
      <c r="P344" s="3"/>
      <c r="Q344" s="214">
        <v>2.4</v>
      </c>
      <c r="R344" s="247">
        <v>1</v>
      </c>
      <c r="S344" s="247">
        <v>0.4</v>
      </c>
      <c r="U344" s="247">
        <v>0.1</v>
      </c>
      <c r="AA344" s="214">
        <v>3.2</v>
      </c>
      <c r="AB344" s="247">
        <v>1</v>
      </c>
      <c r="AC344" s="247">
        <v>0.1</v>
      </c>
      <c r="AE344" s="247">
        <v>0.8</v>
      </c>
      <c r="AG344" s="247">
        <f>Table2[[#This Row],[xFOSAs]]+Table2[[#This Row],[xFOSEs]]</f>
        <v>5.6</v>
      </c>
      <c r="AH344" s="247" t="s">
        <v>869</v>
      </c>
      <c r="AJ344" s="1" t="s">
        <v>738</v>
      </c>
      <c r="AK344" s="1" t="s">
        <v>736</v>
      </c>
    </row>
    <row r="345" spans="1:37" x14ac:dyDescent="0.25">
      <c r="A345" s="161" t="s">
        <v>669</v>
      </c>
      <c r="B345" s="161" t="s">
        <v>717</v>
      </c>
      <c r="C345" s="161" t="s">
        <v>122</v>
      </c>
      <c r="D345" s="174">
        <v>53.892000000000003</v>
      </c>
      <c r="E345" s="174">
        <v>6.9119999999999999</v>
      </c>
      <c r="F345" s="174">
        <v>53.892000000000003</v>
      </c>
      <c r="G345" s="174">
        <v>6.9119999999999999</v>
      </c>
      <c r="H345" s="174" t="s">
        <v>1200</v>
      </c>
      <c r="I345" s="713" t="s">
        <v>1468</v>
      </c>
      <c r="J345" s="338" t="s">
        <v>1458</v>
      </c>
      <c r="K345" s="338" t="s">
        <v>1458</v>
      </c>
      <c r="L345" s="174">
        <v>3</v>
      </c>
      <c r="M345" s="242">
        <v>39934</v>
      </c>
      <c r="N345" s="242"/>
      <c r="O345" s="242"/>
      <c r="P345" s="3"/>
      <c r="Q345" s="214">
        <v>2.7</v>
      </c>
      <c r="R345" s="247">
        <v>1</v>
      </c>
      <c r="S345" s="247">
        <v>0.4</v>
      </c>
      <c r="U345" s="247">
        <v>0.1</v>
      </c>
      <c r="AA345" s="214">
        <v>5.6</v>
      </c>
      <c r="AB345" s="247">
        <v>1</v>
      </c>
      <c r="AC345" s="247">
        <v>0.1</v>
      </c>
      <c r="AE345" s="247">
        <v>0.8</v>
      </c>
      <c r="AG345" s="247">
        <f>Table2[[#This Row],[xFOSAs]]+Table2[[#This Row],[xFOSEs]]</f>
        <v>8.3000000000000007</v>
      </c>
      <c r="AH345" s="247" t="s">
        <v>869</v>
      </c>
      <c r="AJ345" s="1" t="s">
        <v>738</v>
      </c>
      <c r="AK345" s="1" t="s">
        <v>736</v>
      </c>
    </row>
    <row r="346" spans="1:37" x14ac:dyDescent="0.25">
      <c r="A346" s="248" t="s">
        <v>773</v>
      </c>
      <c r="B346" s="248" t="s">
        <v>772</v>
      </c>
      <c r="C346" s="248" t="s">
        <v>902</v>
      </c>
      <c r="D346" s="624">
        <v>78.92</v>
      </c>
      <c r="E346" s="248">
        <v>11.93</v>
      </c>
      <c r="F346" s="624">
        <v>78.92</v>
      </c>
      <c r="G346" s="248">
        <v>11.93</v>
      </c>
      <c r="H346" s="214" t="s">
        <v>1203</v>
      </c>
      <c r="J346" s="338" t="s">
        <v>1458</v>
      </c>
      <c r="K346" s="338" t="s">
        <v>1458</v>
      </c>
      <c r="L346" s="624">
        <v>1</v>
      </c>
      <c r="M346" s="625">
        <v>40813</v>
      </c>
      <c r="N346" s="625"/>
      <c r="O346" s="625"/>
      <c r="P346" s="703"/>
      <c r="Q346" s="248"/>
      <c r="AG346" s="247">
        <f>Table2[[#This Row],[xFOSAs]]+Table2[[#This Row],[xFOSEs]]</f>
        <v>0</v>
      </c>
      <c r="AH346" s="247" t="s">
        <v>869</v>
      </c>
      <c r="AI346" s="1" t="s">
        <v>883</v>
      </c>
    </row>
    <row r="347" spans="1:37" x14ac:dyDescent="0.25">
      <c r="A347" s="174" t="s">
        <v>1774</v>
      </c>
      <c r="B347" s="174" t="s">
        <v>1775</v>
      </c>
      <c r="C347" s="174">
        <v>1</v>
      </c>
      <c r="D347" s="174">
        <v>81.599999999999994</v>
      </c>
      <c r="E347" s="174">
        <v>-16.667000000000002</v>
      </c>
      <c r="F347" s="174">
        <v>81.599999999999994</v>
      </c>
      <c r="G347" s="174">
        <v>-16.667000000000002</v>
      </c>
      <c r="H347" s="174" t="s">
        <v>1203</v>
      </c>
      <c r="I347" s="174" t="s">
        <v>1468</v>
      </c>
      <c r="J347" s="639" t="str">
        <f t="shared" ref="J347:J378" si="15">IF(R347=1,"","yes")</f>
        <v/>
      </c>
      <c r="K347" s="639" t="str">
        <f t="shared" ref="K347:K378" si="16">IF(AB347=1,"","yes")</f>
        <v>yes</v>
      </c>
      <c r="L347" s="174">
        <v>1</v>
      </c>
      <c r="M347" s="912">
        <v>39475</v>
      </c>
      <c r="N347" s="639">
        <v>0.24752915844201756</v>
      </c>
      <c r="O347" s="639">
        <v>0.31593667835812433</v>
      </c>
      <c r="P347" s="639"/>
      <c r="Q347" s="639">
        <v>0.56346583680014195</v>
      </c>
      <c r="R347" s="910">
        <v>1</v>
      </c>
      <c r="S347" s="910"/>
      <c r="T347" s="910"/>
      <c r="U347" s="910"/>
      <c r="V347" s="910"/>
      <c r="W347" s="910"/>
      <c r="X347" s="910"/>
      <c r="Y347" s="910">
        <v>0.06</v>
      </c>
      <c r="Z347" s="910">
        <v>0.08</v>
      </c>
      <c r="AA347" s="909">
        <v>0.06</v>
      </c>
      <c r="AB347" s="910">
        <v>0</v>
      </c>
      <c r="AC347" s="910"/>
      <c r="AD347" s="910"/>
      <c r="AE347" s="910"/>
      <c r="AF347" s="910"/>
      <c r="AG347" s="911">
        <f>Table2[[#This Row],[xFOSAs]]+Table2[[#This Row],[xFOSEs]]</f>
        <v>0.623465836800142</v>
      </c>
      <c r="AH347" s="910" t="s">
        <v>869</v>
      </c>
      <c r="AI347" s="5"/>
      <c r="AJ347" s="5" t="s">
        <v>1776</v>
      </c>
      <c r="AK347" s="1" t="s">
        <v>723</v>
      </c>
    </row>
    <row r="348" spans="1:37" x14ac:dyDescent="0.25">
      <c r="A348" s="174" t="s">
        <v>1774</v>
      </c>
      <c r="B348" s="174" t="s">
        <v>1775</v>
      </c>
      <c r="C348" s="174">
        <v>2</v>
      </c>
      <c r="D348" s="174">
        <v>81.599999999999994</v>
      </c>
      <c r="E348" s="174">
        <v>-16.667000000000002</v>
      </c>
      <c r="F348" s="174">
        <v>81.599999999999994</v>
      </c>
      <c r="G348" s="174">
        <v>-16.667000000000002</v>
      </c>
      <c r="H348" s="174" t="s">
        <v>1203</v>
      </c>
      <c r="I348" s="174" t="s">
        <v>1468</v>
      </c>
      <c r="J348" s="907" t="str">
        <f t="shared" si="15"/>
        <v/>
      </c>
      <c r="K348" s="907" t="str">
        <f t="shared" si="16"/>
        <v>yes</v>
      </c>
      <c r="L348" s="174">
        <v>1</v>
      </c>
      <c r="M348" s="913">
        <v>39503</v>
      </c>
      <c r="N348" s="907">
        <v>0.29897156651246748</v>
      </c>
      <c r="O348" s="907">
        <v>0.3444627342898971</v>
      </c>
      <c r="P348" s="907"/>
      <c r="Q348" s="907">
        <v>0.64343430080236463</v>
      </c>
      <c r="R348" s="247">
        <v>1</v>
      </c>
      <c r="Y348" s="247">
        <v>0.06</v>
      </c>
      <c r="Z348" s="247">
        <v>0.08</v>
      </c>
      <c r="AA348" s="249">
        <v>0.06</v>
      </c>
      <c r="AB348" s="247">
        <v>0</v>
      </c>
      <c r="AG348" s="908">
        <f>Table2[[#This Row],[xFOSAs]]+Table2[[#This Row],[xFOSEs]]</f>
        <v>0.70343430080236469</v>
      </c>
      <c r="AH348" s="910" t="s">
        <v>869</v>
      </c>
      <c r="AJ348" s="5" t="s">
        <v>1776</v>
      </c>
      <c r="AK348" s="1" t="s">
        <v>723</v>
      </c>
    </row>
    <row r="349" spans="1:37" x14ac:dyDescent="0.25">
      <c r="A349" s="174" t="s">
        <v>1774</v>
      </c>
      <c r="B349" s="174" t="s">
        <v>1775</v>
      </c>
      <c r="C349" s="174">
        <v>3</v>
      </c>
      <c r="D349" s="174">
        <v>81.599999999999994</v>
      </c>
      <c r="E349" s="174">
        <v>-16.667000000000002</v>
      </c>
      <c r="F349" s="174">
        <v>81.599999999999994</v>
      </c>
      <c r="G349" s="174">
        <v>-16.667000000000002</v>
      </c>
      <c r="H349" s="174" t="s">
        <v>1203</v>
      </c>
      <c r="I349" s="174" t="s">
        <v>1468</v>
      </c>
      <c r="J349" s="907" t="str">
        <f t="shared" si="15"/>
        <v>yes</v>
      </c>
      <c r="K349" s="907" t="str">
        <f t="shared" si="16"/>
        <v>yes</v>
      </c>
      <c r="L349" s="174">
        <v>1</v>
      </c>
      <c r="M349" s="912">
        <v>39531</v>
      </c>
      <c r="N349" s="907">
        <v>0.1</v>
      </c>
      <c r="O349" s="907">
        <v>0.11</v>
      </c>
      <c r="P349" s="907"/>
      <c r="Q349" s="907">
        <v>0.21000000000000002</v>
      </c>
      <c r="R349" s="247">
        <v>0</v>
      </c>
      <c r="Y349" s="247">
        <v>0.06</v>
      </c>
      <c r="Z349" s="247">
        <v>0.08</v>
      </c>
      <c r="AA349" s="249">
        <v>0.06</v>
      </c>
      <c r="AB349" s="247">
        <v>0</v>
      </c>
      <c r="AG349" s="908">
        <f>Table2[[#This Row],[xFOSAs]]+Table2[[#This Row],[xFOSEs]]</f>
        <v>0.27</v>
      </c>
      <c r="AH349" s="910" t="s">
        <v>869</v>
      </c>
      <c r="AJ349" s="5" t="s">
        <v>1776</v>
      </c>
      <c r="AK349" s="1" t="s">
        <v>723</v>
      </c>
    </row>
    <row r="350" spans="1:37" x14ac:dyDescent="0.25">
      <c r="A350" s="174" t="s">
        <v>1774</v>
      </c>
      <c r="B350" s="174" t="s">
        <v>1775</v>
      </c>
      <c r="C350" s="174">
        <v>4</v>
      </c>
      <c r="D350" s="174">
        <v>81.599999999999994</v>
      </c>
      <c r="E350" s="174">
        <v>-16.667000000000002</v>
      </c>
      <c r="F350" s="174">
        <v>81.599999999999994</v>
      </c>
      <c r="G350" s="174">
        <v>-16.667000000000002</v>
      </c>
      <c r="H350" s="174" t="s">
        <v>1203</v>
      </c>
      <c r="I350" s="174" t="s">
        <v>1468</v>
      </c>
      <c r="J350" s="907" t="str">
        <f t="shared" si="15"/>
        <v/>
      </c>
      <c r="K350" s="907" t="str">
        <f t="shared" si="16"/>
        <v>yes</v>
      </c>
      <c r="L350" s="174">
        <v>1</v>
      </c>
      <c r="M350" s="913">
        <v>39552</v>
      </c>
      <c r="N350" s="907">
        <v>0.22038304951289533</v>
      </c>
      <c r="O350" s="907">
        <v>0.23938257506332622</v>
      </c>
      <c r="P350" s="907"/>
      <c r="Q350" s="907">
        <v>0.45976562457622155</v>
      </c>
      <c r="R350" s="247">
        <v>1</v>
      </c>
      <c r="Y350" s="247">
        <v>0.06</v>
      </c>
      <c r="Z350" s="247">
        <v>0.08</v>
      </c>
      <c r="AA350" s="249">
        <v>0.06</v>
      </c>
      <c r="AB350" s="247">
        <v>0</v>
      </c>
      <c r="AG350" s="908">
        <f>Table2[[#This Row],[xFOSAs]]+Table2[[#This Row],[xFOSEs]]</f>
        <v>0.51976562457622155</v>
      </c>
      <c r="AH350" s="910" t="s">
        <v>869</v>
      </c>
      <c r="AJ350" s="5" t="s">
        <v>1776</v>
      </c>
      <c r="AK350" s="1" t="s">
        <v>723</v>
      </c>
    </row>
    <row r="351" spans="1:37" x14ac:dyDescent="0.25">
      <c r="A351" s="174" t="s">
        <v>1774</v>
      </c>
      <c r="B351" s="174" t="s">
        <v>1775</v>
      </c>
      <c r="C351" s="174">
        <v>5</v>
      </c>
      <c r="D351" s="174">
        <v>81.599999999999994</v>
      </c>
      <c r="E351" s="174">
        <v>-16.667000000000002</v>
      </c>
      <c r="F351" s="174">
        <v>81.599999999999994</v>
      </c>
      <c r="G351" s="174">
        <v>-16.667000000000002</v>
      </c>
      <c r="H351" s="174" t="s">
        <v>1203</v>
      </c>
      <c r="I351" s="174" t="s">
        <v>1468</v>
      </c>
      <c r="J351" s="907" t="str">
        <f t="shared" si="15"/>
        <v/>
      </c>
      <c r="K351" s="907" t="str">
        <f t="shared" si="16"/>
        <v>yes</v>
      </c>
      <c r="L351" s="174">
        <v>1</v>
      </c>
      <c r="M351" s="913">
        <v>39580</v>
      </c>
      <c r="N351" s="907">
        <v>0.25770688980356227</v>
      </c>
      <c r="O351" s="907">
        <v>0.29122557433634561</v>
      </c>
      <c r="P351" s="907"/>
      <c r="Q351" s="907">
        <v>0.54893246413990782</v>
      </c>
      <c r="R351" s="247">
        <v>1</v>
      </c>
      <c r="Y351" s="247">
        <v>0.06</v>
      </c>
      <c r="Z351" s="247">
        <v>0.08</v>
      </c>
      <c r="AA351" s="249">
        <v>0.06</v>
      </c>
      <c r="AB351" s="247">
        <v>0</v>
      </c>
      <c r="AG351" s="908">
        <f>Table2[[#This Row],[xFOSAs]]+Table2[[#This Row],[xFOSEs]]</f>
        <v>0.60893246413990787</v>
      </c>
      <c r="AH351" s="910" t="s">
        <v>869</v>
      </c>
      <c r="AJ351" s="5" t="s">
        <v>1776</v>
      </c>
      <c r="AK351" s="1" t="s">
        <v>723</v>
      </c>
    </row>
    <row r="352" spans="1:37" x14ac:dyDescent="0.25">
      <c r="A352" s="174" t="s">
        <v>1774</v>
      </c>
      <c r="B352" s="174" t="s">
        <v>1775</v>
      </c>
      <c r="C352" s="174">
        <v>6</v>
      </c>
      <c r="D352" s="174">
        <v>81.599999999999994</v>
      </c>
      <c r="E352" s="174">
        <v>-16.667000000000002</v>
      </c>
      <c r="F352" s="174">
        <v>81.599999999999994</v>
      </c>
      <c r="G352" s="174">
        <v>-16.667000000000002</v>
      </c>
      <c r="H352" s="174" t="s">
        <v>1203</v>
      </c>
      <c r="I352" s="174" t="s">
        <v>1468</v>
      </c>
      <c r="J352" s="907" t="str">
        <f t="shared" si="15"/>
        <v/>
      </c>
      <c r="K352" s="907" t="str">
        <f t="shared" si="16"/>
        <v/>
      </c>
      <c r="L352" s="174">
        <v>1</v>
      </c>
      <c r="M352" s="913">
        <v>39622</v>
      </c>
      <c r="N352" s="907">
        <v>0.43249566051064914</v>
      </c>
      <c r="O352" s="907">
        <v>0.42963100381847996</v>
      </c>
      <c r="P352" s="907"/>
      <c r="Q352" s="907">
        <v>0.8621266643291291</v>
      </c>
      <c r="R352" s="247">
        <v>1</v>
      </c>
      <c r="Y352" s="247">
        <v>0.2961457867385604</v>
      </c>
      <c r="Z352" s="247">
        <v>0.71017848599349853</v>
      </c>
      <c r="AA352" s="249">
        <v>0.2961457867385604</v>
      </c>
      <c r="AB352" s="247">
        <v>1</v>
      </c>
      <c r="AG352" s="908">
        <f>Table2[[#This Row],[xFOSAs]]+Table2[[#This Row],[xFOSEs]]</f>
        <v>1.1582724510676896</v>
      </c>
      <c r="AH352" s="910" t="s">
        <v>869</v>
      </c>
      <c r="AJ352" s="5" t="s">
        <v>1776</v>
      </c>
      <c r="AK352" s="1" t="s">
        <v>723</v>
      </c>
    </row>
    <row r="353" spans="1:37" x14ac:dyDescent="0.25">
      <c r="A353" s="174" t="s">
        <v>1774</v>
      </c>
      <c r="B353" s="174" t="s">
        <v>1775</v>
      </c>
      <c r="C353" s="174">
        <v>7</v>
      </c>
      <c r="D353" s="174">
        <v>81.599999999999994</v>
      </c>
      <c r="E353" s="174">
        <v>-16.667000000000002</v>
      </c>
      <c r="F353" s="174">
        <v>81.599999999999994</v>
      </c>
      <c r="G353" s="174">
        <v>-16.667000000000002</v>
      </c>
      <c r="H353" s="174" t="s">
        <v>1203</v>
      </c>
      <c r="I353" s="174" t="s">
        <v>1468</v>
      </c>
      <c r="J353" s="907" t="str">
        <f t="shared" si="15"/>
        <v/>
      </c>
      <c r="K353" s="907" t="str">
        <f t="shared" si="16"/>
        <v/>
      </c>
      <c r="L353" s="174">
        <v>1</v>
      </c>
      <c r="M353" s="913">
        <v>39650</v>
      </c>
      <c r="N353" s="907">
        <v>0.45758554567023846</v>
      </c>
      <c r="O353" s="907">
        <v>0.62359793593130519</v>
      </c>
      <c r="P353" s="907"/>
      <c r="Q353" s="907">
        <v>1.0811834816015438</v>
      </c>
      <c r="R353" s="247">
        <v>1</v>
      </c>
      <c r="Y353" s="247">
        <v>0.29803438649213132</v>
      </c>
      <c r="Z353" s="247">
        <v>1.2196735095197662</v>
      </c>
      <c r="AA353" s="249">
        <v>0.29803438649213132</v>
      </c>
      <c r="AB353" s="247">
        <v>1</v>
      </c>
      <c r="AG353" s="908">
        <f>Table2[[#This Row],[xFOSAs]]+Table2[[#This Row],[xFOSEs]]</f>
        <v>1.3792178680936751</v>
      </c>
      <c r="AH353" s="910" t="s">
        <v>869</v>
      </c>
      <c r="AJ353" s="5" t="s">
        <v>1776</v>
      </c>
      <c r="AK353" s="1" t="s">
        <v>723</v>
      </c>
    </row>
    <row r="354" spans="1:37" x14ac:dyDescent="0.25">
      <c r="A354" s="174" t="s">
        <v>1774</v>
      </c>
      <c r="B354" s="174" t="s">
        <v>1775</v>
      </c>
      <c r="C354" s="174">
        <v>8</v>
      </c>
      <c r="D354" s="174">
        <v>81.599999999999994</v>
      </c>
      <c r="E354" s="174">
        <v>-16.667000000000002</v>
      </c>
      <c r="F354" s="174">
        <v>81.599999999999994</v>
      </c>
      <c r="G354" s="174">
        <v>-16.667000000000002</v>
      </c>
      <c r="H354" s="174" t="s">
        <v>1203</v>
      </c>
      <c r="I354" s="174" t="s">
        <v>1468</v>
      </c>
      <c r="J354" s="907" t="str">
        <f t="shared" si="15"/>
        <v>yes</v>
      </c>
      <c r="K354" s="907" t="str">
        <f t="shared" si="16"/>
        <v/>
      </c>
      <c r="L354" s="174">
        <v>1</v>
      </c>
      <c r="M354" s="913">
        <v>39678</v>
      </c>
      <c r="N354" s="907">
        <v>0.1</v>
      </c>
      <c r="O354" s="907">
        <v>0.11</v>
      </c>
      <c r="P354" s="907"/>
      <c r="Q354" s="907">
        <v>0.21000000000000002</v>
      </c>
      <c r="R354" s="247">
        <v>0</v>
      </c>
      <c r="Y354" s="247">
        <v>0.30352748154224773</v>
      </c>
      <c r="Z354" s="247">
        <v>0.55455365193868345</v>
      </c>
      <c r="AA354" s="249">
        <v>0.30352748154224773</v>
      </c>
      <c r="AB354" s="247">
        <v>1</v>
      </c>
      <c r="AG354" s="908">
        <f>Table2[[#This Row],[xFOSAs]]+Table2[[#This Row],[xFOSEs]]</f>
        <v>0.5135274815422477</v>
      </c>
      <c r="AH354" s="910" t="s">
        <v>869</v>
      </c>
      <c r="AJ354" s="5" t="s">
        <v>1776</v>
      </c>
      <c r="AK354" s="1" t="s">
        <v>723</v>
      </c>
    </row>
    <row r="355" spans="1:37" x14ac:dyDescent="0.25">
      <c r="A355" s="174" t="s">
        <v>1774</v>
      </c>
      <c r="B355" s="174" t="s">
        <v>1775</v>
      </c>
      <c r="C355" s="174">
        <v>9</v>
      </c>
      <c r="D355" s="174">
        <v>81.599999999999994</v>
      </c>
      <c r="E355" s="174">
        <v>-16.667000000000002</v>
      </c>
      <c r="F355" s="174">
        <v>81.599999999999994</v>
      </c>
      <c r="G355" s="174">
        <v>-16.667000000000002</v>
      </c>
      <c r="H355" s="174" t="s">
        <v>1203</v>
      </c>
      <c r="I355" s="174" t="s">
        <v>1468</v>
      </c>
      <c r="J355" s="907" t="str">
        <f t="shared" si="15"/>
        <v>yes</v>
      </c>
      <c r="K355" s="907" t="str">
        <f t="shared" si="16"/>
        <v>yes</v>
      </c>
      <c r="L355" s="174">
        <v>1</v>
      </c>
      <c r="M355" s="913">
        <v>39706</v>
      </c>
      <c r="N355" s="907">
        <v>0.1</v>
      </c>
      <c r="O355" s="907">
        <v>0.32356025934401217</v>
      </c>
      <c r="P355" s="907"/>
      <c r="Q355" s="907">
        <v>0.4235602593440122</v>
      </c>
      <c r="R355" s="247" t="s">
        <v>446</v>
      </c>
      <c r="Y355" s="247">
        <v>0.06</v>
      </c>
      <c r="Z355" s="247">
        <v>0.53671502290441098</v>
      </c>
      <c r="AA355" s="249">
        <v>0.06</v>
      </c>
      <c r="AB355" s="247" t="s">
        <v>446</v>
      </c>
      <c r="AG355" s="908">
        <f>Table2[[#This Row],[xFOSAs]]+Table2[[#This Row],[xFOSEs]]</f>
        <v>0.4835602593440122</v>
      </c>
      <c r="AH355" s="910" t="s">
        <v>869</v>
      </c>
      <c r="AJ355" s="5" t="s">
        <v>1776</v>
      </c>
      <c r="AK355" s="1" t="s">
        <v>723</v>
      </c>
    </row>
    <row r="356" spans="1:37" x14ac:dyDescent="0.25">
      <c r="A356" s="174" t="s">
        <v>1774</v>
      </c>
      <c r="B356" s="174" t="s">
        <v>1775</v>
      </c>
      <c r="C356" s="174">
        <v>10</v>
      </c>
      <c r="D356" s="174">
        <v>81.599999999999994</v>
      </c>
      <c r="E356" s="174">
        <v>-16.667000000000002</v>
      </c>
      <c r="F356" s="174">
        <v>81.599999999999994</v>
      </c>
      <c r="G356" s="174">
        <v>-16.667000000000002</v>
      </c>
      <c r="H356" s="174" t="s">
        <v>1203</v>
      </c>
      <c r="I356" s="174" t="s">
        <v>1468</v>
      </c>
      <c r="J356" s="907" t="str">
        <f t="shared" si="15"/>
        <v>yes</v>
      </c>
      <c r="K356" s="907" t="str">
        <f t="shared" si="16"/>
        <v>yes</v>
      </c>
      <c r="L356" s="174">
        <v>1</v>
      </c>
      <c r="M356" s="913">
        <v>39734</v>
      </c>
      <c r="N356" s="907">
        <v>0.1</v>
      </c>
      <c r="O356" s="907">
        <v>0.11</v>
      </c>
      <c r="P356" s="907"/>
      <c r="Q356" s="907">
        <v>0.21000000000000002</v>
      </c>
      <c r="R356" s="247">
        <v>0</v>
      </c>
      <c r="Y356" s="247">
        <v>0.06</v>
      </c>
      <c r="Z356" s="247">
        <v>0.08</v>
      </c>
      <c r="AA356" s="249">
        <v>0.06</v>
      </c>
      <c r="AB356" s="247">
        <v>0</v>
      </c>
      <c r="AG356" s="908">
        <f>Table2[[#This Row],[xFOSAs]]+Table2[[#This Row],[xFOSEs]]</f>
        <v>0.27</v>
      </c>
      <c r="AH356" s="910" t="s">
        <v>869</v>
      </c>
      <c r="AJ356" s="5" t="s">
        <v>1776</v>
      </c>
      <c r="AK356" s="1" t="s">
        <v>723</v>
      </c>
    </row>
    <row r="357" spans="1:37" x14ac:dyDescent="0.25">
      <c r="A357" s="174" t="s">
        <v>1774</v>
      </c>
      <c r="B357" s="174" t="s">
        <v>1775</v>
      </c>
      <c r="C357" s="174">
        <v>11</v>
      </c>
      <c r="D357" s="174">
        <v>81.599999999999994</v>
      </c>
      <c r="E357" s="174">
        <v>-16.667000000000002</v>
      </c>
      <c r="F357" s="174">
        <v>81.599999999999994</v>
      </c>
      <c r="G357" s="174">
        <v>-16.667000000000002</v>
      </c>
      <c r="H357" s="174" t="s">
        <v>1203</v>
      </c>
      <c r="I357" s="174" t="s">
        <v>1468</v>
      </c>
      <c r="J357" s="907" t="str">
        <f t="shared" si="15"/>
        <v>yes</v>
      </c>
      <c r="K357" s="907" t="str">
        <f t="shared" si="16"/>
        <v/>
      </c>
      <c r="L357" s="174">
        <v>1</v>
      </c>
      <c r="M357" s="913">
        <v>39748</v>
      </c>
      <c r="N357" s="907">
        <v>0.1</v>
      </c>
      <c r="O357" s="907">
        <v>0.11</v>
      </c>
      <c r="P357" s="907"/>
      <c r="Q357" s="907">
        <v>0.21000000000000002</v>
      </c>
      <c r="R357" s="247">
        <v>0</v>
      </c>
      <c r="Y357" s="247">
        <v>1.0314460837200909</v>
      </c>
      <c r="Z357" s="247">
        <v>0.97234498101814726</v>
      </c>
      <c r="AA357" s="249">
        <v>1.0314460837200909</v>
      </c>
      <c r="AB357" s="247">
        <v>1</v>
      </c>
      <c r="AG357" s="908">
        <f>Table2[[#This Row],[xFOSAs]]+Table2[[#This Row],[xFOSEs]]</f>
        <v>1.2414460837200909</v>
      </c>
      <c r="AH357" s="910" t="s">
        <v>869</v>
      </c>
      <c r="AJ357" s="5" t="s">
        <v>1776</v>
      </c>
      <c r="AK357" s="1" t="s">
        <v>723</v>
      </c>
    </row>
    <row r="358" spans="1:37" x14ac:dyDescent="0.25">
      <c r="A358" s="174" t="s">
        <v>1774</v>
      </c>
      <c r="B358" s="174" t="s">
        <v>1775</v>
      </c>
      <c r="C358" s="174">
        <v>12</v>
      </c>
      <c r="D358" s="174">
        <v>81.599999999999994</v>
      </c>
      <c r="E358" s="174">
        <v>-16.667000000000002</v>
      </c>
      <c r="F358" s="174">
        <v>81.599999999999994</v>
      </c>
      <c r="G358" s="174">
        <v>-16.667000000000002</v>
      </c>
      <c r="H358" s="174" t="s">
        <v>1203</v>
      </c>
      <c r="I358" s="174" t="s">
        <v>1468</v>
      </c>
      <c r="J358" s="907" t="str">
        <f t="shared" si="15"/>
        <v/>
      </c>
      <c r="K358" s="907" t="str">
        <f t="shared" si="16"/>
        <v>yes</v>
      </c>
      <c r="L358" s="174">
        <v>1</v>
      </c>
      <c r="M358" s="913">
        <v>39762</v>
      </c>
      <c r="N358" s="907">
        <v>0.34073577572914415</v>
      </c>
      <c r="O358" s="907">
        <v>0.66135290148448034</v>
      </c>
      <c r="P358" s="907"/>
      <c r="Q358" s="907">
        <v>1.0020886772136244</v>
      </c>
      <c r="R358" s="247">
        <v>1</v>
      </c>
      <c r="Y358" s="247">
        <v>0.06</v>
      </c>
      <c r="Z358" s="247">
        <v>0.32138037830265154</v>
      </c>
      <c r="AA358" s="249">
        <v>0.06</v>
      </c>
      <c r="AB358" s="247" t="s">
        <v>446</v>
      </c>
      <c r="AG358" s="908">
        <f>Table2[[#This Row],[xFOSAs]]+Table2[[#This Row],[xFOSEs]]</f>
        <v>1.0620886772136244</v>
      </c>
      <c r="AH358" s="910" t="s">
        <v>869</v>
      </c>
      <c r="AJ358" s="5" t="s">
        <v>1776</v>
      </c>
      <c r="AK358" s="1" t="s">
        <v>723</v>
      </c>
    </row>
    <row r="359" spans="1:37" x14ac:dyDescent="0.25">
      <c r="A359" s="174" t="s">
        <v>1774</v>
      </c>
      <c r="B359" s="174" t="s">
        <v>1775</v>
      </c>
      <c r="C359" s="174">
        <v>13</v>
      </c>
      <c r="D359" s="174">
        <v>81.599999999999994</v>
      </c>
      <c r="E359" s="174">
        <v>-16.667000000000002</v>
      </c>
      <c r="F359" s="174">
        <v>81.599999999999994</v>
      </c>
      <c r="G359" s="174">
        <v>-16.667000000000002</v>
      </c>
      <c r="H359" s="174" t="s">
        <v>1203</v>
      </c>
      <c r="I359" s="174" t="s">
        <v>1468</v>
      </c>
      <c r="J359" s="907" t="str">
        <f t="shared" si="15"/>
        <v/>
      </c>
      <c r="K359" s="907" t="str">
        <f t="shared" si="16"/>
        <v>yes</v>
      </c>
      <c r="L359" s="174">
        <v>1</v>
      </c>
      <c r="M359" s="913">
        <v>39790</v>
      </c>
      <c r="N359" s="907">
        <v>0.4209445585215606</v>
      </c>
      <c r="O359" s="907">
        <v>0.72038857677902624</v>
      </c>
      <c r="P359" s="907"/>
      <c r="Q359" s="907">
        <v>1.1413331353005869</v>
      </c>
      <c r="R359" s="247">
        <v>1</v>
      </c>
      <c r="Y359" s="247">
        <v>0.06</v>
      </c>
      <c r="Z359" s="247">
        <v>0.35588919433283989</v>
      </c>
      <c r="AA359" s="249">
        <v>0.06</v>
      </c>
      <c r="AB359" s="247" t="s">
        <v>446</v>
      </c>
      <c r="AG359" s="908">
        <f>Table2[[#This Row],[xFOSAs]]+Table2[[#This Row],[xFOSEs]]</f>
        <v>1.2013331353005869</v>
      </c>
      <c r="AH359" s="910" t="s">
        <v>869</v>
      </c>
      <c r="AJ359" s="5" t="s">
        <v>1776</v>
      </c>
      <c r="AK359" s="1" t="s">
        <v>723</v>
      </c>
    </row>
    <row r="360" spans="1:37" x14ac:dyDescent="0.25">
      <c r="A360" s="174" t="s">
        <v>1774</v>
      </c>
      <c r="B360" s="174" t="s">
        <v>1775</v>
      </c>
      <c r="C360" s="174">
        <v>14</v>
      </c>
      <c r="D360" s="174">
        <v>81.599999999999994</v>
      </c>
      <c r="E360" s="174">
        <v>-16.667000000000002</v>
      </c>
      <c r="F360" s="174">
        <v>81.599999999999994</v>
      </c>
      <c r="G360" s="174">
        <v>-16.667000000000002</v>
      </c>
      <c r="H360" s="174" t="s">
        <v>1203</v>
      </c>
      <c r="I360" s="174" t="s">
        <v>1468</v>
      </c>
      <c r="J360" s="907" t="str">
        <f t="shared" si="15"/>
        <v/>
      </c>
      <c r="K360" s="907" t="str">
        <f t="shared" si="16"/>
        <v>yes</v>
      </c>
      <c r="L360" s="174">
        <v>1</v>
      </c>
      <c r="M360" s="913">
        <v>39818</v>
      </c>
      <c r="N360" s="907">
        <v>0.5685627189749729</v>
      </c>
      <c r="O360" s="907">
        <v>0.52584223551803311</v>
      </c>
      <c r="P360" s="907"/>
      <c r="Q360" s="907">
        <v>1.0944049544930059</v>
      </c>
      <c r="R360" s="247">
        <v>1</v>
      </c>
      <c r="Y360" s="247">
        <v>0.06</v>
      </c>
      <c r="Z360" s="247">
        <v>0.35465942285052854</v>
      </c>
      <c r="AA360" s="249">
        <v>0.06</v>
      </c>
      <c r="AB360" s="247" t="s">
        <v>446</v>
      </c>
      <c r="AG360" s="908">
        <f>Table2[[#This Row],[xFOSAs]]+Table2[[#This Row],[xFOSEs]]</f>
        <v>1.154404954493006</v>
      </c>
      <c r="AH360" s="910" t="s">
        <v>869</v>
      </c>
      <c r="AJ360" s="5" t="s">
        <v>1776</v>
      </c>
      <c r="AK360" s="1" t="s">
        <v>723</v>
      </c>
    </row>
    <row r="361" spans="1:37" x14ac:dyDescent="0.25">
      <c r="A361" s="174" t="s">
        <v>1774</v>
      </c>
      <c r="B361" s="174" t="s">
        <v>1775</v>
      </c>
      <c r="C361" s="174">
        <v>15</v>
      </c>
      <c r="D361" s="174">
        <v>81.599999999999994</v>
      </c>
      <c r="E361" s="174">
        <v>-16.667000000000002</v>
      </c>
      <c r="F361" s="174">
        <v>81.599999999999994</v>
      </c>
      <c r="G361" s="174">
        <v>-16.667000000000002</v>
      </c>
      <c r="H361" s="174" t="s">
        <v>1203</v>
      </c>
      <c r="I361" s="174" t="s">
        <v>1468</v>
      </c>
      <c r="J361" s="907" t="str">
        <f t="shared" si="15"/>
        <v/>
      </c>
      <c r="K361" s="907" t="str">
        <f t="shared" si="16"/>
        <v/>
      </c>
      <c r="L361" s="174">
        <v>1</v>
      </c>
      <c r="M361" s="913">
        <v>39846</v>
      </c>
      <c r="N361" s="907">
        <v>0.88309228920723304</v>
      </c>
      <c r="O361" s="907">
        <v>0.35061762780708228</v>
      </c>
      <c r="P361" s="907"/>
      <c r="Q361" s="907">
        <v>1.2337099170143153</v>
      </c>
      <c r="R361" s="247">
        <v>1</v>
      </c>
      <c r="Y361" s="247">
        <v>0.85428518977992229</v>
      </c>
      <c r="Z361" s="247">
        <v>0.58850029071043741</v>
      </c>
      <c r="AA361" s="249">
        <v>0.85428518977992229</v>
      </c>
      <c r="AB361" s="247">
        <v>1</v>
      </c>
      <c r="AG361" s="908">
        <f>Table2[[#This Row],[xFOSAs]]+Table2[[#This Row],[xFOSEs]]</f>
        <v>2.0879951067942377</v>
      </c>
      <c r="AH361" s="910" t="s">
        <v>869</v>
      </c>
      <c r="AJ361" s="5" t="s">
        <v>1776</v>
      </c>
      <c r="AK361" s="1" t="s">
        <v>723</v>
      </c>
    </row>
    <row r="362" spans="1:37" x14ac:dyDescent="0.25">
      <c r="A362" s="174" t="s">
        <v>1774</v>
      </c>
      <c r="B362" s="174" t="s">
        <v>1775</v>
      </c>
      <c r="C362" s="174">
        <v>16</v>
      </c>
      <c r="D362" s="174">
        <v>81.599999999999994</v>
      </c>
      <c r="E362" s="174">
        <v>-16.667000000000002</v>
      </c>
      <c r="F362" s="174">
        <v>81.599999999999994</v>
      </c>
      <c r="G362" s="174">
        <v>-16.667000000000002</v>
      </c>
      <c r="H362" s="174" t="s">
        <v>1203</v>
      </c>
      <c r="I362" s="174" t="s">
        <v>1468</v>
      </c>
      <c r="J362" s="907" t="str">
        <f t="shared" si="15"/>
        <v>yes</v>
      </c>
      <c r="K362" s="907" t="str">
        <f t="shared" si="16"/>
        <v/>
      </c>
      <c r="L362" s="174">
        <v>1</v>
      </c>
      <c r="M362" s="913">
        <v>40035</v>
      </c>
      <c r="N362" s="907">
        <v>0.1</v>
      </c>
      <c r="O362" s="907">
        <v>0.11</v>
      </c>
      <c r="P362" s="907"/>
      <c r="Q362" s="907">
        <v>0.21000000000000002</v>
      </c>
      <c r="R362" s="247">
        <v>0</v>
      </c>
      <c r="Y362" s="247">
        <v>5.9598411630972743</v>
      </c>
      <c r="Z362" s="247">
        <v>7.4569375125067952</v>
      </c>
      <c r="AA362" s="249">
        <v>5.9598411630972743</v>
      </c>
      <c r="AB362" s="247">
        <v>1</v>
      </c>
      <c r="AG362" s="908">
        <f>Table2[[#This Row],[xFOSAs]]+Table2[[#This Row],[xFOSEs]]</f>
        <v>6.1698411630972743</v>
      </c>
      <c r="AH362" s="910" t="s">
        <v>869</v>
      </c>
      <c r="AJ362" s="5" t="s">
        <v>1776</v>
      </c>
      <c r="AK362" s="1" t="s">
        <v>723</v>
      </c>
    </row>
    <row r="363" spans="1:37" x14ac:dyDescent="0.25">
      <c r="A363" s="174" t="s">
        <v>1774</v>
      </c>
      <c r="B363" s="174" t="s">
        <v>1775</v>
      </c>
      <c r="C363" s="174">
        <v>17</v>
      </c>
      <c r="D363" s="174">
        <v>81.599999999999994</v>
      </c>
      <c r="E363" s="174">
        <v>-16.667000000000002</v>
      </c>
      <c r="F363" s="174">
        <v>81.599999999999994</v>
      </c>
      <c r="G363" s="174">
        <v>-16.667000000000002</v>
      </c>
      <c r="H363" s="174" t="s">
        <v>1203</v>
      </c>
      <c r="I363" s="174" t="s">
        <v>1468</v>
      </c>
      <c r="J363" s="907" t="str">
        <f t="shared" si="15"/>
        <v/>
      </c>
      <c r="K363" s="907" t="str">
        <f t="shared" si="16"/>
        <v/>
      </c>
      <c r="L363" s="174">
        <v>1</v>
      </c>
      <c r="M363" s="913">
        <v>40063</v>
      </c>
      <c r="N363" s="907">
        <v>1.0936400189486513</v>
      </c>
      <c r="O363" s="907">
        <v>0.55205996770313481</v>
      </c>
      <c r="P363" s="907"/>
      <c r="Q363" s="907">
        <v>1.6456999866517861</v>
      </c>
      <c r="R363" s="247">
        <v>1</v>
      </c>
      <c r="Y363" s="247">
        <v>0.84195190416285048</v>
      </c>
      <c r="Z363" s="247">
        <v>0.55951909309632986</v>
      </c>
      <c r="AA363" s="249">
        <v>0.84195190416285048</v>
      </c>
      <c r="AB363" s="247">
        <v>1</v>
      </c>
      <c r="AG363" s="908">
        <f>Table2[[#This Row],[xFOSAs]]+Table2[[#This Row],[xFOSEs]]</f>
        <v>2.4876518908146368</v>
      </c>
      <c r="AH363" s="910" t="s">
        <v>869</v>
      </c>
      <c r="AJ363" s="5" t="s">
        <v>1776</v>
      </c>
      <c r="AK363" s="1" t="s">
        <v>723</v>
      </c>
    </row>
    <row r="364" spans="1:37" x14ac:dyDescent="0.25">
      <c r="A364" s="174" t="s">
        <v>1774</v>
      </c>
      <c r="B364" s="174" t="s">
        <v>1775</v>
      </c>
      <c r="C364" s="174">
        <v>18</v>
      </c>
      <c r="D364" s="174">
        <v>81.599999999999994</v>
      </c>
      <c r="E364" s="174">
        <v>-16.667000000000002</v>
      </c>
      <c r="F364" s="174">
        <v>81.599999999999994</v>
      </c>
      <c r="G364" s="174">
        <v>-16.667000000000002</v>
      </c>
      <c r="H364" s="174" t="s">
        <v>1203</v>
      </c>
      <c r="I364" s="174" t="s">
        <v>1468</v>
      </c>
      <c r="J364" s="907" t="str">
        <f t="shared" si="15"/>
        <v/>
      </c>
      <c r="K364" s="907" t="str">
        <f t="shared" si="16"/>
        <v>yes</v>
      </c>
      <c r="L364" s="174">
        <v>1</v>
      </c>
      <c r="M364" s="913">
        <v>40091</v>
      </c>
      <c r="N364" s="907">
        <v>0.50300436105038471</v>
      </c>
      <c r="O364" s="907">
        <v>0.46751502086124663</v>
      </c>
      <c r="P364" s="907"/>
      <c r="Q364" s="907">
        <v>0.97051938191163134</v>
      </c>
      <c r="R364" s="247">
        <v>1</v>
      </c>
      <c r="Y364" s="247">
        <v>0.23363811911153093</v>
      </c>
      <c r="Z364" s="247">
        <v>0.08</v>
      </c>
      <c r="AA364" s="249">
        <v>0.23363811911153093</v>
      </c>
      <c r="AB364" s="247" t="s">
        <v>446</v>
      </c>
      <c r="AG364" s="908">
        <f>Table2[[#This Row],[xFOSAs]]+Table2[[#This Row],[xFOSEs]]</f>
        <v>1.2041575010231622</v>
      </c>
      <c r="AH364" s="910" t="s">
        <v>869</v>
      </c>
      <c r="AJ364" s="5" t="s">
        <v>1776</v>
      </c>
      <c r="AK364" s="1" t="s">
        <v>723</v>
      </c>
    </row>
    <row r="365" spans="1:37" x14ac:dyDescent="0.25">
      <c r="A365" s="174" t="s">
        <v>1774</v>
      </c>
      <c r="B365" s="174" t="s">
        <v>1775</v>
      </c>
      <c r="C365" s="174">
        <v>19</v>
      </c>
      <c r="D365" s="174">
        <v>81.599999999999994</v>
      </c>
      <c r="E365" s="174">
        <v>-16.667000000000002</v>
      </c>
      <c r="F365" s="174">
        <v>81.599999999999994</v>
      </c>
      <c r="G365" s="174">
        <v>-16.667000000000002</v>
      </c>
      <c r="H365" s="174" t="s">
        <v>1203</v>
      </c>
      <c r="I365" s="174" t="s">
        <v>1468</v>
      </c>
      <c r="J365" s="907" t="str">
        <f t="shared" si="15"/>
        <v/>
      </c>
      <c r="K365" s="907" t="str">
        <f t="shared" si="16"/>
        <v/>
      </c>
      <c r="L365" s="174">
        <v>1</v>
      </c>
      <c r="M365" s="913">
        <v>40126</v>
      </c>
      <c r="N365" s="907">
        <v>0.71170499852205205</v>
      </c>
      <c r="O365" s="907">
        <v>0.33029419007845989</v>
      </c>
      <c r="P365" s="907"/>
      <c r="Q365" s="907">
        <v>1.041999188600512</v>
      </c>
      <c r="R365" s="247">
        <v>1</v>
      </c>
      <c r="Y365" s="247">
        <v>0.83523433958485893</v>
      </c>
      <c r="Z365" s="247">
        <v>0.64363884529100246</v>
      </c>
      <c r="AA365" s="249">
        <v>0.83523433958485893</v>
      </c>
      <c r="AB365" s="247">
        <v>1</v>
      </c>
      <c r="AG365" s="908">
        <f>Table2[[#This Row],[xFOSAs]]+Table2[[#This Row],[xFOSEs]]</f>
        <v>1.8772335281853709</v>
      </c>
      <c r="AH365" s="910" t="s">
        <v>869</v>
      </c>
      <c r="AJ365" s="5" t="s">
        <v>1776</v>
      </c>
      <c r="AK365" s="1" t="s">
        <v>723</v>
      </c>
    </row>
    <row r="366" spans="1:37" x14ac:dyDescent="0.25">
      <c r="A366" s="174" t="s">
        <v>1774</v>
      </c>
      <c r="B366" s="174" t="s">
        <v>1775</v>
      </c>
      <c r="C366" s="174">
        <v>20</v>
      </c>
      <c r="D366" s="174">
        <v>81.599999999999994</v>
      </c>
      <c r="E366" s="174">
        <v>-16.667000000000002</v>
      </c>
      <c r="F366" s="174">
        <v>81.599999999999994</v>
      </c>
      <c r="G366" s="174">
        <v>-16.667000000000002</v>
      </c>
      <c r="H366" s="174" t="s">
        <v>1203</v>
      </c>
      <c r="I366" s="174" t="s">
        <v>1468</v>
      </c>
      <c r="J366" s="907" t="str">
        <f t="shared" si="15"/>
        <v>yes</v>
      </c>
      <c r="K366" s="907" t="str">
        <f t="shared" si="16"/>
        <v>yes</v>
      </c>
      <c r="L366" s="174">
        <v>1</v>
      </c>
      <c r="M366" s="913">
        <v>40154</v>
      </c>
      <c r="N366" s="907">
        <v>0.1</v>
      </c>
      <c r="O366" s="907">
        <v>0.11</v>
      </c>
      <c r="P366" s="907"/>
      <c r="Q366" s="907">
        <v>0.21000000000000002</v>
      </c>
      <c r="R366" s="247">
        <v>0</v>
      </c>
      <c r="Y366" s="247">
        <v>0.24421941571678835</v>
      </c>
      <c r="Z366" s="247">
        <v>0.08</v>
      </c>
      <c r="AA366" s="249">
        <v>0.24421941571678835</v>
      </c>
      <c r="AB366" s="247" t="s">
        <v>446</v>
      </c>
      <c r="AG366" s="908">
        <f>Table2[[#This Row],[xFOSAs]]+Table2[[#This Row],[xFOSEs]]</f>
        <v>0.45421941571678837</v>
      </c>
      <c r="AH366" s="910" t="s">
        <v>869</v>
      </c>
      <c r="AJ366" s="5" t="s">
        <v>1776</v>
      </c>
      <c r="AK366" s="1" t="s">
        <v>723</v>
      </c>
    </row>
    <row r="367" spans="1:37" x14ac:dyDescent="0.25">
      <c r="A367" s="174" t="s">
        <v>1774</v>
      </c>
      <c r="B367" s="174" t="s">
        <v>1775</v>
      </c>
      <c r="C367" s="174">
        <v>21</v>
      </c>
      <c r="D367" s="174">
        <v>81.599999999999994</v>
      </c>
      <c r="E367" s="174">
        <v>-16.667000000000002</v>
      </c>
      <c r="F367" s="174">
        <v>81.599999999999994</v>
      </c>
      <c r="G367" s="174">
        <v>-16.667000000000002</v>
      </c>
      <c r="H367" s="174" t="s">
        <v>1203</v>
      </c>
      <c r="I367" s="174" t="s">
        <v>1468</v>
      </c>
      <c r="J367" s="907" t="str">
        <f t="shared" si="15"/>
        <v>yes</v>
      </c>
      <c r="K367" s="907" t="str">
        <f t="shared" si="16"/>
        <v/>
      </c>
      <c r="L367" s="174">
        <v>1</v>
      </c>
      <c r="M367" s="913">
        <v>40182</v>
      </c>
      <c r="N367" s="907">
        <v>0.25121716397842542</v>
      </c>
      <c r="O367" s="907">
        <v>0.11</v>
      </c>
      <c r="P367" s="907"/>
      <c r="Q367" s="907">
        <v>0.3612171639784254</v>
      </c>
      <c r="R367" s="247" t="s">
        <v>446</v>
      </c>
      <c r="Y367" s="247">
        <v>0.8052718694125004</v>
      </c>
      <c r="Z367" s="247">
        <v>0.75322635093752643</v>
      </c>
      <c r="AA367" s="249">
        <v>0.8052718694125004</v>
      </c>
      <c r="AB367" s="247">
        <v>1</v>
      </c>
      <c r="AG367" s="908">
        <f>Table2[[#This Row],[xFOSAs]]+Table2[[#This Row],[xFOSEs]]</f>
        <v>1.1664890333909259</v>
      </c>
      <c r="AH367" s="910" t="s">
        <v>869</v>
      </c>
      <c r="AJ367" s="5" t="s">
        <v>1776</v>
      </c>
      <c r="AK367" s="1" t="s">
        <v>723</v>
      </c>
    </row>
    <row r="368" spans="1:37" x14ac:dyDescent="0.25">
      <c r="A368" s="174" t="s">
        <v>1774</v>
      </c>
      <c r="B368" s="174" t="s">
        <v>1775</v>
      </c>
      <c r="C368" s="174">
        <v>22</v>
      </c>
      <c r="D368" s="174">
        <v>81.599999999999994</v>
      </c>
      <c r="E368" s="174">
        <v>-16.667000000000002</v>
      </c>
      <c r="F368" s="174">
        <v>81.599999999999994</v>
      </c>
      <c r="G368" s="174">
        <v>-16.667000000000002</v>
      </c>
      <c r="H368" s="174" t="s">
        <v>1203</v>
      </c>
      <c r="I368" s="174" t="s">
        <v>1468</v>
      </c>
      <c r="J368" s="907" t="str">
        <f t="shared" si="15"/>
        <v>yes</v>
      </c>
      <c r="K368" s="907" t="str">
        <f t="shared" si="16"/>
        <v>yes</v>
      </c>
      <c r="L368" s="174">
        <v>1</v>
      </c>
      <c r="M368" s="913">
        <v>40210</v>
      </c>
      <c r="N368" s="907">
        <v>0.25549012384529379</v>
      </c>
      <c r="O368" s="907">
        <v>0.11</v>
      </c>
      <c r="P368" s="907"/>
      <c r="Q368" s="907">
        <v>0.36549012384529378</v>
      </c>
      <c r="R368" s="247" t="s">
        <v>446</v>
      </c>
      <c r="Y368" s="247">
        <v>0.06</v>
      </c>
      <c r="Z368" s="247">
        <v>0.08</v>
      </c>
      <c r="AA368" s="249">
        <v>0.06</v>
      </c>
      <c r="AB368" s="247">
        <v>0</v>
      </c>
      <c r="AG368" s="908">
        <f>Table2[[#This Row],[xFOSAs]]+Table2[[#This Row],[xFOSEs]]</f>
        <v>0.42549012384529378</v>
      </c>
      <c r="AH368" s="910" t="s">
        <v>869</v>
      </c>
      <c r="AJ368" s="5" t="s">
        <v>1776</v>
      </c>
      <c r="AK368" s="1" t="s">
        <v>723</v>
      </c>
    </row>
    <row r="369" spans="1:37" x14ac:dyDescent="0.25">
      <c r="A369" s="174" t="s">
        <v>1774</v>
      </c>
      <c r="B369" s="174" t="s">
        <v>1775</v>
      </c>
      <c r="C369" s="174">
        <v>23</v>
      </c>
      <c r="D369" s="174">
        <v>81.599999999999994</v>
      </c>
      <c r="E369" s="174">
        <v>-16.667000000000002</v>
      </c>
      <c r="F369" s="174">
        <v>81.599999999999994</v>
      </c>
      <c r="G369" s="174">
        <v>-16.667000000000002</v>
      </c>
      <c r="H369" s="174" t="s">
        <v>1203</v>
      </c>
      <c r="I369" s="174" t="s">
        <v>1468</v>
      </c>
      <c r="J369" s="907" t="str">
        <f t="shared" si="15"/>
        <v/>
      </c>
      <c r="K369" s="907" t="str">
        <f t="shared" si="16"/>
        <v/>
      </c>
      <c r="L369" s="174">
        <v>1</v>
      </c>
      <c r="M369" s="913">
        <v>40237</v>
      </c>
      <c r="N369" s="907">
        <v>0.84790893244165644</v>
      </c>
      <c r="O369" s="907">
        <v>0.30409357741804727</v>
      </c>
      <c r="P369" s="907"/>
      <c r="Q369" s="907">
        <v>1.1520025098597038</v>
      </c>
      <c r="R369" s="247">
        <v>1</v>
      </c>
      <c r="Y369" s="247">
        <v>0.82785949461709663</v>
      </c>
      <c r="Z369" s="247">
        <v>0.5531522189261644</v>
      </c>
      <c r="AA369" s="249">
        <v>0.82785949461709663</v>
      </c>
      <c r="AB369" s="247">
        <v>1</v>
      </c>
      <c r="AG369" s="908">
        <f>Table2[[#This Row],[xFOSAs]]+Table2[[#This Row],[xFOSEs]]</f>
        <v>1.9798620044768005</v>
      </c>
      <c r="AH369" s="910" t="s">
        <v>869</v>
      </c>
      <c r="AJ369" s="5" t="s">
        <v>1776</v>
      </c>
      <c r="AK369" s="1" t="s">
        <v>723</v>
      </c>
    </row>
    <row r="370" spans="1:37" x14ac:dyDescent="0.25">
      <c r="A370" s="174" t="s">
        <v>1774</v>
      </c>
      <c r="B370" s="174" t="s">
        <v>1775</v>
      </c>
      <c r="C370" s="174">
        <v>24</v>
      </c>
      <c r="D370" s="174">
        <v>81.599999999999994</v>
      </c>
      <c r="E370" s="174">
        <v>-16.667000000000002</v>
      </c>
      <c r="F370" s="174">
        <v>81.599999999999994</v>
      </c>
      <c r="G370" s="174">
        <v>-16.667000000000002</v>
      </c>
      <c r="H370" s="174" t="s">
        <v>1203</v>
      </c>
      <c r="I370" s="174" t="s">
        <v>1468</v>
      </c>
      <c r="J370" s="907" t="str">
        <f t="shared" si="15"/>
        <v/>
      </c>
      <c r="K370" s="907" t="str">
        <f t="shared" si="16"/>
        <v>yes</v>
      </c>
      <c r="L370" s="174">
        <v>1</v>
      </c>
      <c r="M370" s="913">
        <v>40266</v>
      </c>
      <c r="N370" s="907">
        <v>0.41412616136755193</v>
      </c>
      <c r="O370" s="907">
        <v>0.38480932351600738</v>
      </c>
      <c r="P370" s="907"/>
      <c r="Q370" s="907">
        <v>0.79893548488355925</v>
      </c>
      <c r="R370" s="247">
        <v>1</v>
      </c>
      <c r="Y370" s="247">
        <v>0.26640242360926425</v>
      </c>
      <c r="Z370" s="247">
        <v>0.08</v>
      </c>
      <c r="AA370" s="249">
        <v>0.26640242360926425</v>
      </c>
      <c r="AB370" s="247" t="s">
        <v>446</v>
      </c>
      <c r="AG370" s="908">
        <f>Table2[[#This Row],[xFOSAs]]+Table2[[#This Row],[xFOSEs]]</f>
        <v>1.0653379084928236</v>
      </c>
      <c r="AH370" s="910" t="s">
        <v>869</v>
      </c>
      <c r="AJ370" s="5" t="s">
        <v>1776</v>
      </c>
      <c r="AK370" s="1" t="s">
        <v>723</v>
      </c>
    </row>
    <row r="371" spans="1:37" x14ac:dyDescent="0.25">
      <c r="A371" s="174" t="s">
        <v>1774</v>
      </c>
      <c r="B371" s="174" t="s">
        <v>1775</v>
      </c>
      <c r="C371" s="174">
        <v>25</v>
      </c>
      <c r="D371" s="174">
        <v>81.599999999999994</v>
      </c>
      <c r="E371" s="174">
        <v>-16.667000000000002</v>
      </c>
      <c r="F371" s="174">
        <v>81.599999999999994</v>
      </c>
      <c r="G371" s="174">
        <v>-16.667000000000002</v>
      </c>
      <c r="H371" s="174" t="s">
        <v>1203</v>
      </c>
      <c r="I371" s="174" t="s">
        <v>1468</v>
      </c>
      <c r="J371" s="907" t="str">
        <f t="shared" si="15"/>
        <v/>
      </c>
      <c r="K371" s="907" t="str">
        <f t="shared" si="16"/>
        <v/>
      </c>
      <c r="L371" s="174">
        <v>1</v>
      </c>
      <c r="M371" s="913">
        <v>40294</v>
      </c>
      <c r="N371" s="907">
        <v>0.68568954927172587</v>
      </c>
      <c r="O371" s="907">
        <v>0.46704842015727849</v>
      </c>
      <c r="P371" s="907"/>
      <c r="Q371" s="907">
        <v>1.1527379694290043</v>
      </c>
      <c r="R371" s="247">
        <v>1</v>
      </c>
      <c r="Y371" s="247">
        <v>0.46589599179870617</v>
      </c>
      <c r="Z371" s="247">
        <v>0.44034465009502427</v>
      </c>
      <c r="AA371" s="249">
        <v>0.46589599179870617</v>
      </c>
      <c r="AB371" s="247">
        <v>1</v>
      </c>
      <c r="AG371" s="908">
        <f>Table2[[#This Row],[xFOSAs]]+Table2[[#This Row],[xFOSEs]]</f>
        <v>1.6186339612277105</v>
      </c>
      <c r="AH371" s="910" t="s">
        <v>869</v>
      </c>
      <c r="AJ371" s="5" t="s">
        <v>1776</v>
      </c>
      <c r="AK371" s="1" t="s">
        <v>723</v>
      </c>
    </row>
    <row r="372" spans="1:37" x14ac:dyDescent="0.25">
      <c r="A372" s="174" t="s">
        <v>1774</v>
      </c>
      <c r="B372" s="174" t="s">
        <v>1775</v>
      </c>
      <c r="C372" s="174">
        <v>26</v>
      </c>
      <c r="D372" s="174">
        <v>81.599999999999994</v>
      </c>
      <c r="E372" s="174">
        <v>-16.667000000000002</v>
      </c>
      <c r="F372" s="174">
        <v>81.599999999999994</v>
      </c>
      <c r="G372" s="174">
        <v>-16.667000000000002</v>
      </c>
      <c r="H372" s="174" t="s">
        <v>1203</v>
      </c>
      <c r="I372" s="174" t="s">
        <v>1468</v>
      </c>
      <c r="J372" s="907" t="str">
        <f t="shared" si="15"/>
        <v/>
      </c>
      <c r="K372" s="907" t="str">
        <f t="shared" si="16"/>
        <v/>
      </c>
      <c r="L372" s="174">
        <v>1</v>
      </c>
      <c r="M372" s="913">
        <v>40322</v>
      </c>
      <c r="N372" s="907">
        <v>0.56809368502237167</v>
      </c>
      <c r="O372" s="907">
        <v>0.43901789190700846</v>
      </c>
      <c r="P372" s="907"/>
      <c r="Q372" s="907">
        <v>1.0071115769293801</v>
      </c>
      <c r="R372" s="247">
        <v>1</v>
      </c>
      <c r="Y372" s="247">
        <v>0.50430077414555807</v>
      </c>
      <c r="Z372" s="247">
        <v>0.47223139799693703</v>
      </c>
      <c r="AA372" s="249">
        <v>0.50430077414555807</v>
      </c>
      <c r="AB372" s="247">
        <v>1</v>
      </c>
      <c r="AG372" s="908">
        <f>Table2[[#This Row],[xFOSAs]]+Table2[[#This Row],[xFOSEs]]</f>
        <v>1.5114123510749382</v>
      </c>
      <c r="AH372" s="910" t="s">
        <v>869</v>
      </c>
      <c r="AJ372" s="5" t="s">
        <v>1776</v>
      </c>
      <c r="AK372" s="1" t="s">
        <v>723</v>
      </c>
    </row>
    <row r="373" spans="1:37" x14ac:dyDescent="0.25">
      <c r="A373" s="174" t="s">
        <v>1774</v>
      </c>
      <c r="B373" s="174" t="s">
        <v>1775</v>
      </c>
      <c r="C373" s="174">
        <v>27</v>
      </c>
      <c r="D373" s="174">
        <v>81.599999999999994</v>
      </c>
      <c r="E373" s="174">
        <v>-16.667000000000002</v>
      </c>
      <c r="F373" s="174">
        <v>81.599999999999994</v>
      </c>
      <c r="G373" s="174">
        <v>-16.667000000000002</v>
      </c>
      <c r="H373" s="174" t="s">
        <v>1203</v>
      </c>
      <c r="I373" s="174" t="s">
        <v>1468</v>
      </c>
      <c r="J373" s="907" t="str">
        <f t="shared" si="15"/>
        <v/>
      </c>
      <c r="K373" s="907" t="str">
        <f t="shared" si="16"/>
        <v>yes</v>
      </c>
      <c r="L373" s="174">
        <v>1</v>
      </c>
      <c r="M373" s="913">
        <v>40350</v>
      </c>
      <c r="N373" s="907">
        <v>0.32227224236103258</v>
      </c>
      <c r="O373" s="907">
        <v>0.86767926819619667</v>
      </c>
      <c r="P373" s="907"/>
      <c r="Q373" s="907">
        <v>1.1899515105572291</v>
      </c>
      <c r="R373" s="247">
        <v>1</v>
      </c>
      <c r="Y373" s="247">
        <v>0.06</v>
      </c>
      <c r="Z373" s="247">
        <v>0.31304292482753682</v>
      </c>
      <c r="AA373" s="249">
        <v>0.06</v>
      </c>
      <c r="AB373" s="247" t="s">
        <v>446</v>
      </c>
      <c r="AG373" s="908">
        <f>Table2[[#This Row],[xFOSAs]]+Table2[[#This Row],[xFOSEs]]</f>
        <v>1.2499515105572292</v>
      </c>
      <c r="AH373" s="910" t="s">
        <v>869</v>
      </c>
      <c r="AJ373" s="5" t="s">
        <v>1776</v>
      </c>
      <c r="AK373" s="1" t="s">
        <v>723</v>
      </c>
    </row>
    <row r="374" spans="1:37" x14ac:dyDescent="0.25">
      <c r="A374" s="174" t="s">
        <v>1774</v>
      </c>
      <c r="B374" s="174" t="s">
        <v>1775</v>
      </c>
      <c r="C374" s="174">
        <v>28</v>
      </c>
      <c r="D374" s="174">
        <v>81.599999999999994</v>
      </c>
      <c r="E374" s="174">
        <v>-16.667000000000002</v>
      </c>
      <c r="F374" s="174">
        <v>81.599999999999994</v>
      </c>
      <c r="G374" s="174">
        <v>-16.667000000000002</v>
      </c>
      <c r="H374" s="174" t="s">
        <v>1203</v>
      </c>
      <c r="I374" s="174" t="s">
        <v>1468</v>
      </c>
      <c r="J374" s="907" t="str">
        <f t="shared" si="15"/>
        <v/>
      </c>
      <c r="K374" s="907" t="str">
        <f t="shared" si="16"/>
        <v/>
      </c>
      <c r="L374" s="174">
        <v>1</v>
      </c>
      <c r="M374" s="913">
        <v>40378</v>
      </c>
      <c r="N374" s="907">
        <v>0.2690973251122516</v>
      </c>
      <c r="O374" s="907">
        <v>0.78646355239376731</v>
      </c>
      <c r="P374" s="907"/>
      <c r="Q374" s="907">
        <v>1.0555608775060188</v>
      </c>
      <c r="R374" s="247">
        <v>1</v>
      </c>
      <c r="Y374" s="247">
        <v>0.33769224011780996</v>
      </c>
      <c r="Z374" s="247">
        <v>0.37614507182828927</v>
      </c>
      <c r="AA374" s="249">
        <v>0.33769224011780996</v>
      </c>
      <c r="AB374" s="247">
        <v>1</v>
      </c>
      <c r="AG374" s="908">
        <f>Table2[[#This Row],[xFOSAs]]+Table2[[#This Row],[xFOSEs]]</f>
        <v>1.3932531176238288</v>
      </c>
      <c r="AH374" s="910" t="s">
        <v>869</v>
      </c>
      <c r="AJ374" s="5" t="s">
        <v>1776</v>
      </c>
      <c r="AK374" s="1" t="s">
        <v>723</v>
      </c>
    </row>
    <row r="375" spans="1:37" x14ac:dyDescent="0.25">
      <c r="A375" s="174" t="s">
        <v>1774</v>
      </c>
      <c r="B375" s="174" t="s">
        <v>1775</v>
      </c>
      <c r="C375" s="174">
        <v>29</v>
      </c>
      <c r="D375" s="174">
        <v>81.599999999999994</v>
      </c>
      <c r="E375" s="174">
        <v>-16.667000000000002</v>
      </c>
      <c r="F375" s="174">
        <v>81.599999999999994</v>
      </c>
      <c r="G375" s="174">
        <v>-16.667000000000002</v>
      </c>
      <c r="H375" s="174" t="s">
        <v>1203</v>
      </c>
      <c r="I375" s="174" t="s">
        <v>1468</v>
      </c>
      <c r="J375" s="907" t="str">
        <f t="shared" si="15"/>
        <v/>
      </c>
      <c r="K375" s="907" t="str">
        <f t="shared" si="16"/>
        <v/>
      </c>
      <c r="L375" s="174">
        <v>1</v>
      </c>
      <c r="M375" s="913">
        <v>40406</v>
      </c>
      <c r="N375" s="907">
        <v>0.29871010654859687</v>
      </c>
      <c r="O375" s="907">
        <v>0.67797295766668675</v>
      </c>
      <c r="P375" s="907"/>
      <c r="Q375" s="907">
        <v>0.97668306421528361</v>
      </c>
      <c r="R375" s="247">
        <v>1</v>
      </c>
      <c r="Y375" s="247">
        <v>0.22646560393742313</v>
      </c>
      <c r="Z375" s="247">
        <v>0.37944388420729325</v>
      </c>
      <c r="AA375" s="249">
        <v>0.22646560393742313</v>
      </c>
      <c r="AB375" s="247">
        <v>1</v>
      </c>
      <c r="AG375" s="908">
        <f>Table2[[#This Row],[xFOSAs]]+Table2[[#This Row],[xFOSEs]]</f>
        <v>1.2031486681527068</v>
      </c>
      <c r="AH375" s="910" t="s">
        <v>869</v>
      </c>
      <c r="AJ375" s="5" t="s">
        <v>1776</v>
      </c>
      <c r="AK375" s="1" t="s">
        <v>723</v>
      </c>
    </row>
    <row r="376" spans="1:37" x14ac:dyDescent="0.25">
      <c r="A376" s="174" t="s">
        <v>1774</v>
      </c>
      <c r="B376" s="174" t="s">
        <v>1775</v>
      </c>
      <c r="C376" s="174">
        <v>30</v>
      </c>
      <c r="D376" s="174">
        <v>81.599999999999994</v>
      </c>
      <c r="E376" s="174">
        <v>-16.667000000000002</v>
      </c>
      <c r="F376" s="174">
        <v>81.599999999999994</v>
      </c>
      <c r="G376" s="174">
        <v>-16.667000000000002</v>
      </c>
      <c r="H376" s="174" t="s">
        <v>1203</v>
      </c>
      <c r="I376" s="174" t="s">
        <v>1468</v>
      </c>
      <c r="J376" s="907" t="str">
        <f t="shared" si="15"/>
        <v/>
      </c>
      <c r="K376" s="907" t="str">
        <f t="shared" si="16"/>
        <v/>
      </c>
      <c r="L376" s="174">
        <v>1</v>
      </c>
      <c r="M376" s="913">
        <v>40434</v>
      </c>
      <c r="N376" s="907">
        <v>0.38331910118596496</v>
      </c>
      <c r="O376" s="907">
        <v>1.3654100892075471</v>
      </c>
      <c r="P376" s="907"/>
      <c r="Q376" s="907">
        <v>1.748729190393512</v>
      </c>
      <c r="R376" s="247">
        <v>1</v>
      </c>
      <c r="Y376" s="247">
        <v>0.3612108091446789</v>
      </c>
      <c r="Z376" s="247">
        <v>0.42295869019922128</v>
      </c>
      <c r="AA376" s="249">
        <v>0.3612108091446789</v>
      </c>
      <c r="AB376" s="247">
        <v>1</v>
      </c>
      <c r="AG376" s="908">
        <f>Table2[[#This Row],[xFOSAs]]+Table2[[#This Row],[xFOSEs]]</f>
        <v>2.1099399995381911</v>
      </c>
      <c r="AH376" s="910" t="s">
        <v>869</v>
      </c>
      <c r="AJ376" s="5" t="s">
        <v>1776</v>
      </c>
      <c r="AK376" s="1" t="s">
        <v>723</v>
      </c>
    </row>
    <row r="377" spans="1:37" x14ac:dyDescent="0.25">
      <c r="A377" s="174" t="s">
        <v>1774</v>
      </c>
      <c r="B377" s="174" t="s">
        <v>1775</v>
      </c>
      <c r="C377" s="174">
        <v>31</v>
      </c>
      <c r="D377" s="174">
        <v>81.599999999999994</v>
      </c>
      <c r="E377" s="174">
        <v>-16.667000000000002</v>
      </c>
      <c r="F377" s="174">
        <v>81.599999999999994</v>
      </c>
      <c r="G377" s="174">
        <v>-16.667000000000002</v>
      </c>
      <c r="H377" s="174" t="s">
        <v>1203</v>
      </c>
      <c r="I377" s="174" t="s">
        <v>1468</v>
      </c>
      <c r="J377" s="907" t="str">
        <f t="shared" si="15"/>
        <v/>
      </c>
      <c r="K377" s="907" t="str">
        <f t="shared" si="16"/>
        <v/>
      </c>
      <c r="L377" s="174">
        <v>1</v>
      </c>
      <c r="M377" s="913">
        <v>40476</v>
      </c>
      <c r="N377" s="907">
        <v>0.30266890362426413</v>
      </c>
      <c r="O377" s="907">
        <v>0.71944301573028524</v>
      </c>
      <c r="P377" s="907"/>
      <c r="Q377" s="907">
        <v>1.0221119193545494</v>
      </c>
      <c r="R377" s="247">
        <v>1</v>
      </c>
      <c r="Y377" s="247">
        <v>0.61220519405924356</v>
      </c>
      <c r="Z377" s="247">
        <v>0.68886173443536391</v>
      </c>
      <c r="AA377" s="249">
        <v>0.61220519405924356</v>
      </c>
      <c r="AB377" s="247">
        <v>1</v>
      </c>
      <c r="AG377" s="908">
        <f>Table2[[#This Row],[xFOSAs]]+Table2[[#This Row],[xFOSEs]]</f>
        <v>1.6343171134137928</v>
      </c>
      <c r="AH377" s="910" t="s">
        <v>869</v>
      </c>
      <c r="AJ377" s="5" t="s">
        <v>1776</v>
      </c>
      <c r="AK377" s="1" t="s">
        <v>723</v>
      </c>
    </row>
    <row r="378" spans="1:37" x14ac:dyDescent="0.25">
      <c r="A378" s="174" t="s">
        <v>1774</v>
      </c>
      <c r="B378" s="174" t="s">
        <v>1775</v>
      </c>
      <c r="C378" s="174">
        <v>32</v>
      </c>
      <c r="D378" s="174">
        <v>81.599999999999994</v>
      </c>
      <c r="E378" s="174">
        <v>-16.667000000000002</v>
      </c>
      <c r="F378" s="174">
        <v>81.599999999999994</v>
      </c>
      <c r="G378" s="174">
        <v>-16.667000000000002</v>
      </c>
      <c r="H378" s="174" t="s">
        <v>1203</v>
      </c>
      <c r="I378" s="174" t="s">
        <v>1468</v>
      </c>
      <c r="J378" s="907" t="str">
        <f t="shared" si="15"/>
        <v/>
      </c>
      <c r="K378" s="907" t="str">
        <f t="shared" si="16"/>
        <v/>
      </c>
      <c r="L378" s="174">
        <v>1</v>
      </c>
      <c r="M378" s="913">
        <v>40504</v>
      </c>
      <c r="N378" s="907">
        <v>0.21437905704939481</v>
      </c>
      <c r="O378" s="907">
        <v>0.34583530321663852</v>
      </c>
      <c r="P378" s="907"/>
      <c r="Q378" s="907">
        <v>0.56021436026603333</v>
      </c>
      <c r="R378" s="247">
        <v>1</v>
      </c>
      <c r="Y378" s="247">
        <v>0.24410801271325172</v>
      </c>
      <c r="Z378" s="247">
        <v>0.3366431770320949</v>
      </c>
      <c r="AA378" s="249">
        <v>0.24410801271325172</v>
      </c>
      <c r="AB378" s="247">
        <v>1</v>
      </c>
      <c r="AG378" s="908">
        <f>Table2[[#This Row],[xFOSAs]]+Table2[[#This Row],[xFOSEs]]</f>
        <v>0.80432237297928499</v>
      </c>
      <c r="AH378" s="910" t="s">
        <v>869</v>
      </c>
      <c r="AJ378" s="5" t="s">
        <v>1776</v>
      </c>
      <c r="AK378" s="1" t="s">
        <v>723</v>
      </c>
    </row>
    <row r="379" spans="1:37" x14ac:dyDescent="0.25">
      <c r="A379" s="174" t="s">
        <v>1774</v>
      </c>
      <c r="B379" s="174" t="s">
        <v>1775</v>
      </c>
      <c r="C379" s="174">
        <v>33</v>
      </c>
      <c r="D379" s="174">
        <v>81.599999999999994</v>
      </c>
      <c r="E379" s="174">
        <v>-16.667000000000002</v>
      </c>
      <c r="F379" s="174">
        <v>81.599999999999994</v>
      </c>
      <c r="G379" s="174">
        <v>-16.667000000000002</v>
      </c>
      <c r="H379" s="174" t="s">
        <v>1203</v>
      </c>
      <c r="I379" s="174" t="s">
        <v>1468</v>
      </c>
      <c r="J379" s="907" t="str">
        <f t="shared" ref="J379:J408" si="17">IF(R379=1,"","yes")</f>
        <v/>
      </c>
      <c r="K379" s="907" t="str">
        <f t="shared" ref="K379:K408" si="18">IF(AB379=1,"","yes")</f>
        <v/>
      </c>
      <c r="L379" s="174">
        <v>1</v>
      </c>
      <c r="M379" s="913">
        <v>40546</v>
      </c>
      <c r="N379" s="907">
        <v>1.9320000000000002</v>
      </c>
      <c r="O379" s="907">
        <v>3.4140000000000001</v>
      </c>
      <c r="P379" s="907"/>
      <c r="Q379" s="907">
        <v>5.3460000000000001</v>
      </c>
      <c r="R379" s="247">
        <v>1</v>
      </c>
      <c r="Y379" s="247">
        <v>1.786</v>
      </c>
      <c r="Z379" s="247">
        <v>3.9360000000000004</v>
      </c>
      <c r="AA379" s="249">
        <v>1.786</v>
      </c>
      <c r="AB379" s="247">
        <v>1</v>
      </c>
      <c r="AG379" s="908">
        <f>Table2[[#This Row],[xFOSAs]]+Table2[[#This Row],[xFOSEs]]</f>
        <v>7.1319999999999997</v>
      </c>
      <c r="AH379" s="910" t="s">
        <v>869</v>
      </c>
      <c r="AJ379" s="5" t="s">
        <v>1776</v>
      </c>
      <c r="AK379" s="1" t="s">
        <v>723</v>
      </c>
    </row>
    <row r="380" spans="1:37" x14ac:dyDescent="0.25">
      <c r="A380" s="174" t="s">
        <v>1774</v>
      </c>
      <c r="B380" s="174" t="s">
        <v>1775</v>
      </c>
      <c r="C380" s="174">
        <v>34</v>
      </c>
      <c r="D380" s="174">
        <v>81.599999999999994</v>
      </c>
      <c r="E380" s="174">
        <v>-16.667000000000002</v>
      </c>
      <c r="F380" s="174">
        <v>81.599999999999994</v>
      </c>
      <c r="G380" s="174">
        <v>-16.667000000000002</v>
      </c>
      <c r="H380" s="174" t="s">
        <v>1203</v>
      </c>
      <c r="I380" s="174" t="s">
        <v>1468</v>
      </c>
      <c r="J380" s="907" t="str">
        <f t="shared" si="17"/>
        <v/>
      </c>
      <c r="K380" s="907" t="str">
        <f t="shared" si="18"/>
        <v/>
      </c>
      <c r="L380" s="174">
        <v>1</v>
      </c>
      <c r="M380" s="913">
        <v>40567</v>
      </c>
      <c r="N380" s="907">
        <v>0.36479999999999996</v>
      </c>
      <c r="O380" s="907">
        <v>0.78220000000000001</v>
      </c>
      <c r="P380" s="907"/>
      <c r="Q380" s="907">
        <v>1.147</v>
      </c>
      <c r="R380" s="247">
        <v>1</v>
      </c>
      <c r="Y380" s="247">
        <v>0.56599999999999995</v>
      </c>
      <c r="Z380" s="247">
        <v>0.70799999999999996</v>
      </c>
      <c r="AA380" s="249">
        <v>0.56599999999999995</v>
      </c>
      <c r="AB380" s="247">
        <v>1</v>
      </c>
      <c r="AG380" s="908">
        <f>Table2[[#This Row],[xFOSAs]]+Table2[[#This Row],[xFOSEs]]</f>
        <v>1.7130000000000001</v>
      </c>
      <c r="AH380" s="910" t="s">
        <v>869</v>
      </c>
      <c r="AJ380" s="5" t="s">
        <v>1776</v>
      </c>
      <c r="AK380" s="1" t="s">
        <v>723</v>
      </c>
    </row>
    <row r="381" spans="1:37" x14ac:dyDescent="0.25">
      <c r="A381" s="174" t="s">
        <v>1774</v>
      </c>
      <c r="B381" s="174" t="s">
        <v>1775</v>
      </c>
      <c r="C381" s="174">
        <v>35</v>
      </c>
      <c r="D381" s="174">
        <v>81.599999999999994</v>
      </c>
      <c r="E381" s="174">
        <v>-16.667000000000002</v>
      </c>
      <c r="F381" s="174">
        <v>81.599999999999994</v>
      </c>
      <c r="G381" s="174">
        <v>-16.667000000000002</v>
      </c>
      <c r="H381" s="174" t="s">
        <v>1203</v>
      </c>
      <c r="I381" s="174" t="s">
        <v>1468</v>
      </c>
      <c r="J381" s="907" t="str">
        <f t="shared" si="17"/>
        <v/>
      </c>
      <c r="K381" s="907" t="str">
        <f t="shared" si="18"/>
        <v/>
      </c>
      <c r="L381" s="174">
        <v>1</v>
      </c>
      <c r="M381" s="913">
        <v>40616</v>
      </c>
      <c r="N381" s="907">
        <v>0.28460000000000002</v>
      </c>
      <c r="O381" s="907">
        <v>0.35</v>
      </c>
      <c r="P381" s="907"/>
      <c r="Q381" s="907">
        <v>0.63460000000000005</v>
      </c>
      <c r="R381" s="247">
        <v>1</v>
      </c>
      <c r="Y381" s="247">
        <v>0.49279999999999996</v>
      </c>
      <c r="Z381" s="247">
        <v>0.71340000000000003</v>
      </c>
      <c r="AA381" s="249">
        <v>0.49279999999999996</v>
      </c>
      <c r="AB381" s="247">
        <v>1</v>
      </c>
      <c r="AG381" s="908">
        <f>Table2[[#This Row],[xFOSAs]]+Table2[[#This Row],[xFOSEs]]</f>
        <v>1.1274</v>
      </c>
      <c r="AH381" s="910" t="s">
        <v>869</v>
      </c>
      <c r="AJ381" s="5" t="s">
        <v>1776</v>
      </c>
      <c r="AK381" s="1" t="s">
        <v>723</v>
      </c>
    </row>
    <row r="382" spans="1:37" x14ac:dyDescent="0.25">
      <c r="A382" s="174" t="s">
        <v>1774</v>
      </c>
      <c r="B382" s="174" t="s">
        <v>1775</v>
      </c>
      <c r="C382" s="174">
        <v>36</v>
      </c>
      <c r="D382" s="174">
        <v>81.599999999999994</v>
      </c>
      <c r="E382" s="174">
        <v>-16.667000000000002</v>
      </c>
      <c r="F382" s="174">
        <v>81.599999999999994</v>
      </c>
      <c r="G382" s="174">
        <v>-16.667000000000002</v>
      </c>
      <c r="H382" s="174" t="s">
        <v>1203</v>
      </c>
      <c r="I382" s="174" t="s">
        <v>1468</v>
      </c>
      <c r="J382" s="907" t="str">
        <f t="shared" si="17"/>
        <v/>
      </c>
      <c r="K382" s="907" t="str">
        <f t="shared" si="18"/>
        <v/>
      </c>
      <c r="L382" s="174">
        <v>1</v>
      </c>
      <c r="M382" s="913">
        <v>40644</v>
      </c>
      <c r="N382" s="907">
        <v>0.32979999999999998</v>
      </c>
      <c r="O382" s="907">
        <v>0.34500000000000003</v>
      </c>
      <c r="P382" s="907"/>
      <c r="Q382" s="907">
        <v>0.67480000000000007</v>
      </c>
      <c r="R382" s="247">
        <v>1</v>
      </c>
      <c r="Y382" s="247">
        <v>0.87099999999999989</v>
      </c>
      <c r="Z382" s="247">
        <v>1.3068</v>
      </c>
      <c r="AA382" s="249">
        <v>0.87099999999999989</v>
      </c>
      <c r="AB382" s="247">
        <v>1</v>
      </c>
      <c r="AG382" s="908">
        <f>Table2[[#This Row],[xFOSAs]]+Table2[[#This Row],[xFOSEs]]</f>
        <v>1.5457999999999998</v>
      </c>
      <c r="AH382" s="910" t="s">
        <v>869</v>
      </c>
      <c r="AJ382" s="5" t="s">
        <v>1776</v>
      </c>
      <c r="AK382" s="1" t="s">
        <v>723</v>
      </c>
    </row>
    <row r="383" spans="1:37" x14ac:dyDescent="0.25">
      <c r="A383" s="174" t="s">
        <v>1774</v>
      </c>
      <c r="B383" s="174" t="s">
        <v>1775</v>
      </c>
      <c r="C383" s="174">
        <v>37</v>
      </c>
      <c r="D383" s="174">
        <v>81.599999999999994</v>
      </c>
      <c r="E383" s="174">
        <v>-16.667000000000002</v>
      </c>
      <c r="F383" s="174">
        <v>81.599999999999994</v>
      </c>
      <c r="G383" s="174">
        <v>-16.667000000000002</v>
      </c>
      <c r="H383" s="174" t="s">
        <v>1203</v>
      </c>
      <c r="I383" s="174" t="s">
        <v>1468</v>
      </c>
      <c r="J383" s="907" t="str">
        <f t="shared" si="17"/>
        <v/>
      </c>
      <c r="K383" s="907" t="str">
        <f t="shared" si="18"/>
        <v/>
      </c>
      <c r="L383" s="174">
        <v>1</v>
      </c>
      <c r="M383" s="913">
        <v>40770</v>
      </c>
      <c r="N383" s="907">
        <v>0.59140000000000004</v>
      </c>
      <c r="O383" s="907">
        <v>1.1264000000000001</v>
      </c>
      <c r="P383" s="907"/>
      <c r="Q383" s="907">
        <v>1.7178</v>
      </c>
      <c r="R383" s="247">
        <v>1</v>
      </c>
      <c r="Y383" s="247">
        <v>1.1520000000000001</v>
      </c>
      <c r="Z383" s="247">
        <v>1.5019999999999998</v>
      </c>
      <c r="AA383" s="249">
        <v>1.1520000000000001</v>
      </c>
      <c r="AB383" s="247">
        <v>1</v>
      </c>
      <c r="AG383" s="908">
        <f>Table2[[#This Row],[xFOSAs]]+Table2[[#This Row],[xFOSEs]]</f>
        <v>2.8698000000000001</v>
      </c>
      <c r="AH383" s="910" t="s">
        <v>869</v>
      </c>
      <c r="AJ383" s="5" t="s">
        <v>1776</v>
      </c>
      <c r="AK383" s="1" t="s">
        <v>723</v>
      </c>
    </row>
    <row r="384" spans="1:37" x14ac:dyDescent="0.25">
      <c r="A384" s="174" t="s">
        <v>1774</v>
      </c>
      <c r="B384" s="174" t="s">
        <v>1775</v>
      </c>
      <c r="C384" s="174">
        <v>38</v>
      </c>
      <c r="D384" s="174">
        <v>81.599999999999994</v>
      </c>
      <c r="E384" s="174">
        <v>-16.667000000000002</v>
      </c>
      <c r="F384" s="174">
        <v>81.599999999999994</v>
      </c>
      <c r="G384" s="174">
        <v>-16.667000000000002</v>
      </c>
      <c r="H384" s="174" t="s">
        <v>1203</v>
      </c>
      <c r="I384" s="174" t="s">
        <v>1468</v>
      </c>
      <c r="J384" s="907" t="str">
        <f t="shared" si="17"/>
        <v/>
      </c>
      <c r="K384" s="907" t="str">
        <f t="shared" si="18"/>
        <v/>
      </c>
      <c r="L384" s="174">
        <v>1</v>
      </c>
      <c r="M384" s="913">
        <v>40812</v>
      </c>
      <c r="N384" s="907">
        <v>0.36599999999999999</v>
      </c>
      <c r="O384" s="907">
        <v>0.46440000000000003</v>
      </c>
      <c r="P384" s="907"/>
      <c r="Q384" s="907">
        <v>0.83040000000000003</v>
      </c>
      <c r="R384" s="247">
        <v>1</v>
      </c>
      <c r="Y384" s="247">
        <v>0.25</v>
      </c>
      <c r="Z384" s="247">
        <v>0.56799999999999995</v>
      </c>
      <c r="AA384" s="249">
        <v>0.25</v>
      </c>
      <c r="AB384" s="247">
        <v>1</v>
      </c>
      <c r="AG384" s="908">
        <f>Table2[[#This Row],[xFOSAs]]+Table2[[#This Row],[xFOSEs]]</f>
        <v>1.0804</v>
      </c>
      <c r="AH384" s="910" t="s">
        <v>869</v>
      </c>
      <c r="AJ384" s="5" t="s">
        <v>1776</v>
      </c>
      <c r="AK384" s="1" t="s">
        <v>723</v>
      </c>
    </row>
    <row r="385" spans="1:37" x14ac:dyDescent="0.25">
      <c r="A385" s="174" t="s">
        <v>1774</v>
      </c>
      <c r="B385" s="174" t="s">
        <v>1775</v>
      </c>
      <c r="C385" s="174">
        <v>39</v>
      </c>
      <c r="D385" s="174">
        <v>81.599999999999994</v>
      </c>
      <c r="E385" s="174">
        <v>-16.667000000000002</v>
      </c>
      <c r="F385" s="174">
        <v>81.599999999999994</v>
      </c>
      <c r="G385" s="174">
        <v>-16.667000000000002</v>
      </c>
      <c r="H385" s="174" t="s">
        <v>1203</v>
      </c>
      <c r="I385" s="174" t="s">
        <v>1468</v>
      </c>
      <c r="J385" s="907" t="str">
        <f t="shared" si="17"/>
        <v/>
      </c>
      <c r="K385" s="907" t="str">
        <f t="shared" si="18"/>
        <v>yes</v>
      </c>
      <c r="L385" s="174">
        <v>1</v>
      </c>
      <c r="M385" s="913">
        <v>40840</v>
      </c>
      <c r="N385" s="907">
        <v>0.23900000000000002</v>
      </c>
      <c r="O385" s="907">
        <v>0.33179999999999998</v>
      </c>
      <c r="P385" s="907"/>
      <c r="Q385" s="907">
        <v>0.57079999999999997</v>
      </c>
      <c r="R385" s="247">
        <v>1</v>
      </c>
      <c r="Y385" s="247">
        <v>0.06</v>
      </c>
      <c r="Z385" s="247">
        <v>0.19359999999999999</v>
      </c>
      <c r="AA385" s="249">
        <v>0.06</v>
      </c>
      <c r="AB385" s="247" t="s">
        <v>446</v>
      </c>
      <c r="AG385" s="908">
        <f>Table2[[#This Row],[xFOSAs]]+Table2[[#This Row],[xFOSEs]]</f>
        <v>0.63080000000000003</v>
      </c>
      <c r="AH385" s="910" t="s">
        <v>869</v>
      </c>
      <c r="AJ385" s="5" t="s">
        <v>1776</v>
      </c>
      <c r="AK385" s="1" t="s">
        <v>723</v>
      </c>
    </row>
    <row r="386" spans="1:37" x14ac:dyDescent="0.25">
      <c r="A386" s="174" t="s">
        <v>1774</v>
      </c>
      <c r="B386" s="174" t="s">
        <v>1775</v>
      </c>
      <c r="C386" s="174">
        <v>40</v>
      </c>
      <c r="D386" s="174">
        <v>81.599999999999994</v>
      </c>
      <c r="E386" s="174">
        <v>-16.667000000000002</v>
      </c>
      <c r="F386" s="174">
        <v>81.599999999999994</v>
      </c>
      <c r="G386" s="174">
        <v>-16.667000000000002</v>
      </c>
      <c r="H386" s="174" t="s">
        <v>1203</v>
      </c>
      <c r="I386" s="174" t="s">
        <v>1468</v>
      </c>
      <c r="J386" s="907" t="str">
        <f t="shared" si="17"/>
        <v>yes</v>
      </c>
      <c r="K386" s="907" t="str">
        <f t="shared" si="18"/>
        <v>yes</v>
      </c>
      <c r="L386" s="174">
        <v>1</v>
      </c>
      <c r="M386" s="913">
        <v>40884</v>
      </c>
      <c r="N386" s="907">
        <v>0.1</v>
      </c>
      <c r="O386" s="907">
        <v>0.11</v>
      </c>
      <c r="P386" s="907"/>
      <c r="Q386" s="907">
        <v>0.21000000000000002</v>
      </c>
      <c r="R386" s="247">
        <v>0</v>
      </c>
      <c r="Y386" s="247">
        <v>0.06</v>
      </c>
      <c r="Z386" s="247">
        <v>0.08</v>
      </c>
      <c r="AA386" s="249">
        <v>0.06</v>
      </c>
      <c r="AB386" s="247">
        <v>0</v>
      </c>
      <c r="AG386" s="908">
        <f>Table2[[#This Row],[xFOSAs]]+Table2[[#This Row],[xFOSEs]]</f>
        <v>0.27</v>
      </c>
      <c r="AH386" s="910" t="s">
        <v>869</v>
      </c>
      <c r="AJ386" s="5" t="s">
        <v>1776</v>
      </c>
      <c r="AK386" s="1" t="s">
        <v>723</v>
      </c>
    </row>
    <row r="387" spans="1:37" x14ac:dyDescent="0.25">
      <c r="A387" s="174" t="s">
        <v>1774</v>
      </c>
      <c r="B387" s="174" t="s">
        <v>1775</v>
      </c>
      <c r="C387" s="174">
        <v>41</v>
      </c>
      <c r="D387" s="174">
        <v>81.599999999999994</v>
      </c>
      <c r="E387" s="174">
        <v>-16.667000000000002</v>
      </c>
      <c r="F387" s="174">
        <v>81.599999999999994</v>
      </c>
      <c r="G387" s="174">
        <v>-16.667000000000002</v>
      </c>
      <c r="H387" s="174" t="s">
        <v>1203</v>
      </c>
      <c r="I387" s="174" t="s">
        <v>1468</v>
      </c>
      <c r="J387" s="907" t="str">
        <f t="shared" si="17"/>
        <v>yes</v>
      </c>
      <c r="K387" s="907" t="str">
        <f t="shared" si="18"/>
        <v/>
      </c>
      <c r="L387" s="174">
        <v>1</v>
      </c>
      <c r="M387" s="913">
        <v>40910</v>
      </c>
      <c r="N387" s="907">
        <v>0.1</v>
      </c>
      <c r="O387" s="907">
        <v>0.24646729786817656</v>
      </c>
      <c r="P387" s="907"/>
      <c r="Q387" s="907">
        <v>0.34646729786817654</v>
      </c>
      <c r="R387" s="247" t="s">
        <v>446</v>
      </c>
      <c r="Y387" s="247">
        <v>0.38590023506710058</v>
      </c>
      <c r="Z387" s="247">
        <v>0.55228500384965773</v>
      </c>
      <c r="AA387" s="249">
        <v>0.38590023506710058</v>
      </c>
      <c r="AB387" s="247">
        <v>1</v>
      </c>
      <c r="AG387" s="908">
        <f>Table2[[#This Row],[xFOSAs]]+Table2[[#This Row],[xFOSEs]]</f>
        <v>0.73236753293527712</v>
      </c>
      <c r="AH387" s="910" t="s">
        <v>869</v>
      </c>
      <c r="AJ387" s="5" t="s">
        <v>1776</v>
      </c>
      <c r="AK387" s="1" t="s">
        <v>723</v>
      </c>
    </row>
    <row r="388" spans="1:37" x14ac:dyDescent="0.25">
      <c r="A388" s="174" t="s">
        <v>1774</v>
      </c>
      <c r="B388" s="174" t="s">
        <v>1775</v>
      </c>
      <c r="C388" s="174">
        <v>42</v>
      </c>
      <c r="D388" s="174">
        <v>81.599999999999994</v>
      </c>
      <c r="E388" s="174">
        <v>-16.667000000000002</v>
      </c>
      <c r="F388" s="174">
        <v>81.599999999999994</v>
      </c>
      <c r="G388" s="174">
        <v>-16.667000000000002</v>
      </c>
      <c r="H388" s="174" t="s">
        <v>1203</v>
      </c>
      <c r="I388" s="174" t="s">
        <v>1468</v>
      </c>
      <c r="J388" s="907" t="str">
        <f t="shared" si="17"/>
        <v>yes</v>
      </c>
      <c r="K388" s="907" t="str">
        <f t="shared" si="18"/>
        <v/>
      </c>
      <c r="L388" s="174">
        <v>1</v>
      </c>
      <c r="M388" s="913">
        <v>40938</v>
      </c>
      <c r="N388" s="907">
        <v>0.1</v>
      </c>
      <c r="O388" s="907">
        <v>0.11</v>
      </c>
      <c r="P388" s="907"/>
      <c r="Q388" s="907">
        <v>0.21000000000000002</v>
      </c>
      <c r="R388" s="247">
        <v>0</v>
      </c>
      <c r="Y388" s="247">
        <v>0.66329108071604681</v>
      </c>
      <c r="Z388" s="247">
        <v>0.83864281351272796</v>
      </c>
      <c r="AA388" s="249">
        <v>0.66329108071604681</v>
      </c>
      <c r="AB388" s="247">
        <v>1</v>
      </c>
      <c r="AG388" s="908">
        <f>Table2[[#This Row],[xFOSAs]]+Table2[[#This Row],[xFOSEs]]</f>
        <v>0.87329108071604677</v>
      </c>
      <c r="AH388" s="910" t="s">
        <v>869</v>
      </c>
      <c r="AJ388" s="5" t="s">
        <v>1776</v>
      </c>
      <c r="AK388" s="1" t="s">
        <v>723</v>
      </c>
    </row>
    <row r="389" spans="1:37" x14ac:dyDescent="0.25">
      <c r="A389" s="174" t="s">
        <v>1774</v>
      </c>
      <c r="B389" s="174" t="s">
        <v>1775</v>
      </c>
      <c r="C389" s="174">
        <v>43</v>
      </c>
      <c r="D389" s="174">
        <v>81.599999999999994</v>
      </c>
      <c r="E389" s="174">
        <v>-16.667000000000002</v>
      </c>
      <c r="F389" s="174">
        <v>81.599999999999994</v>
      </c>
      <c r="G389" s="174">
        <v>-16.667000000000002</v>
      </c>
      <c r="H389" s="174" t="s">
        <v>1203</v>
      </c>
      <c r="I389" s="174" t="s">
        <v>1468</v>
      </c>
      <c r="J389" s="907" t="str">
        <f t="shared" si="17"/>
        <v>yes</v>
      </c>
      <c r="K389" s="907" t="str">
        <f t="shared" si="18"/>
        <v/>
      </c>
      <c r="L389" s="174">
        <v>1</v>
      </c>
      <c r="M389" s="913">
        <v>40966</v>
      </c>
      <c r="N389" s="907">
        <v>0.1</v>
      </c>
      <c r="O389" s="907">
        <v>0.22751386879011787</v>
      </c>
      <c r="P389" s="907"/>
      <c r="Q389" s="907">
        <v>0.3275138687901179</v>
      </c>
      <c r="R389" s="247" t="s">
        <v>446</v>
      </c>
      <c r="Y389" s="247">
        <v>0.93469000441178518</v>
      </c>
      <c r="Z389" s="247">
        <v>1.1490241317456318</v>
      </c>
      <c r="AA389" s="249">
        <v>0.93469000441178518</v>
      </c>
      <c r="AB389" s="247">
        <v>1</v>
      </c>
      <c r="AG389" s="908">
        <f>Table2[[#This Row],[xFOSAs]]+Table2[[#This Row],[xFOSEs]]</f>
        <v>1.2622038732019032</v>
      </c>
      <c r="AH389" s="910" t="s">
        <v>869</v>
      </c>
      <c r="AJ389" s="5" t="s">
        <v>1776</v>
      </c>
      <c r="AK389" s="1" t="s">
        <v>723</v>
      </c>
    </row>
    <row r="390" spans="1:37" x14ac:dyDescent="0.25">
      <c r="A390" s="174" t="s">
        <v>1774</v>
      </c>
      <c r="B390" s="174" t="s">
        <v>1775</v>
      </c>
      <c r="C390" s="174">
        <v>44</v>
      </c>
      <c r="D390" s="174">
        <v>81.599999999999994</v>
      </c>
      <c r="E390" s="174">
        <v>-16.667000000000002</v>
      </c>
      <c r="F390" s="174">
        <v>81.599999999999994</v>
      </c>
      <c r="G390" s="174">
        <v>-16.667000000000002</v>
      </c>
      <c r="H390" s="174" t="s">
        <v>1203</v>
      </c>
      <c r="I390" s="174" t="s">
        <v>1468</v>
      </c>
      <c r="J390" s="907" t="str">
        <f t="shared" si="17"/>
        <v>yes</v>
      </c>
      <c r="K390" s="907" t="str">
        <f t="shared" si="18"/>
        <v>yes</v>
      </c>
      <c r="L390" s="174">
        <v>1</v>
      </c>
      <c r="M390" s="913">
        <v>40994</v>
      </c>
      <c r="N390" s="907">
        <v>0.1</v>
      </c>
      <c r="O390" s="907">
        <v>0.64962350802816859</v>
      </c>
      <c r="P390" s="907"/>
      <c r="Q390" s="907">
        <v>0.74962350802816857</v>
      </c>
      <c r="R390" s="247" t="s">
        <v>446</v>
      </c>
      <c r="Y390" s="247">
        <v>0.06</v>
      </c>
      <c r="Z390" s="247">
        <v>0.08</v>
      </c>
      <c r="AA390" s="249">
        <v>0.06</v>
      </c>
      <c r="AB390" s="247">
        <v>0</v>
      </c>
      <c r="AG390" s="908">
        <f>Table2[[#This Row],[xFOSAs]]+Table2[[#This Row],[xFOSEs]]</f>
        <v>0.80962350802816863</v>
      </c>
      <c r="AH390" s="910" t="s">
        <v>869</v>
      </c>
      <c r="AJ390" s="5" t="s">
        <v>1776</v>
      </c>
      <c r="AK390" s="1" t="s">
        <v>723</v>
      </c>
    </row>
    <row r="391" spans="1:37" x14ac:dyDescent="0.25">
      <c r="A391" s="174" t="s">
        <v>1774</v>
      </c>
      <c r="B391" s="174" t="s">
        <v>1775</v>
      </c>
      <c r="C391" s="174">
        <v>45</v>
      </c>
      <c r="D391" s="174">
        <v>81.599999999999994</v>
      </c>
      <c r="E391" s="174">
        <v>-16.667000000000002</v>
      </c>
      <c r="F391" s="174">
        <v>81.599999999999994</v>
      </c>
      <c r="G391" s="174">
        <v>-16.667000000000002</v>
      </c>
      <c r="H391" s="174" t="s">
        <v>1203</v>
      </c>
      <c r="I391" s="174" t="s">
        <v>1468</v>
      </c>
      <c r="J391" s="907" t="str">
        <f t="shared" si="17"/>
        <v>yes</v>
      </c>
      <c r="K391" s="907" t="str">
        <f t="shared" si="18"/>
        <v>yes</v>
      </c>
      <c r="L391" s="174">
        <v>1</v>
      </c>
      <c r="M391" s="913">
        <v>41022</v>
      </c>
      <c r="N391" s="907">
        <v>0.25739976547361143</v>
      </c>
      <c r="O391" s="907">
        <v>0.69103712841152676</v>
      </c>
      <c r="P391" s="907"/>
      <c r="Q391" s="907">
        <v>0.94843689388513819</v>
      </c>
      <c r="R391" s="247" t="s">
        <v>446</v>
      </c>
      <c r="Y391" s="247">
        <v>0.06</v>
      </c>
      <c r="Z391" s="247">
        <v>0.08</v>
      </c>
      <c r="AA391" s="249">
        <v>0.06</v>
      </c>
      <c r="AB391" s="247">
        <v>0</v>
      </c>
      <c r="AG391" s="908">
        <f>Table2[[#This Row],[xFOSAs]]+Table2[[#This Row],[xFOSEs]]</f>
        <v>1.0084368938851382</v>
      </c>
      <c r="AH391" s="910" t="s">
        <v>869</v>
      </c>
      <c r="AJ391" s="5" t="s">
        <v>1776</v>
      </c>
      <c r="AK391" s="1" t="s">
        <v>723</v>
      </c>
    </row>
    <row r="392" spans="1:37" x14ac:dyDescent="0.25">
      <c r="A392" s="174" t="s">
        <v>1774</v>
      </c>
      <c r="B392" s="174" t="s">
        <v>1775</v>
      </c>
      <c r="C392" s="174">
        <v>46</v>
      </c>
      <c r="D392" s="174">
        <v>81.599999999999994</v>
      </c>
      <c r="E392" s="174">
        <v>-16.667000000000002</v>
      </c>
      <c r="F392" s="174">
        <v>81.599999999999994</v>
      </c>
      <c r="G392" s="174">
        <v>-16.667000000000002</v>
      </c>
      <c r="H392" s="174" t="s">
        <v>1203</v>
      </c>
      <c r="I392" s="174" t="s">
        <v>1468</v>
      </c>
      <c r="J392" s="907" t="str">
        <f t="shared" si="17"/>
        <v>yes</v>
      </c>
      <c r="K392" s="907" t="str">
        <f t="shared" si="18"/>
        <v/>
      </c>
      <c r="L392" s="174">
        <v>1</v>
      </c>
      <c r="M392" s="913">
        <v>41064</v>
      </c>
      <c r="N392" s="907">
        <v>0.22564117703089875</v>
      </c>
      <c r="O392" s="907">
        <v>0.84490765440858395</v>
      </c>
      <c r="P392" s="907"/>
      <c r="Q392" s="907">
        <v>1.0705488314394827</v>
      </c>
      <c r="R392" s="247" t="s">
        <v>446</v>
      </c>
      <c r="Y392" s="247">
        <v>0.27308766365978215</v>
      </c>
      <c r="Z392" s="247">
        <v>0.82169116923271923</v>
      </c>
      <c r="AA392" s="249">
        <v>0.27308766365978215</v>
      </c>
      <c r="AB392" s="247">
        <v>1</v>
      </c>
      <c r="AG392" s="908">
        <f>Table2[[#This Row],[xFOSAs]]+Table2[[#This Row],[xFOSEs]]</f>
        <v>1.3436364950992647</v>
      </c>
      <c r="AH392" s="910" t="s">
        <v>869</v>
      </c>
      <c r="AJ392" s="5" t="s">
        <v>1776</v>
      </c>
      <c r="AK392" s="1" t="s">
        <v>723</v>
      </c>
    </row>
    <row r="393" spans="1:37" x14ac:dyDescent="0.25">
      <c r="A393" s="174" t="s">
        <v>1774</v>
      </c>
      <c r="B393" s="174" t="s">
        <v>1775</v>
      </c>
      <c r="C393" s="174">
        <v>47</v>
      </c>
      <c r="D393" s="174">
        <v>81.599999999999994</v>
      </c>
      <c r="E393" s="174">
        <v>-16.667000000000002</v>
      </c>
      <c r="F393" s="174">
        <v>81.599999999999994</v>
      </c>
      <c r="G393" s="174">
        <v>-16.667000000000002</v>
      </c>
      <c r="H393" s="174" t="s">
        <v>1203</v>
      </c>
      <c r="I393" s="174" t="s">
        <v>1468</v>
      </c>
      <c r="J393" s="907" t="str">
        <f t="shared" si="17"/>
        <v>yes</v>
      </c>
      <c r="K393" s="907" t="str">
        <f t="shared" si="18"/>
        <v/>
      </c>
      <c r="L393" s="174">
        <v>1</v>
      </c>
      <c r="M393" s="913">
        <v>41092</v>
      </c>
      <c r="N393" s="907">
        <v>0.1</v>
      </c>
      <c r="O393" s="907">
        <v>0.63887665896588508</v>
      </c>
      <c r="P393" s="907"/>
      <c r="Q393" s="907">
        <v>0.73887665896588506</v>
      </c>
      <c r="R393" s="247" t="s">
        <v>446</v>
      </c>
      <c r="Y393" s="247">
        <v>0.34383020008821702</v>
      </c>
      <c r="Z393" s="247">
        <v>0.4553549613290544</v>
      </c>
      <c r="AA393" s="249">
        <v>0.34383020008821702</v>
      </c>
      <c r="AB393" s="247">
        <v>1</v>
      </c>
      <c r="AG393" s="908">
        <f>Table2[[#This Row],[xFOSAs]]+Table2[[#This Row],[xFOSEs]]</f>
        <v>1.082706859054102</v>
      </c>
      <c r="AH393" s="910" t="s">
        <v>869</v>
      </c>
      <c r="AJ393" s="5" t="s">
        <v>1776</v>
      </c>
      <c r="AK393" s="1" t="s">
        <v>723</v>
      </c>
    </row>
    <row r="394" spans="1:37" x14ac:dyDescent="0.25">
      <c r="A394" s="174" t="s">
        <v>1774</v>
      </c>
      <c r="B394" s="174" t="s">
        <v>1775</v>
      </c>
      <c r="C394" s="174">
        <v>48</v>
      </c>
      <c r="D394" s="174">
        <v>81.599999999999994</v>
      </c>
      <c r="E394" s="174">
        <v>-16.667000000000002</v>
      </c>
      <c r="F394" s="174">
        <v>81.599999999999994</v>
      </c>
      <c r="G394" s="174">
        <v>-16.667000000000002</v>
      </c>
      <c r="H394" s="174" t="s">
        <v>1203</v>
      </c>
      <c r="I394" s="174" t="s">
        <v>1468</v>
      </c>
      <c r="J394" s="907" t="str">
        <f t="shared" si="17"/>
        <v/>
      </c>
      <c r="K394" s="907" t="str">
        <f t="shared" si="18"/>
        <v/>
      </c>
      <c r="L394" s="174">
        <v>1</v>
      </c>
      <c r="M394" s="913">
        <v>41106</v>
      </c>
      <c r="N394" s="907">
        <v>0.27824924753312369</v>
      </c>
      <c r="O394" s="907">
        <v>0.60950844164418583</v>
      </c>
      <c r="P394" s="907"/>
      <c r="Q394" s="907">
        <v>0.88775768917730957</v>
      </c>
      <c r="R394" s="247">
        <v>1</v>
      </c>
      <c r="Y394" s="247">
        <v>0.479192502041557</v>
      </c>
      <c r="Z394" s="247">
        <v>0.75286123733825139</v>
      </c>
      <c r="AA394" s="249">
        <v>0.479192502041557</v>
      </c>
      <c r="AB394" s="247">
        <v>1</v>
      </c>
      <c r="AG394" s="908">
        <f>Table2[[#This Row],[xFOSAs]]+Table2[[#This Row],[xFOSEs]]</f>
        <v>1.3669501912188666</v>
      </c>
      <c r="AH394" s="910" t="s">
        <v>869</v>
      </c>
      <c r="AJ394" s="5" t="s">
        <v>1776</v>
      </c>
      <c r="AK394" s="1" t="s">
        <v>723</v>
      </c>
    </row>
    <row r="395" spans="1:37" x14ac:dyDescent="0.25">
      <c r="A395" s="174" t="s">
        <v>1774</v>
      </c>
      <c r="B395" s="174" t="s">
        <v>1775</v>
      </c>
      <c r="C395" s="174">
        <v>49</v>
      </c>
      <c r="D395" s="174">
        <v>81.599999999999994</v>
      </c>
      <c r="E395" s="174">
        <v>-16.667000000000002</v>
      </c>
      <c r="F395" s="174">
        <v>81.599999999999994</v>
      </c>
      <c r="G395" s="174">
        <v>-16.667000000000002</v>
      </c>
      <c r="H395" s="174" t="s">
        <v>1203</v>
      </c>
      <c r="I395" s="174" t="s">
        <v>1468</v>
      </c>
      <c r="J395" s="907" t="str">
        <f t="shared" si="17"/>
        <v/>
      </c>
      <c r="K395" s="907" t="str">
        <f t="shared" si="18"/>
        <v/>
      </c>
      <c r="L395" s="174">
        <v>1</v>
      </c>
      <c r="M395" s="913">
        <v>41134</v>
      </c>
      <c r="N395" s="907">
        <v>0.40920099232261825</v>
      </c>
      <c r="O395" s="907">
        <v>0.61769097633415693</v>
      </c>
      <c r="P395" s="907"/>
      <c r="Q395" s="907">
        <v>1.0268919686567752</v>
      </c>
      <c r="R395" s="247">
        <v>1</v>
      </c>
      <c r="Y395" s="247">
        <v>0.50538667547391181</v>
      </c>
      <c r="Z395" s="247">
        <v>0.56334110738921239</v>
      </c>
      <c r="AA395" s="249">
        <v>0.50538667547391181</v>
      </c>
      <c r="AB395" s="247">
        <v>1</v>
      </c>
      <c r="AG395" s="908">
        <f>Table2[[#This Row],[xFOSAs]]+Table2[[#This Row],[xFOSEs]]</f>
        <v>1.532278644130687</v>
      </c>
      <c r="AH395" s="910" t="s">
        <v>869</v>
      </c>
      <c r="AJ395" s="5" t="s">
        <v>1776</v>
      </c>
      <c r="AK395" s="1" t="s">
        <v>723</v>
      </c>
    </row>
    <row r="396" spans="1:37" x14ac:dyDescent="0.25">
      <c r="A396" s="174" t="s">
        <v>1774</v>
      </c>
      <c r="B396" s="174" t="s">
        <v>1775</v>
      </c>
      <c r="C396" s="174">
        <v>50</v>
      </c>
      <c r="D396" s="174">
        <v>81.599999999999994</v>
      </c>
      <c r="E396" s="174">
        <v>-16.667000000000002</v>
      </c>
      <c r="F396" s="174">
        <v>81.599999999999994</v>
      </c>
      <c r="G396" s="174">
        <v>-16.667000000000002</v>
      </c>
      <c r="H396" s="174" t="s">
        <v>1203</v>
      </c>
      <c r="I396" s="174" t="s">
        <v>1468</v>
      </c>
      <c r="J396" s="907" t="str">
        <f t="shared" si="17"/>
        <v/>
      </c>
      <c r="K396" s="907" t="str">
        <f t="shared" si="18"/>
        <v>yes</v>
      </c>
      <c r="L396" s="174">
        <v>1</v>
      </c>
      <c r="M396" s="913">
        <v>41162</v>
      </c>
      <c r="N396" s="907">
        <v>0.21440920467606606</v>
      </c>
      <c r="O396" s="907">
        <v>0.3920902380764657</v>
      </c>
      <c r="P396" s="907"/>
      <c r="Q396" s="907">
        <v>0.60649944275253176</v>
      </c>
      <c r="R396" s="247">
        <v>1</v>
      </c>
      <c r="Y396" s="247">
        <v>0.06</v>
      </c>
      <c r="Z396" s="247">
        <v>0.40000943274618211</v>
      </c>
      <c r="AA396" s="249">
        <v>0.06</v>
      </c>
      <c r="AB396" s="247" t="s">
        <v>446</v>
      </c>
      <c r="AG396" s="908">
        <f>Table2[[#This Row],[xFOSAs]]+Table2[[#This Row],[xFOSEs]]</f>
        <v>0.6664994427525317</v>
      </c>
      <c r="AH396" s="910" t="s">
        <v>869</v>
      </c>
      <c r="AJ396" s="5" t="s">
        <v>1776</v>
      </c>
      <c r="AK396" s="1" t="s">
        <v>723</v>
      </c>
    </row>
    <row r="397" spans="1:37" x14ac:dyDescent="0.25">
      <c r="A397" s="174" t="s">
        <v>1774</v>
      </c>
      <c r="B397" s="174" t="s">
        <v>1775</v>
      </c>
      <c r="C397" s="174">
        <v>51</v>
      </c>
      <c r="D397" s="174">
        <v>81.599999999999994</v>
      </c>
      <c r="E397" s="174">
        <v>-16.667000000000002</v>
      </c>
      <c r="F397" s="174">
        <v>81.599999999999994</v>
      </c>
      <c r="G397" s="174">
        <v>-16.667000000000002</v>
      </c>
      <c r="H397" s="174" t="s">
        <v>1203</v>
      </c>
      <c r="I397" s="174" t="s">
        <v>1468</v>
      </c>
      <c r="J397" s="907" t="str">
        <f t="shared" si="17"/>
        <v>yes</v>
      </c>
      <c r="K397" s="907" t="str">
        <f t="shared" si="18"/>
        <v>yes</v>
      </c>
      <c r="L397" s="174">
        <v>1</v>
      </c>
      <c r="M397" s="913">
        <v>41190</v>
      </c>
      <c r="N397" s="907">
        <v>0.1</v>
      </c>
      <c r="O397" s="907">
        <v>0.26852000639545509</v>
      </c>
      <c r="P397" s="907"/>
      <c r="Q397" s="907">
        <v>0.36852000639545512</v>
      </c>
      <c r="R397" s="247" t="s">
        <v>446</v>
      </c>
      <c r="Y397" s="247">
        <v>0.06</v>
      </c>
      <c r="Z397" s="247">
        <v>0.08</v>
      </c>
      <c r="AA397" s="249">
        <v>0.06</v>
      </c>
      <c r="AB397" s="247">
        <v>0</v>
      </c>
      <c r="AG397" s="908">
        <f>Table2[[#This Row],[xFOSAs]]+Table2[[#This Row],[xFOSEs]]</f>
        <v>0.42852000639545512</v>
      </c>
      <c r="AH397" s="910" t="s">
        <v>869</v>
      </c>
      <c r="AJ397" s="5" t="s">
        <v>1776</v>
      </c>
      <c r="AK397" s="1" t="s">
        <v>723</v>
      </c>
    </row>
    <row r="398" spans="1:37" x14ac:dyDescent="0.25">
      <c r="A398" s="174" t="s">
        <v>1774</v>
      </c>
      <c r="B398" s="174" t="s">
        <v>1775</v>
      </c>
      <c r="C398" s="174">
        <v>52</v>
      </c>
      <c r="D398" s="174">
        <v>81.599999999999994</v>
      </c>
      <c r="E398" s="174">
        <v>-16.667000000000002</v>
      </c>
      <c r="F398" s="174">
        <v>81.599999999999994</v>
      </c>
      <c r="G398" s="174">
        <v>-16.667000000000002</v>
      </c>
      <c r="H398" s="174" t="s">
        <v>1203</v>
      </c>
      <c r="I398" s="174" t="s">
        <v>1468</v>
      </c>
      <c r="J398" s="907" t="str">
        <f t="shared" si="17"/>
        <v>yes</v>
      </c>
      <c r="K398" s="907" t="str">
        <f t="shared" si="18"/>
        <v>yes</v>
      </c>
      <c r="L398" s="174">
        <v>1</v>
      </c>
      <c r="M398" s="913">
        <v>41218</v>
      </c>
      <c r="N398" s="907">
        <v>0.1</v>
      </c>
      <c r="O398" s="907">
        <v>0.11</v>
      </c>
      <c r="P398" s="907"/>
      <c r="Q398" s="907">
        <v>0.21000000000000002</v>
      </c>
      <c r="R398" s="247">
        <v>0</v>
      </c>
      <c r="Y398" s="247">
        <v>0.06</v>
      </c>
      <c r="Z398" s="247">
        <v>0.08</v>
      </c>
      <c r="AA398" s="249">
        <v>0.06</v>
      </c>
      <c r="AB398" s="247">
        <v>0</v>
      </c>
      <c r="AG398" s="908">
        <f>Table2[[#This Row],[xFOSAs]]+Table2[[#This Row],[xFOSEs]]</f>
        <v>0.27</v>
      </c>
      <c r="AH398" s="910" t="s">
        <v>869</v>
      </c>
      <c r="AJ398" s="5" t="s">
        <v>1776</v>
      </c>
      <c r="AK398" s="1" t="s">
        <v>723</v>
      </c>
    </row>
    <row r="399" spans="1:37" x14ac:dyDescent="0.25">
      <c r="A399" s="174" t="s">
        <v>1774</v>
      </c>
      <c r="B399" s="174" t="s">
        <v>1775</v>
      </c>
      <c r="C399" s="174">
        <v>53</v>
      </c>
      <c r="D399" s="174">
        <v>81.599999999999994</v>
      </c>
      <c r="E399" s="174">
        <v>-16.667000000000002</v>
      </c>
      <c r="F399" s="174">
        <v>81.599999999999994</v>
      </c>
      <c r="G399" s="174">
        <v>-16.667000000000002</v>
      </c>
      <c r="H399" s="174" t="s">
        <v>1203</v>
      </c>
      <c r="I399" s="174" t="s">
        <v>1468</v>
      </c>
      <c r="J399" s="907" t="str">
        <f t="shared" si="17"/>
        <v>yes</v>
      </c>
      <c r="K399" s="907" t="str">
        <f t="shared" si="18"/>
        <v>yes</v>
      </c>
      <c r="L399" s="174">
        <v>1</v>
      </c>
      <c r="M399" s="913">
        <v>41246</v>
      </c>
      <c r="N399" s="907">
        <v>0.1</v>
      </c>
      <c r="O399" s="907">
        <v>0.11</v>
      </c>
      <c r="P399" s="907"/>
      <c r="Q399" s="907">
        <v>0.21000000000000002</v>
      </c>
      <c r="R399" s="247">
        <v>0</v>
      </c>
      <c r="Y399" s="247">
        <v>0.06</v>
      </c>
      <c r="Z399" s="247">
        <v>0.08</v>
      </c>
      <c r="AA399" s="249">
        <v>0.06</v>
      </c>
      <c r="AB399" s="247">
        <v>0</v>
      </c>
      <c r="AG399" s="908">
        <f>Table2[[#This Row],[xFOSAs]]+Table2[[#This Row],[xFOSEs]]</f>
        <v>0.27</v>
      </c>
      <c r="AH399" s="910" t="s">
        <v>869</v>
      </c>
      <c r="AJ399" s="5" t="s">
        <v>1776</v>
      </c>
      <c r="AK399" s="1" t="s">
        <v>723</v>
      </c>
    </row>
    <row r="400" spans="1:37" x14ac:dyDescent="0.25">
      <c r="A400" s="174" t="s">
        <v>1774</v>
      </c>
      <c r="B400" s="174" t="s">
        <v>1775</v>
      </c>
      <c r="C400" s="174">
        <v>54</v>
      </c>
      <c r="D400" s="174">
        <v>81.599999999999994</v>
      </c>
      <c r="E400" s="174">
        <v>-16.667000000000002</v>
      </c>
      <c r="F400" s="174">
        <v>81.599999999999994</v>
      </c>
      <c r="G400" s="174">
        <v>-16.667000000000002</v>
      </c>
      <c r="H400" s="174" t="s">
        <v>1203</v>
      </c>
      <c r="I400" s="174" t="s">
        <v>1468</v>
      </c>
      <c r="J400" s="907" t="str">
        <f t="shared" si="17"/>
        <v>yes</v>
      </c>
      <c r="K400" s="907" t="str">
        <f t="shared" si="18"/>
        <v>yes</v>
      </c>
      <c r="L400" s="174">
        <v>1</v>
      </c>
      <c r="M400" s="913">
        <v>41274</v>
      </c>
      <c r="N400" s="907">
        <v>0.1</v>
      </c>
      <c r="O400" s="907">
        <v>0.11</v>
      </c>
      <c r="P400" s="907"/>
      <c r="Q400" s="907">
        <v>0.21000000000000002</v>
      </c>
      <c r="R400" s="247">
        <v>0</v>
      </c>
      <c r="Y400" s="247">
        <v>0.23868345351835152</v>
      </c>
      <c r="Z400" s="247">
        <v>0.08</v>
      </c>
      <c r="AA400" s="249">
        <v>0.23868345351835152</v>
      </c>
      <c r="AB400" s="247" t="s">
        <v>446</v>
      </c>
      <c r="AG400" s="908">
        <f>Table2[[#This Row],[xFOSAs]]+Table2[[#This Row],[xFOSEs]]</f>
        <v>0.44868345351835154</v>
      </c>
      <c r="AH400" s="910" t="s">
        <v>869</v>
      </c>
      <c r="AJ400" s="5" t="s">
        <v>1776</v>
      </c>
      <c r="AK400" s="1" t="s">
        <v>723</v>
      </c>
    </row>
    <row r="401" spans="1:37" x14ac:dyDescent="0.25">
      <c r="A401" s="174" t="s">
        <v>1774</v>
      </c>
      <c r="B401" s="174" t="s">
        <v>1775</v>
      </c>
      <c r="C401" s="174">
        <v>55</v>
      </c>
      <c r="D401" s="174">
        <v>81.599999999999994</v>
      </c>
      <c r="E401" s="174">
        <v>-16.667000000000002</v>
      </c>
      <c r="F401" s="174">
        <v>81.599999999999994</v>
      </c>
      <c r="G401" s="174">
        <v>-16.667000000000002</v>
      </c>
      <c r="H401" s="174" t="s">
        <v>1203</v>
      </c>
      <c r="I401" s="174" t="s">
        <v>1468</v>
      </c>
      <c r="J401" s="907" t="str">
        <f t="shared" si="17"/>
        <v>yes</v>
      </c>
      <c r="K401" s="907" t="str">
        <f t="shared" si="18"/>
        <v>yes</v>
      </c>
      <c r="L401" s="174">
        <v>1</v>
      </c>
      <c r="M401" s="913">
        <v>41302</v>
      </c>
      <c r="N401" s="907">
        <v>0.1</v>
      </c>
      <c r="O401" s="907">
        <v>0.11</v>
      </c>
      <c r="P401" s="907"/>
      <c r="Q401" s="907">
        <v>0.21000000000000002</v>
      </c>
      <c r="R401" s="247">
        <v>0</v>
      </c>
      <c r="Y401" s="247">
        <v>0.06</v>
      </c>
      <c r="Z401" s="247">
        <v>0.08</v>
      </c>
      <c r="AA401" s="249">
        <v>0.06</v>
      </c>
      <c r="AB401" s="247">
        <v>0</v>
      </c>
      <c r="AG401" s="908">
        <f>Table2[[#This Row],[xFOSAs]]+Table2[[#This Row],[xFOSEs]]</f>
        <v>0.27</v>
      </c>
      <c r="AH401" s="910" t="s">
        <v>869</v>
      </c>
      <c r="AJ401" s="5" t="s">
        <v>1776</v>
      </c>
      <c r="AK401" s="1" t="s">
        <v>723</v>
      </c>
    </row>
    <row r="402" spans="1:37" x14ac:dyDescent="0.25">
      <c r="A402" s="174" t="s">
        <v>1774</v>
      </c>
      <c r="B402" s="174" t="s">
        <v>1775</v>
      </c>
      <c r="C402" s="174">
        <v>56</v>
      </c>
      <c r="D402" s="174">
        <v>81.599999999999994</v>
      </c>
      <c r="E402" s="174">
        <v>-16.667000000000002</v>
      </c>
      <c r="F402" s="174">
        <v>81.599999999999994</v>
      </c>
      <c r="G402" s="174">
        <v>-16.667000000000002</v>
      </c>
      <c r="H402" s="174" t="s">
        <v>1203</v>
      </c>
      <c r="I402" s="174" t="s">
        <v>1468</v>
      </c>
      <c r="J402" s="907" t="str">
        <f t="shared" si="17"/>
        <v>yes</v>
      </c>
      <c r="K402" s="907" t="str">
        <f t="shared" si="18"/>
        <v>yes</v>
      </c>
      <c r="L402" s="174">
        <v>1</v>
      </c>
      <c r="M402" s="913">
        <v>41330</v>
      </c>
      <c r="N402" s="907">
        <v>0.1</v>
      </c>
      <c r="O402" s="907">
        <v>0.11</v>
      </c>
      <c r="P402" s="907"/>
      <c r="Q402" s="907">
        <v>0.21000000000000002</v>
      </c>
      <c r="R402" s="247">
        <v>0</v>
      </c>
      <c r="Y402" s="247">
        <v>0.06</v>
      </c>
      <c r="Z402" s="247">
        <v>0.08</v>
      </c>
      <c r="AA402" s="249">
        <v>0.06</v>
      </c>
      <c r="AB402" s="247">
        <v>0</v>
      </c>
      <c r="AG402" s="908">
        <f>Table2[[#This Row],[xFOSAs]]+Table2[[#This Row],[xFOSEs]]</f>
        <v>0.27</v>
      </c>
      <c r="AH402" s="910" t="s">
        <v>869</v>
      </c>
      <c r="AJ402" s="5" t="s">
        <v>1776</v>
      </c>
      <c r="AK402" s="1" t="s">
        <v>723</v>
      </c>
    </row>
    <row r="403" spans="1:37" x14ac:dyDescent="0.25">
      <c r="A403" s="174" t="s">
        <v>1774</v>
      </c>
      <c r="B403" s="174" t="s">
        <v>1775</v>
      </c>
      <c r="C403" s="174">
        <v>57</v>
      </c>
      <c r="D403" s="174">
        <v>81.599999999999994</v>
      </c>
      <c r="E403" s="174">
        <v>-16.667000000000002</v>
      </c>
      <c r="F403" s="174">
        <v>81.599999999999994</v>
      </c>
      <c r="G403" s="174">
        <v>-16.667000000000002</v>
      </c>
      <c r="H403" s="174" t="s">
        <v>1203</v>
      </c>
      <c r="I403" s="174" t="s">
        <v>1468</v>
      </c>
      <c r="J403" s="907" t="str">
        <f t="shared" si="17"/>
        <v>yes</v>
      </c>
      <c r="K403" s="907" t="str">
        <f t="shared" si="18"/>
        <v>yes</v>
      </c>
      <c r="L403" s="174">
        <v>1</v>
      </c>
      <c r="M403" s="913">
        <v>41358</v>
      </c>
      <c r="N403" s="907">
        <v>0.1</v>
      </c>
      <c r="O403" s="907">
        <v>0.11</v>
      </c>
      <c r="P403" s="907"/>
      <c r="Q403" s="907">
        <v>0.21000000000000002</v>
      </c>
      <c r="R403" s="247">
        <v>0</v>
      </c>
      <c r="Y403" s="247">
        <v>0.06</v>
      </c>
      <c r="Z403" s="247">
        <v>0.08</v>
      </c>
      <c r="AA403" s="249">
        <v>0.06</v>
      </c>
      <c r="AB403" s="247">
        <v>0</v>
      </c>
      <c r="AG403" s="908">
        <f>Table2[[#This Row],[xFOSAs]]+Table2[[#This Row],[xFOSEs]]</f>
        <v>0.27</v>
      </c>
      <c r="AH403" s="910" t="s">
        <v>869</v>
      </c>
      <c r="AJ403" s="5" t="s">
        <v>1776</v>
      </c>
      <c r="AK403" s="1" t="s">
        <v>723</v>
      </c>
    </row>
    <row r="404" spans="1:37" x14ac:dyDescent="0.25">
      <c r="A404" s="174" t="s">
        <v>1774</v>
      </c>
      <c r="B404" s="174" t="s">
        <v>1775</v>
      </c>
      <c r="C404" s="174">
        <v>58</v>
      </c>
      <c r="D404" s="174">
        <v>81.599999999999994</v>
      </c>
      <c r="E404" s="174">
        <v>-16.667000000000002</v>
      </c>
      <c r="F404" s="174">
        <v>81.599999999999994</v>
      </c>
      <c r="G404" s="174">
        <v>-16.667000000000002</v>
      </c>
      <c r="H404" s="174" t="s">
        <v>1203</v>
      </c>
      <c r="I404" s="174" t="s">
        <v>1468</v>
      </c>
      <c r="J404" s="907" t="str">
        <f t="shared" si="17"/>
        <v/>
      </c>
      <c r="K404" s="907" t="str">
        <f t="shared" si="18"/>
        <v/>
      </c>
      <c r="L404" s="174">
        <v>1</v>
      </c>
      <c r="M404" s="913">
        <v>41498</v>
      </c>
      <c r="N404" s="907">
        <v>0.29361748480234984</v>
      </c>
      <c r="O404" s="907">
        <v>0.42163895755822961</v>
      </c>
      <c r="P404" s="907"/>
      <c r="Q404" s="907">
        <v>0.71525644236057939</v>
      </c>
      <c r="R404" s="247">
        <v>1</v>
      </c>
      <c r="Y404" s="247">
        <v>0.37571196935967738</v>
      </c>
      <c r="Z404" s="247">
        <v>0.33959824621750417</v>
      </c>
      <c r="AA404" s="249">
        <v>0.37571196935967738</v>
      </c>
      <c r="AB404" s="247">
        <v>1</v>
      </c>
      <c r="AG404" s="908">
        <f>Table2[[#This Row],[xFOSAs]]+Table2[[#This Row],[xFOSEs]]</f>
        <v>1.0909684117202567</v>
      </c>
      <c r="AH404" s="910" t="s">
        <v>869</v>
      </c>
      <c r="AJ404" s="5" t="s">
        <v>1776</v>
      </c>
      <c r="AK404" s="1" t="s">
        <v>723</v>
      </c>
    </row>
    <row r="405" spans="1:37" x14ac:dyDescent="0.25">
      <c r="A405" s="174" t="s">
        <v>1774</v>
      </c>
      <c r="B405" s="174" t="s">
        <v>1775</v>
      </c>
      <c r="C405" s="174">
        <v>59</v>
      </c>
      <c r="D405" s="174">
        <v>81.599999999999994</v>
      </c>
      <c r="E405" s="174">
        <v>-16.667000000000002</v>
      </c>
      <c r="F405" s="174">
        <v>81.599999999999994</v>
      </c>
      <c r="G405" s="174">
        <v>-16.667000000000002</v>
      </c>
      <c r="H405" s="174" t="s">
        <v>1203</v>
      </c>
      <c r="I405" s="174" t="s">
        <v>1468</v>
      </c>
      <c r="J405" s="907" t="str">
        <f t="shared" si="17"/>
        <v>yes</v>
      </c>
      <c r="K405" s="907" t="str">
        <f t="shared" si="18"/>
        <v>yes</v>
      </c>
      <c r="L405" s="174">
        <v>1</v>
      </c>
      <c r="M405" s="913">
        <v>41526</v>
      </c>
      <c r="N405" s="907">
        <v>0.1</v>
      </c>
      <c r="O405" s="907">
        <v>0.22435484727126093</v>
      </c>
      <c r="P405" s="907"/>
      <c r="Q405" s="907">
        <v>0.32435484727126096</v>
      </c>
      <c r="R405" s="247" t="s">
        <v>446</v>
      </c>
      <c r="Y405" s="247">
        <v>0.06</v>
      </c>
      <c r="Z405" s="247">
        <v>0.08</v>
      </c>
      <c r="AA405" s="249">
        <v>0.06</v>
      </c>
      <c r="AB405" s="247">
        <v>0</v>
      </c>
      <c r="AG405" s="908">
        <f>Table2[[#This Row],[xFOSAs]]+Table2[[#This Row],[xFOSEs]]</f>
        <v>0.38435484727126096</v>
      </c>
      <c r="AH405" s="910" t="s">
        <v>869</v>
      </c>
      <c r="AJ405" s="5" t="s">
        <v>1776</v>
      </c>
      <c r="AK405" s="1" t="s">
        <v>723</v>
      </c>
    </row>
    <row r="406" spans="1:37" x14ac:dyDescent="0.25">
      <c r="A406" s="174" t="s">
        <v>1774</v>
      </c>
      <c r="B406" s="174" t="s">
        <v>1775</v>
      </c>
      <c r="C406" s="174">
        <v>60</v>
      </c>
      <c r="D406" s="174">
        <v>81.599999999999994</v>
      </c>
      <c r="E406" s="174">
        <v>-16.667000000000002</v>
      </c>
      <c r="F406" s="174">
        <v>81.599999999999994</v>
      </c>
      <c r="G406" s="174">
        <v>-16.667000000000002</v>
      </c>
      <c r="H406" s="174" t="s">
        <v>1203</v>
      </c>
      <c r="I406" s="174" t="s">
        <v>1468</v>
      </c>
      <c r="J406" s="907" t="str">
        <f t="shared" si="17"/>
        <v>yes</v>
      </c>
      <c r="K406" s="907" t="str">
        <f t="shared" si="18"/>
        <v>yes</v>
      </c>
      <c r="L406" s="174">
        <v>1</v>
      </c>
      <c r="M406" s="913">
        <v>41554</v>
      </c>
      <c r="N406" s="907">
        <v>0.1</v>
      </c>
      <c r="O406" s="907">
        <v>0.11</v>
      </c>
      <c r="P406" s="907"/>
      <c r="Q406" s="907">
        <v>0.21000000000000002</v>
      </c>
      <c r="R406" s="247">
        <v>0</v>
      </c>
      <c r="Y406" s="247">
        <v>0.06</v>
      </c>
      <c r="Z406" s="247">
        <v>0.08</v>
      </c>
      <c r="AA406" s="249">
        <v>0.06</v>
      </c>
      <c r="AB406" s="247">
        <v>0</v>
      </c>
      <c r="AG406" s="908">
        <f>Table2[[#This Row],[xFOSAs]]+Table2[[#This Row],[xFOSEs]]</f>
        <v>0.27</v>
      </c>
      <c r="AH406" s="910" t="s">
        <v>869</v>
      </c>
      <c r="AJ406" s="5" t="s">
        <v>1776</v>
      </c>
      <c r="AK406" s="1" t="s">
        <v>723</v>
      </c>
    </row>
    <row r="407" spans="1:37" x14ac:dyDescent="0.25">
      <c r="A407" s="174" t="s">
        <v>1774</v>
      </c>
      <c r="B407" s="174" t="s">
        <v>1775</v>
      </c>
      <c r="C407" s="174">
        <v>61</v>
      </c>
      <c r="D407" s="174">
        <v>81.599999999999994</v>
      </c>
      <c r="E407" s="174">
        <v>-16.667000000000002</v>
      </c>
      <c r="F407" s="174">
        <v>81.599999999999994</v>
      </c>
      <c r="G407" s="174">
        <v>-16.667000000000002</v>
      </c>
      <c r="H407" s="174" t="s">
        <v>1203</v>
      </c>
      <c r="I407" s="174" t="s">
        <v>1468</v>
      </c>
      <c r="J407" s="907" t="str">
        <f t="shared" si="17"/>
        <v/>
      </c>
      <c r="K407" s="907" t="str">
        <f t="shared" si="18"/>
        <v/>
      </c>
      <c r="L407" s="174">
        <v>1</v>
      </c>
      <c r="M407" s="913">
        <v>41582</v>
      </c>
      <c r="N407" s="907">
        <v>1.0893689431132383</v>
      </c>
      <c r="O407" s="907">
        <v>0.25972495378002414</v>
      </c>
      <c r="P407" s="907"/>
      <c r="Q407" s="907">
        <v>1.3490938968932624</v>
      </c>
      <c r="R407" s="247">
        <v>1</v>
      </c>
      <c r="Y407" s="247">
        <v>2.7822028412741213</v>
      </c>
      <c r="Z407" s="247">
        <v>0.53179600447701181</v>
      </c>
      <c r="AA407" s="249">
        <v>2.7822028412741213</v>
      </c>
      <c r="AB407" s="247">
        <v>1</v>
      </c>
      <c r="AG407" s="908">
        <f>Table2[[#This Row],[xFOSAs]]+Table2[[#This Row],[xFOSEs]]</f>
        <v>4.131296738167384</v>
      </c>
      <c r="AH407" s="910" t="s">
        <v>869</v>
      </c>
      <c r="AJ407" s="5" t="s">
        <v>1776</v>
      </c>
      <c r="AK407" s="1" t="s">
        <v>723</v>
      </c>
    </row>
    <row r="408" spans="1:37" x14ac:dyDescent="0.25">
      <c r="A408" s="174" t="s">
        <v>1774</v>
      </c>
      <c r="B408" s="174" t="s">
        <v>1775</v>
      </c>
      <c r="C408" s="174">
        <v>62</v>
      </c>
      <c r="D408" s="174">
        <v>81.599999999999994</v>
      </c>
      <c r="E408" s="174">
        <v>-16.667000000000002</v>
      </c>
      <c r="F408" s="174">
        <v>81.599999999999994</v>
      </c>
      <c r="G408" s="174">
        <v>-16.667000000000002</v>
      </c>
      <c r="H408" s="174" t="s">
        <v>1203</v>
      </c>
      <c r="I408" s="174" t="s">
        <v>1468</v>
      </c>
      <c r="J408" s="907" t="str">
        <f t="shared" si="17"/>
        <v>yes</v>
      </c>
      <c r="K408" s="907" t="str">
        <f t="shared" si="18"/>
        <v>yes</v>
      </c>
      <c r="L408" s="174">
        <v>1</v>
      </c>
      <c r="M408" s="913">
        <v>41599</v>
      </c>
      <c r="N408" s="907">
        <v>0.1</v>
      </c>
      <c r="O408" s="907">
        <v>0.11</v>
      </c>
      <c r="P408" s="907"/>
      <c r="Q408" s="907">
        <v>0.21000000000000002</v>
      </c>
      <c r="R408" s="247">
        <v>0</v>
      </c>
      <c r="Y408" s="247">
        <v>0.37808627642304393</v>
      </c>
      <c r="Z408" s="247">
        <v>0.08</v>
      </c>
      <c r="AA408" s="249">
        <v>0.37808627642304393</v>
      </c>
      <c r="AB408" s="247" t="s">
        <v>446</v>
      </c>
      <c r="AG408" s="908">
        <f>Table2[[#This Row],[xFOSAs]]+Table2[[#This Row],[xFOSEs]]</f>
        <v>0.5880862764230439</v>
      </c>
      <c r="AH408" s="910" t="s">
        <v>869</v>
      </c>
      <c r="AJ408" s="5" t="s">
        <v>1776</v>
      </c>
      <c r="AK408" s="1" t="s">
        <v>723</v>
      </c>
    </row>
    <row r="409" spans="1:37" x14ac:dyDescent="0.25">
      <c r="A409" s="923"/>
      <c r="B409" s="923"/>
      <c r="C409" s="923"/>
      <c r="D409" s="923"/>
      <c r="E409" s="923"/>
      <c r="F409" s="923"/>
      <c r="G409" s="923"/>
      <c r="H409" s="923"/>
      <c r="I409" s="923"/>
      <c r="J409" s="907" t="str">
        <f>IF(R409=1,"","yes")</f>
        <v>yes</v>
      </c>
      <c r="K409" s="907" t="str">
        <f>IF(AB409=1,"","yes")</f>
        <v>yes</v>
      </c>
      <c r="L409" s="923"/>
      <c r="M409" s="924"/>
      <c r="N409" s="924"/>
      <c r="O409" s="924"/>
      <c r="Q409" s="249"/>
      <c r="AA409" s="249"/>
      <c r="AG409" s="908">
        <f>Table2[[#This Row],[xFOSAs]]+Table2[[#This Row],[xFOSEs]]</f>
        <v>0</v>
      </c>
    </row>
  </sheetData>
  <pageMargins left="0.75" right="0.75" top="1" bottom="1" header="0.5" footer="0.5"/>
  <pageSetup paperSize="9" orientation="landscape" horizontalDpi="4294967292" verticalDpi="4294967292"/>
  <drawing r:id="rId1"/>
  <legacy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58"/>
  <sheetViews>
    <sheetView showGridLines="0" tabSelected="1" topLeftCell="D21" zoomScale="150" zoomScaleNormal="150" zoomScalePageLayoutView="150" workbookViewId="0">
      <selection activeCell="K35" sqref="K35"/>
    </sheetView>
  </sheetViews>
  <sheetFormatPr baseColWidth="10" defaultColWidth="11" defaultRowHeight="16" x14ac:dyDescent="0.2"/>
  <cols>
    <col min="2" max="2" width="27.6640625" customWidth="1"/>
    <col min="3" max="3" width="32.83203125" bestFit="1" customWidth="1"/>
    <col min="4" max="4" width="22.6640625" customWidth="1"/>
    <col min="5" max="5" width="14.5" customWidth="1"/>
    <col min="7" max="7" width="18.1640625" customWidth="1"/>
    <col min="10" max="10" width="13.5" customWidth="1"/>
    <col min="11" max="11" width="15" customWidth="1"/>
    <col min="12" max="12" width="13.5" customWidth="1"/>
    <col min="14" max="14" width="14" customWidth="1"/>
    <col min="15" max="15" width="13.5" customWidth="1"/>
    <col min="16" max="16" width="13.1640625" customWidth="1"/>
    <col min="17" max="17" width="13.83203125" customWidth="1"/>
  </cols>
  <sheetData>
    <row r="2" spans="2:15" ht="21" x14ac:dyDescent="0.25">
      <c r="B2" s="596" t="s">
        <v>1464</v>
      </c>
    </row>
    <row r="4" spans="2:15" x14ac:dyDescent="0.2">
      <c r="B4" s="341" t="s">
        <v>1454</v>
      </c>
      <c r="I4" s="341" t="s">
        <v>1454</v>
      </c>
    </row>
    <row r="5" spans="2:15" ht="48" x14ac:dyDescent="0.2">
      <c r="B5" s="719" t="s">
        <v>1455</v>
      </c>
      <c r="C5" s="719" t="s">
        <v>1460</v>
      </c>
      <c r="D5" s="720" t="s">
        <v>1459</v>
      </c>
      <c r="E5" s="721" t="s">
        <v>1456</v>
      </c>
      <c r="F5" s="719" t="s">
        <v>1457</v>
      </c>
      <c r="G5" s="719" t="s">
        <v>1466</v>
      </c>
      <c r="I5" s="1126" t="s">
        <v>398</v>
      </c>
      <c r="J5" s="719" t="s">
        <v>1460</v>
      </c>
      <c r="K5" s="1123" t="s">
        <v>1459</v>
      </c>
      <c r="L5" s="1124" t="s">
        <v>1456</v>
      </c>
      <c r="M5" s="1125" t="s">
        <v>1457</v>
      </c>
      <c r="N5" s="719" t="s">
        <v>2206</v>
      </c>
      <c r="O5" s="1125" t="s">
        <v>1466</v>
      </c>
    </row>
    <row r="6" spans="2:15" x14ac:dyDescent="0.2">
      <c r="B6" s="346" t="s">
        <v>892</v>
      </c>
      <c r="C6" s="346">
        <f>COUNTA(PEC_ocean!$V$4:$V$6)</f>
        <v>3</v>
      </c>
      <c r="D6" s="346">
        <f>COUNTIF(PEC_ocean!$J$4:$J$6,"hard_yes")</f>
        <v>3</v>
      </c>
      <c r="E6" s="346">
        <f>C6-D6</f>
        <v>0</v>
      </c>
      <c r="F6" s="346">
        <f>COUNTIFS(PEC_ocean!$V$4:$V$6,1,PEC_ocean!$J$4:$J$6,"&lt;&gt;hard_yes")</f>
        <v>0</v>
      </c>
      <c r="G6" s="718" t="e">
        <f>F6/E6</f>
        <v>#DIV/0!</v>
      </c>
      <c r="I6" s="346">
        <v>1</v>
      </c>
      <c r="J6" s="346">
        <f>COUNTIFS(PEC_ocean!$K$4:$K$351,'Frequency Detection'!$I6)</f>
        <v>38</v>
      </c>
      <c r="K6" s="346">
        <f>COUNTIFS(PEC_ocean!$K$4:$K$351,'Frequency Detection'!$I6,PEC_ocean!$J$4:$J$351,"hard_yes")</f>
        <v>0</v>
      </c>
      <c r="L6" s="346">
        <f>J6-K6</f>
        <v>38</v>
      </c>
      <c r="M6" s="346">
        <f>COUNTIFS(PEC_ocean!$K$4:$K$351,'Frequency Detection'!$I6,PEC_ocean!$V$4:$V$351,1,PEC_ocean!$J$4:$J$351,"&lt;&gt;hard_yes")</f>
        <v>2</v>
      </c>
      <c r="N6" s="346">
        <f>COUNTIFS(PEC_ocean!$K$4:$K$351,'Frequency Detection'!$I6,PEC_ocean!$V$4:$V$351,"&lt;&gt;1",PEC_ocean!$J$4:$J$351,"&lt;&gt;hard_yes")</f>
        <v>36</v>
      </c>
      <c r="O6" s="718">
        <f>M6/L6</f>
        <v>5.2631578947368418E-2</v>
      </c>
    </row>
    <row r="7" spans="2:15" x14ac:dyDescent="0.2">
      <c r="B7" s="346" t="s">
        <v>893</v>
      </c>
      <c r="C7" s="346">
        <f>COUNTA(PEC_ocean!$V$7:$V$36)</f>
        <v>30</v>
      </c>
      <c r="D7" s="346">
        <f>COUNTIF(PEC_ocean!$J$7:$J$36,"hard_yes")</f>
        <v>1</v>
      </c>
      <c r="E7" s="346">
        <f t="shared" ref="E7" si="0">C7-D7</f>
        <v>29</v>
      </c>
      <c r="F7" s="346">
        <f>COUNTIFS(PEC_ocean!$V$7:$V$36,1,PEC_ocean!$J$7:$J$36,"&lt;&gt;hard_yes")</f>
        <v>29</v>
      </c>
      <c r="G7" s="718">
        <f t="shared" ref="G7:G17" si="1">F7/E7</f>
        <v>1</v>
      </c>
      <c r="I7" s="346">
        <v>2</v>
      </c>
      <c r="J7" s="346">
        <f>COUNTIFS(PEC_ocean!$K$4:$K$351,'Frequency Detection'!$I7)</f>
        <v>38</v>
      </c>
      <c r="K7" s="346">
        <f>COUNTIFS(PEC_ocean!$K$4:$K$351,'Frequency Detection'!$I7,PEC_ocean!$J$4:$J$351,"hard_yes")</f>
        <v>16</v>
      </c>
      <c r="L7" s="346">
        <f t="shared" ref="L7:L15" si="2">J7-K7</f>
        <v>22</v>
      </c>
      <c r="M7" s="346">
        <f>COUNTIFS(PEC_ocean!$K$4:$K$351,'Frequency Detection'!$I7,PEC_ocean!$V$4:$V$351,1,PEC_ocean!$J$4:$J$351,"&lt;&gt;hard_yes")</f>
        <v>5</v>
      </c>
      <c r="N7" s="346">
        <f>COUNTIFS(PEC_ocean!$K$4:$K$351,'Frequency Detection'!$I7,PEC_ocean!$V$4:$V$351,"&lt;&gt;1",PEC_ocean!$J$4:$J$351,"&lt;&gt;hard_yes")</f>
        <v>17</v>
      </c>
      <c r="O7" s="718">
        <f t="shared" ref="O7:O15" si="3">M7/L7</f>
        <v>0.22727272727272727</v>
      </c>
    </row>
    <row r="8" spans="2:15" x14ac:dyDescent="0.2">
      <c r="B8" s="346" t="s">
        <v>713</v>
      </c>
      <c r="C8" s="346">
        <f>COUNTA(PEC_ocean!$V$37:$V$79)</f>
        <v>43</v>
      </c>
      <c r="D8" s="346">
        <f>COUNTIF(PEC_ocean!$J$37:$J$79,"hard_yes")</f>
        <v>0</v>
      </c>
      <c r="E8" s="346">
        <f>C8-D8</f>
        <v>43</v>
      </c>
      <c r="F8" s="346">
        <f>COUNTIFS(PEC_ocean!$V$37:$V$79,1,PEC_ocean!$J$37:$J$79,"&lt;&gt;hard_yes")</f>
        <v>4</v>
      </c>
      <c r="G8" s="718">
        <f t="shared" si="1"/>
        <v>9.3023255813953487E-2</v>
      </c>
      <c r="I8" s="346">
        <v>3</v>
      </c>
      <c r="J8" s="346">
        <f>COUNTIFS(PEC_ocean!$K$4:$K$351,'Frequency Detection'!$I8)</f>
        <v>35</v>
      </c>
      <c r="K8" s="346">
        <f>COUNTIFS(PEC_ocean!$K$4:$K$351,'Frequency Detection'!$I8,PEC_ocean!$J$4:$J$351,"hard_yes")</f>
        <v>4</v>
      </c>
      <c r="L8" s="346">
        <f t="shared" si="2"/>
        <v>31</v>
      </c>
      <c r="M8" s="346">
        <f>COUNTIFS(PEC_ocean!$K$4:$K$351,'Frequency Detection'!$I8,PEC_ocean!$V$4:$V$351,1,PEC_ocean!$J$4:$J$351,"&lt;&gt;hard_yes")</f>
        <v>15</v>
      </c>
      <c r="N8" s="346">
        <f>COUNTIFS(PEC_ocean!$K$4:$K$351,'Frequency Detection'!$I8,PEC_ocean!$V$4:$V$351,"&lt;&gt;1",PEC_ocean!$J$4:$J$351,"&lt;&gt;hard_yes")</f>
        <v>16</v>
      </c>
      <c r="O8" s="718">
        <f t="shared" si="3"/>
        <v>0.4838709677419355</v>
      </c>
    </row>
    <row r="9" spans="2:15" x14ac:dyDescent="0.2">
      <c r="B9" s="346" t="s">
        <v>895</v>
      </c>
      <c r="C9" s="346">
        <f>COUNTA(PEC_ocean!$V$80:$V$130)</f>
        <v>51</v>
      </c>
      <c r="D9" s="346">
        <f>COUNTIF(PEC_ocean!$J$80:$J$130,"hard_yes")</f>
        <v>2</v>
      </c>
      <c r="E9" s="346">
        <f t="shared" ref="E9:E16" si="4">C9-D9</f>
        <v>49</v>
      </c>
      <c r="F9" s="346">
        <f>COUNTIFS(PEC_ocean!$V$80:$V$130,1,PEC_ocean!$J$80:$J$130,"&lt;&gt;hard_yes")</f>
        <v>41</v>
      </c>
      <c r="G9" s="718">
        <f t="shared" si="1"/>
        <v>0.83673469387755106</v>
      </c>
      <c r="I9" s="346">
        <v>4</v>
      </c>
      <c r="J9" s="346">
        <f>COUNTIFS(PEC_ocean!$K$4:$K$351,'Frequency Detection'!$I9)</f>
        <v>56</v>
      </c>
      <c r="K9" s="346">
        <f>COUNTIFS(PEC_ocean!$K$4:$K$351,'Frequency Detection'!$I9,PEC_ocean!$J$4:$J$351,"hard_yes")</f>
        <v>8</v>
      </c>
      <c r="L9" s="346">
        <f t="shared" si="2"/>
        <v>48</v>
      </c>
      <c r="M9" s="346">
        <f>COUNTIFS(PEC_ocean!$K$4:$K$351,'Frequency Detection'!$I9,PEC_ocean!$V$4:$V$351,1,PEC_ocean!$J$4:$J$351,"&lt;&gt;hard_yes")</f>
        <v>39</v>
      </c>
      <c r="N9" s="346">
        <f>COUNTIFS(PEC_ocean!$K$4:$K$351,'Frequency Detection'!$I9,PEC_ocean!$V$4:$V$351,"&lt;&gt;1",PEC_ocean!$J$4:$J$351,"&lt;&gt;hard_yes")</f>
        <v>9</v>
      </c>
      <c r="O9" s="718">
        <f t="shared" si="3"/>
        <v>0.8125</v>
      </c>
    </row>
    <row r="10" spans="2:15" x14ac:dyDescent="0.2">
      <c r="B10" s="346" t="s">
        <v>714</v>
      </c>
      <c r="C10" s="346">
        <f>COUNTA(PEC_ocean!$V$131:$V$155)</f>
        <v>25</v>
      </c>
      <c r="D10" s="346">
        <f>COUNTIF(PEC_ocean!$J$131:$J$155,"hard_yes")</f>
        <v>0</v>
      </c>
      <c r="E10" s="346">
        <f t="shared" si="4"/>
        <v>25</v>
      </c>
      <c r="F10" s="346">
        <f>COUNTIFS(PEC_ocean!$V$131:$V$155,1,PEC_ocean!$J$131:$J$155,"&lt;&gt;hard_yes")</f>
        <v>0</v>
      </c>
      <c r="G10" s="718">
        <f t="shared" si="1"/>
        <v>0</v>
      </c>
      <c r="I10" s="346">
        <v>5</v>
      </c>
      <c r="J10" s="346">
        <f>COUNTIFS(PEC_ocean!$K$4:$K$351,'Frequency Detection'!$I10)</f>
        <v>50</v>
      </c>
      <c r="K10" s="346">
        <f>COUNTIFS(PEC_ocean!$K$4:$K$351,'Frequency Detection'!$I10,PEC_ocean!$J$4:$J$351,"hard_yes")</f>
        <v>7</v>
      </c>
      <c r="L10" s="346">
        <f t="shared" si="2"/>
        <v>43</v>
      </c>
      <c r="M10" s="346">
        <f>COUNTIFS(PEC_ocean!$K$4:$K$351,'Frequency Detection'!$I10,PEC_ocean!$V$4:$V$351,1,PEC_ocean!$J$4:$J$351,"&lt;&gt;hard_yes")</f>
        <v>30</v>
      </c>
      <c r="N10" s="346">
        <f>COUNTIFS(PEC_ocean!$K$4:$K$351,'Frequency Detection'!$I10,PEC_ocean!$V$4:$V$351,"&lt;&gt;1",PEC_ocean!$J$4:$J$351,"&lt;&gt;hard_yes")</f>
        <v>13</v>
      </c>
      <c r="O10" s="718">
        <f t="shared" si="3"/>
        <v>0.69767441860465118</v>
      </c>
    </row>
    <row r="11" spans="2:15" x14ac:dyDescent="0.2">
      <c r="B11" s="346" t="s">
        <v>894</v>
      </c>
      <c r="C11" s="346">
        <f>COUNTA(PEC_ocean!$V$156:$V$175)</f>
        <v>20</v>
      </c>
      <c r="D11" s="346">
        <f>COUNTIF(PEC_ocean!$J$156:$J$175,"hard_yes")</f>
        <v>0</v>
      </c>
      <c r="E11" s="346">
        <f t="shared" si="4"/>
        <v>20</v>
      </c>
      <c r="F11" s="346">
        <f>COUNTIFS(PEC_ocean!$V$156:$V$175,1,PEC_ocean!$J$156:$J$175,"&lt;&gt;hard_yes")</f>
        <v>7</v>
      </c>
      <c r="G11" s="718">
        <f t="shared" si="1"/>
        <v>0.35</v>
      </c>
      <c r="I11" s="346">
        <v>6</v>
      </c>
      <c r="J11" s="346">
        <f>COUNTIFS(PEC_ocean!$K$4:$K$351,'Frequency Detection'!$I11)</f>
        <v>36</v>
      </c>
      <c r="K11" s="346">
        <f>COUNTIFS(PEC_ocean!$K$4:$K$351,'Frequency Detection'!$I11,PEC_ocean!$J$4:$J$351,"hard_yes")</f>
        <v>7</v>
      </c>
      <c r="L11" s="346">
        <f t="shared" si="2"/>
        <v>29</v>
      </c>
      <c r="M11" s="346">
        <f>COUNTIFS(PEC_ocean!$K$4:$K$351,'Frequency Detection'!$I11,PEC_ocean!$V$4:$V$351,1,PEC_ocean!$J$4:$J$351,"&lt;&gt;hard_yes")</f>
        <v>16</v>
      </c>
      <c r="N11" s="346">
        <f>COUNTIFS(PEC_ocean!$K$4:$K$351,'Frequency Detection'!$I11,PEC_ocean!$V$4:$V$351,"&lt;&gt;1",PEC_ocean!$J$4:$J$351,"&lt;&gt;hard_yes")</f>
        <v>13</v>
      </c>
      <c r="O11" s="718">
        <f t="shared" si="3"/>
        <v>0.55172413793103448</v>
      </c>
    </row>
    <row r="12" spans="2:15" x14ac:dyDescent="0.2">
      <c r="B12" s="346" t="s">
        <v>742</v>
      </c>
      <c r="C12" s="346">
        <f>COUNTA(PEC_ocean!$V$176:$V$179)</f>
        <v>4</v>
      </c>
      <c r="D12" s="346">
        <f>COUNTIF(PEC_ocean!$J$176:$J$179,"hard_yes")</f>
        <v>4</v>
      </c>
      <c r="E12" s="346">
        <f t="shared" si="4"/>
        <v>0</v>
      </c>
      <c r="F12" s="346">
        <f>COUNTIFS(PEC_ocean!$V$176:$V$179,1,PEC_ocean!$J$176:$J$179,"&lt;&gt;hard_yes")</f>
        <v>0</v>
      </c>
      <c r="G12" s="718" t="e">
        <f t="shared" si="1"/>
        <v>#DIV/0!</v>
      </c>
      <c r="I12" s="346">
        <v>7</v>
      </c>
      <c r="J12" s="346">
        <f>COUNTIFS(PEC_ocean!$K$4:$K$351,'Frequency Detection'!$I12)</f>
        <v>48</v>
      </c>
      <c r="K12" s="346">
        <f>COUNTIFS(PEC_ocean!$K$4:$K$351,'Frequency Detection'!$I12,PEC_ocean!$J$4:$J$351,"hard_yes")</f>
        <v>21</v>
      </c>
      <c r="L12" s="346">
        <f t="shared" si="2"/>
        <v>27</v>
      </c>
      <c r="M12" s="346">
        <f>COUNTIFS(PEC_ocean!$K$4:$K$351,'Frequency Detection'!$I12,PEC_ocean!$V$4:$V$351,1,PEC_ocean!$J$4:$J$351,"&lt;&gt;hard_yes")</f>
        <v>19</v>
      </c>
      <c r="N12" s="346">
        <f>COUNTIFS(PEC_ocean!$K$4:$K$351,'Frequency Detection'!$I12,PEC_ocean!$V$4:$V$351,"&lt;&gt;1",PEC_ocean!$J$4:$J$351,"&lt;&gt;hard_yes")</f>
        <v>8</v>
      </c>
      <c r="O12" s="718">
        <f t="shared" si="3"/>
        <v>0.70370370370370372</v>
      </c>
    </row>
    <row r="13" spans="2:15" x14ac:dyDescent="0.2">
      <c r="B13" s="346" t="s">
        <v>712</v>
      </c>
      <c r="C13" s="346">
        <f>COUNTA(PEC_ocean!$V$180:$V$192)</f>
        <v>13</v>
      </c>
      <c r="D13" s="346">
        <f>COUNTIF(PEC_ocean!$J$180:$J$192,"hard_yes")</f>
        <v>0</v>
      </c>
      <c r="E13" s="346">
        <f t="shared" si="4"/>
        <v>13</v>
      </c>
      <c r="F13" s="346">
        <f>COUNTIFS(PEC_ocean!$V$180:$V$192,1,PEC_ocean!$J$180:$J$192,"&lt;&gt;hard_yes")</f>
        <v>10</v>
      </c>
      <c r="G13" s="718">
        <f t="shared" si="1"/>
        <v>0.76923076923076927</v>
      </c>
      <c r="I13" s="346">
        <v>8</v>
      </c>
      <c r="J13" s="346">
        <f>COUNTIFS(PEC_ocean!$K$4:$K$351,'Frequency Detection'!$I13)</f>
        <v>23</v>
      </c>
      <c r="K13" s="346">
        <f>COUNTIFS(PEC_ocean!$K$4:$K$351,'Frequency Detection'!$I13,PEC_ocean!$J$4:$J$351,"hard_yes")</f>
        <v>5</v>
      </c>
      <c r="L13" s="346">
        <f t="shared" si="2"/>
        <v>18</v>
      </c>
      <c r="M13" s="346">
        <f>COUNTIFS(PEC_ocean!$K$4:$K$351,'Frequency Detection'!$I13,PEC_ocean!$V$4:$V$351,1,PEC_ocean!$J$4:$J$351,"&lt;&gt;hard_yes")</f>
        <v>9</v>
      </c>
      <c r="N13" s="346">
        <f>COUNTIFS(PEC_ocean!$K$4:$K$351,'Frequency Detection'!$I13,PEC_ocean!$V$4:$V$351,"&lt;&gt;1",PEC_ocean!$J$4:$J$351,"&lt;&gt;hard_yes")</f>
        <v>9</v>
      </c>
      <c r="O13" s="718">
        <f t="shared" si="3"/>
        <v>0.5</v>
      </c>
    </row>
    <row r="14" spans="2:15" x14ac:dyDescent="0.2">
      <c r="B14" s="346" t="s">
        <v>711</v>
      </c>
      <c r="C14" s="346">
        <f>COUNTA(PEC_ocean!$V$193:$V$198)</f>
        <v>6</v>
      </c>
      <c r="D14" s="346">
        <f>COUNTIF(PEC_ocean!$J$193:$J$198,"hard_yes")</f>
        <v>6</v>
      </c>
      <c r="E14" s="346">
        <f t="shared" si="4"/>
        <v>0</v>
      </c>
      <c r="F14" s="346">
        <f>COUNTIFS(PEC_ocean!$V$193:$V$198,1,PEC_ocean!$J$193:$J$198,"&lt;&gt;hard_yes")</f>
        <v>0</v>
      </c>
      <c r="G14" s="718" t="e">
        <f t="shared" si="1"/>
        <v>#DIV/0!</v>
      </c>
      <c r="I14" s="346">
        <v>9</v>
      </c>
      <c r="J14" s="346">
        <f>COUNTIFS(PEC_ocean!$K$4:$K$351,'Frequency Detection'!$I14)</f>
        <v>24</v>
      </c>
      <c r="K14" s="346">
        <f>COUNTIFS(PEC_ocean!$K$4:$K$351,'Frequency Detection'!$I14,PEC_ocean!$J$4:$J$351,"hard_yes")</f>
        <v>0</v>
      </c>
      <c r="L14" s="346">
        <f t="shared" si="2"/>
        <v>24</v>
      </c>
      <c r="M14" s="346">
        <f>COUNTIFS(PEC_ocean!$K$4:$K$351,'Frequency Detection'!$I14,PEC_ocean!$V$4:$V$351,1,PEC_ocean!$J$4:$J$351,"&lt;&gt;hard_yes")</f>
        <v>13</v>
      </c>
      <c r="N14" s="346">
        <f>COUNTIFS(PEC_ocean!$K$4:$K$351,'Frequency Detection'!$I14,PEC_ocean!$V$4:$V$351,"&lt;&gt;1",PEC_ocean!$J$4:$J$351,"&lt;&gt;hard_yes")</f>
        <v>11</v>
      </c>
      <c r="O14" s="718">
        <f t="shared" si="3"/>
        <v>0.54166666666666663</v>
      </c>
    </row>
    <row r="15" spans="2:15" x14ac:dyDescent="0.2">
      <c r="B15" s="346" t="s">
        <v>716</v>
      </c>
      <c r="C15" s="346">
        <f>COUNTA(PEC_ocean!$V$199:$V$250)</f>
        <v>52</v>
      </c>
      <c r="D15" s="346">
        <f>COUNTIF(PEC_ocean!$J$199:$J$250,"hard_yes")</f>
        <v>1</v>
      </c>
      <c r="E15" s="346">
        <f t="shared" si="4"/>
        <v>51</v>
      </c>
      <c r="F15" s="346">
        <f>COUNTIFS(PEC_ocean!$V$199:$V$250,1,PEC_ocean!$J$199:$J$250,"&lt;&gt;hard_yes")</f>
        <v>11</v>
      </c>
      <c r="G15" s="718">
        <f t="shared" si="1"/>
        <v>0.21568627450980393</v>
      </c>
      <c r="I15" s="346">
        <v>10</v>
      </c>
      <c r="J15" s="346">
        <f>COUNTIFS(PEC_ocean!$K$4:$K$351,'Frequency Detection'!$I15)</f>
        <v>0</v>
      </c>
      <c r="K15" s="346">
        <f>COUNTIFS(PEC_ocean!$K$4:$K$351,'Frequency Detection'!$I15,PEC_ocean!$J$4:$J$351,"hard_yes")</f>
        <v>0</v>
      </c>
      <c r="L15" s="346">
        <f t="shared" si="2"/>
        <v>0</v>
      </c>
      <c r="M15" s="346">
        <f>COUNTIFS(PEC_ocean!$K$4:$K$351,'Frequency Detection'!$I15,PEC_ocean!$V$4:$V$351,1,PEC_ocean!$J$4:$J$351,"&lt;&gt;hard_yes")</f>
        <v>0</v>
      </c>
      <c r="N15" s="346">
        <f>COUNTIFS(PEC_ocean!$K$4:$K$351,'Frequency Detection'!$I15,PEC_ocean!$V$4:$V$351,"&lt;&gt;1",PEC_ocean!$J$4:$J$351,"&lt;&gt;hard_yes")</f>
        <v>0</v>
      </c>
      <c r="O15" s="718" t="e">
        <f t="shared" si="3"/>
        <v>#DIV/0!</v>
      </c>
    </row>
    <row r="16" spans="2:15" x14ac:dyDescent="0.2">
      <c r="B16" s="346" t="s">
        <v>753</v>
      </c>
      <c r="C16" s="346">
        <f>COUNTA(PEC_ocean!$V$251:$V$259)</f>
        <v>9</v>
      </c>
      <c r="D16" s="346">
        <f>COUNTIF(PEC_ocean!$J$251:$J$259,"hard_yes")</f>
        <v>9</v>
      </c>
      <c r="E16" s="346">
        <f t="shared" si="4"/>
        <v>0</v>
      </c>
      <c r="F16" s="346">
        <f>COUNTIFS(PEC_ocean!$V$251:$V$259,1,PEC_ocean!$J$251:$J$259,"&lt;&gt;hard_yes")</f>
        <v>0</v>
      </c>
      <c r="G16" s="718" t="e">
        <f t="shared" si="1"/>
        <v>#DIV/0!</v>
      </c>
    </row>
    <row r="17" spans="2:15" x14ac:dyDescent="0.2">
      <c r="B17" s="597" t="s">
        <v>1461</v>
      </c>
      <c r="C17" s="346">
        <f>SUM(C6:C16)</f>
        <v>256</v>
      </c>
      <c r="D17" s="346">
        <f>SUM(D6:D16)</f>
        <v>26</v>
      </c>
      <c r="E17" s="346">
        <f>SUM(E6:E16)</f>
        <v>230</v>
      </c>
      <c r="F17" s="346">
        <f>SUM(F6:F16)</f>
        <v>102</v>
      </c>
      <c r="G17" s="718">
        <f t="shared" si="1"/>
        <v>0.44347826086956521</v>
      </c>
    </row>
    <row r="20" spans="2:15" x14ac:dyDescent="0.2">
      <c r="B20" s="341" t="s">
        <v>1463</v>
      </c>
      <c r="I20" s="341" t="s">
        <v>1463</v>
      </c>
    </row>
    <row r="21" spans="2:15" ht="48" x14ac:dyDescent="0.2">
      <c r="B21" s="719" t="s">
        <v>1455</v>
      </c>
      <c r="C21" s="719" t="s">
        <v>1460</v>
      </c>
      <c r="D21" s="720" t="s">
        <v>1459</v>
      </c>
      <c r="E21" s="721" t="s">
        <v>1456</v>
      </c>
      <c r="F21" s="719" t="s">
        <v>1457</v>
      </c>
      <c r="G21" s="719" t="s">
        <v>1465</v>
      </c>
      <c r="I21" s="1126" t="s">
        <v>398</v>
      </c>
      <c r="J21" s="719" t="s">
        <v>1460</v>
      </c>
      <c r="K21" s="1123" t="s">
        <v>1459</v>
      </c>
      <c r="L21" s="1124" t="s">
        <v>1456</v>
      </c>
      <c r="M21" s="1125" t="s">
        <v>1457</v>
      </c>
      <c r="N21" s="719" t="s">
        <v>2206</v>
      </c>
      <c r="O21" s="1125" t="s">
        <v>1466</v>
      </c>
    </row>
    <row r="22" spans="2:15" x14ac:dyDescent="0.2">
      <c r="B22" s="346" t="s">
        <v>885</v>
      </c>
      <c r="C22" s="346">
        <f>COUNTA(PEC_air!$R$4:$R$9)</f>
        <v>6</v>
      </c>
      <c r="D22" s="346">
        <f>COUNTIF(PEC_air!$J$4:$J$9,"hard_yes")</f>
        <v>0</v>
      </c>
      <c r="E22" s="346">
        <f>C22-D22</f>
        <v>6</v>
      </c>
      <c r="F22" s="346">
        <f>COUNTIFS(PEC_air!$R$4:$R$9,1,PEC_air!$J$4:$J$9,"&lt;&gt;hard_yes")</f>
        <v>5</v>
      </c>
      <c r="G22" s="718">
        <f>F22/E22</f>
        <v>0.83333333333333337</v>
      </c>
      <c r="I22" s="346">
        <v>1</v>
      </c>
      <c r="J22" s="346">
        <f>COUNTIFS(PEC_air!$L$4:$L$408,'Frequency Detection'!$I22,PEC_air!$Q$4:$Q$408,"&lt;&gt;"&amp;"")</f>
        <v>174</v>
      </c>
      <c r="K22" s="346">
        <f>COUNTIFS(PEC_air!$L$4:$L$408,'Frequency Detection'!$I22,PEC_air!$J$4:$J$408,"hard_yes",PEC_air!$Q$4:$Q$408,"&lt;&gt;"&amp;"")</f>
        <v>7</v>
      </c>
      <c r="L22" s="346">
        <f>J22-K22</f>
        <v>167</v>
      </c>
      <c r="M22" s="346">
        <f>COUNTIFS(PEC_air!$L$4:$L$408,'Frequency Detection'!$I22,PEC_air!$R$4:$R$408,1,PEC_air!$J$4:$J$408,"&lt;&gt;hard_yes",PEC_air!$Q$4:$Q$408,"&lt;&gt;"&amp;"")</f>
        <v>85</v>
      </c>
      <c r="N22" s="346">
        <f>COUNTIFS(PEC_air!$L$4:$L$408,'Frequency Detection'!$I22,PEC_air!$R$4:$R$408,"&lt;&gt;1",PEC_air!$J$4:$J$408,"&lt;&gt;hard_yes",PEC_air!$Q$4:$Q$408,"&lt;&gt;"&amp;"")</f>
        <v>82</v>
      </c>
      <c r="O22" s="718">
        <f>M22/L22</f>
        <v>0.50898203592814373</v>
      </c>
    </row>
    <row r="23" spans="2:15" x14ac:dyDescent="0.2">
      <c r="B23" s="346" t="s">
        <v>886</v>
      </c>
      <c r="C23" s="346">
        <f>COUNTA(PEC_air!$R$10:$R$22)</f>
        <v>13</v>
      </c>
      <c r="D23" s="346">
        <f>COUNTIF(PEC_air!$J$10:$J$22,"hard_yes")</f>
        <v>0</v>
      </c>
      <c r="E23" s="346">
        <f t="shared" ref="E23:E35" si="5">C23-D23</f>
        <v>13</v>
      </c>
      <c r="F23" s="346">
        <f>COUNTIFS(PEC_air!$R$10:$R$22,1,PEC_air!$J$10:$J$22,"&lt;&gt;hard_yes")</f>
        <v>5</v>
      </c>
      <c r="G23" s="718">
        <f t="shared" ref="G23:G37" si="6">F23/E23</f>
        <v>0.38461538461538464</v>
      </c>
      <c r="I23" s="346">
        <v>2</v>
      </c>
      <c r="J23" s="346">
        <f>COUNTIFS(PEC_air!$L$4:$L$408,'Frequency Detection'!$I23,PEC_air!$Q$4:$Q$408,"&lt;&gt;"&amp;"")</f>
        <v>36</v>
      </c>
      <c r="K23" s="346">
        <f>COUNTIFS(PEC_air!$L$4:$L$408,'Frequency Detection'!$I23,PEC_air!$J$4:$J$408,"hard_yes",PEC_air!$Q$4:$Q$408,"&lt;&gt;"&amp;"")</f>
        <v>23</v>
      </c>
      <c r="L23" s="346">
        <f t="shared" ref="L23:L31" si="7">J23-K23</f>
        <v>13</v>
      </c>
      <c r="M23" s="346">
        <f>COUNTIFS(PEC_air!$L$4:$L$408,'Frequency Detection'!$I23,PEC_air!$R$4:$R$408,1,PEC_air!$J$4:$J$408,"&lt;&gt;hard_yes",PEC_air!$Q$4:$Q$408,"&lt;&gt;"&amp;"")</f>
        <v>7</v>
      </c>
      <c r="N23" s="346">
        <f>COUNTIFS(PEC_air!$L$4:$L$408,'Frequency Detection'!$I23,PEC_air!$R$4:$R$408,"&lt;&gt;1",PEC_air!$J$4:$J$408,"&lt;&gt;hard_yes",PEC_air!$Q$4:$Q$408,"&lt;&gt;"&amp;"")</f>
        <v>6</v>
      </c>
      <c r="O23" s="718">
        <f t="shared" ref="O23:O31" si="8">M23/L23</f>
        <v>0.53846153846153844</v>
      </c>
    </row>
    <row r="24" spans="2:15" x14ac:dyDescent="0.2">
      <c r="B24" s="346" t="s">
        <v>737</v>
      </c>
      <c r="C24" s="346">
        <f>COUNTA(PEC_air!$R$23:$R$30)</f>
        <v>8</v>
      </c>
      <c r="D24" s="346">
        <f>COUNTIF(PEC_air!$J$23:$J$30,"hard_yes")</f>
        <v>0</v>
      </c>
      <c r="E24" s="346">
        <f t="shared" si="5"/>
        <v>8</v>
      </c>
      <c r="F24" s="346">
        <f>COUNTIFS(PEC_air!$R$23:$R$30,1,PEC_air!$J$23:$J$30,"&lt;&gt;hard_yes")</f>
        <v>6</v>
      </c>
      <c r="G24" s="718">
        <f t="shared" si="6"/>
        <v>0.75</v>
      </c>
      <c r="I24" s="346">
        <v>3</v>
      </c>
      <c r="J24" s="346">
        <f>COUNTIFS(PEC_air!$L$4:$L$408,'Frequency Detection'!$I24,PEC_air!$Q$4:$Q$408,"&lt;&gt;"&amp;"")</f>
        <v>56</v>
      </c>
      <c r="K24" s="346">
        <f>COUNTIFS(PEC_air!$L$4:$L$408,'Frequency Detection'!$I24,PEC_air!$J$4:$J$408,"hard_yes",PEC_air!$Q$4:$Q$408,"&lt;&gt;"&amp;"")</f>
        <v>25</v>
      </c>
      <c r="L24" s="346">
        <f t="shared" si="7"/>
        <v>31</v>
      </c>
      <c r="M24" s="346">
        <f>COUNTIFS(PEC_air!$L$4:$L$408,'Frequency Detection'!$I24,PEC_air!$R$4:$R$408,1,PEC_air!$J$4:$J$408,"&lt;&gt;hard_yes",PEC_air!$Q$4:$Q$408,"&lt;&gt;"&amp;"")</f>
        <v>27</v>
      </c>
      <c r="N24" s="346">
        <f>COUNTIFS(PEC_air!$L$4:$L$408,'Frequency Detection'!$I24,PEC_air!$R$4:$R$408,"&lt;&gt;1",PEC_air!$J$4:$J$408,"&lt;&gt;hard_yes",PEC_air!$Q$4:$Q$408,"&lt;&gt;"&amp;"")</f>
        <v>4</v>
      </c>
      <c r="O24" s="718">
        <f t="shared" si="8"/>
        <v>0.87096774193548387</v>
      </c>
    </row>
    <row r="25" spans="2:15" x14ac:dyDescent="0.2">
      <c r="B25" s="346" t="s">
        <v>887</v>
      </c>
      <c r="C25" s="346">
        <f>COUNTA(PEC_air!$R$31:$R$35)</f>
        <v>5</v>
      </c>
      <c r="D25" s="346">
        <f>COUNTIF(PEC_air!$J$31:$J$35,"hard_yes")</f>
        <v>5</v>
      </c>
      <c r="E25" s="346">
        <f t="shared" si="5"/>
        <v>0</v>
      </c>
      <c r="F25" s="346">
        <f>COUNTIFS(PEC_air!$R$31:$R$35,1,PEC_air!$J$31:$J$35,"&lt;&gt;hard_yes")</f>
        <v>0</v>
      </c>
      <c r="G25" s="718" t="e">
        <f t="shared" si="6"/>
        <v>#DIV/0!</v>
      </c>
      <c r="I25" s="346">
        <v>4</v>
      </c>
      <c r="J25" s="346">
        <f>COUNTIFS(PEC_air!$L$4:$L$408,'Frequency Detection'!$I25,PEC_air!$Q$4:$Q$408,"&lt;&gt;"&amp;"")</f>
        <v>30</v>
      </c>
      <c r="K25" s="346">
        <f>COUNTIFS(PEC_air!$L$4:$L$408,'Frequency Detection'!$I25,PEC_air!$J$4:$J$408,"hard_yes",PEC_air!$Q$4:$Q$408,"&lt;&gt;"&amp;"")</f>
        <v>22</v>
      </c>
      <c r="L25" s="346">
        <f t="shared" si="7"/>
        <v>8</v>
      </c>
      <c r="M25" s="346">
        <f>COUNTIFS(PEC_air!$L$4:$L$408,'Frequency Detection'!$I25,PEC_air!$R$4:$R$408,1,PEC_air!$J$4:$J$408,"&lt;&gt;hard_yes",PEC_air!$Q$4:$Q$408,"&lt;&gt;"&amp;"")</f>
        <v>7</v>
      </c>
      <c r="N25" s="346">
        <f>COUNTIFS(PEC_air!$L$4:$L$408,'Frequency Detection'!$I25,PEC_air!$R$4:$R$408,"&lt;&gt;1",PEC_air!$J$4:$J$408,"&lt;&gt;hard_yes",PEC_air!$Q$4:$Q$408,"&lt;&gt;"&amp;"")</f>
        <v>1</v>
      </c>
      <c r="O25" s="718">
        <f t="shared" si="8"/>
        <v>0.875</v>
      </c>
    </row>
    <row r="26" spans="2:15" x14ac:dyDescent="0.2">
      <c r="B26" s="346" t="s">
        <v>888</v>
      </c>
      <c r="C26" s="346">
        <f>COUNTA(PEC_air!$R$36:$R$129)</f>
        <v>94</v>
      </c>
      <c r="D26" s="346">
        <f>COUNTIF(PEC_air!$J$36:$J$129,"hard_yes")</f>
        <v>21</v>
      </c>
      <c r="E26" s="346">
        <f t="shared" si="5"/>
        <v>73</v>
      </c>
      <c r="F26" s="346">
        <f>COUNTIFS(PEC_air!$R$36:$R$129,1,PEC_air!$J$36:$J$129,"&lt;&gt;hard_yes")</f>
        <v>50</v>
      </c>
      <c r="G26" s="718">
        <f t="shared" si="6"/>
        <v>0.68493150684931503</v>
      </c>
      <c r="I26" s="346">
        <v>5</v>
      </c>
      <c r="J26" s="346">
        <f>COUNTIFS(PEC_air!$L$4:$L$408,'Frequency Detection'!$I26,PEC_air!$Q$4:$Q$408,"&lt;&gt;"&amp;"")</f>
        <v>12</v>
      </c>
      <c r="K26" s="346">
        <f>COUNTIFS(PEC_air!$L$4:$L$408,'Frequency Detection'!$I26,PEC_air!$J$4:$J$408,"hard_yes",PEC_air!$Q$4:$Q$408,"&lt;&gt;"&amp;"")</f>
        <v>1</v>
      </c>
      <c r="L26" s="346">
        <f t="shared" si="7"/>
        <v>11</v>
      </c>
      <c r="M26" s="346">
        <f>COUNTIFS(PEC_air!$L$4:$L$408,'Frequency Detection'!$I26,PEC_air!$R$4:$R$408,1,PEC_air!$J$4:$J$408,"&lt;&gt;hard_yes",PEC_air!$Q$4:$Q$408,"&lt;&gt;"&amp;"")</f>
        <v>8</v>
      </c>
      <c r="N26" s="346">
        <f>COUNTIFS(PEC_air!$L$4:$L$408,'Frequency Detection'!$I26,PEC_air!$R$4:$R$408,"&lt;&gt;1",PEC_air!$J$4:$J$408,"&lt;&gt;hard_yes",PEC_air!$Q$4:$Q$408,"&lt;&gt;"&amp;"")</f>
        <v>3</v>
      </c>
      <c r="O26" s="718">
        <f t="shared" si="8"/>
        <v>0.72727272727272729</v>
      </c>
    </row>
    <row r="27" spans="2:15" x14ac:dyDescent="0.2">
      <c r="B27" s="346" t="s">
        <v>775</v>
      </c>
      <c r="C27" s="346">
        <f>COUNTA(PEC_air!$R$130:$R$254)</f>
        <v>125</v>
      </c>
      <c r="D27" s="346">
        <f>COUNTIF(PEC_air!$J$130:$J$254,"hard_yes")</f>
        <v>0</v>
      </c>
      <c r="E27" s="346">
        <f t="shared" si="5"/>
        <v>125</v>
      </c>
      <c r="F27" s="346">
        <f>COUNTIFS(PEC_air!$R$130:$R$254,1,PEC_air!$J$130:$J$254,"&lt;&gt;hard_yes")</f>
        <v>43</v>
      </c>
      <c r="G27" s="718">
        <f t="shared" si="6"/>
        <v>0.34399999999999997</v>
      </c>
      <c r="I27" s="346">
        <v>6</v>
      </c>
      <c r="J27" s="346">
        <f>COUNTIFS(PEC_air!$L$4:$L$408,'Frequency Detection'!$I27,PEC_air!$Q$4:$Q$408,"&lt;&gt;"&amp;"")</f>
        <v>22</v>
      </c>
      <c r="K27" s="346">
        <f>COUNTIFS(PEC_air!$L$4:$L$408,'Frequency Detection'!$I27,PEC_air!$J$4:$J$408,"hard_yes",PEC_air!$Q$4:$Q$408,"&lt;&gt;"&amp;"")</f>
        <v>0</v>
      </c>
      <c r="L27" s="346">
        <f t="shared" si="7"/>
        <v>22</v>
      </c>
      <c r="M27" s="346">
        <f>COUNTIFS(PEC_air!$L$4:$L$408,'Frequency Detection'!$I27,PEC_air!$R$4:$R$408,1,PEC_air!$J$4:$J$408,"&lt;&gt;hard_yes",PEC_air!$Q$4:$Q$408,"&lt;&gt;"&amp;"")</f>
        <v>13</v>
      </c>
      <c r="N27" s="346">
        <f>COUNTIFS(PEC_air!$L$4:$L$408,'Frequency Detection'!$I27,PEC_air!$R$4:$R$408,"&lt;&gt;1",PEC_air!$J$4:$J$408,"&lt;&gt;hard_yes",PEC_air!$Q$4:$Q$408,"&lt;&gt;"&amp;"")</f>
        <v>9</v>
      </c>
      <c r="O27" s="718">
        <f t="shared" si="8"/>
        <v>0.59090909090909094</v>
      </c>
    </row>
    <row r="28" spans="2:15" x14ac:dyDescent="0.2">
      <c r="B28" s="346" t="s">
        <v>889</v>
      </c>
      <c r="C28" s="346">
        <f>COUNTA(PEC_air!$R$255:$R$258)</f>
        <v>4</v>
      </c>
      <c r="D28" s="346">
        <f>COUNTIF(PEC_air!$J$255:$J$258,"hard_yes")</f>
        <v>4</v>
      </c>
      <c r="E28" s="346">
        <f t="shared" si="5"/>
        <v>0</v>
      </c>
      <c r="F28" s="346">
        <f>COUNTIFS(PEC_air!$R$255:$R$258,1,PEC_air!$J$255:$J$258,"&lt;&gt;hard_yes")</f>
        <v>0</v>
      </c>
      <c r="G28" s="718" t="e">
        <f t="shared" si="6"/>
        <v>#DIV/0!</v>
      </c>
      <c r="I28" s="346">
        <v>7</v>
      </c>
      <c r="J28" s="346">
        <f>COUNTIFS(PEC_air!$L$4:$L$408,'Frequency Detection'!$I28,PEC_air!$Q$4:$Q$408,"&lt;&gt;"&amp;"")</f>
        <v>9</v>
      </c>
      <c r="K28" s="346">
        <f>COUNTIFS(PEC_air!$L$4:$L$408,'Frequency Detection'!$I28,PEC_air!$J$4:$J$408,"hard_yes",PEC_air!$Q$4:$Q$408,"&lt;&gt;"&amp;"")</f>
        <v>1</v>
      </c>
      <c r="L28" s="346">
        <f t="shared" si="7"/>
        <v>8</v>
      </c>
      <c r="M28" s="346">
        <f>COUNTIFS(PEC_air!$L$4:$L$408,'Frequency Detection'!$I28,PEC_air!$R$4:$R$408,1,PEC_air!$J$4:$J$408,"&lt;&gt;hard_yes",PEC_air!$Q$4:$Q$408,"&lt;&gt;"&amp;"")</f>
        <v>2</v>
      </c>
      <c r="N28" s="346">
        <f>COUNTIFS(PEC_air!$L$4:$L$408,'Frequency Detection'!$I28,PEC_air!$R$4:$R$408,"&lt;&gt;1",PEC_air!$J$4:$J$408,"&lt;&gt;hard_yes",PEC_air!$Q$4:$Q$408,"&lt;&gt;"&amp;"")</f>
        <v>6</v>
      </c>
      <c r="O28" s="718">
        <f t="shared" si="8"/>
        <v>0.25</v>
      </c>
    </row>
    <row r="29" spans="2:15" x14ac:dyDescent="0.2">
      <c r="B29" s="346" t="s">
        <v>890</v>
      </c>
      <c r="C29" s="346">
        <f>COUNTA(PEC_air!$R$259:$R$265)</f>
        <v>7</v>
      </c>
      <c r="D29" s="346">
        <f>COUNTIF(PEC_air!$J$259:$J$265,"hard_yes")</f>
        <v>0</v>
      </c>
      <c r="E29" s="346">
        <f t="shared" si="5"/>
        <v>7</v>
      </c>
      <c r="F29" s="346">
        <f>COUNTIFS(PEC_air!$R$259:$R$265,1,PEC_air!$J$259:$J$265,"&lt;&gt;hard_yes")</f>
        <v>3</v>
      </c>
      <c r="G29" s="718">
        <f t="shared" si="6"/>
        <v>0.42857142857142855</v>
      </c>
      <c r="I29" s="346">
        <v>8</v>
      </c>
      <c r="J29" s="346">
        <f>COUNTIFS(PEC_air!$L$4:$L$408,'Frequency Detection'!$I29,PEC_air!$Q$4:$Q$408,"&lt;&gt;"&amp;"")</f>
        <v>8</v>
      </c>
      <c r="K29" s="346">
        <f>COUNTIFS(PEC_air!$L$4:$L$408,'Frequency Detection'!$I29,PEC_air!$J$4:$J$408,"hard_yes",PEC_air!$Q$4:$Q$408,"&lt;&gt;"&amp;"")</f>
        <v>0</v>
      </c>
      <c r="L29" s="346">
        <f t="shared" si="7"/>
        <v>8</v>
      </c>
      <c r="M29" s="346">
        <f>COUNTIFS(PEC_air!$L$4:$L$408,'Frequency Detection'!$I29,PEC_air!$R$4:$R$408,1,PEC_air!$J$4:$J$408,"&lt;&gt;hard_yes",PEC_air!$Q$4:$Q$408,"&lt;&gt;"&amp;"")</f>
        <v>3</v>
      </c>
      <c r="N29" s="346">
        <f>COUNTIFS(PEC_air!$L$4:$L$408,'Frequency Detection'!$I29,PEC_air!$R$4:$R$408,"&lt;&gt;1",PEC_air!$J$4:$J$408,"&lt;&gt;hard_yes",PEC_air!$Q$4:$Q$408,"&lt;&gt;"&amp;"")</f>
        <v>5</v>
      </c>
      <c r="O29" s="718">
        <f t="shared" si="8"/>
        <v>0.375</v>
      </c>
    </row>
    <row r="30" spans="2:15" x14ac:dyDescent="0.2">
      <c r="B30" s="346" t="s">
        <v>731</v>
      </c>
      <c r="C30" s="346">
        <f>COUNTA(PEC_air!$R$266:$R$275)</f>
        <v>10</v>
      </c>
      <c r="D30" s="346">
        <f>COUNTIF(PEC_air!$J$266:$J$275,"hard_yes")</f>
        <v>10</v>
      </c>
      <c r="E30" s="346">
        <f t="shared" si="5"/>
        <v>0</v>
      </c>
      <c r="F30" s="346">
        <f>COUNTIFS(PEC_air!$R$266:$R$275,1,PEC_air!$J$266:$J$275,"&lt;&gt;hard_yes")</f>
        <v>0</v>
      </c>
      <c r="G30" s="718" t="e">
        <f t="shared" si="6"/>
        <v>#DIV/0!</v>
      </c>
      <c r="I30" s="346">
        <v>9</v>
      </c>
      <c r="J30" s="346">
        <f>COUNTIFS(PEC_air!$L$4:$L$408,'Frequency Detection'!$I30,PEC_air!$Q$4:$Q$408,"&lt;&gt;"&amp;"")</f>
        <v>27</v>
      </c>
      <c r="K30" s="346">
        <f>COUNTIFS(PEC_air!$L$4:$L$408,'Frequency Detection'!$I30,PEC_air!$J$4:$J$408,"hard_yes",PEC_air!$Q$4:$Q$408,"&lt;&gt;"&amp;"")</f>
        <v>0</v>
      </c>
      <c r="L30" s="346">
        <f t="shared" si="7"/>
        <v>27</v>
      </c>
      <c r="M30" s="597">
        <f>COUNTIFS(PEC_air!$L$4:$L$408,'Frequency Detection'!$I30,PEC_air!$R$4:$R$408,1,PEC_air!$J$4:$J$408,"&lt;&gt;hard_yes",PEC_air!$Q$4:$Q$408,"&lt;&gt;"&amp;"")</f>
        <v>19</v>
      </c>
      <c r="N30" s="346">
        <f>COUNTIFS(PEC_air!$L$4:$L$408,'Frequency Detection'!$I30,PEC_air!$R$4:$R$408,"&lt;&gt;1",PEC_air!$J$4:$J$408,"&lt;&gt;hard_yes",PEC_air!$Q$4:$Q$408,"&lt;&gt;"&amp;"")</f>
        <v>8</v>
      </c>
      <c r="O30" s="718">
        <f t="shared" si="8"/>
        <v>0.70370370370370372</v>
      </c>
    </row>
    <row r="31" spans="2:15" x14ac:dyDescent="0.2">
      <c r="B31" s="346" t="s">
        <v>732</v>
      </c>
      <c r="C31" s="346">
        <f>COUNTA(PEC_air!$R$276:$R$276)</f>
        <v>1</v>
      </c>
      <c r="D31" s="346">
        <f>COUNTIF(PEC_air!$J$276:$J$276,"hard_yes")</f>
        <v>1</v>
      </c>
      <c r="E31" s="346">
        <f t="shared" si="5"/>
        <v>0</v>
      </c>
      <c r="F31" s="346">
        <f>COUNTIFS(PEC_air!$R$276:$R$276,1,PEC_air!$J$276:$J$276,"&lt;&gt;hard_yes")</f>
        <v>0</v>
      </c>
      <c r="G31" s="718" t="e">
        <f t="shared" si="6"/>
        <v>#DIV/0!</v>
      </c>
      <c r="I31" s="346">
        <v>10</v>
      </c>
      <c r="J31" s="346">
        <f>COUNTIFS(PEC_air!$L$4:$L$408,'Frequency Detection'!$I31,PEC_air!$Q$4:$Q$408,"&lt;&gt;"&amp;"")</f>
        <v>0</v>
      </c>
      <c r="K31" s="346">
        <f>COUNTIFS(PEC_air!$L$4:$L$408,'Frequency Detection'!$I31,PEC_air!$J$4:$J$408,"hard_yes",PEC_air!$Q$4:$Q$408,"&lt;&gt;"&amp;"")</f>
        <v>0</v>
      </c>
      <c r="L31" s="346">
        <f t="shared" si="7"/>
        <v>0</v>
      </c>
      <c r="M31" s="346">
        <f>COUNTIFS(PEC_air!$L$4:$L$408,'Frequency Detection'!$I31,PEC_air!$R$4:$R$408,1,PEC_air!$J$4:$J$408,"&lt;&gt;hard_yes",PEC_air!$Q$4:$Q$408,"&lt;&gt;"&amp;"")</f>
        <v>0</v>
      </c>
      <c r="N31" s="346">
        <f>COUNTIFS(PEC_air!$L$4:$L$408,'Frequency Detection'!$I31,PEC_air!$R$4:$R$408,"&lt;&gt;1",PEC_air!$J$4:$J$408,"&lt;&gt;hard_yes",PEC_air!$Q$4:$Q$408,"&lt;&gt;"&amp;"")</f>
        <v>0</v>
      </c>
      <c r="O31" s="718" t="e">
        <f t="shared" si="8"/>
        <v>#DIV/0!</v>
      </c>
    </row>
    <row r="32" spans="2:15" x14ac:dyDescent="0.2">
      <c r="B32" s="346" t="s">
        <v>739</v>
      </c>
      <c r="C32" s="346">
        <f>COUNTA(PEC_air!$R$277:$R$294)</f>
        <v>18</v>
      </c>
      <c r="D32" s="346">
        <f>COUNTIF(PEC_air!$J$277:$J$294,"hard_yes")</f>
        <v>18</v>
      </c>
      <c r="E32" s="346">
        <f t="shared" si="5"/>
        <v>0</v>
      </c>
      <c r="F32" s="346">
        <f>COUNTIFS(PEC_air!$R$277:$R$294,1,PEC_air!$J$277:$J$294,"&lt;&gt;hard_yes")</f>
        <v>0</v>
      </c>
      <c r="G32" s="718" t="e">
        <f t="shared" si="6"/>
        <v>#DIV/0!</v>
      </c>
    </row>
    <row r="33" spans="2:17" x14ac:dyDescent="0.2">
      <c r="B33" s="346" t="s">
        <v>778</v>
      </c>
      <c r="C33" s="346">
        <f>COUNTA(PEC_air!$R$295:$R$303)</f>
        <v>9</v>
      </c>
      <c r="D33" s="346">
        <f>COUNTIF(PEC_air!$J$295:$J$303,"hard_yes")</f>
        <v>9</v>
      </c>
      <c r="E33" s="346">
        <f t="shared" si="5"/>
        <v>0</v>
      </c>
      <c r="F33" s="346">
        <f>COUNTIFS(PEC_air!$R$295:$R$303,1,PEC_air!$J$295:$J$303,"&lt;&gt;hard_yes")</f>
        <v>0</v>
      </c>
      <c r="G33" s="718" t="e">
        <f t="shared" si="6"/>
        <v>#DIV/0!</v>
      </c>
    </row>
    <row r="34" spans="2:17" x14ac:dyDescent="0.2">
      <c r="B34" s="346" t="s">
        <v>891</v>
      </c>
      <c r="C34" s="346">
        <f>COUNTA(PEC_air!$R$304:$R$336)</f>
        <v>33</v>
      </c>
      <c r="D34" s="346">
        <f>COUNTIF(PEC_air!$J$304:$J$336,"hard_yes")</f>
        <v>5</v>
      </c>
      <c r="E34" s="346">
        <f t="shared" si="5"/>
        <v>28</v>
      </c>
      <c r="F34" s="346">
        <f>COUNTIFS(PEC_air!$R$304:$R$336,1,PEC_air!$J$304:$J$336,"&lt;&gt;hard_yes")</f>
        <v>24</v>
      </c>
      <c r="G34" s="718">
        <f t="shared" si="6"/>
        <v>0.8571428571428571</v>
      </c>
    </row>
    <row r="35" spans="2:17" x14ac:dyDescent="0.2">
      <c r="B35" s="346" t="s">
        <v>717</v>
      </c>
      <c r="C35" s="346">
        <f>COUNTA(PEC_air!$R$337:$R$345)</f>
        <v>9</v>
      </c>
      <c r="D35" s="346">
        <f>COUNTIF(PEC_air!$J$337:$J$345,"hard_yes")</f>
        <v>9</v>
      </c>
      <c r="E35" s="346">
        <f t="shared" si="5"/>
        <v>0</v>
      </c>
      <c r="F35" s="346">
        <f>COUNTIFS(PEC_air!$R$337:$R$345,1,PEC_air!$J$337:$J$345,"&lt;&gt;hard_yes")</f>
        <v>0</v>
      </c>
      <c r="G35" s="718" t="e">
        <f t="shared" si="6"/>
        <v>#DIV/0!</v>
      </c>
    </row>
    <row r="36" spans="2:17" x14ac:dyDescent="0.2">
      <c r="B36" s="346" t="s">
        <v>1775</v>
      </c>
      <c r="C36" s="346">
        <f>COUNTA(PEC_air!$R$347:$R$408)</f>
        <v>62</v>
      </c>
      <c r="D36" s="346">
        <f>COUNTIF(PEC_air!$J$347:$J$408,"hard_yes")</f>
        <v>0</v>
      </c>
      <c r="E36" s="346">
        <f t="shared" ref="E36" si="9">C36-D36</f>
        <v>62</v>
      </c>
      <c r="F36" s="346">
        <f>COUNTIFS(PEC_air!$R$347:$R$408,1,PEC_air!$J$347:$J$408,"&lt;&gt;hard_yes")</f>
        <v>35</v>
      </c>
      <c r="G36" s="718">
        <f t="shared" ref="G36" si="10">F36/E36</f>
        <v>0.56451612903225812</v>
      </c>
    </row>
    <row r="37" spans="2:17" x14ac:dyDescent="0.2">
      <c r="B37" s="597" t="s">
        <v>1461</v>
      </c>
      <c r="C37" s="346">
        <f>SUM(C22:C36)</f>
        <v>404</v>
      </c>
      <c r="D37" s="346">
        <f>SUM(D22:D36)</f>
        <v>82</v>
      </c>
      <c r="E37" s="346">
        <f>SUM(E22:E36)</f>
        <v>322</v>
      </c>
      <c r="F37" s="346">
        <f>SUM(F22:F36)</f>
        <v>171</v>
      </c>
      <c r="G37" s="718">
        <f t="shared" si="6"/>
        <v>0.53105590062111796</v>
      </c>
    </row>
    <row r="41" spans="2:17" x14ac:dyDescent="0.2">
      <c r="B41" s="341" t="s">
        <v>1462</v>
      </c>
      <c r="I41" s="341" t="s">
        <v>1462</v>
      </c>
    </row>
    <row r="42" spans="2:17" ht="48" x14ac:dyDescent="0.2">
      <c r="B42" s="719" t="s">
        <v>1455</v>
      </c>
      <c r="C42" s="719" t="s">
        <v>1460</v>
      </c>
      <c r="D42" s="720" t="s">
        <v>1459</v>
      </c>
      <c r="E42" s="721" t="s">
        <v>1456</v>
      </c>
      <c r="F42" s="719" t="s">
        <v>1457</v>
      </c>
      <c r="G42" s="719" t="s">
        <v>1465</v>
      </c>
      <c r="I42" s="1126" t="s">
        <v>398</v>
      </c>
      <c r="J42" s="719" t="s">
        <v>1460</v>
      </c>
      <c r="K42" s="1123" t="s">
        <v>1459</v>
      </c>
      <c r="L42" s="1124" t="s">
        <v>1456</v>
      </c>
      <c r="M42" s="1125" t="s">
        <v>1457</v>
      </c>
      <c r="N42" s="719" t="s">
        <v>2206</v>
      </c>
      <c r="O42" s="1125" t="s">
        <v>1466</v>
      </c>
      <c r="P42" s="1126" t="s">
        <v>2209</v>
      </c>
      <c r="Q42" s="1126" t="s">
        <v>2210</v>
      </c>
    </row>
    <row r="43" spans="2:17" x14ac:dyDescent="0.2">
      <c r="B43" s="346" t="s">
        <v>885</v>
      </c>
      <c r="C43" s="346">
        <f>COUNTA(PEC_air!$AB$4:$AB$9)</f>
        <v>6</v>
      </c>
      <c r="D43" s="346">
        <f>COUNTIF(PEC_air!$K$4:$K$9,"hard_yes")</f>
        <v>0</v>
      </c>
      <c r="E43" s="346">
        <f>C43-D43</f>
        <v>6</v>
      </c>
      <c r="F43" s="346">
        <f>COUNTIFS(PEC_air!$AB$4:$AB$9,1,PEC_air!$K$4:$K$9,"&lt;&gt;hard_yes")</f>
        <v>4</v>
      </c>
      <c r="G43" s="718">
        <f>F43/E43</f>
        <v>0.66666666666666663</v>
      </c>
      <c r="I43" s="346">
        <v>1</v>
      </c>
      <c r="J43" s="346">
        <f>COUNTIFS(PEC_air!$L$4:$L$408,'Frequency Detection'!$I43,PEC_air!$AA$4:$AA$408,"&lt;&gt;"&amp;"")</f>
        <v>202</v>
      </c>
      <c r="K43" s="346">
        <f>COUNTIFS(PEC_air!$L$4:$L$408,'Frequency Detection'!$I43,PEC_air!$K$4:$K$408,"hard_yes",PEC_air!$AA$4:$AA$408,"&lt;&gt;"&amp;"")</f>
        <v>8</v>
      </c>
      <c r="L43" s="346">
        <f>J43-K43</f>
        <v>194</v>
      </c>
      <c r="M43" s="346">
        <f>COUNTIFS(PEC_air!$L$4:$L$408,'Frequency Detection'!$I43,PEC_air!$AB$4:$AB$408,1,PEC_air!$K$4:$K$408,"&lt;&gt;hard_yes",PEC_air!$AA$4:$AA$408,"&lt;&gt;"&amp;"")</f>
        <v>98</v>
      </c>
      <c r="N43" s="346">
        <f>COUNTIFS(PEC_air!$L$4:$L$408,'Frequency Detection'!$I43,PEC_air!$AB$4:$AB$408,"&lt;&gt;1",PEC_air!$K$4:$K$408,"&lt;&gt;hard_yes",PEC_air!$AA$4:$AA$408,"&lt;&gt;"&amp;"")</f>
        <v>96</v>
      </c>
      <c r="O43" s="718">
        <f>M43/L43</f>
        <v>0.50515463917525771</v>
      </c>
      <c r="P43" s="346">
        <f>COUNTIFS(PEC_air!$L$4:$L$408,'Frequency Detection'!$I43,PEC_air!$AB$4:$AB$408,1,PEC_air!$K$4:$K$408,"&lt;&gt;hard_yes",PEC_air!$AA$4:$AA$408,"&lt;&gt;"&amp;"",PEC_air!$AA$4:$AA$408,"&lt;5")</f>
        <v>97</v>
      </c>
      <c r="Q43" s="718">
        <f>P43/M43</f>
        <v>0.98979591836734693</v>
      </c>
    </row>
    <row r="44" spans="2:17" x14ac:dyDescent="0.2">
      <c r="B44" s="346" t="s">
        <v>886</v>
      </c>
      <c r="C44" s="346">
        <f>COUNTA(PEC_air!$AB$10:$AB$22)</f>
        <v>13</v>
      </c>
      <c r="D44" s="346">
        <f>COUNTIF(PEC_air!$K$10:$K$22,"hard_yes")</f>
        <v>0</v>
      </c>
      <c r="E44" s="346">
        <f t="shared" ref="E44:E56" si="11">C44-D44</f>
        <v>13</v>
      </c>
      <c r="F44" s="346">
        <f>COUNTIFS(PEC_air!$AB$10:$AB$22,1,PEC_air!$K$10:$K$22,"&lt;&gt;hard_yes")</f>
        <v>2</v>
      </c>
      <c r="G44" s="718">
        <f t="shared" ref="G44:G58" si="12">F44/E44</f>
        <v>0.15384615384615385</v>
      </c>
      <c r="I44" s="346">
        <v>2</v>
      </c>
      <c r="J44" s="346">
        <f>COUNTIFS(PEC_air!$L$4:$L$408,'Frequency Detection'!$I44,PEC_air!$AA$4:$AA$408,"&lt;&gt;"&amp;"")</f>
        <v>35</v>
      </c>
      <c r="K44" s="346">
        <f>COUNTIFS(PEC_air!$L$4:$L$408,'Frequency Detection'!$I44,PEC_air!$K$4:$K$408,"hard_yes",PEC_air!$AA$4:$AA$408,"&lt;&gt;"&amp;"")</f>
        <v>23</v>
      </c>
      <c r="L44" s="346">
        <f t="shared" ref="L44:L52" si="13">J44-K44</f>
        <v>12</v>
      </c>
      <c r="M44" s="346">
        <f>COUNTIFS(PEC_air!$L$4:$L$408,'Frequency Detection'!$I44,PEC_air!$AB$4:$AB$408,1,PEC_air!$K$4:$K$408,"&lt;&gt;hard_yes",PEC_air!$AA$4:$AA$408,"&lt;&gt;"&amp;"")</f>
        <v>6</v>
      </c>
      <c r="N44" s="346">
        <f>COUNTIFS(PEC_air!$L$4:$L$408,'Frequency Detection'!$I44,PEC_air!$AB$4:$AB$408,"&lt;&gt;1",PEC_air!$K$4:$K$408,"&lt;&gt;hard_yes",PEC_air!$AA$4:$AA$408,"&lt;&gt;"&amp;"")</f>
        <v>6</v>
      </c>
      <c r="O44" s="718">
        <f t="shared" ref="O44:O52" si="14">M44/L44</f>
        <v>0.5</v>
      </c>
      <c r="P44" s="346">
        <f>COUNTIFS(PEC_air!$L$4:$L$408,'Frequency Detection'!$I44,PEC_air!$AB$4:$AB$408,1,PEC_air!$K$4:$K$408,"&lt;&gt;hard_yes",PEC_air!$AA$4:$AA$408,"&lt;&gt;"&amp;"",PEC_air!$AA$4:$AA$408,"&lt;5")</f>
        <v>3</v>
      </c>
      <c r="Q44" s="718">
        <f t="shared" ref="Q44:Q53" si="15">P44/M44</f>
        <v>0.5</v>
      </c>
    </row>
    <row r="45" spans="2:17" x14ac:dyDescent="0.2">
      <c r="B45" s="346" t="s">
        <v>737</v>
      </c>
      <c r="C45" s="346">
        <f>COUNTA(PEC_air!$AB$23:$AB$30)</f>
        <v>8</v>
      </c>
      <c r="D45" s="346">
        <f>COUNTIF(PEC_air!$K$23:$K$30,"hard_yes")</f>
        <v>0</v>
      </c>
      <c r="E45" s="346">
        <f t="shared" si="11"/>
        <v>8</v>
      </c>
      <c r="F45" s="346">
        <f>COUNTIFS(PEC_air!$AB$23:$AB$30,1,PEC_air!$K$23:$K$30,"&lt;&gt;hard_yes")</f>
        <v>4</v>
      </c>
      <c r="G45" s="718">
        <f t="shared" si="12"/>
        <v>0.5</v>
      </c>
      <c r="I45" s="346">
        <v>3</v>
      </c>
      <c r="J45" s="346">
        <f>COUNTIFS(PEC_air!$L$4:$L$408,'Frequency Detection'!$I45,PEC_air!$AA$4:$AA$408,"&lt;&gt;"&amp;"")</f>
        <v>56</v>
      </c>
      <c r="K45" s="346">
        <f>COUNTIFS(PEC_air!$L$4:$L$408,'Frequency Detection'!$I45,PEC_air!$K$4:$K$408,"hard_yes",PEC_air!$AA$4:$AA$408,"&lt;&gt;"&amp;"")</f>
        <v>25</v>
      </c>
      <c r="L45" s="346">
        <f t="shared" si="13"/>
        <v>31</v>
      </c>
      <c r="M45" s="346">
        <f>COUNTIFS(PEC_air!$L$4:$L$408,'Frequency Detection'!$I45,PEC_air!$AB$4:$AB$408,1,PEC_air!$K$4:$K$408,"&lt;&gt;hard_yes",PEC_air!$AA$4:$AA$408,"&lt;&gt;"&amp;"")</f>
        <v>26</v>
      </c>
      <c r="N45" s="346">
        <f>COUNTIFS(PEC_air!$L$4:$L$408,'Frequency Detection'!$I45,PEC_air!$AB$4:$AB$408,"&lt;&gt;1",PEC_air!$K$4:$K$408,"&lt;&gt;hard_yes",PEC_air!$AA$4:$AA$408,"&lt;&gt;"&amp;"")</f>
        <v>5</v>
      </c>
      <c r="O45" s="718">
        <f t="shared" si="14"/>
        <v>0.83870967741935487</v>
      </c>
      <c r="P45" s="346">
        <f>COUNTIFS(PEC_air!$L$4:$L$408,'Frequency Detection'!$I45,PEC_air!$AB$4:$AB$408,1,PEC_air!$K$4:$K$408,"&lt;&gt;hard_yes",PEC_air!$AA$4:$AA$408,"&lt;&gt;"&amp;"",PEC_air!$AA$4:$AA$408,"&lt;5")</f>
        <v>24</v>
      </c>
      <c r="Q45" s="718">
        <f t="shared" si="15"/>
        <v>0.92307692307692313</v>
      </c>
    </row>
    <row r="46" spans="2:17" x14ac:dyDescent="0.2">
      <c r="B46" s="346" t="s">
        <v>887</v>
      </c>
      <c r="C46" s="346">
        <f>COUNTA(PEC_air!$AB$31:$AB$35)</f>
        <v>5</v>
      </c>
      <c r="D46" s="346">
        <f>COUNTIF(PEC_air!$K$31:$K$35,"hard_yes")</f>
        <v>5</v>
      </c>
      <c r="E46" s="346">
        <f t="shared" si="11"/>
        <v>0</v>
      </c>
      <c r="F46" s="346">
        <f>COUNTIFS(PEC_air!$AB$31:$AB$35,1,PEC_air!$K$31:$K$35,"&lt;&gt;hard_yes")</f>
        <v>0</v>
      </c>
      <c r="G46" s="718" t="e">
        <f t="shared" si="12"/>
        <v>#DIV/0!</v>
      </c>
      <c r="I46" s="346">
        <v>4</v>
      </c>
      <c r="J46" s="346">
        <f>COUNTIFS(PEC_air!$L$4:$L$408,'Frequency Detection'!$I46,PEC_air!$AA$4:$AA$408,"&lt;&gt;"&amp;"")</f>
        <v>30</v>
      </c>
      <c r="K46" s="346">
        <f>COUNTIFS(PEC_air!$L$4:$L$408,'Frequency Detection'!$I46,PEC_air!$K$4:$K$408,"hard_yes",PEC_air!$AA$4:$AA$408,"&lt;&gt;"&amp;"")</f>
        <v>22</v>
      </c>
      <c r="L46" s="346">
        <f t="shared" si="13"/>
        <v>8</v>
      </c>
      <c r="M46" s="346">
        <f>COUNTIFS(PEC_air!$L$4:$L$408,'Frequency Detection'!$I46,PEC_air!$AB$4:$AB$408,1,PEC_air!$K$4:$K$408,"&lt;&gt;hard_yes",PEC_air!$AA$4:$AA$408,"&lt;&gt;"&amp;"")</f>
        <v>7</v>
      </c>
      <c r="N46" s="346">
        <f>COUNTIFS(PEC_air!$L$4:$L$408,'Frequency Detection'!$I46,PEC_air!$AB$4:$AB$408,"&lt;&gt;1",PEC_air!$K$4:$K$408,"&lt;&gt;hard_yes",PEC_air!$AA$4:$AA$408,"&lt;&gt;"&amp;"")</f>
        <v>1</v>
      </c>
      <c r="O46" s="718">
        <f t="shared" si="14"/>
        <v>0.875</v>
      </c>
      <c r="P46" s="346">
        <f>COUNTIFS(PEC_air!$L$4:$L$408,'Frequency Detection'!$I46,PEC_air!$AB$4:$AB$408,1,PEC_air!$K$4:$K$408,"&lt;&gt;hard_yes",PEC_air!$AA$4:$AA$408,"&lt;&gt;"&amp;"",PEC_air!$AA$4:$AA$408,"&lt;5")</f>
        <v>6</v>
      </c>
      <c r="Q46" s="718">
        <f t="shared" si="15"/>
        <v>0.8571428571428571</v>
      </c>
    </row>
    <row r="47" spans="2:17" x14ac:dyDescent="0.2">
      <c r="B47" s="346" t="s">
        <v>888</v>
      </c>
      <c r="C47" s="346">
        <f>COUNTA(PEC_air!$AB$36:$AB$129)</f>
        <v>94</v>
      </c>
      <c r="D47" s="346">
        <f>COUNTIF(PEC_air!$K$36:$K$129,"hard_yes")</f>
        <v>21</v>
      </c>
      <c r="E47" s="346">
        <f t="shared" si="11"/>
        <v>73</v>
      </c>
      <c r="F47" s="346">
        <f>COUNTIFS(PEC_air!$AB$36:$AB$129,1,PEC_air!$K$36:$K$129,"&lt;&gt;hard_yes")</f>
        <v>61</v>
      </c>
      <c r="G47" s="718">
        <f t="shared" si="12"/>
        <v>0.83561643835616439</v>
      </c>
      <c r="I47" s="346">
        <v>5</v>
      </c>
      <c r="J47" s="346">
        <f>COUNTIFS(PEC_air!$L$4:$L$408,'Frequency Detection'!$I47,PEC_air!$AA$4:$AA$408,"&lt;&gt;"&amp;"")</f>
        <v>12</v>
      </c>
      <c r="K47" s="346">
        <f>COUNTIFS(PEC_air!$L$4:$L$408,'Frequency Detection'!$I47,PEC_air!$K$4:$K$408,"hard_yes",PEC_air!$AA$4:$AA$408,"&lt;&gt;"&amp;"")</f>
        <v>1</v>
      </c>
      <c r="L47" s="346">
        <f t="shared" si="13"/>
        <v>11</v>
      </c>
      <c r="M47" s="346">
        <f>COUNTIFS(PEC_air!$L$4:$L$408,'Frequency Detection'!$I47,PEC_air!$AB$4:$AB$408,1,PEC_air!$K$4:$K$408,"&lt;&gt;hard_yes",PEC_air!$AA$4:$AA$408,"&lt;&gt;"&amp;"")</f>
        <v>9</v>
      </c>
      <c r="N47" s="346">
        <f>COUNTIFS(PEC_air!$L$4:$L$408,'Frequency Detection'!$I47,PEC_air!$AB$4:$AB$408,"&lt;&gt;1",PEC_air!$K$4:$K$408,"&lt;&gt;hard_yes",PEC_air!$AA$4:$AA$408,"&lt;&gt;"&amp;"")</f>
        <v>2</v>
      </c>
      <c r="O47" s="718">
        <f t="shared" si="14"/>
        <v>0.81818181818181823</v>
      </c>
      <c r="P47" s="346">
        <f>COUNTIFS(PEC_air!$L$4:$L$408,'Frequency Detection'!$I47,PEC_air!$AB$4:$AB$408,1,PEC_air!$K$4:$K$408,"&lt;&gt;hard_yes",PEC_air!$AA$4:$AA$408,"&lt;&gt;"&amp;"",PEC_air!$AA$4:$AA$408,"&lt;5")</f>
        <v>6</v>
      </c>
      <c r="Q47" s="718">
        <f t="shared" si="15"/>
        <v>0.66666666666666663</v>
      </c>
    </row>
    <row r="48" spans="2:17" x14ac:dyDescent="0.2">
      <c r="B48" s="346" t="s">
        <v>775</v>
      </c>
      <c r="C48" s="346">
        <f>COUNTA(PEC_air!$AB$130:$AB$254)</f>
        <v>125</v>
      </c>
      <c r="D48" s="346">
        <f>COUNTIF(PEC_air!$K$130:$K$254,"hard_yes")</f>
        <v>0</v>
      </c>
      <c r="E48" s="346">
        <f t="shared" si="11"/>
        <v>125</v>
      </c>
      <c r="F48" s="346">
        <f>COUNTIFS(PEC_air!$AB$130:$AB$254,1,PEC_air!$K$130:$K$254,"&lt;&gt;hard_yes")</f>
        <v>64</v>
      </c>
      <c r="G48" s="718">
        <f t="shared" si="12"/>
        <v>0.51200000000000001</v>
      </c>
      <c r="I48" s="346">
        <v>6</v>
      </c>
      <c r="J48" s="346">
        <f>COUNTIFS(PEC_air!$L$4:$L$408,'Frequency Detection'!$I48,PEC_air!$AA$4:$AA$408,"&lt;&gt;"&amp;"")</f>
        <v>22</v>
      </c>
      <c r="K48" s="346">
        <f>COUNTIFS(PEC_air!$L$4:$L$408,'Frequency Detection'!$I48,PEC_air!$K$4:$K$408,"hard_yes",PEC_air!$AA$4:$AA$408,"&lt;&gt;"&amp;"")</f>
        <v>0</v>
      </c>
      <c r="L48" s="346">
        <f t="shared" si="13"/>
        <v>22</v>
      </c>
      <c r="M48" s="346">
        <f>COUNTIFS(PEC_air!$L$4:$L$408,'Frequency Detection'!$I48,PEC_air!$AB$4:$AB$408,1,PEC_air!$K$4:$K$408,"&lt;&gt;hard_yes",PEC_air!$AA$4:$AA$408,"&lt;&gt;"&amp;"")</f>
        <v>20</v>
      </c>
      <c r="N48" s="346">
        <f>COUNTIFS(PEC_air!$L$4:$L$408,'Frequency Detection'!$I48,PEC_air!$AB$4:$AB$408,"&lt;&gt;1",PEC_air!$K$4:$K$408,"&lt;&gt;hard_yes",PEC_air!$AA$4:$AA$408,"&lt;&gt;"&amp;"")</f>
        <v>2</v>
      </c>
      <c r="O48" s="718">
        <f t="shared" si="14"/>
        <v>0.90909090909090906</v>
      </c>
      <c r="P48" s="346">
        <f>COUNTIFS(PEC_air!$L$4:$L$408,'Frequency Detection'!$I48,PEC_air!$AB$4:$AB$408,1,PEC_air!$K$4:$K$408,"&lt;&gt;hard_yes",PEC_air!$AA$4:$AA$408,"&lt;&gt;"&amp;"",PEC_air!$AA$4:$AA$408,"&lt;5")</f>
        <v>15</v>
      </c>
      <c r="Q48" s="718">
        <f t="shared" si="15"/>
        <v>0.75</v>
      </c>
    </row>
    <row r="49" spans="2:17" x14ac:dyDescent="0.2">
      <c r="B49" s="346" t="s">
        <v>889</v>
      </c>
      <c r="C49" s="346">
        <f>COUNTA(PEC_air!$AB$255:$AB$258)</f>
        <v>4</v>
      </c>
      <c r="D49" s="346">
        <f>COUNTIF(PEC_air!$K$255:$K$258,"hard_yes")</f>
        <v>4</v>
      </c>
      <c r="E49" s="346">
        <f t="shared" si="11"/>
        <v>0</v>
      </c>
      <c r="F49" s="346">
        <f>COUNTIFS(PEC_air!$AB$255:$AB$258,1,PEC_air!$K$255:$K$258,"&lt;&gt;hard_yes")</f>
        <v>0</v>
      </c>
      <c r="G49" s="718" t="e">
        <f t="shared" si="12"/>
        <v>#DIV/0!</v>
      </c>
      <c r="I49" s="346">
        <v>7</v>
      </c>
      <c r="J49" s="346">
        <f>COUNTIFS(PEC_air!$L$4:$L$408,'Frequency Detection'!$I49,PEC_air!$AA$4:$AA$408,"&lt;&gt;"&amp;"")</f>
        <v>8</v>
      </c>
      <c r="K49" s="346">
        <f>COUNTIFS(PEC_air!$L$4:$L$408,'Frequency Detection'!$I49,PEC_air!$K$4:$K$408,"hard_yes",PEC_air!$AA$4:$AA$408,"&lt;&gt;"&amp;"")</f>
        <v>1</v>
      </c>
      <c r="L49" s="346">
        <f t="shared" si="13"/>
        <v>7</v>
      </c>
      <c r="M49" s="346">
        <f>COUNTIFS(PEC_air!$L$4:$L$408,'Frequency Detection'!$I49,PEC_air!$AB$4:$AB$408,1,PEC_air!$K$4:$K$408,"&lt;&gt;hard_yes",PEC_air!$AA$4:$AA$408,"&lt;&gt;"&amp;"")</f>
        <v>3</v>
      </c>
      <c r="N49" s="346">
        <f>COUNTIFS(PEC_air!$L$4:$L$408,'Frequency Detection'!$I49,PEC_air!$AB$4:$AB$408,"&lt;&gt;1",PEC_air!$K$4:$K$408,"&lt;&gt;hard_yes",PEC_air!$AA$4:$AA$408,"&lt;&gt;"&amp;"")</f>
        <v>4</v>
      </c>
      <c r="O49" s="718">
        <f t="shared" si="14"/>
        <v>0.42857142857142855</v>
      </c>
      <c r="P49" s="346">
        <f>COUNTIFS(PEC_air!$L$4:$L$408,'Frequency Detection'!$I49,PEC_air!$AB$4:$AB$408,1,PEC_air!$K$4:$K$408,"&lt;&gt;hard_yes",PEC_air!$AA$4:$AA$408,"&lt;&gt;"&amp;"",PEC_air!$AA$4:$AA$408,"&lt;5")</f>
        <v>3</v>
      </c>
      <c r="Q49" s="718">
        <f t="shared" si="15"/>
        <v>1</v>
      </c>
    </row>
    <row r="50" spans="2:17" x14ac:dyDescent="0.2">
      <c r="B50" s="346" t="s">
        <v>890</v>
      </c>
      <c r="C50" s="346">
        <f>COUNTA(PEC_air!$AB$259:$AB$265)</f>
        <v>7</v>
      </c>
      <c r="D50" s="346">
        <f>COUNTIF(PEC_air!$K$259:$K$265,"hard_yes")</f>
        <v>0</v>
      </c>
      <c r="E50" s="346">
        <f t="shared" si="11"/>
        <v>7</v>
      </c>
      <c r="F50" s="346">
        <f>COUNTIFS(PEC_air!$AB$259:$AB$265,1,PEC_air!$K$259:$K$265,"&lt;&gt;hard_yes")</f>
        <v>2</v>
      </c>
      <c r="G50" s="718">
        <f t="shared" si="12"/>
        <v>0.2857142857142857</v>
      </c>
      <c r="I50" s="346">
        <v>8</v>
      </c>
      <c r="J50" s="346">
        <f>COUNTIFS(PEC_air!$L$4:$L$408,'Frequency Detection'!$I50,PEC_air!$AA$4:$AA$408,"&lt;&gt;"&amp;"")</f>
        <v>8</v>
      </c>
      <c r="K50" s="346">
        <f>COUNTIFS(PEC_air!$L$4:$L$408,'Frequency Detection'!$I50,PEC_air!$K$4:$K$408,"hard_yes",PEC_air!$AA$4:$AA$408,"&lt;&gt;"&amp;"")</f>
        <v>0</v>
      </c>
      <c r="L50" s="346">
        <f t="shared" si="13"/>
        <v>8</v>
      </c>
      <c r="M50" s="346">
        <f>COUNTIFS(PEC_air!$L$4:$L$408,'Frequency Detection'!$I50,PEC_air!$AB$4:$AB$408,1,PEC_air!$K$4:$K$408,"&lt;&gt;hard_yes",PEC_air!$AA$4:$AA$408,"&lt;&gt;"&amp;"")</f>
        <v>3</v>
      </c>
      <c r="N50" s="346">
        <f>COUNTIFS(PEC_air!$L$4:$L$408,'Frequency Detection'!$I50,PEC_air!$AB$4:$AB$408,"&lt;&gt;1",PEC_air!$K$4:$K$408,"&lt;&gt;hard_yes",PEC_air!$AA$4:$AA$408,"&lt;&gt;"&amp;"")</f>
        <v>5</v>
      </c>
      <c r="O50" s="718">
        <f t="shared" si="14"/>
        <v>0.375</v>
      </c>
      <c r="P50" s="346">
        <f>COUNTIFS(PEC_air!$L$4:$L$408,'Frequency Detection'!$I50,PEC_air!$AB$4:$AB$408,1,PEC_air!$K$4:$K$408,"&lt;&gt;hard_yes",PEC_air!$AA$4:$AA$408,"&lt;&gt;"&amp;"",PEC_air!$AA$4:$AA$408,"&lt;5")</f>
        <v>3</v>
      </c>
      <c r="Q50" s="718">
        <f t="shared" si="15"/>
        <v>1</v>
      </c>
    </row>
    <row r="51" spans="2:17" x14ac:dyDescent="0.2">
      <c r="B51" s="346" t="s">
        <v>731</v>
      </c>
      <c r="C51" s="346">
        <f>COUNTA(PEC_air!$AB$266:$AB$275)</f>
        <v>10</v>
      </c>
      <c r="D51" s="346">
        <f>COUNTIF(PEC_air!$K$266:$K$275,"hard_yes")</f>
        <v>10</v>
      </c>
      <c r="E51" s="346">
        <f t="shared" si="11"/>
        <v>0</v>
      </c>
      <c r="F51" s="346">
        <f>COUNTIFS(PEC_air!$AB$266:$AB$275,1,PEC_air!$K$266:$K$275,"&lt;&gt;hard_yes")</f>
        <v>0</v>
      </c>
      <c r="G51" s="718" t="e">
        <f t="shared" si="12"/>
        <v>#DIV/0!</v>
      </c>
      <c r="I51" s="346">
        <v>9</v>
      </c>
      <c r="J51" s="346">
        <f>COUNTIFS(PEC_air!$L$4:$L$408,'Frequency Detection'!$I51,PEC_air!$AA$4:$AA$408,"&lt;&gt;"&amp;"")</f>
        <v>25</v>
      </c>
      <c r="K51" s="346">
        <f>COUNTIFS(PEC_air!$L$4:$L$408,'Frequency Detection'!$I51,PEC_air!$K$4:$K$408,"hard_yes",PEC_air!$AA$4:$AA$408,"&lt;&gt;"&amp;"")</f>
        <v>0</v>
      </c>
      <c r="L51" s="346">
        <f t="shared" si="13"/>
        <v>25</v>
      </c>
      <c r="M51" s="346">
        <f>COUNTIFS(PEC_air!$L$4:$L$408,'Frequency Detection'!$I51,PEC_air!$AB$4:$AB$408,1,PEC_air!$K$4:$K$408,"&lt;&gt;hard_yes",PEC_air!$AA$4:$AA$408,"&lt;&gt;"&amp;"")</f>
        <v>15</v>
      </c>
      <c r="N51" s="346">
        <f>COUNTIFS(PEC_air!$L$4:$L$408,'Frequency Detection'!$I51,PEC_air!$AB$4:$AB$408,"&lt;&gt;1",PEC_air!$K$4:$K$408,"&lt;&gt;hard_yes",PEC_air!$AA$4:$AA$408,"&lt;&gt;"&amp;"")</f>
        <v>10</v>
      </c>
      <c r="O51" s="718">
        <f t="shared" si="14"/>
        <v>0.6</v>
      </c>
      <c r="P51" s="346">
        <f>COUNTIFS(PEC_air!$L$4:$L$408,'Frequency Detection'!$I51,PEC_air!$AB$4:$AB$408,1,PEC_air!$K$4:$K$408,"&lt;&gt;hard_yes",PEC_air!$AA$4:$AA$408,"&lt;&gt;"&amp;"",PEC_air!$AA$4:$AA$408,"&lt;5")</f>
        <v>15</v>
      </c>
      <c r="Q51" s="718">
        <f t="shared" si="15"/>
        <v>1</v>
      </c>
    </row>
    <row r="52" spans="2:17" x14ac:dyDescent="0.2">
      <c r="B52" s="346" t="s">
        <v>732</v>
      </c>
      <c r="C52" s="346">
        <f>COUNTA(PEC_air!$AB$276:$AB$276)</f>
        <v>1</v>
      </c>
      <c r="D52" s="346">
        <f>COUNTIF(PEC_air!$K$276:$K$276,"hard_yes")</f>
        <v>1</v>
      </c>
      <c r="E52" s="346">
        <f t="shared" si="11"/>
        <v>0</v>
      </c>
      <c r="F52" s="346">
        <f>COUNTIFS(PEC_air!$AB$276:$AB$276,1,PEC_air!$K$276:$K$276,"&lt;&gt;hard_yes")</f>
        <v>0</v>
      </c>
      <c r="G52" s="718" t="e">
        <f t="shared" si="12"/>
        <v>#DIV/0!</v>
      </c>
      <c r="I52" s="346">
        <v>10</v>
      </c>
      <c r="J52" s="346">
        <f>COUNTIFS(PEC_air!$L$4:$L$408,'Frequency Detection'!$I52,PEC_air!$AA$4:$AA$408,"&lt;&gt;"&amp;"")</f>
        <v>0</v>
      </c>
      <c r="K52" s="346">
        <f>COUNTIFS(PEC_air!$L$4:$L$408,'Frequency Detection'!$I52,PEC_air!$K$4:$K$408,"hard_yes",PEC_air!$AA$4:$AA$408,"&lt;&gt;"&amp;"")</f>
        <v>0</v>
      </c>
      <c r="L52" s="346">
        <f t="shared" si="13"/>
        <v>0</v>
      </c>
      <c r="M52" s="346">
        <f>COUNTIFS(PEC_air!$L$4:$L$408,'Frequency Detection'!$I52,PEC_air!$AB$4:$AB$408,1,PEC_air!$K$4:$K$408,"&lt;&gt;hard_yes",PEC_air!$AA$4:$AA$408,"&lt;&gt;"&amp;"")</f>
        <v>0</v>
      </c>
      <c r="N52" s="346">
        <f>COUNTIFS(PEC_air!$L$4:$L$408,'Frequency Detection'!$I52,PEC_air!$AB$4:$AB$408,"&lt;&gt;1",PEC_air!$K$4:$K$408,"&lt;&gt;hard_yes",PEC_air!$AA$4:$AA$408,"&lt;&gt;"&amp;"")</f>
        <v>0</v>
      </c>
      <c r="O52" s="718" t="e">
        <f t="shared" si="14"/>
        <v>#DIV/0!</v>
      </c>
      <c r="P52" s="346">
        <f>COUNTIFS(PEC_air!$L$4:$L$408,'Frequency Detection'!$I52,PEC_air!$AB$4:$AB$408,1,PEC_air!$K$4:$K$408,"&lt;&gt;hard_yes",PEC_air!$AA$4:$AA$408,"&lt;&gt;"&amp;"",PEC_air!$AA$4:$AA$408,"&lt;5")</f>
        <v>0</v>
      </c>
      <c r="Q52" s="718" t="e">
        <f t="shared" si="15"/>
        <v>#DIV/0!</v>
      </c>
    </row>
    <row r="53" spans="2:17" x14ac:dyDescent="0.2">
      <c r="B53" s="346" t="s">
        <v>739</v>
      </c>
      <c r="C53" s="346">
        <f>COUNTA(PEC_air!$AB$277:$AB$294)</f>
        <v>18</v>
      </c>
      <c r="D53" s="346">
        <f>COUNTIF(PEC_air!$K$277:$K$294,"hard_yes")</f>
        <v>18</v>
      </c>
      <c r="E53" s="346">
        <f t="shared" si="11"/>
        <v>0</v>
      </c>
      <c r="F53" s="346">
        <f>COUNTIFS(PEC_air!$AB$277:$AB$294,1,PEC_air!$K$277:$K$294,"&lt;&gt;hard_yes")</f>
        <v>0</v>
      </c>
      <c r="G53" s="718" t="e">
        <f t="shared" si="12"/>
        <v>#DIV/0!</v>
      </c>
      <c r="I53" t="s">
        <v>0</v>
      </c>
      <c r="M53" s="346">
        <f>SUM(M43:M52)</f>
        <v>187</v>
      </c>
      <c r="P53" s="346">
        <f>SUM(P43:P52)</f>
        <v>172</v>
      </c>
      <c r="Q53" s="1360">
        <f t="shared" si="15"/>
        <v>0.9197860962566845</v>
      </c>
    </row>
    <row r="54" spans="2:17" x14ac:dyDescent="0.2">
      <c r="B54" s="346" t="s">
        <v>778</v>
      </c>
      <c r="C54" s="346">
        <f>COUNTA(PEC_air!$AB$295:$AB$303)</f>
        <v>9</v>
      </c>
      <c r="D54" s="346">
        <f>COUNTIF(PEC_air!$K$295:$K$303,"hard_yes")</f>
        <v>9</v>
      </c>
      <c r="E54" s="346">
        <f t="shared" si="11"/>
        <v>0</v>
      </c>
      <c r="F54" s="346">
        <f>COUNTIFS(PEC_air!$AB$295:$AB$303,1,PEC_air!$K$295:$K$303,"&lt;&gt;hard_yes")</f>
        <v>0</v>
      </c>
      <c r="G54" s="718" t="e">
        <f t="shared" si="12"/>
        <v>#DIV/0!</v>
      </c>
    </row>
    <row r="55" spans="2:17" x14ac:dyDescent="0.2">
      <c r="B55" s="346" t="s">
        <v>891</v>
      </c>
      <c r="C55" s="346">
        <f>COUNTA(PEC_air!$AB$304:$AB$336)</f>
        <v>33</v>
      </c>
      <c r="D55" s="346">
        <f>COUNTIF(PEC_air!$K$304:$K$336,"hard_yes")</f>
        <v>5</v>
      </c>
      <c r="E55" s="346">
        <f t="shared" si="11"/>
        <v>28</v>
      </c>
      <c r="F55" s="346">
        <f>COUNTIFS(PEC_air!$AB$304:$AB$336,1,PEC_air!$K$304:$K$336,"&lt;&gt;hard_yes")</f>
        <v>18</v>
      </c>
      <c r="G55" s="718">
        <f t="shared" si="12"/>
        <v>0.6428571428571429</v>
      </c>
    </row>
    <row r="56" spans="2:17" x14ac:dyDescent="0.2">
      <c r="B56" s="346" t="s">
        <v>717</v>
      </c>
      <c r="C56" s="346">
        <f>COUNTA(PEC_air!$AB$337:$AB$345)</f>
        <v>9</v>
      </c>
      <c r="D56" s="346">
        <f>COUNTIF(PEC_air!$K$337:$K$345,"hard_yes")</f>
        <v>9</v>
      </c>
      <c r="E56" s="346">
        <f t="shared" si="11"/>
        <v>0</v>
      </c>
      <c r="F56" s="346">
        <f>COUNTIFS(PEC_air!$AB$337:$AB$345,1,PEC_air!$K$337:$K$345,"&lt;&gt;hard_yes")</f>
        <v>0</v>
      </c>
      <c r="G56" s="718" t="e">
        <f t="shared" si="12"/>
        <v>#DIV/0!</v>
      </c>
    </row>
    <row r="57" spans="2:17" x14ac:dyDescent="0.2">
      <c r="B57" s="346" t="s">
        <v>1775</v>
      </c>
      <c r="C57" s="346">
        <f>COUNTA(PEC_air!$AB$347:$AB$408)</f>
        <v>62</v>
      </c>
      <c r="D57" s="346">
        <f>COUNTIF(PEC_air!$K$347:$K$408,"hard_yes")</f>
        <v>0</v>
      </c>
      <c r="E57" s="346">
        <f t="shared" ref="E57" si="16">C57-D57</f>
        <v>62</v>
      </c>
      <c r="F57" s="346">
        <f>COUNTIFS(PEC_air!$AB$347:$AB$408,1,PEC_air!$K$347:$K$408,"&lt;&gt;hard_yes")</f>
        <v>32</v>
      </c>
      <c r="G57" s="718">
        <f t="shared" ref="G57" si="17">F57/E57</f>
        <v>0.5161290322580645</v>
      </c>
    </row>
    <row r="58" spans="2:17" x14ac:dyDescent="0.2">
      <c r="B58" s="597" t="s">
        <v>1461</v>
      </c>
      <c r="C58" s="346">
        <f>SUM(C43:C57)</f>
        <v>404</v>
      </c>
      <c r="D58" s="346">
        <f>SUM(D43:D57)</f>
        <v>82</v>
      </c>
      <c r="E58" s="346">
        <f>SUM(E43:E57)</f>
        <v>322</v>
      </c>
      <c r="F58" s="346">
        <f>SUM(F43:F57)</f>
        <v>187</v>
      </c>
      <c r="G58" s="718">
        <f t="shared" si="12"/>
        <v>0.58074534161490687</v>
      </c>
    </row>
  </sheetData>
  <phoneticPr fontId="14" type="noConversion"/>
  <pageMargins left="0.75" right="0.75" top="1" bottom="1" header="0.5" footer="0.5"/>
  <pageSetup paperSize="9"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N67"/>
  <sheetViews>
    <sheetView workbookViewId="0">
      <selection activeCell="P9" sqref="P9"/>
    </sheetView>
  </sheetViews>
  <sheetFormatPr baseColWidth="10" defaultColWidth="10.83203125" defaultRowHeight="18" x14ac:dyDescent="0.25"/>
  <cols>
    <col min="1" max="2" width="10.83203125" style="214"/>
    <col min="3" max="3" width="13" style="214" customWidth="1"/>
    <col min="4" max="14" width="10.83203125" style="214"/>
    <col min="15" max="16384" width="10.83203125" style="1"/>
  </cols>
  <sheetData>
    <row r="4" spans="1:13" x14ac:dyDescent="0.25">
      <c r="B4" s="1343" t="s">
        <v>1400</v>
      </c>
      <c r="C4" s="1343"/>
      <c r="D4" s="1343"/>
      <c r="E4" s="1343"/>
      <c r="F4" s="1343"/>
      <c r="G4" s="1343"/>
      <c r="H4" s="1343"/>
      <c r="L4" s="202" t="s">
        <v>1401</v>
      </c>
    </row>
    <row r="6" spans="1:13" x14ac:dyDescent="0.25">
      <c r="B6" s="1342" t="s">
        <v>401</v>
      </c>
      <c r="C6" s="1342"/>
      <c r="D6" s="1342"/>
      <c r="F6" s="1342" t="s">
        <v>40</v>
      </c>
      <c r="G6" s="1342"/>
      <c r="H6" s="1342"/>
      <c r="L6" s="1342" t="s">
        <v>392</v>
      </c>
      <c r="M6" s="1342"/>
    </row>
    <row r="7" spans="1:13" x14ac:dyDescent="0.25">
      <c r="B7" s="214" t="s">
        <v>399</v>
      </c>
      <c r="C7" s="214" t="s">
        <v>400</v>
      </c>
      <c r="D7" s="214" t="s">
        <v>0</v>
      </c>
      <c r="F7" s="214" t="s">
        <v>399</v>
      </c>
      <c r="G7" s="214" t="s">
        <v>400</v>
      </c>
      <c r="H7" s="214" t="s">
        <v>0</v>
      </c>
      <c r="M7" s="214" t="s">
        <v>50</v>
      </c>
    </row>
    <row r="8" spans="1:13" x14ac:dyDescent="0.25">
      <c r="A8" s="214" t="s">
        <v>1</v>
      </c>
      <c r="B8" s="214" t="s">
        <v>402</v>
      </c>
      <c r="C8" s="214" t="s">
        <v>402</v>
      </c>
      <c r="D8" s="214" t="s">
        <v>403</v>
      </c>
      <c r="F8" s="214" t="s">
        <v>402</v>
      </c>
      <c r="G8" s="214" t="s">
        <v>402</v>
      </c>
      <c r="H8" s="214" t="s">
        <v>403</v>
      </c>
      <c r="M8" s="214" t="s">
        <v>403</v>
      </c>
    </row>
    <row r="9" spans="1:13" x14ac:dyDescent="0.25">
      <c r="A9" s="214">
        <v>1957</v>
      </c>
    </row>
    <row r="10" spans="1:13" x14ac:dyDescent="0.25">
      <c r="A10" s="214">
        <v>1958</v>
      </c>
      <c r="L10" s="214">
        <v>1958</v>
      </c>
      <c r="M10" s="214">
        <v>26</v>
      </c>
    </row>
    <row r="11" spans="1:13" x14ac:dyDescent="0.25">
      <c r="A11" s="214">
        <v>1959</v>
      </c>
      <c r="L11" s="214">
        <v>1959</v>
      </c>
      <c r="M11" s="214">
        <v>53</v>
      </c>
    </row>
    <row r="12" spans="1:13" x14ac:dyDescent="0.25">
      <c r="A12" s="214">
        <v>1960</v>
      </c>
      <c r="B12" s="214">
        <f>240*4</f>
        <v>960</v>
      </c>
      <c r="C12" s="214">
        <f>183*4</f>
        <v>732</v>
      </c>
      <c r="D12" s="214">
        <f>(B12+C12)/1000</f>
        <v>1.6919999999999999</v>
      </c>
      <c r="F12" s="214">
        <f>121*4</f>
        <v>484</v>
      </c>
      <c r="G12" s="214">
        <f>112*4</f>
        <v>448</v>
      </c>
      <c r="H12" s="214">
        <f>(F12+G12)/1000</f>
        <v>0.93200000000000005</v>
      </c>
      <c r="L12" s="214">
        <v>1960</v>
      </c>
      <c r="M12" s="214">
        <v>79</v>
      </c>
    </row>
    <row r="13" spans="1:13" x14ac:dyDescent="0.25">
      <c r="A13" s="214">
        <v>1961</v>
      </c>
      <c r="B13" s="214">
        <f>184*4</f>
        <v>736</v>
      </c>
      <c r="C13" s="214">
        <f>99*4</f>
        <v>396</v>
      </c>
      <c r="D13" s="214">
        <f t="shared" ref="D13:D62" si="0">(B13+C13)/1000</f>
        <v>1.1319999999999999</v>
      </c>
      <c r="F13" s="214">
        <f>60*4</f>
        <v>240</v>
      </c>
      <c r="G13" s="214">
        <f>56*4</f>
        <v>224</v>
      </c>
      <c r="H13" s="214">
        <f t="shared" ref="H13:H62" si="1">(F13+G13)/1000</f>
        <v>0.46400000000000002</v>
      </c>
      <c r="L13" s="214">
        <v>1961</v>
      </c>
      <c r="M13" s="214">
        <v>106</v>
      </c>
    </row>
    <row r="14" spans="1:13" x14ac:dyDescent="0.25">
      <c r="A14" s="214">
        <v>1962</v>
      </c>
      <c r="B14" s="214">
        <f>240*4</f>
        <v>960</v>
      </c>
      <c r="C14" s="214">
        <f>121*4</f>
        <v>484</v>
      </c>
      <c r="D14" s="214">
        <f t="shared" si="0"/>
        <v>1.444</v>
      </c>
      <c r="F14" s="214">
        <f>72*4</f>
        <v>288</v>
      </c>
      <c r="G14" s="214">
        <f>67*4</f>
        <v>268</v>
      </c>
      <c r="H14" s="214">
        <f t="shared" si="1"/>
        <v>0.55600000000000005</v>
      </c>
      <c r="L14" s="214">
        <v>1962</v>
      </c>
      <c r="M14" s="214">
        <v>132</v>
      </c>
    </row>
    <row r="15" spans="1:13" x14ac:dyDescent="0.25">
      <c r="A15" s="214">
        <v>1963</v>
      </c>
      <c r="B15" s="214">
        <f>302*4</f>
        <v>1208</v>
      </c>
      <c r="C15" s="214">
        <f>143*4</f>
        <v>572</v>
      </c>
      <c r="D15" s="214">
        <f t="shared" si="0"/>
        <v>1.78</v>
      </c>
      <c r="F15" s="214">
        <f>85*4</f>
        <v>340</v>
      </c>
      <c r="G15" s="214">
        <f>78*4</f>
        <v>312</v>
      </c>
      <c r="H15" s="214">
        <f t="shared" si="1"/>
        <v>0.65200000000000002</v>
      </c>
      <c r="L15" s="214">
        <v>1963</v>
      </c>
      <c r="M15" s="214">
        <v>159</v>
      </c>
    </row>
    <row r="16" spans="1:13" x14ac:dyDescent="0.25">
      <c r="A16" s="214">
        <v>1964</v>
      </c>
      <c r="B16" s="214">
        <f>371*4</f>
        <v>1484</v>
      </c>
      <c r="C16" s="214">
        <f>167*4</f>
        <v>668</v>
      </c>
      <c r="D16" s="214">
        <f t="shared" si="0"/>
        <v>2.1520000000000001</v>
      </c>
      <c r="F16" s="214">
        <f>97*4</f>
        <v>388</v>
      </c>
      <c r="G16" s="214">
        <f>89*4</f>
        <v>356</v>
      </c>
      <c r="H16" s="214">
        <f t="shared" si="1"/>
        <v>0.74399999999999999</v>
      </c>
      <c r="L16" s="214">
        <v>1964</v>
      </c>
      <c r="M16" s="214">
        <v>185</v>
      </c>
    </row>
    <row r="17" spans="1:13" x14ac:dyDescent="0.25">
      <c r="A17" s="214">
        <v>1965</v>
      </c>
      <c r="B17" s="214">
        <f>382*4</f>
        <v>1528</v>
      </c>
      <c r="C17" s="214">
        <f>183*4</f>
        <v>732</v>
      </c>
      <c r="D17" s="214">
        <f t="shared" si="0"/>
        <v>2.2599999999999998</v>
      </c>
      <c r="F17" s="214">
        <f>109*4</f>
        <v>436</v>
      </c>
      <c r="G17" s="214">
        <f>101*4</f>
        <v>404</v>
      </c>
      <c r="H17" s="214">
        <f t="shared" si="1"/>
        <v>0.84</v>
      </c>
      <c r="L17" s="214">
        <v>1965</v>
      </c>
      <c r="M17" s="214">
        <v>212</v>
      </c>
    </row>
    <row r="18" spans="1:13" x14ac:dyDescent="0.25">
      <c r="A18" s="214">
        <v>1966</v>
      </c>
      <c r="B18" s="214">
        <f>431*4</f>
        <v>1724</v>
      </c>
      <c r="C18" s="214">
        <f>205*4</f>
        <v>820</v>
      </c>
      <c r="D18" s="214">
        <f t="shared" si="0"/>
        <v>2.544</v>
      </c>
      <c r="F18" s="214">
        <f>121*4</f>
        <v>484</v>
      </c>
      <c r="G18" s="214">
        <f>112*4</f>
        <v>448</v>
      </c>
      <c r="H18" s="214">
        <f t="shared" si="1"/>
        <v>0.93200000000000005</v>
      </c>
      <c r="L18" s="214">
        <v>1966</v>
      </c>
      <c r="M18" s="214">
        <v>238</v>
      </c>
    </row>
    <row r="19" spans="1:13" x14ac:dyDescent="0.25">
      <c r="A19" s="214">
        <v>1967</v>
      </c>
      <c r="B19" s="214">
        <f>481*4</f>
        <v>1924</v>
      </c>
      <c r="C19" s="214">
        <f>226*4</f>
        <v>904</v>
      </c>
      <c r="D19" s="214">
        <f t="shared" si="0"/>
        <v>2.8279999999999998</v>
      </c>
      <c r="F19" s="214">
        <f>133*4</f>
        <v>532</v>
      </c>
      <c r="G19" s="214">
        <f>123*4</f>
        <v>492</v>
      </c>
      <c r="H19" s="214">
        <f t="shared" si="1"/>
        <v>1.024</v>
      </c>
      <c r="L19" s="214">
        <v>1967</v>
      </c>
      <c r="M19" s="214">
        <v>265</v>
      </c>
    </row>
    <row r="20" spans="1:13" x14ac:dyDescent="0.25">
      <c r="A20" s="214">
        <v>1968</v>
      </c>
      <c r="B20" s="214">
        <f>531*4</f>
        <v>2124</v>
      </c>
      <c r="C20" s="214">
        <f>247*4</f>
        <v>988</v>
      </c>
      <c r="D20" s="214">
        <f t="shared" si="0"/>
        <v>3.1120000000000001</v>
      </c>
      <c r="F20" s="214">
        <f>145*4</f>
        <v>580</v>
      </c>
      <c r="G20" s="214">
        <f>134*4</f>
        <v>536</v>
      </c>
      <c r="H20" s="214">
        <f t="shared" si="1"/>
        <v>1.1160000000000001</v>
      </c>
      <c r="L20" s="214">
        <v>1968</v>
      </c>
      <c r="M20" s="214">
        <v>291</v>
      </c>
    </row>
    <row r="21" spans="1:13" x14ac:dyDescent="0.25">
      <c r="A21" s="214">
        <v>1969</v>
      </c>
      <c r="B21" s="214">
        <f>580*4</f>
        <v>2320</v>
      </c>
      <c r="C21" s="214">
        <f>268*4</f>
        <v>1072</v>
      </c>
      <c r="D21" s="214">
        <f t="shared" si="0"/>
        <v>3.3919999999999999</v>
      </c>
      <c r="F21" s="214">
        <f>157*4</f>
        <v>628</v>
      </c>
      <c r="G21" s="214">
        <f>145*4</f>
        <v>580</v>
      </c>
      <c r="H21" s="214">
        <f t="shared" si="1"/>
        <v>1.208</v>
      </c>
      <c r="L21" s="214">
        <v>1969</v>
      </c>
      <c r="M21" s="214">
        <v>318</v>
      </c>
    </row>
    <row r="22" spans="1:13" x14ac:dyDescent="0.25">
      <c r="A22" s="214">
        <v>1970</v>
      </c>
      <c r="B22" s="214">
        <f>627*4</f>
        <v>2508</v>
      </c>
      <c r="C22" s="214">
        <f>289*4</f>
        <v>1156</v>
      </c>
      <c r="D22" s="214">
        <f t="shared" si="0"/>
        <v>3.6640000000000001</v>
      </c>
      <c r="F22" s="214">
        <f>813*4</f>
        <v>3252</v>
      </c>
      <c r="G22" s="214">
        <f>228*4</f>
        <v>912</v>
      </c>
      <c r="H22" s="214">
        <f t="shared" si="1"/>
        <v>4.1639999999999997</v>
      </c>
      <c r="L22" s="214">
        <v>1970</v>
      </c>
      <c r="M22" s="214">
        <v>344</v>
      </c>
    </row>
    <row r="23" spans="1:13" x14ac:dyDescent="0.25">
      <c r="A23" s="214">
        <v>1971</v>
      </c>
      <c r="B23" s="214">
        <f>673*4</f>
        <v>2692</v>
      </c>
      <c r="C23" s="214">
        <f>310*4</f>
        <v>1240</v>
      </c>
      <c r="D23" s="214">
        <f t="shared" si="0"/>
        <v>3.9319999999999999</v>
      </c>
      <c r="F23" s="214">
        <f>871*4</f>
        <v>3484</v>
      </c>
      <c r="G23" s="214">
        <f>244*4</f>
        <v>976</v>
      </c>
      <c r="H23" s="214">
        <f t="shared" si="1"/>
        <v>4.46</v>
      </c>
      <c r="L23" s="214">
        <v>1971</v>
      </c>
      <c r="M23" s="214">
        <v>370</v>
      </c>
    </row>
    <row r="24" spans="1:13" x14ac:dyDescent="0.25">
      <c r="A24" s="214">
        <v>1972</v>
      </c>
      <c r="B24" s="214">
        <f>719*4</f>
        <v>2876</v>
      </c>
      <c r="C24" s="214">
        <f>331*4</f>
        <v>1324</v>
      </c>
      <c r="D24" s="214">
        <f t="shared" si="0"/>
        <v>4.2</v>
      </c>
      <c r="F24" s="214">
        <f>929*4</f>
        <v>3716</v>
      </c>
      <c r="G24" s="214">
        <f>261*4</f>
        <v>1044</v>
      </c>
      <c r="H24" s="214">
        <f t="shared" si="1"/>
        <v>4.76</v>
      </c>
      <c r="L24" s="214">
        <v>1972</v>
      </c>
      <c r="M24" s="214">
        <v>397</v>
      </c>
    </row>
    <row r="25" spans="1:13" x14ac:dyDescent="0.25">
      <c r="A25" s="214">
        <v>1973</v>
      </c>
      <c r="B25" s="214">
        <f>765*4</f>
        <v>3060</v>
      </c>
      <c r="C25" s="214">
        <f>351*4</f>
        <v>1404</v>
      </c>
      <c r="D25" s="214">
        <f t="shared" si="0"/>
        <v>4.4640000000000004</v>
      </c>
      <c r="F25" s="214">
        <f>987*4</f>
        <v>3948</v>
      </c>
      <c r="G25" s="214">
        <f>277*4</f>
        <v>1108</v>
      </c>
      <c r="H25" s="214">
        <f t="shared" si="1"/>
        <v>5.056</v>
      </c>
      <c r="L25" s="214">
        <v>1973</v>
      </c>
      <c r="M25" s="214">
        <v>423</v>
      </c>
    </row>
    <row r="26" spans="1:13" x14ac:dyDescent="0.25">
      <c r="A26" s="214">
        <v>1974</v>
      </c>
      <c r="B26" s="214">
        <f>811*4</f>
        <v>3244</v>
      </c>
      <c r="C26" s="214">
        <f>372*4</f>
        <v>1488</v>
      </c>
      <c r="D26" s="214">
        <f t="shared" si="0"/>
        <v>4.7320000000000002</v>
      </c>
      <c r="F26" s="214">
        <f>1045*4</f>
        <v>4180</v>
      </c>
      <c r="G26" s="214">
        <f>293*4</f>
        <v>1172</v>
      </c>
      <c r="H26" s="214">
        <f t="shared" si="1"/>
        <v>5.3520000000000003</v>
      </c>
      <c r="L26" s="214">
        <v>1974</v>
      </c>
      <c r="M26" s="214">
        <v>450</v>
      </c>
    </row>
    <row r="27" spans="1:13" x14ac:dyDescent="0.25">
      <c r="A27" s="214">
        <v>1975</v>
      </c>
      <c r="B27" s="214">
        <f>973*4</f>
        <v>3892</v>
      </c>
      <c r="C27" s="214">
        <f>480*4</f>
        <v>1920</v>
      </c>
      <c r="D27" s="214">
        <f t="shared" si="0"/>
        <v>5.8120000000000003</v>
      </c>
      <c r="F27" s="214">
        <f>1379*4</f>
        <v>5516</v>
      </c>
      <c r="G27" s="214">
        <f>387*4</f>
        <v>1548</v>
      </c>
      <c r="H27" s="214">
        <f t="shared" si="1"/>
        <v>7.0640000000000001</v>
      </c>
      <c r="L27" s="214">
        <v>1975</v>
      </c>
      <c r="M27" s="214">
        <v>476</v>
      </c>
    </row>
    <row r="28" spans="1:13" x14ac:dyDescent="0.25">
      <c r="A28" s="214">
        <v>1976</v>
      </c>
      <c r="B28" s="214">
        <f>1253*4</f>
        <v>5012</v>
      </c>
      <c r="C28" s="214">
        <f>660*4</f>
        <v>2640</v>
      </c>
      <c r="D28" s="214">
        <f t="shared" si="0"/>
        <v>7.6520000000000001</v>
      </c>
      <c r="F28" s="214">
        <f>1930*4</f>
        <v>7720</v>
      </c>
      <c r="G28" s="214">
        <f>542*4</f>
        <v>2168</v>
      </c>
      <c r="H28" s="214">
        <f t="shared" si="1"/>
        <v>9.8879999999999999</v>
      </c>
      <c r="L28" s="214">
        <v>1976</v>
      </c>
      <c r="M28" s="214">
        <v>667</v>
      </c>
    </row>
    <row r="29" spans="1:13" x14ac:dyDescent="0.25">
      <c r="A29" s="214">
        <v>1977</v>
      </c>
      <c r="B29" s="214">
        <f>1586*4</f>
        <v>6344</v>
      </c>
      <c r="C29" s="214">
        <f>846*4</f>
        <v>3384</v>
      </c>
      <c r="D29" s="214">
        <f t="shared" si="0"/>
        <v>9.7279999999999998</v>
      </c>
      <c r="F29" s="214">
        <f>2482*4</f>
        <v>9928</v>
      </c>
      <c r="G29" s="214">
        <f>696*4</f>
        <v>2784</v>
      </c>
      <c r="H29" s="214">
        <f t="shared" si="1"/>
        <v>12.712</v>
      </c>
      <c r="L29" s="214">
        <v>1977</v>
      </c>
      <c r="M29" s="214">
        <v>857</v>
      </c>
    </row>
    <row r="30" spans="1:13" x14ac:dyDescent="0.25">
      <c r="A30" s="214">
        <v>1978</v>
      </c>
      <c r="B30" s="214">
        <f>1971*4</f>
        <v>7884</v>
      </c>
      <c r="C30" s="214">
        <f>1038*4</f>
        <v>4152</v>
      </c>
      <c r="D30" s="214">
        <f t="shared" si="0"/>
        <v>12.036</v>
      </c>
      <c r="F30" s="214">
        <f>3033*4</f>
        <v>12132</v>
      </c>
      <c r="G30" s="214">
        <f>851*4</f>
        <v>3404</v>
      </c>
      <c r="H30" s="214">
        <f t="shared" si="1"/>
        <v>15.536</v>
      </c>
      <c r="L30" s="214">
        <v>1978</v>
      </c>
      <c r="M30" s="214">
        <v>1048</v>
      </c>
    </row>
    <row r="31" spans="1:13" x14ac:dyDescent="0.25">
      <c r="A31" s="214">
        <v>1979</v>
      </c>
      <c r="B31" s="214">
        <f>2408*4</f>
        <v>9632</v>
      </c>
      <c r="C31" s="214">
        <f>1235*4</f>
        <v>4940</v>
      </c>
      <c r="D31" s="214">
        <f t="shared" si="0"/>
        <v>14.571999999999999</v>
      </c>
      <c r="F31" s="214">
        <f>3585*4</f>
        <v>14340</v>
      </c>
      <c r="G31" s="214">
        <f>1006*4</f>
        <v>4024</v>
      </c>
      <c r="H31" s="214">
        <f t="shared" si="1"/>
        <v>18.364000000000001</v>
      </c>
      <c r="L31" s="214">
        <v>1979</v>
      </c>
      <c r="M31" s="214">
        <v>1238</v>
      </c>
    </row>
    <row r="32" spans="1:13" x14ac:dyDescent="0.25">
      <c r="A32" s="214">
        <v>1980</v>
      </c>
      <c r="B32" s="214">
        <f>2869*4</f>
        <v>11476</v>
      </c>
      <c r="C32" s="214">
        <f>1435*4</f>
        <v>5740</v>
      </c>
      <c r="D32" s="214">
        <f t="shared" si="0"/>
        <v>17.216000000000001</v>
      </c>
      <c r="F32" s="214">
        <f>4136*4</f>
        <v>16544</v>
      </c>
      <c r="G32" s="214">
        <f>1161*4</f>
        <v>4644</v>
      </c>
      <c r="H32" s="214">
        <f t="shared" si="1"/>
        <v>21.187999999999999</v>
      </c>
      <c r="L32" s="214">
        <v>1980</v>
      </c>
      <c r="M32" s="214">
        <v>1429</v>
      </c>
    </row>
    <row r="33" spans="1:13" x14ac:dyDescent="0.25">
      <c r="A33" s="214">
        <v>1981</v>
      </c>
      <c r="B33" s="214">
        <f>3330*4</f>
        <v>13320</v>
      </c>
      <c r="C33" s="214">
        <f>1635*4</f>
        <v>6540</v>
      </c>
      <c r="D33" s="214">
        <f t="shared" si="0"/>
        <v>19.86</v>
      </c>
      <c r="F33" s="214">
        <f>4688*4</f>
        <v>18752</v>
      </c>
      <c r="G33" s="214">
        <f>1315*4</f>
        <v>5260</v>
      </c>
      <c r="H33" s="214">
        <f t="shared" si="1"/>
        <v>24.012</v>
      </c>
      <c r="L33" s="214">
        <v>1981</v>
      </c>
      <c r="M33" s="214">
        <v>1619</v>
      </c>
    </row>
    <row r="34" spans="1:13" x14ac:dyDescent="0.25">
      <c r="A34" s="214">
        <v>1982</v>
      </c>
      <c r="B34" s="214">
        <f>3791*4</f>
        <v>15164</v>
      </c>
      <c r="C34" s="214">
        <f>1835*4</f>
        <v>7340</v>
      </c>
      <c r="D34" s="214">
        <f t="shared" si="0"/>
        <v>22.504000000000001</v>
      </c>
      <c r="F34" s="214">
        <f>5240*4</f>
        <v>20960</v>
      </c>
      <c r="G34" s="214">
        <f>1470*4</f>
        <v>5880</v>
      </c>
      <c r="H34" s="214">
        <f t="shared" si="1"/>
        <v>26.84</v>
      </c>
      <c r="L34" s="214">
        <v>1982</v>
      </c>
      <c r="M34" s="214">
        <v>1810</v>
      </c>
    </row>
    <row r="35" spans="1:13" x14ac:dyDescent="0.25">
      <c r="A35" s="214">
        <v>1983</v>
      </c>
      <c r="B35" s="214">
        <f>4251*4</f>
        <v>17004</v>
      </c>
      <c r="C35" s="214">
        <f>2035*4</f>
        <v>8140</v>
      </c>
      <c r="D35" s="214">
        <f t="shared" si="0"/>
        <v>25.143999999999998</v>
      </c>
      <c r="F35" s="214">
        <f>5791*4</f>
        <v>23164</v>
      </c>
      <c r="G35" s="214">
        <f>1625*4</f>
        <v>6500</v>
      </c>
      <c r="H35" s="214">
        <f t="shared" si="1"/>
        <v>29.664000000000001</v>
      </c>
      <c r="L35" s="214">
        <v>1983</v>
      </c>
      <c r="M35" s="214">
        <v>2000</v>
      </c>
    </row>
    <row r="36" spans="1:13" x14ac:dyDescent="0.25">
      <c r="A36" s="214">
        <v>1984</v>
      </c>
      <c r="B36" s="214">
        <f>4712*4</f>
        <v>18848</v>
      </c>
      <c r="C36" s="214">
        <f>2235*4</f>
        <v>8940</v>
      </c>
      <c r="D36" s="214">
        <f t="shared" si="0"/>
        <v>27.788</v>
      </c>
      <c r="F36" s="214">
        <f>6343*4</f>
        <v>25372</v>
      </c>
      <c r="G36" s="214">
        <f>1779*4</f>
        <v>7116</v>
      </c>
      <c r="H36" s="214">
        <f t="shared" si="1"/>
        <v>32.488</v>
      </c>
      <c r="L36" s="214">
        <v>1984</v>
      </c>
      <c r="M36" s="214">
        <v>2191</v>
      </c>
    </row>
    <row r="37" spans="1:13" x14ac:dyDescent="0.25">
      <c r="A37" s="214">
        <v>1985</v>
      </c>
      <c r="B37" s="214">
        <f>5173*4</f>
        <v>20692</v>
      </c>
      <c r="C37" s="214">
        <f>2435*4</f>
        <v>9740</v>
      </c>
      <c r="D37" s="214">
        <f t="shared" si="0"/>
        <v>30.431999999999999</v>
      </c>
      <c r="F37" s="214">
        <f>6894*4</f>
        <v>27576</v>
      </c>
      <c r="G37" s="214">
        <f>1934*4</f>
        <v>7736</v>
      </c>
      <c r="H37" s="214">
        <f t="shared" si="1"/>
        <v>35.311999999999998</v>
      </c>
      <c r="L37" s="214">
        <v>1985</v>
      </c>
      <c r="M37" s="214">
        <v>2381</v>
      </c>
    </row>
    <row r="38" spans="1:13" x14ac:dyDescent="0.25">
      <c r="A38" s="214">
        <v>1986</v>
      </c>
      <c r="B38" s="214">
        <f>5408*4</f>
        <v>21632</v>
      </c>
      <c r="C38" s="214">
        <f>2461*4</f>
        <v>9844</v>
      </c>
      <c r="D38" s="214">
        <f t="shared" si="0"/>
        <v>31.475999999999999</v>
      </c>
      <c r="F38" s="214">
        <f>6894*4</f>
        <v>27576</v>
      </c>
      <c r="G38" s="214">
        <f t="shared" ref="G38:G41" si="2">1934*4</f>
        <v>7736</v>
      </c>
      <c r="H38" s="214">
        <f t="shared" si="1"/>
        <v>35.311999999999998</v>
      </c>
      <c r="L38" s="214">
        <v>1986</v>
      </c>
      <c r="M38" s="214">
        <v>2381</v>
      </c>
    </row>
    <row r="39" spans="1:13" x14ac:dyDescent="0.25">
      <c r="A39" s="214">
        <v>1987</v>
      </c>
      <c r="B39" s="214">
        <f>5584*4</f>
        <v>22336</v>
      </c>
      <c r="C39" s="214">
        <f>2481*4</f>
        <v>9924</v>
      </c>
      <c r="D39" s="214">
        <f t="shared" si="0"/>
        <v>32.26</v>
      </c>
      <c r="F39" s="214">
        <f>6894*4</f>
        <v>27576</v>
      </c>
      <c r="G39" s="214">
        <f t="shared" si="2"/>
        <v>7736</v>
      </c>
      <c r="H39" s="214">
        <f t="shared" si="1"/>
        <v>35.311999999999998</v>
      </c>
      <c r="L39" s="214">
        <v>1987</v>
      </c>
      <c r="M39" s="214">
        <v>2381</v>
      </c>
    </row>
    <row r="40" spans="1:13" x14ac:dyDescent="0.25">
      <c r="A40" s="214">
        <v>1988</v>
      </c>
      <c r="B40" s="214">
        <f>5701*4</f>
        <v>22804</v>
      </c>
      <c r="C40" s="214">
        <f>2494*4</f>
        <v>9976</v>
      </c>
      <c r="D40" s="214">
        <f t="shared" si="0"/>
        <v>32.78</v>
      </c>
      <c r="F40" s="214">
        <f>6894*4</f>
        <v>27576</v>
      </c>
      <c r="G40" s="214">
        <f t="shared" si="2"/>
        <v>7736</v>
      </c>
      <c r="H40" s="214">
        <f t="shared" si="1"/>
        <v>35.311999999999998</v>
      </c>
      <c r="L40" s="214">
        <v>1988</v>
      </c>
      <c r="M40" s="214">
        <v>2381</v>
      </c>
    </row>
    <row r="41" spans="1:13" x14ac:dyDescent="0.25">
      <c r="A41" s="214">
        <v>1989</v>
      </c>
      <c r="B41" s="214">
        <f>5760*4</f>
        <v>23040</v>
      </c>
      <c r="C41" s="214">
        <f>2500*4</f>
        <v>10000</v>
      </c>
      <c r="D41" s="214">
        <f t="shared" si="0"/>
        <v>33.04</v>
      </c>
      <c r="F41" s="214">
        <f>6894*4</f>
        <v>27576</v>
      </c>
      <c r="G41" s="214">
        <f t="shared" si="2"/>
        <v>7736</v>
      </c>
      <c r="H41" s="214">
        <f t="shared" si="1"/>
        <v>35.311999999999998</v>
      </c>
      <c r="L41" s="214">
        <v>1989</v>
      </c>
      <c r="M41" s="214">
        <v>2381</v>
      </c>
    </row>
    <row r="42" spans="1:13" x14ac:dyDescent="0.25">
      <c r="A42" s="214">
        <v>1990</v>
      </c>
      <c r="B42" s="214">
        <f>6163*4</f>
        <v>24652</v>
      </c>
      <c r="C42" s="214">
        <f>2811*4</f>
        <v>11244</v>
      </c>
      <c r="D42" s="214">
        <f t="shared" si="0"/>
        <v>35.896000000000001</v>
      </c>
      <c r="F42" s="214">
        <f>7879*4</f>
        <v>31516</v>
      </c>
      <c r="G42" s="214">
        <f>2210*4</f>
        <v>8840</v>
      </c>
      <c r="H42" s="214">
        <f t="shared" si="1"/>
        <v>40.356000000000002</v>
      </c>
      <c r="L42" s="214">
        <v>1990</v>
      </c>
      <c r="M42" s="214">
        <v>2722</v>
      </c>
    </row>
    <row r="43" spans="1:13" x14ac:dyDescent="0.25">
      <c r="A43" s="214">
        <v>1991</v>
      </c>
      <c r="B43" s="214">
        <f>6268*4</f>
        <v>25072</v>
      </c>
      <c r="C43" s="214">
        <f>2823*4</f>
        <v>11292</v>
      </c>
      <c r="D43" s="214">
        <f t="shared" si="0"/>
        <v>36.363999999999997</v>
      </c>
      <c r="F43" s="214">
        <f>7879*4</f>
        <v>31516</v>
      </c>
      <c r="G43" s="214">
        <f t="shared" ref="G43:G46" si="3">2210*4</f>
        <v>8840</v>
      </c>
      <c r="H43" s="214">
        <f t="shared" si="1"/>
        <v>40.356000000000002</v>
      </c>
      <c r="L43" s="214">
        <v>1991</v>
      </c>
      <c r="M43" s="214">
        <v>2722</v>
      </c>
    </row>
    <row r="44" spans="1:13" x14ac:dyDescent="0.25">
      <c r="A44" s="214">
        <v>1992</v>
      </c>
      <c r="B44" s="214">
        <f>6373*4</f>
        <v>25492</v>
      </c>
      <c r="C44" s="214">
        <f>2834*4</f>
        <v>11336</v>
      </c>
      <c r="D44" s="214">
        <f t="shared" si="0"/>
        <v>36.828000000000003</v>
      </c>
      <c r="F44" s="214">
        <f>7879*4</f>
        <v>31516</v>
      </c>
      <c r="G44" s="214">
        <f t="shared" si="3"/>
        <v>8840</v>
      </c>
      <c r="H44" s="214">
        <f t="shared" si="1"/>
        <v>40.356000000000002</v>
      </c>
      <c r="L44" s="214">
        <v>1992</v>
      </c>
      <c r="M44" s="214">
        <v>2722</v>
      </c>
    </row>
    <row r="45" spans="1:13" x14ac:dyDescent="0.25">
      <c r="A45" s="214">
        <v>1993</v>
      </c>
      <c r="B45" s="214">
        <f>6478*4</f>
        <v>25912</v>
      </c>
      <c r="C45" s="214">
        <f>2846*4</f>
        <v>11384</v>
      </c>
      <c r="D45" s="214">
        <f t="shared" si="0"/>
        <v>37.295999999999999</v>
      </c>
      <c r="F45" s="214">
        <f>7879*4</f>
        <v>31516</v>
      </c>
      <c r="G45" s="214">
        <f t="shared" si="3"/>
        <v>8840</v>
      </c>
      <c r="H45" s="214">
        <f t="shared" si="1"/>
        <v>40.356000000000002</v>
      </c>
      <c r="L45" s="214">
        <v>1993</v>
      </c>
      <c r="M45" s="214">
        <v>2722</v>
      </c>
    </row>
    <row r="46" spans="1:13" x14ac:dyDescent="0.25">
      <c r="A46" s="214">
        <v>1994</v>
      </c>
      <c r="B46" s="214">
        <f>6582*4</f>
        <v>26328</v>
      </c>
      <c r="C46" s="214">
        <f>2858*4</f>
        <v>11432</v>
      </c>
      <c r="D46" s="214">
        <f t="shared" si="0"/>
        <v>37.76</v>
      </c>
      <c r="F46" s="214">
        <f>7879*4</f>
        <v>31516</v>
      </c>
      <c r="G46" s="214">
        <f t="shared" si="3"/>
        <v>8840</v>
      </c>
      <c r="H46" s="214">
        <f t="shared" si="1"/>
        <v>40.356000000000002</v>
      </c>
      <c r="L46" s="214">
        <v>1994</v>
      </c>
      <c r="M46" s="214">
        <v>2722</v>
      </c>
    </row>
    <row r="47" spans="1:13" x14ac:dyDescent="0.25">
      <c r="A47" s="214">
        <v>1995</v>
      </c>
      <c r="B47" s="214">
        <f>7659*4</f>
        <v>30636</v>
      </c>
      <c r="C47" s="214">
        <f>3686*4</f>
        <v>14744</v>
      </c>
      <c r="D47" s="214">
        <f t="shared" si="0"/>
        <v>45.38</v>
      </c>
      <c r="F47" s="214">
        <f>10505*4</f>
        <v>42020</v>
      </c>
      <c r="G47" s="214">
        <f>2947*4</f>
        <v>11788</v>
      </c>
      <c r="H47" s="214">
        <f t="shared" si="1"/>
        <v>53.808</v>
      </c>
      <c r="L47" s="214">
        <v>1995</v>
      </c>
      <c r="M47" s="214">
        <v>3629</v>
      </c>
    </row>
    <row r="48" spans="1:13" x14ac:dyDescent="0.25">
      <c r="A48" s="214">
        <v>1996</v>
      </c>
      <c r="B48" s="214">
        <f>7938*4</f>
        <v>31752</v>
      </c>
      <c r="C48" s="214">
        <f>3717*4</f>
        <v>14868</v>
      </c>
      <c r="D48" s="214">
        <f t="shared" si="0"/>
        <v>46.62</v>
      </c>
      <c r="F48" s="214">
        <f>10505*4</f>
        <v>42020</v>
      </c>
      <c r="G48" s="214">
        <f t="shared" ref="G48:G49" si="4">2947*4</f>
        <v>11788</v>
      </c>
      <c r="H48" s="214">
        <f t="shared" si="1"/>
        <v>53.808</v>
      </c>
      <c r="L48" s="214">
        <v>1996</v>
      </c>
      <c r="M48" s="214">
        <v>3629</v>
      </c>
    </row>
    <row r="49" spans="1:14" x14ac:dyDescent="0.25">
      <c r="A49" s="214">
        <v>1997</v>
      </c>
      <c r="B49" s="214">
        <f>8218*4</f>
        <v>32872</v>
      </c>
      <c r="C49" s="214">
        <f>3748*4</f>
        <v>14992</v>
      </c>
      <c r="D49" s="214">
        <f t="shared" si="0"/>
        <v>47.863999999999997</v>
      </c>
      <c r="F49" s="214">
        <f>10505*4</f>
        <v>42020</v>
      </c>
      <c r="G49" s="214">
        <f t="shared" si="4"/>
        <v>11788</v>
      </c>
      <c r="H49" s="214">
        <f t="shared" si="1"/>
        <v>53.808</v>
      </c>
      <c r="L49" s="214">
        <v>1997</v>
      </c>
      <c r="M49" s="214">
        <v>3629</v>
      </c>
    </row>
    <row r="50" spans="1:14" x14ac:dyDescent="0.25">
      <c r="A50" s="214">
        <v>1998</v>
      </c>
      <c r="B50" s="214">
        <f>7221*4</f>
        <v>28884</v>
      </c>
      <c r="C50" s="214">
        <f>2503*4</f>
        <v>10012</v>
      </c>
      <c r="D50" s="214">
        <f t="shared" si="0"/>
        <v>38.896000000000001</v>
      </c>
      <c r="F50" s="214">
        <f>9504*4</f>
        <v>38016</v>
      </c>
      <c r="G50" s="214">
        <f>1946*4</f>
        <v>7784</v>
      </c>
      <c r="H50" s="214">
        <f t="shared" si="1"/>
        <v>45.8</v>
      </c>
      <c r="L50" s="214">
        <v>1998</v>
      </c>
      <c r="M50" s="214">
        <v>3629</v>
      </c>
    </row>
    <row r="51" spans="1:14" x14ac:dyDescent="0.25">
      <c r="A51" s="214">
        <v>1999</v>
      </c>
      <c r="B51" s="214">
        <f>7501*4</f>
        <v>30004</v>
      </c>
      <c r="C51" s="214">
        <f>2534*4</f>
        <v>10136</v>
      </c>
      <c r="D51" s="214">
        <f t="shared" si="0"/>
        <v>40.14</v>
      </c>
      <c r="F51" s="214">
        <f>9504*4</f>
        <v>38016</v>
      </c>
      <c r="G51" s="214">
        <f>1946*4</f>
        <v>7784</v>
      </c>
      <c r="H51" s="214">
        <f t="shared" si="1"/>
        <v>45.8</v>
      </c>
      <c r="L51" s="214">
        <v>1999</v>
      </c>
      <c r="M51" s="214">
        <v>3629</v>
      </c>
    </row>
    <row r="52" spans="1:14" x14ac:dyDescent="0.25">
      <c r="A52" s="214">
        <v>2000</v>
      </c>
      <c r="B52" s="214">
        <f>8118*4</f>
        <v>32472</v>
      </c>
      <c r="C52" s="214">
        <f>2950*4</f>
        <v>11800</v>
      </c>
      <c r="D52" s="214">
        <f t="shared" si="0"/>
        <v>44.271999999999998</v>
      </c>
      <c r="F52" s="214">
        <f>11440*4</f>
        <v>45760</v>
      </c>
      <c r="G52" s="214">
        <f>2343*4</f>
        <v>9372</v>
      </c>
      <c r="H52" s="214">
        <f t="shared" si="1"/>
        <v>55.131999999999998</v>
      </c>
      <c r="L52" s="214">
        <v>2000</v>
      </c>
      <c r="M52" s="214">
        <v>4368</v>
      </c>
    </row>
    <row r="53" spans="1:14" x14ac:dyDescent="0.25">
      <c r="A53" s="214">
        <v>2001</v>
      </c>
      <c r="B53" s="214">
        <f>4880*4</f>
        <v>19520</v>
      </c>
      <c r="C53" s="214">
        <f>644*4</f>
        <v>2576</v>
      </c>
      <c r="D53" s="214">
        <f t="shared" si="0"/>
        <v>22.096</v>
      </c>
      <c r="F53" s="214">
        <f>571*4</f>
        <v>2284</v>
      </c>
      <c r="G53" s="214">
        <f>117*4</f>
        <v>468</v>
      </c>
      <c r="H53" s="214">
        <f t="shared" si="1"/>
        <v>2.7519999999999998</v>
      </c>
      <c r="L53" s="214">
        <v>2001</v>
      </c>
      <c r="M53" s="214">
        <v>218</v>
      </c>
    </row>
    <row r="54" spans="1:14" x14ac:dyDescent="0.25">
      <c r="A54" s="214">
        <v>2002</v>
      </c>
      <c r="B54" s="214">
        <f>3774*4</f>
        <v>15096</v>
      </c>
      <c r="C54" s="214">
        <f>490*4</f>
        <v>1960</v>
      </c>
      <c r="D54" s="214">
        <f t="shared" si="0"/>
        <v>17.056000000000001</v>
      </c>
      <c r="F54" s="214">
        <f>397*4</f>
        <v>1588</v>
      </c>
      <c r="G54" s="214">
        <f>81*4</f>
        <v>324</v>
      </c>
      <c r="H54" s="214">
        <f t="shared" si="1"/>
        <v>1.9119999999999999</v>
      </c>
      <c r="L54" s="214">
        <v>2002</v>
      </c>
      <c r="M54" s="214">
        <v>151</v>
      </c>
    </row>
    <row r="55" spans="1:14" x14ac:dyDescent="0.25">
      <c r="A55" s="214">
        <v>2003</v>
      </c>
      <c r="B55" s="214">
        <f>2615*4</f>
        <v>10460</v>
      </c>
      <c r="C55" s="214">
        <f>314*4</f>
        <v>1256</v>
      </c>
      <c r="D55" s="214">
        <f t="shared" si="0"/>
        <v>11.715999999999999</v>
      </c>
      <c r="F55" s="214">
        <f>5025*4</f>
        <v>20100</v>
      </c>
      <c r="G55" s="214">
        <f>585*4</f>
        <v>2340</v>
      </c>
      <c r="H55" s="214">
        <f t="shared" si="1"/>
        <v>22.44</v>
      </c>
      <c r="L55" s="214">
        <v>2003</v>
      </c>
      <c r="M55" s="214">
        <v>50</v>
      </c>
      <c r="N55" s="214">
        <v>160</v>
      </c>
    </row>
    <row r="56" spans="1:14" x14ac:dyDescent="0.25">
      <c r="A56" s="214">
        <v>2004</v>
      </c>
      <c r="B56" s="214">
        <f>1546*4</f>
        <v>6184</v>
      </c>
      <c r="C56" s="214">
        <f>219*4</f>
        <v>876</v>
      </c>
      <c r="D56" s="214">
        <f t="shared" si="0"/>
        <v>7.06</v>
      </c>
      <c r="F56" s="214">
        <f>6509*4</f>
        <v>26036</v>
      </c>
      <c r="G56" s="214">
        <f>762*4</f>
        <v>3048</v>
      </c>
      <c r="H56" s="214">
        <f t="shared" si="1"/>
        <v>29.084</v>
      </c>
      <c r="L56" s="214">
        <v>2004</v>
      </c>
      <c r="M56" s="214">
        <v>50</v>
      </c>
      <c r="N56" s="214">
        <v>160</v>
      </c>
    </row>
    <row r="57" spans="1:14" x14ac:dyDescent="0.25">
      <c r="A57" s="214">
        <v>2005</v>
      </c>
      <c r="B57" s="214">
        <f>252*4</f>
        <v>1008</v>
      </c>
      <c r="C57" s="214">
        <f>94*4</f>
        <v>376</v>
      </c>
      <c r="D57" s="214">
        <f t="shared" si="0"/>
        <v>1.3839999999999999</v>
      </c>
      <c r="F57" s="214">
        <f t="shared" ref="F57:F61" si="5">7696*4</f>
        <v>30784</v>
      </c>
      <c r="G57" s="214">
        <f>904*4</f>
        <v>3616</v>
      </c>
      <c r="H57" s="214">
        <f t="shared" si="1"/>
        <v>34.4</v>
      </c>
      <c r="L57" s="214">
        <v>2005</v>
      </c>
      <c r="M57" s="214">
        <v>73</v>
      </c>
      <c r="N57" s="214">
        <v>162</v>
      </c>
    </row>
    <row r="58" spans="1:14" x14ac:dyDescent="0.25">
      <c r="A58" s="214">
        <v>2006</v>
      </c>
      <c r="B58" s="214">
        <f>214*4</f>
        <v>856</v>
      </c>
      <c r="C58" s="214">
        <f>89*4</f>
        <v>356</v>
      </c>
      <c r="D58" s="214">
        <f t="shared" si="0"/>
        <v>1.212</v>
      </c>
      <c r="F58" s="214">
        <f t="shared" si="5"/>
        <v>30784</v>
      </c>
      <c r="G58" s="214">
        <f t="shared" ref="G58:G62" si="6">904*4</f>
        <v>3616</v>
      </c>
      <c r="H58" s="214">
        <f t="shared" si="1"/>
        <v>34.4</v>
      </c>
      <c r="L58" s="214">
        <v>2006</v>
      </c>
      <c r="M58" s="214">
        <v>50</v>
      </c>
      <c r="N58" s="214">
        <v>100</v>
      </c>
    </row>
    <row r="59" spans="1:14" x14ac:dyDescent="0.25">
      <c r="A59" s="214">
        <v>2007</v>
      </c>
      <c r="B59" s="214">
        <f>197*4</f>
        <v>788</v>
      </c>
      <c r="C59" s="214">
        <f>88*4</f>
        <v>352</v>
      </c>
      <c r="D59" s="214">
        <f t="shared" si="0"/>
        <v>1.1399999999999999</v>
      </c>
      <c r="F59" s="214">
        <f t="shared" si="5"/>
        <v>30784</v>
      </c>
      <c r="G59" s="214">
        <f t="shared" si="6"/>
        <v>3616</v>
      </c>
      <c r="H59" s="214">
        <f t="shared" si="1"/>
        <v>34.4</v>
      </c>
      <c r="L59" s="214">
        <v>2007</v>
      </c>
      <c r="M59" s="214">
        <v>25</v>
      </c>
      <c r="N59" s="214">
        <v>50</v>
      </c>
    </row>
    <row r="60" spans="1:14" x14ac:dyDescent="0.25">
      <c r="A60" s="214">
        <v>2008</v>
      </c>
      <c r="B60" s="214">
        <f>214*4</f>
        <v>856</v>
      </c>
      <c r="C60" s="214">
        <f>89*4</f>
        <v>356</v>
      </c>
      <c r="D60" s="214">
        <f t="shared" si="0"/>
        <v>1.212</v>
      </c>
      <c r="F60" s="214">
        <f t="shared" si="5"/>
        <v>30784</v>
      </c>
      <c r="G60" s="214">
        <f t="shared" si="6"/>
        <v>3616</v>
      </c>
      <c r="H60" s="214">
        <f t="shared" si="1"/>
        <v>34.4</v>
      </c>
      <c r="L60" s="214">
        <v>2008</v>
      </c>
      <c r="M60" s="214">
        <v>0</v>
      </c>
      <c r="N60" s="214">
        <v>0</v>
      </c>
    </row>
    <row r="61" spans="1:14" x14ac:dyDescent="0.25">
      <c r="A61" s="214">
        <v>2009</v>
      </c>
      <c r="B61" s="214">
        <f>221*4</f>
        <v>884</v>
      </c>
      <c r="C61" s="214">
        <f>90*4</f>
        <v>360</v>
      </c>
      <c r="D61" s="214">
        <f t="shared" si="0"/>
        <v>1.244</v>
      </c>
      <c r="F61" s="214">
        <f t="shared" si="5"/>
        <v>30784</v>
      </c>
      <c r="G61" s="214">
        <f t="shared" si="6"/>
        <v>3616</v>
      </c>
      <c r="H61" s="214">
        <f t="shared" si="1"/>
        <v>34.4</v>
      </c>
      <c r="L61" s="214">
        <v>2009</v>
      </c>
      <c r="M61" s="214">
        <v>0</v>
      </c>
      <c r="N61" s="214">
        <v>0</v>
      </c>
    </row>
    <row r="62" spans="1:14" x14ac:dyDescent="0.25">
      <c r="A62" s="214">
        <v>2010</v>
      </c>
      <c r="B62" s="214">
        <f>221*4</f>
        <v>884</v>
      </c>
      <c r="C62" s="214">
        <f>90*4</f>
        <v>360</v>
      </c>
      <c r="D62" s="214">
        <f t="shared" si="0"/>
        <v>1.244</v>
      </c>
      <c r="F62" s="214">
        <f>7696*4</f>
        <v>30784</v>
      </c>
      <c r="G62" s="214">
        <f t="shared" si="6"/>
        <v>3616</v>
      </c>
      <c r="H62" s="214">
        <f t="shared" si="1"/>
        <v>34.4</v>
      </c>
      <c r="L62" s="214">
        <v>2010</v>
      </c>
      <c r="M62" s="214">
        <v>0</v>
      </c>
      <c r="N62" s="214">
        <v>0</v>
      </c>
    </row>
    <row r="63" spans="1:14" x14ac:dyDescent="0.25">
      <c r="L63" s="214">
        <v>2011</v>
      </c>
      <c r="M63" s="214">
        <v>0</v>
      </c>
      <c r="N63" s="214">
        <v>0</v>
      </c>
    </row>
    <row r="64" spans="1:14" x14ac:dyDescent="0.25">
      <c r="L64" s="214">
        <v>2012</v>
      </c>
      <c r="M64" s="214">
        <v>0</v>
      </c>
      <c r="N64" s="214">
        <v>0</v>
      </c>
    </row>
    <row r="65" spans="12:14" x14ac:dyDescent="0.25">
      <c r="L65" s="214">
        <v>2013</v>
      </c>
      <c r="M65" s="214">
        <v>0</v>
      </c>
      <c r="N65" s="214">
        <v>0</v>
      </c>
    </row>
    <row r="66" spans="12:14" x14ac:dyDescent="0.25">
      <c r="L66" s="214">
        <v>2014</v>
      </c>
      <c r="M66" s="214">
        <v>0</v>
      </c>
      <c r="N66" s="214">
        <v>0</v>
      </c>
    </row>
    <row r="67" spans="12:14" x14ac:dyDescent="0.25">
      <c r="L67" s="214">
        <v>2015</v>
      </c>
      <c r="M67" s="214">
        <v>0</v>
      </c>
      <c r="N67" s="214">
        <v>0</v>
      </c>
    </row>
  </sheetData>
  <mergeCells count="4">
    <mergeCell ref="B6:D6"/>
    <mergeCell ref="F6:H6"/>
    <mergeCell ref="B4:H4"/>
    <mergeCell ref="L6:M6"/>
  </mergeCells>
  <pageMargins left="0.75" right="0.75" top="1" bottom="1" header="0.5" footer="0.5"/>
  <pageSetup paperSize="9" orientation="landscape" horizontalDpi="4294967292" verticalDpi="429496729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workbookViewId="0">
      <selection activeCell="J49" sqref="J49"/>
    </sheetView>
  </sheetViews>
  <sheetFormatPr baseColWidth="10" defaultColWidth="10.83203125" defaultRowHeight="18" x14ac:dyDescent="0.25"/>
  <cols>
    <col min="1" max="1" width="13.1640625" style="1" customWidth="1"/>
    <col min="2" max="16384" width="10.83203125" style="1"/>
  </cols>
  <sheetData>
    <row r="1" spans="1:18" x14ac:dyDescent="0.25">
      <c r="A1" s="1" t="s">
        <v>397</v>
      </c>
    </row>
    <row r="3" spans="1:18" ht="19" thickBot="1" x14ac:dyDescent="0.3"/>
    <row r="4" spans="1:18" x14ac:dyDescent="0.25">
      <c r="A4" s="1274" t="s">
        <v>1</v>
      </c>
      <c r="B4" s="1349" t="s">
        <v>13</v>
      </c>
      <c r="C4" s="1350"/>
      <c r="D4" s="1350"/>
      <c r="E4" s="1350"/>
      <c r="F4" s="1350"/>
      <c r="G4" s="1351"/>
      <c r="H4" s="1349" t="s">
        <v>704</v>
      </c>
      <c r="I4" s="1350"/>
      <c r="J4" s="1350"/>
      <c r="K4" s="1350"/>
      <c r="L4" s="1350"/>
      <c r="M4" s="1351"/>
    </row>
    <row r="5" spans="1:18" x14ac:dyDescent="0.25">
      <c r="A5" s="1150"/>
      <c r="B5" s="1193" t="s">
        <v>2</v>
      </c>
      <c r="C5" s="1149"/>
      <c r="D5" s="1149" t="s">
        <v>11</v>
      </c>
      <c r="E5" s="1149"/>
      <c r="F5" s="1149" t="s">
        <v>14</v>
      </c>
      <c r="G5" s="1149"/>
      <c r="H5" s="1193" t="s">
        <v>2</v>
      </c>
      <c r="I5" s="1149"/>
      <c r="J5" s="1149" t="s">
        <v>11</v>
      </c>
      <c r="K5" s="1149"/>
      <c r="L5" s="1149" t="s">
        <v>14</v>
      </c>
      <c r="M5" s="1149"/>
    </row>
    <row r="6" spans="1:18" x14ac:dyDescent="0.25">
      <c r="A6" s="1150"/>
      <c r="B6" s="1193"/>
      <c r="C6" s="1149"/>
      <c r="D6" s="1149"/>
      <c r="E6" s="1149"/>
      <c r="F6" s="1149"/>
      <c r="G6" s="1149"/>
      <c r="H6" s="1193"/>
      <c r="I6" s="1149"/>
      <c r="J6" s="1149"/>
      <c r="K6" s="1149"/>
      <c r="L6" s="1149"/>
      <c r="M6" s="1149"/>
    </row>
    <row r="7" spans="1:18" x14ac:dyDescent="0.25">
      <c r="A7" s="1275"/>
      <c r="B7" s="7" t="s">
        <v>41</v>
      </c>
      <c r="C7" s="8" t="s">
        <v>42</v>
      </c>
      <c r="D7" s="8" t="s">
        <v>41</v>
      </c>
      <c r="E7" s="8" t="s">
        <v>42</v>
      </c>
      <c r="F7" s="8" t="s">
        <v>41</v>
      </c>
      <c r="G7" s="8" t="s">
        <v>42</v>
      </c>
      <c r="H7" s="7" t="s">
        <v>41</v>
      </c>
      <c r="I7" s="8" t="s">
        <v>42</v>
      </c>
      <c r="J7" s="8" t="s">
        <v>41</v>
      </c>
      <c r="K7" s="8" t="s">
        <v>42</v>
      </c>
      <c r="L7" s="8" t="s">
        <v>41</v>
      </c>
      <c r="M7" s="8" t="s">
        <v>42</v>
      </c>
    </row>
    <row r="8" spans="1:18" x14ac:dyDescent="0.25">
      <c r="A8" s="1236" t="s">
        <v>36</v>
      </c>
      <c r="B8" s="1239" t="s">
        <v>3</v>
      </c>
      <c r="C8" s="1217"/>
      <c r="D8" s="1217"/>
      <c r="E8" s="1217"/>
      <c r="F8" s="1217"/>
      <c r="G8" s="1236"/>
      <c r="H8" s="1239" t="s">
        <v>3</v>
      </c>
      <c r="I8" s="1217"/>
      <c r="J8" s="1217"/>
      <c r="K8" s="1217"/>
      <c r="L8" s="1217"/>
      <c r="M8" s="1236"/>
      <c r="Q8" s="221"/>
      <c r="R8" s="221"/>
    </row>
    <row r="9" spans="1:18" x14ac:dyDescent="0.25">
      <c r="A9" s="1279"/>
      <c r="B9" s="1249"/>
      <c r="C9" s="1219"/>
      <c r="D9" s="1219"/>
      <c r="E9" s="1219"/>
      <c r="F9" s="1219"/>
      <c r="G9" s="1279"/>
      <c r="H9" s="1249"/>
      <c r="I9" s="1219"/>
      <c r="J9" s="1219"/>
      <c r="K9" s="1219"/>
      <c r="L9" s="1219"/>
      <c r="M9" s="1279"/>
    </row>
    <row r="10" spans="1:18" x14ac:dyDescent="0.25">
      <c r="A10" s="18">
        <v>1958</v>
      </c>
      <c r="B10" s="1271">
        <v>26</v>
      </c>
      <c r="C10" s="1224"/>
      <c r="D10" s="201"/>
      <c r="E10" s="201"/>
      <c r="F10" s="1224">
        <f t="shared" ref="F10:G56" si="0">B10+D10</f>
        <v>26</v>
      </c>
      <c r="G10" s="1228"/>
      <c r="H10" s="1256">
        <v>0</v>
      </c>
      <c r="I10" s="1254"/>
      <c r="J10" s="238"/>
      <c r="K10" s="238"/>
      <c r="L10" s="1234">
        <f>H10+J10</f>
        <v>0</v>
      </c>
      <c r="M10" s="1228"/>
      <c r="R10" s="107"/>
    </row>
    <row r="11" spans="1:18" x14ac:dyDescent="0.25">
      <c r="A11" s="18">
        <v>1959</v>
      </c>
      <c r="B11" s="1271">
        <v>53</v>
      </c>
      <c r="C11" s="1224"/>
      <c r="D11" s="201"/>
      <c r="E11" s="201"/>
      <c r="F11" s="1224">
        <f t="shared" si="0"/>
        <v>53</v>
      </c>
      <c r="G11" s="1228"/>
      <c r="H11" s="1235">
        <v>0</v>
      </c>
      <c r="I11" s="1234"/>
      <c r="J11" s="238"/>
      <c r="K11" s="238"/>
      <c r="L11" s="1234">
        <f>H11+J11</f>
        <v>0</v>
      </c>
      <c r="M11" s="1228"/>
      <c r="R11" s="107"/>
    </row>
    <row r="12" spans="1:18" x14ac:dyDescent="0.25">
      <c r="A12" s="18">
        <v>1960</v>
      </c>
      <c r="B12" s="1271">
        <v>79</v>
      </c>
      <c r="C12" s="1224"/>
      <c r="D12" s="201"/>
      <c r="E12" s="201"/>
      <c r="F12" s="1224">
        <f t="shared" si="0"/>
        <v>79</v>
      </c>
      <c r="G12" s="1228"/>
      <c r="H12" s="1235">
        <v>0</v>
      </c>
      <c r="I12" s="1234"/>
      <c r="J12" s="238"/>
      <c r="K12" s="238"/>
      <c r="L12" s="1234">
        <f t="shared" ref="L12:L54" si="1">H12+J12</f>
        <v>0</v>
      </c>
      <c r="M12" s="1228"/>
      <c r="R12" s="107"/>
    </row>
    <row r="13" spans="1:18" x14ac:dyDescent="0.25">
      <c r="A13" s="18">
        <v>1961</v>
      </c>
      <c r="B13" s="1271">
        <v>106</v>
      </c>
      <c r="C13" s="1224"/>
      <c r="D13" s="201"/>
      <c r="E13" s="201"/>
      <c r="F13" s="1224">
        <f t="shared" si="0"/>
        <v>106</v>
      </c>
      <c r="G13" s="1228"/>
      <c r="H13" s="1235">
        <v>0</v>
      </c>
      <c r="I13" s="1234"/>
      <c r="J13" s="238"/>
      <c r="K13" s="238"/>
      <c r="L13" s="1234">
        <f t="shared" si="1"/>
        <v>0</v>
      </c>
      <c r="M13" s="1228"/>
      <c r="R13" s="107"/>
    </row>
    <row r="14" spans="1:18" x14ac:dyDescent="0.25">
      <c r="A14" s="18">
        <v>1962</v>
      </c>
      <c r="B14" s="1271">
        <v>132</v>
      </c>
      <c r="C14" s="1224"/>
      <c r="D14" s="201"/>
      <c r="E14" s="201"/>
      <c r="F14" s="1224">
        <f t="shared" si="0"/>
        <v>132</v>
      </c>
      <c r="G14" s="1228"/>
      <c r="H14" s="1235">
        <v>0</v>
      </c>
      <c r="I14" s="1234"/>
      <c r="J14" s="238"/>
      <c r="K14" s="238"/>
      <c r="L14" s="1234">
        <f t="shared" si="1"/>
        <v>0</v>
      </c>
      <c r="M14" s="1228"/>
      <c r="R14" s="107"/>
    </row>
    <row r="15" spans="1:18" x14ac:dyDescent="0.25">
      <c r="A15" s="18">
        <v>1963</v>
      </c>
      <c r="B15" s="1271">
        <v>159</v>
      </c>
      <c r="C15" s="1224"/>
      <c r="D15" s="201"/>
      <c r="E15" s="201"/>
      <c r="F15" s="1224">
        <f t="shared" si="0"/>
        <v>159</v>
      </c>
      <c r="G15" s="1228"/>
      <c r="H15" s="1235">
        <v>0</v>
      </c>
      <c r="I15" s="1234"/>
      <c r="J15" s="238"/>
      <c r="K15" s="238"/>
      <c r="L15" s="1234">
        <f t="shared" si="1"/>
        <v>0</v>
      </c>
      <c r="M15" s="1228"/>
      <c r="R15" s="107"/>
    </row>
    <row r="16" spans="1:18" x14ac:dyDescent="0.25">
      <c r="A16" s="18">
        <v>1964</v>
      </c>
      <c r="B16" s="1271">
        <v>185</v>
      </c>
      <c r="C16" s="1224"/>
      <c r="D16" s="201"/>
      <c r="E16" s="201"/>
      <c r="F16" s="1224">
        <f t="shared" si="0"/>
        <v>185</v>
      </c>
      <c r="G16" s="1228"/>
      <c r="H16" s="1235">
        <v>0</v>
      </c>
      <c r="I16" s="1234"/>
      <c r="J16" s="238"/>
      <c r="K16" s="238"/>
      <c r="L16" s="1234">
        <f t="shared" si="1"/>
        <v>0</v>
      </c>
      <c r="M16" s="1228"/>
      <c r="R16" s="107"/>
    </row>
    <row r="17" spans="1:18" x14ac:dyDescent="0.25">
      <c r="A17" s="18">
        <v>1965</v>
      </c>
      <c r="B17" s="1271">
        <v>212</v>
      </c>
      <c r="C17" s="1224"/>
      <c r="D17" s="201"/>
      <c r="E17" s="201"/>
      <c r="F17" s="1224">
        <f t="shared" si="0"/>
        <v>212</v>
      </c>
      <c r="G17" s="1228"/>
      <c r="H17" s="1235">
        <v>0</v>
      </c>
      <c r="I17" s="1234"/>
      <c r="J17" s="238"/>
      <c r="K17" s="238"/>
      <c r="L17" s="1234">
        <f t="shared" si="1"/>
        <v>0</v>
      </c>
      <c r="M17" s="1228"/>
      <c r="R17" s="107"/>
    </row>
    <row r="18" spans="1:18" x14ac:dyDescent="0.25">
      <c r="A18" s="18">
        <v>1966</v>
      </c>
      <c r="B18" s="1271">
        <v>238</v>
      </c>
      <c r="C18" s="1224"/>
      <c r="D18" s="201"/>
      <c r="E18" s="201"/>
      <c r="F18" s="1224">
        <f t="shared" si="0"/>
        <v>238</v>
      </c>
      <c r="G18" s="1228"/>
      <c r="H18" s="1235">
        <v>0</v>
      </c>
      <c r="I18" s="1234"/>
      <c r="J18" s="238"/>
      <c r="K18" s="238"/>
      <c r="L18" s="1234">
        <f t="shared" si="1"/>
        <v>0</v>
      </c>
      <c r="M18" s="1228"/>
      <c r="R18" s="107"/>
    </row>
    <row r="19" spans="1:18" x14ac:dyDescent="0.25">
      <c r="A19" s="18">
        <v>1967</v>
      </c>
      <c r="B19" s="1271">
        <v>265</v>
      </c>
      <c r="C19" s="1224"/>
      <c r="D19" s="201"/>
      <c r="E19" s="201"/>
      <c r="F19" s="1224">
        <f t="shared" si="0"/>
        <v>265</v>
      </c>
      <c r="G19" s="1228"/>
      <c r="H19" s="1235">
        <v>0</v>
      </c>
      <c r="I19" s="1234"/>
      <c r="J19" s="238"/>
      <c r="K19" s="238"/>
      <c r="L19" s="1234">
        <f t="shared" si="1"/>
        <v>0</v>
      </c>
      <c r="M19" s="1228"/>
      <c r="R19" s="107"/>
    </row>
    <row r="20" spans="1:18" x14ac:dyDescent="0.25">
      <c r="A20" s="18">
        <v>1968</v>
      </c>
      <c r="B20" s="1271">
        <v>291</v>
      </c>
      <c r="C20" s="1224"/>
      <c r="D20" s="201"/>
      <c r="E20" s="201"/>
      <c r="F20" s="1224">
        <f t="shared" si="0"/>
        <v>291</v>
      </c>
      <c r="G20" s="1228"/>
      <c r="H20" s="1235">
        <v>0</v>
      </c>
      <c r="I20" s="1234"/>
      <c r="J20" s="238"/>
      <c r="K20" s="238"/>
      <c r="L20" s="1234">
        <f t="shared" si="1"/>
        <v>0</v>
      </c>
      <c r="M20" s="1228"/>
      <c r="R20" s="107"/>
    </row>
    <row r="21" spans="1:18" x14ac:dyDescent="0.25">
      <c r="A21" s="18">
        <v>1969</v>
      </c>
      <c r="B21" s="1271">
        <v>318</v>
      </c>
      <c r="C21" s="1224"/>
      <c r="D21" s="201"/>
      <c r="E21" s="201"/>
      <c r="F21" s="1224">
        <f t="shared" si="0"/>
        <v>318</v>
      </c>
      <c r="G21" s="1228"/>
      <c r="H21" s="1235">
        <v>0</v>
      </c>
      <c r="I21" s="1234"/>
      <c r="J21" s="238"/>
      <c r="K21" s="238"/>
      <c r="L21" s="1234">
        <f t="shared" si="1"/>
        <v>0</v>
      </c>
      <c r="M21" s="1228"/>
      <c r="R21" s="107"/>
    </row>
    <row r="22" spans="1:18" x14ac:dyDescent="0.25">
      <c r="A22" s="18">
        <v>1970</v>
      </c>
      <c r="B22" s="1271">
        <v>344</v>
      </c>
      <c r="C22" s="1224"/>
      <c r="D22" s="201"/>
      <c r="E22" s="201"/>
      <c r="F22" s="1224">
        <f t="shared" si="0"/>
        <v>344</v>
      </c>
      <c r="G22" s="1228"/>
      <c r="H22" s="1235">
        <f t="shared" ref="H22:H48" si="2">B22/B$49*H$49</f>
        <v>43.035546982639843</v>
      </c>
      <c r="I22" s="1234"/>
      <c r="J22" s="238"/>
      <c r="K22" s="238"/>
      <c r="L22" s="1234">
        <f t="shared" si="1"/>
        <v>43.035546982639843</v>
      </c>
      <c r="M22" s="1228"/>
      <c r="R22" s="107"/>
    </row>
    <row r="23" spans="1:18" x14ac:dyDescent="0.25">
      <c r="A23" s="18">
        <v>1971</v>
      </c>
      <c r="B23" s="1271">
        <v>370</v>
      </c>
      <c r="C23" s="1224"/>
      <c r="D23" s="201"/>
      <c r="E23" s="201"/>
      <c r="F23" s="1224">
        <f t="shared" si="0"/>
        <v>370</v>
      </c>
      <c r="G23" s="1228"/>
      <c r="H23" s="1235">
        <f t="shared" si="2"/>
        <v>46.288233673188202</v>
      </c>
      <c r="I23" s="1234"/>
      <c r="J23" s="238"/>
      <c r="K23" s="238"/>
      <c r="L23" s="1234">
        <f t="shared" si="1"/>
        <v>46.288233673188202</v>
      </c>
      <c r="M23" s="1228"/>
      <c r="R23" s="107"/>
    </row>
    <row r="24" spans="1:18" x14ac:dyDescent="0.25">
      <c r="A24" s="18">
        <v>1972</v>
      </c>
      <c r="B24" s="1271">
        <v>397</v>
      </c>
      <c r="C24" s="1224"/>
      <c r="D24" s="201"/>
      <c r="E24" s="201"/>
      <c r="F24" s="1224">
        <f t="shared" si="0"/>
        <v>397</v>
      </c>
      <c r="G24" s="1228"/>
      <c r="H24" s="1235">
        <f t="shared" si="2"/>
        <v>49.666023697988422</v>
      </c>
      <c r="I24" s="1234"/>
      <c r="J24" s="238"/>
      <c r="K24" s="238"/>
      <c r="L24" s="1234">
        <f t="shared" si="1"/>
        <v>49.666023697988422</v>
      </c>
      <c r="M24" s="1228"/>
      <c r="R24" s="107"/>
    </row>
    <row r="25" spans="1:18" x14ac:dyDescent="0.25">
      <c r="A25" s="18">
        <v>1973</v>
      </c>
      <c r="B25" s="1271">
        <v>423</v>
      </c>
      <c r="C25" s="1224"/>
      <c r="D25" s="201"/>
      <c r="E25" s="201"/>
      <c r="F25" s="1224">
        <f t="shared" si="0"/>
        <v>423</v>
      </c>
      <c r="G25" s="1228"/>
      <c r="H25" s="1235">
        <f t="shared" si="2"/>
        <v>52.918710388536788</v>
      </c>
      <c r="I25" s="1234"/>
      <c r="J25" s="238"/>
      <c r="K25" s="238"/>
      <c r="L25" s="1234">
        <f t="shared" si="1"/>
        <v>52.918710388536788</v>
      </c>
      <c r="M25" s="1228"/>
      <c r="R25" s="107"/>
    </row>
    <row r="26" spans="1:18" x14ac:dyDescent="0.25">
      <c r="A26" s="18">
        <v>1974</v>
      </c>
      <c r="B26" s="1271">
        <v>450</v>
      </c>
      <c r="C26" s="1224"/>
      <c r="D26" s="201"/>
      <c r="E26" s="201"/>
      <c r="F26" s="1224">
        <f t="shared" si="0"/>
        <v>450</v>
      </c>
      <c r="G26" s="1228"/>
      <c r="H26" s="1235">
        <f t="shared" si="2"/>
        <v>56.296500413337007</v>
      </c>
      <c r="I26" s="1234"/>
      <c r="J26" s="238"/>
      <c r="K26" s="238"/>
      <c r="L26" s="1234">
        <f t="shared" si="1"/>
        <v>56.296500413337007</v>
      </c>
      <c r="M26" s="1228"/>
      <c r="R26" s="107"/>
    </row>
    <row r="27" spans="1:18" x14ac:dyDescent="0.25">
      <c r="A27" s="18">
        <v>1975</v>
      </c>
      <c r="B27" s="1271">
        <v>476</v>
      </c>
      <c r="C27" s="1224"/>
      <c r="D27" s="201"/>
      <c r="E27" s="201"/>
      <c r="F27" s="1224">
        <f t="shared" si="0"/>
        <v>476</v>
      </c>
      <c r="G27" s="1228"/>
      <c r="H27" s="1235">
        <f t="shared" si="2"/>
        <v>59.549187103885366</v>
      </c>
      <c r="I27" s="1234"/>
      <c r="J27" s="238"/>
      <c r="K27" s="238"/>
      <c r="L27" s="1234">
        <f t="shared" si="1"/>
        <v>59.549187103885366</v>
      </c>
      <c r="M27" s="1228"/>
      <c r="R27" s="107"/>
    </row>
    <row r="28" spans="1:18" x14ac:dyDescent="0.25">
      <c r="A28" s="18">
        <v>1976</v>
      </c>
      <c r="B28" s="1271">
        <v>667</v>
      </c>
      <c r="C28" s="1224"/>
      <c r="D28" s="201"/>
      <c r="E28" s="201"/>
      <c r="F28" s="1224">
        <f t="shared" si="0"/>
        <v>667</v>
      </c>
      <c r="G28" s="1228"/>
      <c r="H28" s="1235">
        <f t="shared" si="2"/>
        <v>83.443923945990633</v>
      </c>
      <c r="I28" s="1234"/>
      <c r="J28" s="238"/>
      <c r="K28" s="238"/>
      <c r="L28" s="1234">
        <f t="shared" si="1"/>
        <v>83.443923945990633</v>
      </c>
      <c r="M28" s="1228"/>
      <c r="R28" s="107"/>
    </row>
    <row r="29" spans="1:18" x14ac:dyDescent="0.25">
      <c r="A29" s="18">
        <v>1977</v>
      </c>
      <c r="B29" s="1271">
        <v>857</v>
      </c>
      <c r="C29" s="1224"/>
      <c r="D29" s="201"/>
      <c r="E29" s="201"/>
      <c r="F29" s="1224">
        <f t="shared" si="0"/>
        <v>857</v>
      </c>
      <c r="G29" s="1228"/>
      <c r="H29" s="1235">
        <f t="shared" si="2"/>
        <v>107.21355745384403</v>
      </c>
      <c r="I29" s="1234"/>
      <c r="J29" s="238"/>
      <c r="K29" s="238"/>
      <c r="L29" s="1234">
        <f t="shared" si="1"/>
        <v>107.21355745384403</v>
      </c>
      <c r="M29" s="1228"/>
      <c r="R29" s="107"/>
    </row>
    <row r="30" spans="1:18" x14ac:dyDescent="0.25">
      <c r="A30" s="18">
        <v>1978</v>
      </c>
      <c r="B30" s="1271">
        <v>1048</v>
      </c>
      <c r="C30" s="1224"/>
      <c r="D30" s="201"/>
      <c r="E30" s="201"/>
      <c r="F30" s="1224">
        <f t="shared" si="0"/>
        <v>1048</v>
      </c>
      <c r="G30" s="1228"/>
      <c r="H30" s="1235">
        <f t="shared" si="2"/>
        <v>131.10829429594929</v>
      </c>
      <c r="I30" s="1234"/>
      <c r="J30" s="238"/>
      <c r="K30" s="238"/>
      <c r="L30" s="1234">
        <f t="shared" si="1"/>
        <v>131.10829429594929</v>
      </c>
      <c r="M30" s="1228"/>
      <c r="R30" s="107"/>
    </row>
    <row r="31" spans="1:18" x14ac:dyDescent="0.25">
      <c r="A31" s="18">
        <v>1979</v>
      </c>
      <c r="B31" s="1271">
        <v>1238</v>
      </c>
      <c r="C31" s="1224"/>
      <c r="D31" s="201"/>
      <c r="E31" s="201"/>
      <c r="F31" s="1224">
        <f t="shared" si="0"/>
        <v>1238</v>
      </c>
      <c r="G31" s="1228"/>
      <c r="H31" s="1235">
        <f t="shared" si="2"/>
        <v>154.87792780380272</v>
      </c>
      <c r="I31" s="1234"/>
      <c r="J31" s="238"/>
      <c r="K31" s="238"/>
      <c r="L31" s="1234">
        <f t="shared" si="1"/>
        <v>154.87792780380272</v>
      </c>
      <c r="M31" s="1228"/>
      <c r="R31" s="107"/>
    </row>
    <row r="32" spans="1:18" x14ac:dyDescent="0.25">
      <c r="A32" s="18">
        <v>1980</v>
      </c>
      <c r="B32" s="1271">
        <v>1429</v>
      </c>
      <c r="C32" s="1224"/>
      <c r="D32" s="201"/>
      <c r="E32" s="201"/>
      <c r="F32" s="1224">
        <f t="shared" si="0"/>
        <v>1429</v>
      </c>
      <c r="G32" s="1228"/>
      <c r="H32" s="1235">
        <f t="shared" si="2"/>
        <v>178.77266464590798</v>
      </c>
      <c r="I32" s="1234"/>
      <c r="J32" s="238"/>
      <c r="K32" s="238"/>
      <c r="L32" s="1234">
        <f t="shared" si="1"/>
        <v>178.77266464590798</v>
      </c>
      <c r="M32" s="1228"/>
      <c r="R32" s="107"/>
    </row>
    <row r="33" spans="1:18" x14ac:dyDescent="0.25">
      <c r="A33" s="18">
        <v>1981</v>
      </c>
      <c r="B33" s="1271">
        <v>1619</v>
      </c>
      <c r="C33" s="1224"/>
      <c r="D33" s="201"/>
      <c r="E33" s="201"/>
      <c r="F33" s="1224">
        <f t="shared" si="0"/>
        <v>1619</v>
      </c>
      <c r="G33" s="1228"/>
      <c r="H33" s="1235">
        <f t="shared" si="2"/>
        <v>202.54229815376138</v>
      </c>
      <c r="I33" s="1234"/>
      <c r="J33" s="238"/>
      <c r="K33" s="238"/>
      <c r="L33" s="1234">
        <f t="shared" si="1"/>
        <v>202.54229815376138</v>
      </c>
      <c r="M33" s="1228"/>
      <c r="R33" s="107"/>
    </row>
    <row r="34" spans="1:18" x14ac:dyDescent="0.25">
      <c r="A34" s="18">
        <v>1982</v>
      </c>
      <c r="B34" s="1271">
        <v>1810</v>
      </c>
      <c r="C34" s="1224"/>
      <c r="D34" s="201"/>
      <c r="E34" s="201"/>
      <c r="F34" s="1224">
        <f t="shared" si="0"/>
        <v>1810</v>
      </c>
      <c r="G34" s="1228"/>
      <c r="H34" s="1235">
        <f t="shared" si="2"/>
        <v>226.43703499586664</v>
      </c>
      <c r="I34" s="1234"/>
      <c r="J34" s="238"/>
      <c r="K34" s="238"/>
      <c r="L34" s="1234">
        <f t="shared" si="1"/>
        <v>226.43703499586664</v>
      </c>
      <c r="M34" s="1228"/>
      <c r="R34" s="107"/>
    </row>
    <row r="35" spans="1:18" x14ac:dyDescent="0.25">
      <c r="A35" s="18">
        <v>1983</v>
      </c>
      <c r="B35" s="1271">
        <v>2000</v>
      </c>
      <c r="C35" s="1224"/>
      <c r="D35" s="201"/>
      <c r="E35" s="201"/>
      <c r="F35" s="1224">
        <f t="shared" si="0"/>
        <v>2000</v>
      </c>
      <c r="G35" s="1228"/>
      <c r="H35" s="1235">
        <f t="shared" si="2"/>
        <v>250.20666850372001</v>
      </c>
      <c r="I35" s="1234"/>
      <c r="J35" s="238"/>
      <c r="K35" s="238"/>
      <c r="L35" s="1234">
        <f t="shared" si="1"/>
        <v>250.20666850372001</v>
      </c>
      <c r="M35" s="1228"/>
      <c r="R35" s="107"/>
    </row>
    <row r="36" spans="1:18" x14ac:dyDescent="0.25">
      <c r="A36" s="18">
        <v>1984</v>
      </c>
      <c r="B36" s="1271">
        <v>2191</v>
      </c>
      <c r="C36" s="1224"/>
      <c r="D36" s="201"/>
      <c r="E36" s="201"/>
      <c r="F36" s="1224">
        <f t="shared" si="0"/>
        <v>2191</v>
      </c>
      <c r="G36" s="1228"/>
      <c r="H36" s="1235">
        <f t="shared" si="2"/>
        <v>274.1014053458253</v>
      </c>
      <c r="I36" s="1234"/>
      <c r="J36" s="238"/>
      <c r="K36" s="238"/>
      <c r="L36" s="1234">
        <f t="shared" si="1"/>
        <v>274.1014053458253</v>
      </c>
      <c r="M36" s="1228"/>
      <c r="R36" s="107"/>
    </row>
    <row r="37" spans="1:18" x14ac:dyDescent="0.25">
      <c r="A37" s="18">
        <v>1985</v>
      </c>
      <c r="B37" s="1271">
        <v>2381</v>
      </c>
      <c r="C37" s="1224"/>
      <c r="D37" s="201"/>
      <c r="E37" s="201"/>
      <c r="F37" s="1224">
        <f t="shared" si="0"/>
        <v>2381</v>
      </c>
      <c r="G37" s="1228"/>
      <c r="H37" s="1235">
        <f t="shared" si="2"/>
        <v>297.87103885367867</v>
      </c>
      <c r="I37" s="1234"/>
      <c r="J37" s="238"/>
      <c r="K37" s="238"/>
      <c r="L37" s="1234">
        <f t="shared" si="1"/>
        <v>297.87103885367867</v>
      </c>
      <c r="M37" s="1228"/>
      <c r="R37" s="107"/>
    </row>
    <row r="38" spans="1:18" x14ac:dyDescent="0.25">
      <c r="A38" s="18">
        <v>1986</v>
      </c>
      <c r="B38" s="1271">
        <v>2381</v>
      </c>
      <c r="C38" s="1224"/>
      <c r="D38" s="201"/>
      <c r="E38" s="201"/>
      <c r="F38" s="1224">
        <f t="shared" si="0"/>
        <v>2381</v>
      </c>
      <c r="G38" s="1228"/>
      <c r="H38" s="1235">
        <f t="shared" si="2"/>
        <v>297.87103885367867</v>
      </c>
      <c r="I38" s="1234"/>
      <c r="J38" s="238"/>
      <c r="K38" s="238"/>
      <c r="L38" s="1234">
        <f t="shared" si="1"/>
        <v>297.87103885367867</v>
      </c>
      <c r="M38" s="1228"/>
      <c r="R38" s="107"/>
    </row>
    <row r="39" spans="1:18" x14ac:dyDescent="0.25">
      <c r="A39" s="18">
        <v>1987</v>
      </c>
      <c r="B39" s="1271">
        <v>2381</v>
      </c>
      <c r="C39" s="1224"/>
      <c r="D39" s="201"/>
      <c r="E39" s="201"/>
      <c r="F39" s="1224">
        <f t="shared" si="0"/>
        <v>2381</v>
      </c>
      <c r="G39" s="1228"/>
      <c r="H39" s="1235">
        <f t="shared" si="2"/>
        <v>297.87103885367867</v>
      </c>
      <c r="I39" s="1234"/>
      <c r="J39" s="238"/>
      <c r="K39" s="238"/>
      <c r="L39" s="1234">
        <f t="shared" si="1"/>
        <v>297.87103885367867</v>
      </c>
      <c r="M39" s="1228"/>
      <c r="R39" s="107"/>
    </row>
    <row r="40" spans="1:18" x14ac:dyDescent="0.25">
      <c r="A40" s="18">
        <v>1988</v>
      </c>
      <c r="B40" s="1271">
        <v>2381</v>
      </c>
      <c r="C40" s="1224"/>
      <c r="D40" s="201"/>
      <c r="E40" s="201"/>
      <c r="F40" s="1224">
        <f t="shared" si="0"/>
        <v>2381</v>
      </c>
      <c r="G40" s="1228"/>
      <c r="H40" s="1235">
        <f t="shared" si="2"/>
        <v>297.87103885367867</v>
      </c>
      <c r="I40" s="1234"/>
      <c r="J40" s="238"/>
      <c r="K40" s="238"/>
      <c r="L40" s="1234">
        <f t="shared" si="1"/>
        <v>297.87103885367867</v>
      </c>
      <c r="M40" s="1228"/>
      <c r="R40" s="107"/>
    </row>
    <row r="41" spans="1:18" x14ac:dyDescent="0.25">
      <c r="A41" s="18">
        <v>1989</v>
      </c>
      <c r="B41" s="1271">
        <v>2381</v>
      </c>
      <c r="C41" s="1224"/>
      <c r="D41" s="201"/>
      <c r="E41" s="201"/>
      <c r="F41" s="1224">
        <f t="shared" si="0"/>
        <v>2381</v>
      </c>
      <c r="G41" s="1228"/>
      <c r="H41" s="1235">
        <f t="shared" si="2"/>
        <v>297.87103885367867</v>
      </c>
      <c r="I41" s="1234"/>
      <c r="J41" s="238"/>
      <c r="K41" s="238"/>
      <c r="L41" s="1234">
        <f t="shared" si="1"/>
        <v>297.87103885367867</v>
      </c>
      <c r="M41" s="1228"/>
      <c r="R41" s="107"/>
    </row>
    <row r="42" spans="1:18" x14ac:dyDescent="0.25">
      <c r="A42" s="18">
        <v>1990</v>
      </c>
      <c r="B42" s="1271">
        <v>2722</v>
      </c>
      <c r="C42" s="1224"/>
      <c r="D42" s="201"/>
      <c r="E42" s="201"/>
      <c r="F42" s="1224">
        <f t="shared" si="0"/>
        <v>2722</v>
      </c>
      <c r="G42" s="1228"/>
      <c r="H42" s="1235">
        <f t="shared" si="2"/>
        <v>340.53127583356297</v>
      </c>
      <c r="I42" s="1234"/>
      <c r="J42" s="238"/>
      <c r="K42" s="238"/>
      <c r="L42" s="1234">
        <f t="shared" si="1"/>
        <v>340.53127583356297</v>
      </c>
      <c r="M42" s="1228"/>
      <c r="R42" s="107"/>
    </row>
    <row r="43" spans="1:18" x14ac:dyDescent="0.25">
      <c r="A43" s="18">
        <v>1991</v>
      </c>
      <c r="B43" s="1271">
        <v>2722</v>
      </c>
      <c r="C43" s="1224"/>
      <c r="D43" s="201"/>
      <c r="E43" s="201"/>
      <c r="F43" s="1224">
        <f t="shared" si="0"/>
        <v>2722</v>
      </c>
      <c r="G43" s="1228"/>
      <c r="H43" s="1235">
        <f t="shared" si="2"/>
        <v>340.53127583356297</v>
      </c>
      <c r="I43" s="1234"/>
      <c r="J43" s="238"/>
      <c r="K43" s="238"/>
      <c r="L43" s="1234">
        <f t="shared" si="1"/>
        <v>340.53127583356297</v>
      </c>
      <c r="M43" s="1228"/>
      <c r="R43" s="107"/>
    </row>
    <row r="44" spans="1:18" x14ac:dyDescent="0.25">
      <c r="A44" s="18">
        <v>1992</v>
      </c>
      <c r="B44" s="1271">
        <v>2722</v>
      </c>
      <c r="C44" s="1224"/>
      <c r="D44" s="201"/>
      <c r="E44" s="201"/>
      <c r="F44" s="1224">
        <f t="shared" si="0"/>
        <v>2722</v>
      </c>
      <c r="G44" s="1228"/>
      <c r="H44" s="1235">
        <f t="shared" si="2"/>
        <v>340.53127583356297</v>
      </c>
      <c r="I44" s="1234"/>
      <c r="J44" s="238"/>
      <c r="K44" s="238"/>
      <c r="L44" s="1234">
        <f t="shared" si="1"/>
        <v>340.53127583356297</v>
      </c>
      <c r="M44" s="1228"/>
      <c r="R44" s="107"/>
    </row>
    <row r="45" spans="1:18" x14ac:dyDescent="0.25">
      <c r="A45" s="18">
        <v>1993</v>
      </c>
      <c r="B45" s="1271">
        <v>2722</v>
      </c>
      <c r="C45" s="1224"/>
      <c r="D45" s="201"/>
      <c r="E45" s="201"/>
      <c r="F45" s="1224">
        <f t="shared" si="0"/>
        <v>2722</v>
      </c>
      <c r="G45" s="1228"/>
      <c r="H45" s="1235">
        <f t="shared" si="2"/>
        <v>340.53127583356297</v>
      </c>
      <c r="I45" s="1234"/>
      <c r="J45" s="238"/>
      <c r="K45" s="238"/>
      <c r="L45" s="1234">
        <f t="shared" si="1"/>
        <v>340.53127583356297</v>
      </c>
      <c r="M45" s="1228"/>
      <c r="R45" s="107"/>
    </row>
    <row r="46" spans="1:18" x14ac:dyDescent="0.25">
      <c r="A46" s="18">
        <v>1994</v>
      </c>
      <c r="B46" s="1271">
        <v>2722</v>
      </c>
      <c r="C46" s="1224"/>
      <c r="D46" s="201"/>
      <c r="E46" s="201"/>
      <c r="F46" s="1224">
        <f t="shared" si="0"/>
        <v>2722</v>
      </c>
      <c r="G46" s="1228"/>
      <c r="H46" s="1235">
        <f t="shared" si="2"/>
        <v>340.53127583356297</v>
      </c>
      <c r="I46" s="1234"/>
      <c r="J46" s="238"/>
      <c r="K46" s="238"/>
      <c r="L46" s="1234">
        <f t="shared" si="1"/>
        <v>340.53127583356297</v>
      </c>
      <c r="M46" s="1228"/>
      <c r="R46" s="107"/>
    </row>
    <row r="47" spans="1:18" x14ac:dyDescent="0.25">
      <c r="A47" s="18">
        <v>1995</v>
      </c>
      <c r="B47" s="1271">
        <v>3629</v>
      </c>
      <c r="C47" s="1224"/>
      <c r="D47" s="201"/>
      <c r="E47" s="201"/>
      <c r="F47" s="1224">
        <f t="shared" si="0"/>
        <v>3629</v>
      </c>
      <c r="G47" s="1228"/>
      <c r="H47" s="1235">
        <f t="shared" si="2"/>
        <v>454</v>
      </c>
      <c r="I47" s="1234"/>
      <c r="J47" s="238"/>
      <c r="K47" s="238"/>
      <c r="L47" s="1234">
        <f t="shared" si="1"/>
        <v>454</v>
      </c>
      <c r="M47" s="1228"/>
      <c r="R47" s="107"/>
    </row>
    <row r="48" spans="1:18" x14ac:dyDescent="0.25">
      <c r="A48" s="18">
        <v>1996</v>
      </c>
      <c r="B48" s="1271">
        <v>3629</v>
      </c>
      <c r="C48" s="1224"/>
      <c r="D48" s="201"/>
      <c r="E48" s="201"/>
      <c r="F48" s="1224">
        <f t="shared" si="0"/>
        <v>3629</v>
      </c>
      <c r="G48" s="1228"/>
      <c r="H48" s="1235">
        <f t="shared" si="2"/>
        <v>454</v>
      </c>
      <c r="I48" s="1234"/>
      <c r="J48" s="238"/>
      <c r="K48" s="238"/>
      <c r="L48" s="1234">
        <f t="shared" si="1"/>
        <v>454</v>
      </c>
      <c r="M48" s="1228"/>
      <c r="R48" s="107"/>
    </row>
    <row r="49" spans="1:18" x14ac:dyDescent="0.25">
      <c r="A49" s="18">
        <v>1997</v>
      </c>
      <c r="B49" s="1271">
        <v>3629</v>
      </c>
      <c r="C49" s="1224"/>
      <c r="D49" s="201"/>
      <c r="E49" s="201"/>
      <c r="F49" s="1352">
        <f t="shared" si="0"/>
        <v>3629</v>
      </c>
      <c r="G49" s="1353"/>
      <c r="H49" s="1347">
        <f>227*2</f>
        <v>454</v>
      </c>
      <c r="I49" s="1348"/>
      <c r="J49" s="238"/>
      <c r="K49" s="238"/>
      <c r="L49" s="1234">
        <f t="shared" si="1"/>
        <v>454</v>
      </c>
      <c r="M49" s="1228"/>
      <c r="R49" s="239"/>
    </row>
    <row r="50" spans="1:18" x14ac:dyDescent="0.25">
      <c r="A50" s="18">
        <v>1998</v>
      </c>
      <c r="B50" s="1271">
        <v>3629</v>
      </c>
      <c r="C50" s="1224"/>
      <c r="D50" s="201"/>
      <c r="E50" s="201"/>
      <c r="F50" s="1224">
        <f t="shared" si="0"/>
        <v>3629</v>
      </c>
      <c r="G50" s="1228"/>
      <c r="H50" s="1235">
        <f t="shared" ref="H50:H55" si="3">B50/B$49*H$49</f>
        <v>454</v>
      </c>
      <c r="I50" s="1234"/>
      <c r="J50" s="238"/>
      <c r="K50" s="238"/>
      <c r="L50" s="1234">
        <f t="shared" si="1"/>
        <v>454</v>
      </c>
      <c r="M50" s="1228"/>
      <c r="R50" s="107"/>
    </row>
    <row r="51" spans="1:18" x14ac:dyDescent="0.25">
      <c r="A51" s="18">
        <v>1999</v>
      </c>
      <c r="B51" s="1271">
        <v>3629</v>
      </c>
      <c r="C51" s="1224"/>
      <c r="D51" s="201"/>
      <c r="E51" s="201"/>
      <c r="F51" s="1224">
        <f t="shared" si="0"/>
        <v>3629</v>
      </c>
      <c r="G51" s="1228"/>
      <c r="H51" s="1235">
        <f t="shared" si="3"/>
        <v>454</v>
      </c>
      <c r="I51" s="1234"/>
      <c r="J51" s="238"/>
      <c r="K51" s="238"/>
      <c r="L51" s="1234">
        <f t="shared" si="1"/>
        <v>454</v>
      </c>
      <c r="M51" s="1228"/>
      <c r="R51" s="107"/>
    </row>
    <row r="52" spans="1:18" x14ac:dyDescent="0.25">
      <c r="A52" s="18">
        <v>2000</v>
      </c>
      <c r="B52" s="1271">
        <v>4368</v>
      </c>
      <c r="C52" s="1224"/>
      <c r="D52" s="201"/>
      <c r="E52" s="201"/>
      <c r="F52" s="1224">
        <f t="shared" si="0"/>
        <v>4368</v>
      </c>
      <c r="G52" s="1228"/>
      <c r="H52" s="1235">
        <f t="shared" si="3"/>
        <v>546.4513640121246</v>
      </c>
      <c r="I52" s="1234"/>
      <c r="J52" s="238"/>
      <c r="K52" s="238"/>
      <c r="L52" s="1234">
        <f t="shared" si="1"/>
        <v>546.4513640121246</v>
      </c>
      <c r="M52" s="1228"/>
      <c r="R52" s="107"/>
    </row>
    <row r="53" spans="1:18" x14ac:dyDescent="0.25">
      <c r="A53" s="18">
        <v>2001</v>
      </c>
      <c r="B53" s="1271">
        <v>218</v>
      </c>
      <c r="C53" s="1224"/>
      <c r="D53" s="201"/>
      <c r="E53" s="201"/>
      <c r="F53" s="1224">
        <f t="shared" si="0"/>
        <v>218</v>
      </c>
      <c r="G53" s="1228"/>
      <c r="H53" s="1235">
        <f t="shared" si="3"/>
        <v>27.272526866905483</v>
      </c>
      <c r="I53" s="1346"/>
      <c r="J53" s="238"/>
      <c r="K53" s="238"/>
      <c r="L53" s="1234">
        <f t="shared" si="1"/>
        <v>27.272526866905483</v>
      </c>
      <c r="M53" s="1228"/>
      <c r="R53" s="107"/>
    </row>
    <row r="54" spans="1:18" x14ac:dyDescent="0.25">
      <c r="A54" s="18">
        <v>2002</v>
      </c>
      <c r="B54" s="1271">
        <v>151</v>
      </c>
      <c r="C54" s="1224"/>
      <c r="D54" s="201"/>
      <c r="E54" s="201"/>
      <c r="F54" s="1224">
        <f t="shared" si="0"/>
        <v>151</v>
      </c>
      <c r="G54" s="1228"/>
      <c r="H54" s="1235">
        <f t="shared" si="3"/>
        <v>18.890603472030861</v>
      </c>
      <c r="I54" s="1346"/>
      <c r="J54" s="238"/>
      <c r="K54" s="238"/>
      <c r="L54" s="1234">
        <f t="shared" si="1"/>
        <v>18.890603472030861</v>
      </c>
      <c r="M54" s="1228"/>
      <c r="R54" s="107"/>
    </row>
    <row r="55" spans="1:18" x14ac:dyDescent="0.25">
      <c r="A55" s="9">
        <v>2003</v>
      </c>
      <c r="B55" s="10">
        <v>50</v>
      </c>
      <c r="C55" s="11">
        <v>160</v>
      </c>
      <c r="D55" s="11">
        <v>50</v>
      </c>
      <c r="E55" s="11">
        <v>50</v>
      </c>
      <c r="F55" s="11">
        <f t="shared" si="0"/>
        <v>100</v>
      </c>
      <c r="G55" s="16">
        <f>C55+E55</f>
        <v>210</v>
      </c>
      <c r="H55" s="676">
        <f t="shared" si="3"/>
        <v>6.2551667125930006</v>
      </c>
      <c r="I55" s="677">
        <f>C55/B$49*H$49</f>
        <v>20.016533480297603</v>
      </c>
      <c r="J55" s="11">
        <v>0</v>
      </c>
      <c r="K55" s="11">
        <v>0</v>
      </c>
      <c r="L55" s="677">
        <f t="shared" ref="L55:L73" si="4">H55+J55</f>
        <v>6.2551667125930006</v>
      </c>
      <c r="M55" s="678">
        <f>I55+K55</f>
        <v>20.016533480297603</v>
      </c>
      <c r="Q55" s="107"/>
      <c r="R55" s="107"/>
    </row>
    <row r="56" spans="1:18" x14ac:dyDescent="0.25">
      <c r="A56" s="9">
        <v>2004</v>
      </c>
      <c r="B56" s="10">
        <v>50</v>
      </c>
      <c r="C56" s="11">
        <v>160</v>
      </c>
      <c r="D56" s="11">
        <v>100</v>
      </c>
      <c r="E56" s="11">
        <v>100</v>
      </c>
      <c r="F56" s="11">
        <f t="shared" si="0"/>
        <v>150</v>
      </c>
      <c r="G56" s="16">
        <f t="shared" si="0"/>
        <v>260</v>
      </c>
      <c r="H56" s="676">
        <f t="shared" ref="H56:H82" si="5">B56/B$49*H$49</f>
        <v>6.2551667125930006</v>
      </c>
      <c r="I56" s="677">
        <f t="shared" ref="I56:I82" si="6">C56/B$49*H$49</f>
        <v>20.016533480297603</v>
      </c>
      <c r="J56" s="11">
        <v>0</v>
      </c>
      <c r="K56" s="11">
        <v>0</v>
      </c>
      <c r="L56" s="677">
        <f t="shared" si="4"/>
        <v>6.2551667125930006</v>
      </c>
      <c r="M56" s="678">
        <f t="shared" ref="M56:M82" si="7">I56+K56</f>
        <v>20.016533480297603</v>
      </c>
      <c r="R56" s="107"/>
    </row>
    <row r="57" spans="1:18" x14ac:dyDescent="0.25">
      <c r="A57" s="9">
        <v>2005</v>
      </c>
      <c r="B57" s="10">
        <v>73</v>
      </c>
      <c r="C57" s="11">
        <v>162</v>
      </c>
      <c r="D57" s="11">
        <v>170</v>
      </c>
      <c r="E57" s="11">
        <v>170</v>
      </c>
      <c r="F57" s="11">
        <f t="shared" ref="F57:G82" si="8">B57+D57</f>
        <v>243</v>
      </c>
      <c r="G57" s="16">
        <f t="shared" si="8"/>
        <v>332</v>
      </c>
      <c r="H57" s="676">
        <f t="shared" si="5"/>
        <v>9.1325434003857815</v>
      </c>
      <c r="I57" s="677">
        <f t="shared" si="6"/>
        <v>20.266740148801322</v>
      </c>
      <c r="J57" s="11">
        <v>0</v>
      </c>
      <c r="K57" s="11">
        <v>0</v>
      </c>
      <c r="L57" s="677">
        <f t="shared" si="4"/>
        <v>9.1325434003857815</v>
      </c>
      <c r="M57" s="678">
        <f t="shared" si="7"/>
        <v>20.266740148801322</v>
      </c>
      <c r="R57" s="107"/>
    </row>
    <row r="58" spans="1:18" x14ac:dyDescent="0.25">
      <c r="A58" s="9">
        <v>2006</v>
      </c>
      <c r="B58" s="10">
        <v>50</v>
      </c>
      <c r="C58" s="11">
        <v>100</v>
      </c>
      <c r="D58" s="11">
        <v>250</v>
      </c>
      <c r="E58" s="11">
        <v>250</v>
      </c>
      <c r="F58" s="11">
        <f t="shared" si="8"/>
        <v>300</v>
      </c>
      <c r="G58" s="16">
        <f t="shared" si="8"/>
        <v>350</v>
      </c>
      <c r="H58" s="676">
        <f t="shared" si="5"/>
        <v>6.2551667125930006</v>
      </c>
      <c r="I58" s="677">
        <f t="shared" si="6"/>
        <v>12.510333425186001</v>
      </c>
      <c r="J58" s="11">
        <v>0</v>
      </c>
      <c r="K58" s="11">
        <v>0</v>
      </c>
      <c r="L58" s="677">
        <f t="shared" si="4"/>
        <v>6.2551667125930006</v>
      </c>
      <c r="M58" s="678">
        <f t="shared" si="7"/>
        <v>12.510333425186001</v>
      </c>
      <c r="R58" s="107"/>
    </row>
    <row r="59" spans="1:18" x14ac:dyDescent="0.25">
      <c r="A59" s="9">
        <v>2007</v>
      </c>
      <c r="B59" s="10">
        <v>25</v>
      </c>
      <c r="C59" s="11">
        <v>50</v>
      </c>
      <c r="D59" s="11">
        <v>180</v>
      </c>
      <c r="E59" s="11">
        <v>180</v>
      </c>
      <c r="F59" s="11">
        <f t="shared" si="8"/>
        <v>205</v>
      </c>
      <c r="G59" s="16">
        <f t="shared" si="8"/>
        <v>230</v>
      </c>
      <c r="H59" s="676">
        <f t="shared" si="5"/>
        <v>3.1275833562965003</v>
      </c>
      <c r="I59" s="677">
        <f t="shared" si="6"/>
        <v>6.2551667125930006</v>
      </c>
      <c r="J59" s="11">
        <v>0</v>
      </c>
      <c r="K59" s="11">
        <v>0</v>
      </c>
      <c r="L59" s="677">
        <f t="shared" si="4"/>
        <v>3.1275833562965003</v>
      </c>
      <c r="M59" s="678">
        <f t="shared" si="7"/>
        <v>6.2551667125930006</v>
      </c>
      <c r="R59" s="107"/>
    </row>
    <row r="60" spans="1:18" x14ac:dyDescent="0.25">
      <c r="A60" s="9">
        <v>2008</v>
      </c>
      <c r="B60" s="10">
        <v>0</v>
      </c>
      <c r="C60" s="11">
        <v>0</v>
      </c>
      <c r="D60" s="11">
        <v>100</v>
      </c>
      <c r="E60" s="11">
        <v>100</v>
      </c>
      <c r="F60" s="11">
        <f t="shared" si="8"/>
        <v>100</v>
      </c>
      <c r="G60" s="16">
        <f t="shared" si="8"/>
        <v>100</v>
      </c>
      <c r="H60" s="10">
        <f t="shared" si="5"/>
        <v>0</v>
      </c>
      <c r="I60" s="11">
        <f t="shared" si="6"/>
        <v>0</v>
      </c>
      <c r="J60" s="11">
        <v>0</v>
      </c>
      <c r="K60" s="11">
        <v>0</v>
      </c>
      <c r="L60" s="11">
        <f t="shared" si="4"/>
        <v>0</v>
      </c>
      <c r="M60" s="16">
        <f t="shared" si="7"/>
        <v>0</v>
      </c>
      <c r="R60" s="107"/>
    </row>
    <row r="61" spans="1:18" x14ac:dyDescent="0.25">
      <c r="A61" s="9">
        <v>2009</v>
      </c>
      <c r="B61" s="10">
        <v>0</v>
      </c>
      <c r="C61" s="11">
        <v>0</v>
      </c>
      <c r="D61" s="11">
        <v>100</v>
      </c>
      <c r="E61" s="11">
        <v>100</v>
      </c>
      <c r="F61" s="11">
        <f t="shared" si="8"/>
        <v>100</v>
      </c>
      <c r="G61" s="16">
        <f t="shared" si="8"/>
        <v>100</v>
      </c>
      <c r="H61" s="10">
        <f t="shared" si="5"/>
        <v>0</v>
      </c>
      <c r="I61" s="11">
        <f t="shared" si="6"/>
        <v>0</v>
      </c>
      <c r="J61" s="11">
        <v>10</v>
      </c>
      <c r="K61" s="11">
        <v>20</v>
      </c>
      <c r="L61" s="11">
        <f t="shared" si="4"/>
        <v>10</v>
      </c>
      <c r="M61" s="16">
        <f t="shared" si="7"/>
        <v>20</v>
      </c>
      <c r="R61" s="107"/>
    </row>
    <row r="62" spans="1:18" x14ac:dyDescent="0.25">
      <c r="A62" s="9">
        <v>2010</v>
      </c>
      <c r="B62" s="10">
        <v>0</v>
      </c>
      <c r="C62" s="11">
        <v>0</v>
      </c>
      <c r="D62" s="11">
        <v>100</v>
      </c>
      <c r="E62" s="11">
        <v>100</v>
      </c>
      <c r="F62" s="11">
        <f t="shared" si="8"/>
        <v>100</v>
      </c>
      <c r="G62" s="16">
        <f t="shared" si="8"/>
        <v>100</v>
      </c>
      <c r="H62" s="10">
        <f t="shared" si="5"/>
        <v>0</v>
      </c>
      <c r="I62" s="11">
        <f t="shared" si="6"/>
        <v>0</v>
      </c>
      <c r="J62" s="11">
        <v>20</v>
      </c>
      <c r="K62" s="11">
        <v>50</v>
      </c>
      <c r="L62" s="11">
        <f t="shared" si="4"/>
        <v>20</v>
      </c>
      <c r="M62" s="16">
        <f t="shared" si="7"/>
        <v>50</v>
      </c>
      <c r="R62" s="107"/>
    </row>
    <row r="63" spans="1:18" x14ac:dyDescent="0.25">
      <c r="A63" s="9">
        <v>2011</v>
      </c>
      <c r="B63" s="10">
        <v>0</v>
      </c>
      <c r="C63" s="11">
        <v>0</v>
      </c>
      <c r="D63" s="11">
        <v>80</v>
      </c>
      <c r="E63" s="11">
        <v>100</v>
      </c>
      <c r="F63" s="11">
        <f t="shared" si="8"/>
        <v>80</v>
      </c>
      <c r="G63" s="16">
        <f t="shared" si="8"/>
        <v>100</v>
      </c>
      <c r="H63" s="10">
        <f t="shared" si="5"/>
        <v>0</v>
      </c>
      <c r="I63" s="11">
        <f t="shared" si="6"/>
        <v>0</v>
      </c>
      <c r="J63" s="11">
        <v>20</v>
      </c>
      <c r="K63" s="11">
        <v>50</v>
      </c>
      <c r="L63" s="11">
        <f t="shared" si="4"/>
        <v>20</v>
      </c>
      <c r="M63" s="16">
        <f t="shared" si="7"/>
        <v>50</v>
      </c>
      <c r="R63" s="107"/>
    </row>
    <row r="64" spans="1:18" x14ac:dyDescent="0.25">
      <c r="A64" s="9">
        <v>2012</v>
      </c>
      <c r="B64" s="10">
        <v>0</v>
      </c>
      <c r="C64" s="11">
        <v>0</v>
      </c>
      <c r="D64" s="11">
        <v>60</v>
      </c>
      <c r="E64" s="11">
        <v>100</v>
      </c>
      <c r="F64" s="11">
        <f t="shared" si="8"/>
        <v>60</v>
      </c>
      <c r="G64" s="16">
        <f t="shared" si="8"/>
        <v>100</v>
      </c>
      <c r="H64" s="10">
        <f t="shared" si="5"/>
        <v>0</v>
      </c>
      <c r="I64" s="11">
        <f t="shared" si="6"/>
        <v>0</v>
      </c>
      <c r="J64" s="11">
        <v>20</v>
      </c>
      <c r="K64" s="11">
        <v>50</v>
      </c>
      <c r="L64" s="11">
        <f t="shared" si="4"/>
        <v>20</v>
      </c>
      <c r="M64" s="16">
        <f t="shared" si="7"/>
        <v>50</v>
      </c>
      <c r="R64" s="107"/>
    </row>
    <row r="65" spans="1:18" x14ac:dyDescent="0.25">
      <c r="A65" s="9">
        <v>2013</v>
      </c>
      <c r="B65" s="10">
        <v>0</v>
      </c>
      <c r="C65" s="11">
        <v>0</v>
      </c>
      <c r="D65" s="11">
        <v>40</v>
      </c>
      <c r="E65" s="11">
        <v>100</v>
      </c>
      <c r="F65" s="11">
        <f t="shared" si="8"/>
        <v>40</v>
      </c>
      <c r="G65" s="16">
        <f t="shared" si="8"/>
        <v>100</v>
      </c>
      <c r="H65" s="10">
        <f t="shared" si="5"/>
        <v>0</v>
      </c>
      <c r="I65" s="11">
        <f t="shared" si="6"/>
        <v>0</v>
      </c>
      <c r="J65" s="11">
        <v>20</v>
      </c>
      <c r="K65" s="11">
        <v>50</v>
      </c>
      <c r="L65" s="11">
        <f t="shared" si="4"/>
        <v>20</v>
      </c>
      <c r="M65" s="16">
        <f t="shared" si="7"/>
        <v>50</v>
      </c>
      <c r="R65" s="107"/>
    </row>
    <row r="66" spans="1:18" x14ac:dyDescent="0.25">
      <c r="A66" s="9">
        <v>2014</v>
      </c>
      <c r="B66" s="10">
        <v>0</v>
      </c>
      <c r="C66" s="11">
        <v>0</v>
      </c>
      <c r="D66" s="11">
        <v>20</v>
      </c>
      <c r="E66" s="11">
        <v>100</v>
      </c>
      <c r="F66" s="11">
        <f t="shared" si="8"/>
        <v>20</v>
      </c>
      <c r="G66" s="16">
        <f t="shared" si="8"/>
        <v>100</v>
      </c>
      <c r="H66" s="10">
        <f t="shared" si="5"/>
        <v>0</v>
      </c>
      <c r="I66" s="11">
        <f t="shared" si="6"/>
        <v>0</v>
      </c>
      <c r="J66" s="11">
        <v>20</v>
      </c>
      <c r="K66" s="11">
        <v>50</v>
      </c>
      <c r="L66" s="11">
        <f t="shared" si="4"/>
        <v>20</v>
      </c>
      <c r="M66" s="16">
        <f t="shared" si="7"/>
        <v>50</v>
      </c>
      <c r="R66" s="107"/>
    </row>
    <row r="67" spans="1:18" x14ac:dyDescent="0.25">
      <c r="A67" s="9">
        <v>2015</v>
      </c>
      <c r="B67" s="10">
        <v>0</v>
      </c>
      <c r="C67" s="11">
        <v>0</v>
      </c>
      <c r="D67" s="11">
        <v>0</v>
      </c>
      <c r="E67" s="11">
        <v>100</v>
      </c>
      <c r="F67" s="11">
        <f t="shared" si="8"/>
        <v>0</v>
      </c>
      <c r="G67" s="16">
        <f t="shared" si="8"/>
        <v>100</v>
      </c>
      <c r="H67" s="10">
        <f t="shared" si="5"/>
        <v>0</v>
      </c>
      <c r="I67" s="11">
        <f t="shared" si="6"/>
        <v>0</v>
      </c>
      <c r="J67" s="11">
        <v>20</v>
      </c>
      <c r="K67" s="11">
        <v>50</v>
      </c>
      <c r="L67" s="11">
        <f t="shared" si="4"/>
        <v>20</v>
      </c>
      <c r="M67" s="16">
        <f t="shared" si="7"/>
        <v>50</v>
      </c>
      <c r="R67" s="107"/>
    </row>
    <row r="68" spans="1:18" x14ac:dyDescent="0.25">
      <c r="A68" s="12">
        <v>2016</v>
      </c>
      <c r="B68" s="13">
        <v>0</v>
      </c>
      <c r="C68" s="14">
        <v>0</v>
      </c>
      <c r="D68" s="14">
        <v>0</v>
      </c>
      <c r="E68" s="14">
        <v>100</v>
      </c>
      <c r="F68" s="14">
        <f t="shared" si="8"/>
        <v>0</v>
      </c>
      <c r="G68" s="17">
        <f t="shared" si="8"/>
        <v>100</v>
      </c>
      <c r="H68" s="13">
        <f t="shared" si="5"/>
        <v>0</v>
      </c>
      <c r="I68" s="14">
        <f t="shared" si="6"/>
        <v>0</v>
      </c>
      <c r="J68" s="14">
        <v>0</v>
      </c>
      <c r="K68" s="14">
        <v>0</v>
      </c>
      <c r="L68" s="14">
        <f t="shared" si="4"/>
        <v>0</v>
      </c>
      <c r="M68" s="17">
        <f t="shared" si="7"/>
        <v>0</v>
      </c>
      <c r="R68" s="107"/>
    </row>
    <row r="69" spans="1:18" x14ac:dyDescent="0.25">
      <c r="A69" s="12">
        <v>2017</v>
      </c>
      <c r="B69" s="13">
        <v>0</v>
      </c>
      <c r="C69" s="14">
        <v>0</v>
      </c>
      <c r="D69" s="14">
        <v>0</v>
      </c>
      <c r="E69" s="14">
        <v>100</v>
      </c>
      <c r="F69" s="14">
        <f t="shared" si="8"/>
        <v>0</v>
      </c>
      <c r="G69" s="17">
        <f t="shared" si="8"/>
        <v>100</v>
      </c>
      <c r="H69" s="13">
        <f t="shared" si="5"/>
        <v>0</v>
      </c>
      <c r="I69" s="14">
        <f t="shared" si="6"/>
        <v>0</v>
      </c>
      <c r="J69" s="14">
        <v>0</v>
      </c>
      <c r="K69" s="14">
        <v>0</v>
      </c>
      <c r="L69" s="14">
        <f t="shared" si="4"/>
        <v>0</v>
      </c>
      <c r="M69" s="17">
        <f t="shared" si="7"/>
        <v>0</v>
      </c>
      <c r="R69" s="107"/>
    </row>
    <row r="70" spans="1:18" x14ac:dyDescent="0.25">
      <c r="A70" s="12">
        <v>2018</v>
      </c>
      <c r="B70" s="13">
        <v>0</v>
      </c>
      <c r="C70" s="14">
        <v>0</v>
      </c>
      <c r="D70" s="14">
        <v>0</v>
      </c>
      <c r="E70" s="14">
        <v>100</v>
      </c>
      <c r="F70" s="14">
        <f t="shared" si="8"/>
        <v>0</v>
      </c>
      <c r="G70" s="17">
        <f t="shared" si="8"/>
        <v>100</v>
      </c>
      <c r="H70" s="13">
        <f t="shared" si="5"/>
        <v>0</v>
      </c>
      <c r="I70" s="14">
        <f t="shared" si="6"/>
        <v>0</v>
      </c>
      <c r="J70" s="14">
        <v>0</v>
      </c>
      <c r="K70" s="14">
        <v>0</v>
      </c>
      <c r="L70" s="14">
        <f t="shared" si="4"/>
        <v>0</v>
      </c>
      <c r="M70" s="17">
        <f t="shared" si="7"/>
        <v>0</v>
      </c>
      <c r="R70" s="107"/>
    </row>
    <row r="71" spans="1:18" x14ac:dyDescent="0.25">
      <c r="A71" s="12">
        <v>2019</v>
      </c>
      <c r="B71" s="13">
        <v>0</v>
      </c>
      <c r="C71" s="14">
        <v>0</v>
      </c>
      <c r="D71" s="14">
        <v>0</v>
      </c>
      <c r="E71" s="14">
        <v>100</v>
      </c>
      <c r="F71" s="14">
        <f t="shared" si="8"/>
        <v>0</v>
      </c>
      <c r="G71" s="17">
        <f t="shared" si="8"/>
        <v>100</v>
      </c>
      <c r="H71" s="13">
        <f t="shared" si="5"/>
        <v>0</v>
      </c>
      <c r="I71" s="14">
        <f t="shared" si="6"/>
        <v>0</v>
      </c>
      <c r="J71" s="14">
        <v>0</v>
      </c>
      <c r="K71" s="14">
        <v>0</v>
      </c>
      <c r="L71" s="14">
        <f t="shared" si="4"/>
        <v>0</v>
      </c>
      <c r="M71" s="17">
        <f t="shared" si="7"/>
        <v>0</v>
      </c>
      <c r="R71" s="107"/>
    </row>
    <row r="72" spans="1:18" x14ac:dyDescent="0.25">
      <c r="A72" s="12">
        <v>2020</v>
      </c>
      <c r="B72" s="13">
        <v>0</v>
      </c>
      <c r="C72" s="14">
        <v>0</v>
      </c>
      <c r="D72" s="14">
        <v>0</v>
      </c>
      <c r="E72" s="14">
        <v>100</v>
      </c>
      <c r="F72" s="14">
        <f t="shared" si="8"/>
        <v>0</v>
      </c>
      <c r="G72" s="17">
        <f t="shared" si="8"/>
        <v>100</v>
      </c>
      <c r="H72" s="13">
        <f t="shared" si="5"/>
        <v>0</v>
      </c>
      <c r="I72" s="14">
        <f t="shared" si="6"/>
        <v>0</v>
      </c>
      <c r="J72" s="14">
        <v>0</v>
      </c>
      <c r="K72" s="14">
        <v>0</v>
      </c>
      <c r="L72" s="14">
        <f t="shared" si="4"/>
        <v>0</v>
      </c>
      <c r="M72" s="17">
        <f t="shared" si="7"/>
        <v>0</v>
      </c>
      <c r="R72" s="107"/>
    </row>
    <row r="73" spans="1:18" x14ac:dyDescent="0.25">
      <c r="A73" s="12">
        <v>2021</v>
      </c>
      <c r="B73" s="13">
        <v>0</v>
      </c>
      <c r="C73" s="14">
        <v>0</v>
      </c>
      <c r="D73" s="14">
        <v>0</v>
      </c>
      <c r="E73" s="14">
        <v>100</v>
      </c>
      <c r="F73" s="14">
        <f t="shared" si="8"/>
        <v>0</v>
      </c>
      <c r="G73" s="17">
        <f t="shared" si="8"/>
        <v>100</v>
      </c>
      <c r="H73" s="13">
        <f t="shared" si="5"/>
        <v>0</v>
      </c>
      <c r="I73" s="14">
        <f t="shared" si="6"/>
        <v>0</v>
      </c>
      <c r="J73" s="14">
        <v>0</v>
      </c>
      <c r="K73" s="14">
        <v>0</v>
      </c>
      <c r="L73" s="14">
        <f t="shared" si="4"/>
        <v>0</v>
      </c>
      <c r="M73" s="17">
        <f t="shared" si="7"/>
        <v>0</v>
      </c>
      <c r="R73" s="107"/>
    </row>
    <row r="74" spans="1:18" x14ac:dyDescent="0.25">
      <c r="A74" s="12">
        <v>2022</v>
      </c>
      <c r="B74" s="13">
        <v>0</v>
      </c>
      <c r="C74" s="14">
        <v>0</v>
      </c>
      <c r="D74" s="14">
        <v>0</v>
      </c>
      <c r="E74" s="14">
        <v>100</v>
      </c>
      <c r="F74" s="14">
        <f t="shared" si="8"/>
        <v>0</v>
      </c>
      <c r="G74" s="17">
        <f t="shared" si="8"/>
        <v>100</v>
      </c>
      <c r="H74" s="13">
        <f t="shared" si="5"/>
        <v>0</v>
      </c>
      <c r="I74" s="14">
        <f t="shared" si="6"/>
        <v>0</v>
      </c>
      <c r="J74" s="14">
        <v>0</v>
      </c>
      <c r="K74" s="14">
        <v>0</v>
      </c>
      <c r="L74" s="14">
        <f t="shared" ref="L74:L82" si="9">H74+J74</f>
        <v>0</v>
      </c>
      <c r="M74" s="17">
        <f t="shared" si="7"/>
        <v>0</v>
      </c>
      <c r="R74" s="107"/>
    </row>
    <row r="75" spans="1:18" x14ac:dyDescent="0.25">
      <c r="A75" s="12">
        <v>2023</v>
      </c>
      <c r="B75" s="13">
        <v>0</v>
      </c>
      <c r="C75" s="14">
        <v>0</v>
      </c>
      <c r="D75" s="14">
        <v>0</v>
      </c>
      <c r="E75" s="14">
        <v>100</v>
      </c>
      <c r="F75" s="14">
        <f t="shared" si="8"/>
        <v>0</v>
      </c>
      <c r="G75" s="17">
        <f t="shared" si="8"/>
        <v>100</v>
      </c>
      <c r="H75" s="13">
        <f t="shared" si="5"/>
        <v>0</v>
      </c>
      <c r="I75" s="14">
        <f t="shared" si="6"/>
        <v>0</v>
      </c>
      <c r="J75" s="14">
        <v>0</v>
      </c>
      <c r="K75" s="14">
        <v>0</v>
      </c>
      <c r="L75" s="14">
        <f t="shared" si="9"/>
        <v>0</v>
      </c>
      <c r="M75" s="17">
        <f t="shared" si="7"/>
        <v>0</v>
      </c>
      <c r="R75" s="107"/>
    </row>
    <row r="76" spans="1:18" x14ac:dyDescent="0.25">
      <c r="A76" s="12">
        <v>2024</v>
      </c>
      <c r="B76" s="13">
        <v>0</v>
      </c>
      <c r="C76" s="14">
        <v>0</v>
      </c>
      <c r="D76" s="14">
        <v>0</v>
      </c>
      <c r="E76" s="14">
        <v>100</v>
      </c>
      <c r="F76" s="14">
        <f t="shared" si="8"/>
        <v>0</v>
      </c>
      <c r="G76" s="17">
        <f t="shared" si="8"/>
        <v>100</v>
      </c>
      <c r="H76" s="13">
        <f t="shared" si="5"/>
        <v>0</v>
      </c>
      <c r="I76" s="14">
        <f t="shared" si="6"/>
        <v>0</v>
      </c>
      <c r="J76" s="14">
        <v>0</v>
      </c>
      <c r="K76" s="14">
        <v>0</v>
      </c>
      <c r="L76" s="14">
        <f t="shared" si="9"/>
        <v>0</v>
      </c>
      <c r="M76" s="17">
        <f t="shared" si="7"/>
        <v>0</v>
      </c>
      <c r="R76" s="107"/>
    </row>
    <row r="77" spans="1:18" x14ac:dyDescent="0.25">
      <c r="A77" s="12">
        <v>2025</v>
      </c>
      <c r="B77" s="13">
        <v>0</v>
      </c>
      <c r="C77" s="14">
        <v>0</v>
      </c>
      <c r="D77" s="14">
        <v>0</v>
      </c>
      <c r="E77" s="14">
        <v>100</v>
      </c>
      <c r="F77" s="14">
        <f t="shared" si="8"/>
        <v>0</v>
      </c>
      <c r="G77" s="17">
        <f t="shared" si="8"/>
        <v>100</v>
      </c>
      <c r="H77" s="13">
        <f t="shared" si="5"/>
        <v>0</v>
      </c>
      <c r="I77" s="14">
        <f t="shared" si="6"/>
        <v>0</v>
      </c>
      <c r="J77" s="14">
        <v>0</v>
      </c>
      <c r="K77" s="14">
        <v>0</v>
      </c>
      <c r="L77" s="14">
        <f t="shared" si="9"/>
        <v>0</v>
      </c>
      <c r="M77" s="17">
        <f t="shared" si="7"/>
        <v>0</v>
      </c>
      <c r="R77" s="107"/>
    </row>
    <row r="78" spans="1:18" x14ac:dyDescent="0.25">
      <c r="A78" s="12">
        <v>2026</v>
      </c>
      <c r="B78" s="13">
        <v>0</v>
      </c>
      <c r="C78" s="14">
        <v>0</v>
      </c>
      <c r="D78" s="14">
        <v>0</v>
      </c>
      <c r="E78" s="14">
        <v>100</v>
      </c>
      <c r="F78" s="14">
        <f t="shared" si="8"/>
        <v>0</v>
      </c>
      <c r="G78" s="17">
        <f t="shared" si="8"/>
        <v>100</v>
      </c>
      <c r="H78" s="13">
        <f t="shared" si="5"/>
        <v>0</v>
      </c>
      <c r="I78" s="14">
        <f t="shared" si="6"/>
        <v>0</v>
      </c>
      <c r="J78" s="14">
        <v>0</v>
      </c>
      <c r="K78" s="14">
        <v>0</v>
      </c>
      <c r="L78" s="14">
        <f t="shared" si="9"/>
        <v>0</v>
      </c>
      <c r="M78" s="17">
        <f t="shared" si="7"/>
        <v>0</v>
      </c>
      <c r="R78" s="107"/>
    </row>
    <row r="79" spans="1:18" x14ac:dyDescent="0.25">
      <c r="A79" s="12">
        <v>2027</v>
      </c>
      <c r="B79" s="13">
        <v>0</v>
      </c>
      <c r="C79" s="14">
        <v>0</v>
      </c>
      <c r="D79" s="14">
        <v>0</v>
      </c>
      <c r="E79" s="14">
        <v>100</v>
      </c>
      <c r="F79" s="14">
        <f t="shared" si="8"/>
        <v>0</v>
      </c>
      <c r="G79" s="17">
        <f t="shared" si="8"/>
        <v>100</v>
      </c>
      <c r="H79" s="13">
        <f t="shared" si="5"/>
        <v>0</v>
      </c>
      <c r="I79" s="14">
        <f t="shared" si="6"/>
        <v>0</v>
      </c>
      <c r="J79" s="14">
        <v>0</v>
      </c>
      <c r="K79" s="14">
        <v>0</v>
      </c>
      <c r="L79" s="14">
        <f t="shared" si="9"/>
        <v>0</v>
      </c>
      <c r="M79" s="17">
        <f t="shared" si="7"/>
        <v>0</v>
      </c>
      <c r="R79" s="107"/>
    </row>
    <row r="80" spans="1:18" x14ac:dyDescent="0.25">
      <c r="A80" s="12">
        <v>2028</v>
      </c>
      <c r="B80" s="13">
        <v>0</v>
      </c>
      <c r="C80" s="14">
        <v>0</v>
      </c>
      <c r="D80" s="14">
        <v>0</v>
      </c>
      <c r="E80" s="14">
        <v>100</v>
      </c>
      <c r="F80" s="14">
        <f t="shared" si="8"/>
        <v>0</v>
      </c>
      <c r="G80" s="17">
        <f t="shared" si="8"/>
        <v>100</v>
      </c>
      <c r="H80" s="13">
        <f t="shared" si="5"/>
        <v>0</v>
      </c>
      <c r="I80" s="14">
        <f t="shared" si="6"/>
        <v>0</v>
      </c>
      <c r="J80" s="14">
        <v>0</v>
      </c>
      <c r="K80" s="14">
        <v>0</v>
      </c>
      <c r="L80" s="14">
        <f t="shared" si="9"/>
        <v>0</v>
      </c>
      <c r="M80" s="17">
        <f t="shared" si="7"/>
        <v>0</v>
      </c>
      <c r="R80" s="107"/>
    </row>
    <row r="81" spans="1:18" x14ac:dyDescent="0.25">
      <c r="A81" s="12">
        <v>2029</v>
      </c>
      <c r="B81" s="13">
        <v>0</v>
      </c>
      <c r="C81" s="14">
        <v>0</v>
      </c>
      <c r="D81" s="14">
        <v>0</v>
      </c>
      <c r="E81" s="14">
        <v>100</v>
      </c>
      <c r="F81" s="14">
        <f t="shared" si="8"/>
        <v>0</v>
      </c>
      <c r="G81" s="17">
        <f t="shared" si="8"/>
        <v>100</v>
      </c>
      <c r="H81" s="13">
        <f t="shared" si="5"/>
        <v>0</v>
      </c>
      <c r="I81" s="14">
        <f t="shared" si="6"/>
        <v>0</v>
      </c>
      <c r="J81" s="14">
        <v>0</v>
      </c>
      <c r="K81" s="14">
        <v>0</v>
      </c>
      <c r="L81" s="14">
        <f t="shared" si="9"/>
        <v>0</v>
      </c>
      <c r="M81" s="17">
        <f t="shared" si="7"/>
        <v>0</v>
      </c>
      <c r="R81" s="107"/>
    </row>
    <row r="82" spans="1:18" x14ac:dyDescent="0.25">
      <c r="A82" s="12">
        <v>2030</v>
      </c>
      <c r="B82" s="13">
        <v>0</v>
      </c>
      <c r="C82" s="14">
        <v>0</v>
      </c>
      <c r="D82" s="14">
        <v>0</v>
      </c>
      <c r="E82" s="14">
        <v>100</v>
      </c>
      <c r="F82" s="14">
        <f t="shared" si="8"/>
        <v>0</v>
      </c>
      <c r="G82" s="17">
        <f t="shared" si="8"/>
        <v>100</v>
      </c>
      <c r="H82" s="13">
        <f t="shared" si="5"/>
        <v>0</v>
      </c>
      <c r="I82" s="14">
        <f t="shared" si="6"/>
        <v>0</v>
      </c>
      <c r="J82" s="14">
        <v>0</v>
      </c>
      <c r="K82" s="14">
        <v>0</v>
      </c>
      <c r="L82" s="14">
        <f t="shared" si="9"/>
        <v>0</v>
      </c>
      <c r="M82" s="17">
        <f t="shared" si="7"/>
        <v>0</v>
      </c>
      <c r="R82" s="107"/>
    </row>
    <row r="83" spans="1:18" x14ac:dyDescent="0.25">
      <c r="A83" s="19" t="s">
        <v>4</v>
      </c>
      <c r="B83" s="1314">
        <f>ROUND(SUM(B10:B54),-1)</f>
        <v>65780</v>
      </c>
      <c r="C83" s="1314"/>
      <c r="D83" s="200">
        <v>0</v>
      </c>
      <c r="E83" s="200">
        <v>0</v>
      </c>
      <c r="F83" s="1314">
        <f>ROUND(SUM(F10:F54),-1)</f>
        <v>65780</v>
      </c>
      <c r="G83" s="1345"/>
      <c r="H83" s="1344">
        <f>ROUND(SUM(H10:I54),-1)</f>
        <v>7970</v>
      </c>
      <c r="I83" s="1314"/>
      <c r="J83" s="237">
        <v>0</v>
      </c>
      <c r="K83" s="237">
        <v>0</v>
      </c>
      <c r="L83" s="1314">
        <f>ROUND(SUM(L10:L54),-1)</f>
        <v>7970</v>
      </c>
      <c r="M83" s="1345"/>
    </row>
    <row r="84" spans="1:18" x14ac:dyDescent="0.25">
      <c r="A84" s="20" t="s">
        <v>5</v>
      </c>
      <c r="B84" s="22">
        <f t="shared" ref="B84:G84" si="10">ROUND(SUM(B55:B67),-1)</f>
        <v>250</v>
      </c>
      <c r="C84" s="23">
        <f t="shared" si="10"/>
        <v>630</v>
      </c>
      <c r="D84" s="23">
        <f t="shared" si="10"/>
        <v>1250</v>
      </c>
      <c r="E84" s="23">
        <f t="shared" si="10"/>
        <v>1550</v>
      </c>
      <c r="F84" s="23">
        <f t="shared" si="10"/>
        <v>1500</v>
      </c>
      <c r="G84" s="28">
        <f t="shared" si="10"/>
        <v>2180</v>
      </c>
      <c r="H84" s="22">
        <f t="shared" ref="H84:M84" si="11">ROUND(SUM(H55:H67),-1)</f>
        <v>30</v>
      </c>
      <c r="I84" s="23">
        <f t="shared" si="11"/>
        <v>80</v>
      </c>
      <c r="J84" s="23">
        <f t="shared" si="11"/>
        <v>130</v>
      </c>
      <c r="K84" s="23">
        <f t="shared" si="11"/>
        <v>320</v>
      </c>
      <c r="L84" s="23">
        <f t="shared" si="11"/>
        <v>160</v>
      </c>
      <c r="M84" s="28">
        <f t="shared" si="11"/>
        <v>400</v>
      </c>
    </row>
    <row r="85" spans="1:18" x14ac:dyDescent="0.25">
      <c r="A85" s="20" t="s">
        <v>43</v>
      </c>
      <c r="B85" s="22">
        <f t="shared" ref="B85:G85" si="12">ROUND(SUM(B68:B82),-1)</f>
        <v>0</v>
      </c>
      <c r="C85" s="23">
        <f t="shared" si="12"/>
        <v>0</v>
      </c>
      <c r="D85" s="23">
        <f t="shared" si="12"/>
        <v>0</v>
      </c>
      <c r="E85" s="23">
        <f t="shared" si="12"/>
        <v>1500</v>
      </c>
      <c r="F85" s="23">
        <f t="shared" si="12"/>
        <v>0</v>
      </c>
      <c r="G85" s="28">
        <f t="shared" si="12"/>
        <v>1500</v>
      </c>
      <c r="H85" s="22">
        <f t="shared" ref="H85:M85" si="13">ROUND(SUM(H68:H82),-1)</f>
        <v>0</v>
      </c>
      <c r="I85" s="23">
        <f t="shared" si="13"/>
        <v>0</v>
      </c>
      <c r="J85" s="23">
        <f t="shared" si="13"/>
        <v>0</v>
      </c>
      <c r="K85" s="23">
        <f t="shared" si="13"/>
        <v>0</v>
      </c>
      <c r="L85" s="23">
        <f t="shared" si="13"/>
        <v>0</v>
      </c>
      <c r="M85" s="28">
        <f t="shared" si="13"/>
        <v>0</v>
      </c>
    </row>
    <row r="86" spans="1:18" ht="19" thickBot="1" x14ac:dyDescent="0.3">
      <c r="A86" s="21" t="s">
        <v>0</v>
      </c>
      <c r="B86" s="24">
        <f>SUM(B83:B85)</f>
        <v>66030</v>
      </c>
      <c r="C86" s="25">
        <f>B83+C84</f>
        <v>66410</v>
      </c>
      <c r="D86" s="25">
        <f>SUM(D83:D85)</f>
        <v>1250</v>
      </c>
      <c r="E86" s="25">
        <f>SUM(E83:E85)</f>
        <v>3050</v>
      </c>
      <c r="F86" s="25">
        <f>F84+F83</f>
        <v>67280</v>
      </c>
      <c r="G86" s="29">
        <f>F83+G84</f>
        <v>67960</v>
      </c>
      <c r="H86" s="24">
        <f>SUM(H83:H85)</f>
        <v>8000</v>
      </c>
      <c r="I86" s="25">
        <f>H83+I84</f>
        <v>8050</v>
      </c>
      <c r="J86" s="25">
        <f>SUM(J83:J85)</f>
        <v>130</v>
      </c>
      <c r="K86" s="25">
        <f>SUM(K83:K85)</f>
        <v>320</v>
      </c>
      <c r="L86" s="25">
        <f>L84+L83</f>
        <v>8130</v>
      </c>
      <c r="M86" s="29">
        <f>L83+M84</f>
        <v>8370</v>
      </c>
    </row>
  </sheetData>
  <mergeCells count="196">
    <mergeCell ref="B51:C51"/>
    <mergeCell ref="F51:G51"/>
    <mergeCell ref="B83:C83"/>
    <mergeCell ref="F83:G83"/>
    <mergeCell ref="B52:C52"/>
    <mergeCell ref="F52:G52"/>
    <mergeCell ref="B53:C53"/>
    <mergeCell ref="F53:G53"/>
    <mergeCell ref="B54:C54"/>
    <mergeCell ref="F54:G54"/>
    <mergeCell ref="B46:C46"/>
    <mergeCell ref="F46:G46"/>
    <mergeCell ref="B47:C47"/>
    <mergeCell ref="F47:G47"/>
    <mergeCell ref="B48:C48"/>
    <mergeCell ref="F48:G48"/>
    <mergeCell ref="B49:C49"/>
    <mergeCell ref="F49:G49"/>
    <mergeCell ref="B50:C50"/>
    <mergeCell ref="F50:G50"/>
    <mergeCell ref="B41:C41"/>
    <mergeCell ref="F41:G41"/>
    <mergeCell ref="B42:C42"/>
    <mergeCell ref="F42:G42"/>
    <mergeCell ref="B43:C43"/>
    <mergeCell ref="F43:G43"/>
    <mergeCell ref="B44:C44"/>
    <mergeCell ref="F44:G44"/>
    <mergeCell ref="B45:C45"/>
    <mergeCell ref="F45:G45"/>
    <mergeCell ref="B36:C36"/>
    <mergeCell ref="F36:G36"/>
    <mergeCell ref="B37:C37"/>
    <mergeCell ref="F37:G37"/>
    <mergeCell ref="B38:C38"/>
    <mergeCell ref="F38:G38"/>
    <mergeCell ref="B39:C39"/>
    <mergeCell ref="F39:G39"/>
    <mergeCell ref="B40:C40"/>
    <mergeCell ref="F40:G40"/>
    <mergeCell ref="B31:C31"/>
    <mergeCell ref="F31:G31"/>
    <mergeCell ref="B32:C32"/>
    <mergeCell ref="F32:G32"/>
    <mergeCell ref="B33:C33"/>
    <mergeCell ref="F33:G33"/>
    <mergeCell ref="B34:C34"/>
    <mergeCell ref="F34:G34"/>
    <mergeCell ref="B35:C35"/>
    <mergeCell ref="F35:G35"/>
    <mergeCell ref="B26:C26"/>
    <mergeCell ref="F26:G26"/>
    <mergeCell ref="B27:C27"/>
    <mergeCell ref="F27:G27"/>
    <mergeCell ref="B28:C28"/>
    <mergeCell ref="F28:G28"/>
    <mergeCell ref="B29:C29"/>
    <mergeCell ref="F29:G29"/>
    <mergeCell ref="B30:C30"/>
    <mergeCell ref="F30:G30"/>
    <mergeCell ref="B21:C21"/>
    <mergeCell ref="F21:G21"/>
    <mergeCell ref="B22:C22"/>
    <mergeCell ref="F22:G22"/>
    <mergeCell ref="B23:C23"/>
    <mergeCell ref="F23:G23"/>
    <mergeCell ref="B24:C24"/>
    <mergeCell ref="F24:G24"/>
    <mergeCell ref="B25:C25"/>
    <mergeCell ref="F25:G25"/>
    <mergeCell ref="B16:C16"/>
    <mergeCell ref="F16:G16"/>
    <mergeCell ref="B17:C17"/>
    <mergeCell ref="F17:G17"/>
    <mergeCell ref="B18:C18"/>
    <mergeCell ref="F18:G18"/>
    <mergeCell ref="B19:C19"/>
    <mergeCell ref="F19:G19"/>
    <mergeCell ref="B20:C20"/>
    <mergeCell ref="F20:G20"/>
    <mergeCell ref="B11:C11"/>
    <mergeCell ref="F11:G11"/>
    <mergeCell ref="B12:C12"/>
    <mergeCell ref="F12:G12"/>
    <mergeCell ref="B13:C13"/>
    <mergeCell ref="F13:G13"/>
    <mergeCell ref="B14:C14"/>
    <mergeCell ref="F14:G14"/>
    <mergeCell ref="B15:C15"/>
    <mergeCell ref="F15:G15"/>
    <mergeCell ref="A4:A7"/>
    <mergeCell ref="A8:A9"/>
    <mergeCell ref="B4:G4"/>
    <mergeCell ref="B5:C6"/>
    <mergeCell ref="D5:E6"/>
    <mergeCell ref="F5:G6"/>
    <mergeCell ref="B8:G9"/>
    <mergeCell ref="B10:C10"/>
    <mergeCell ref="F10:G10"/>
    <mergeCell ref="H10:I10"/>
    <mergeCell ref="L10:M10"/>
    <mergeCell ref="H11:I11"/>
    <mergeCell ref="L11:M11"/>
    <mergeCell ref="H12:I12"/>
    <mergeCell ref="L12:M12"/>
    <mergeCell ref="H4:M4"/>
    <mergeCell ref="H5:I6"/>
    <mergeCell ref="J5:K6"/>
    <mergeCell ref="L5:M6"/>
    <mergeCell ref="H8:M9"/>
    <mergeCell ref="H16:I16"/>
    <mergeCell ref="L16:M16"/>
    <mergeCell ref="H17:I17"/>
    <mergeCell ref="L17:M17"/>
    <mergeCell ref="H18:I18"/>
    <mergeCell ref="L18:M18"/>
    <mergeCell ref="H13:I13"/>
    <mergeCell ref="L13:M13"/>
    <mergeCell ref="H14:I14"/>
    <mergeCell ref="L14:M14"/>
    <mergeCell ref="H15:I15"/>
    <mergeCell ref="L15:M15"/>
    <mergeCell ref="H22:I22"/>
    <mergeCell ref="L22:M22"/>
    <mergeCell ref="H23:I23"/>
    <mergeCell ref="L23:M23"/>
    <mergeCell ref="H24:I24"/>
    <mergeCell ref="L24:M24"/>
    <mergeCell ref="H19:I19"/>
    <mergeCell ref="L19:M19"/>
    <mergeCell ref="H20:I20"/>
    <mergeCell ref="L20:M20"/>
    <mergeCell ref="H21:I21"/>
    <mergeCell ref="L21:M21"/>
    <mergeCell ref="H28:I28"/>
    <mergeCell ref="L28:M28"/>
    <mergeCell ref="H29:I29"/>
    <mergeCell ref="L29:M29"/>
    <mergeCell ref="H30:I30"/>
    <mergeCell ref="L30:M30"/>
    <mergeCell ref="H25:I25"/>
    <mergeCell ref="L25:M25"/>
    <mergeCell ref="H26:I26"/>
    <mergeCell ref="L26:M26"/>
    <mergeCell ref="H27:I27"/>
    <mergeCell ref="L27:M27"/>
    <mergeCell ref="H34:I34"/>
    <mergeCell ref="L34:M34"/>
    <mergeCell ref="H35:I35"/>
    <mergeCell ref="L35:M35"/>
    <mergeCell ref="H36:I36"/>
    <mergeCell ref="L36:M36"/>
    <mergeCell ref="H31:I31"/>
    <mergeCell ref="L31:M31"/>
    <mergeCell ref="H32:I32"/>
    <mergeCell ref="L32:M32"/>
    <mergeCell ref="H33:I33"/>
    <mergeCell ref="L33:M33"/>
    <mergeCell ref="H40:I40"/>
    <mergeCell ref="L40:M40"/>
    <mergeCell ref="H41:I41"/>
    <mergeCell ref="L41:M41"/>
    <mergeCell ref="H42:I42"/>
    <mergeCell ref="L42:M42"/>
    <mergeCell ref="H37:I37"/>
    <mergeCell ref="L37:M37"/>
    <mergeCell ref="H38:I38"/>
    <mergeCell ref="L38:M38"/>
    <mergeCell ref="H39:I39"/>
    <mergeCell ref="L39:M39"/>
    <mergeCell ref="H46:I46"/>
    <mergeCell ref="L46:M46"/>
    <mergeCell ref="H47:I47"/>
    <mergeCell ref="L47:M47"/>
    <mergeCell ref="H48:I48"/>
    <mergeCell ref="L48:M48"/>
    <mergeCell ref="H43:I43"/>
    <mergeCell ref="L43:M43"/>
    <mergeCell ref="H44:I44"/>
    <mergeCell ref="L44:M44"/>
    <mergeCell ref="H45:I45"/>
    <mergeCell ref="L45:M45"/>
    <mergeCell ref="H83:I83"/>
    <mergeCell ref="L83:M83"/>
    <mergeCell ref="H52:I52"/>
    <mergeCell ref="L52:M52"/>
    <mergeCell ref="H53:I53"/>
    <mergeCell ref="L53:M53"/>
    <mergeCell ref="H54:I54"/>
    <mergeCell ref="L54:M54"/>
    <mergeCell ref="H49:I49"/>
    <mergeCell ref="L49:M49"/>
    <mergeCell ref="H50:I50"/>
    <mergeCell ref="L50:M50"/>
    <mergeCell ref="H51:I51"/>
    <mergeCell ref="L51:M51"/>
  </mergeCells>
  <phoneticPr fontId="14" type="noConversion"/>
  <pageMargins left="0.75" right="0.75" top="1" bottom="1" header="0.5" footer="0.5"/>
  <pageSetup paperSize="9" orientation="landscape" horizontalDpi="4294967292" verticalDpi="429496729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topLeftCell="A2" workbookViewId="0">
      <selection activeCell="H49" sqref="H49:I49"/>
    </sheetView>
  </sheetViews>
  <sheetFormatPr baseColWidth="10" defaultColWidth="10.83203125" defaultRowHeight="16" x14ac:dyDescent="0.2"/>
  <cols>
    <col min="1" max="16384" width="10.83203125" style="176"/>
  </cols>
  <sheetData>
    <row r="1" spans="1:18" x14ac:dyDescent="0.2">
      <c r="A1" s="176" t="s">
        <v>396</v>
      </c>
    </row>
    <row r="3" spans="1:18" ht="17" thickBot="1" x14ac:dyDescent="0.25"/>
    <row r="4" spans="1:18" ht="18" x14ac:dyDescent="0.25">
      <c r="A4" s="1274" t="s">
        <v>1</v>
      </c>
      <c r="B4" s="1349" t="s">
        <v>13</v>
      </c>
      <c r="C4" s="1350"/>
      <c r="D4" s="1350"/>
      <c r="E4" s="1350"/>
      <c r="F4" s="1350"/>
      <c r="G4" s="1351"/>
      <c r="H4" s="1349" t="s">
        <v>705</v>
      </c>
      <c r="I4" s="1350"/>
      <c r="J4" s="1350"/>
      <c r="K4" s="1350"/>
      <c r="L4" s="1350"/>
      <c r="M4" s="1351"/>
    </row>
    <row r="5" spans="1:18" x14ac:dyDescent="0.2">
      <c r="A5" s="1150"/>
      <c r="B5" s="1193" t="s">
        <v>2</v>
      </c>
      <c r="C5" s="1149"/>
      <c r="D5" s="1149" t="s">
        <v>11</v>
      </c>
      <c r="E5" s="1149"/>
      <c r="F5" s="1149" t="s">
        <v>14</v>
      </c>
      <c r="G5" s="1149"/>
      <c r="H5" s="1193" t="s">
        <v>2</v>
      </c>
      <c r="I5" s="1149"/>
      <c r="J5" s="1149" t="s">
        <v>11</v>
      </c>
      <c r="K5" s="1149"/>
      <c r="L5" s="1149" t="s">
        <v>14</v>
      </c>
      <c r="M5" s="1149"/>
    </row>
    <row r="6" spans="1:18" x14ac:dyDescent="0.2">
      <c r="A6" s="1150"/>
      <c r="B6" s="1193"/>
      <c r="C6" s="1149"/>
      <c r="D6" s="1149"/>
      <c r="E6" s="1149"/>
      <c r="F6" s="1149"/>
      <c r="G6" s="1149"/>
      <c r="H6" s="1193"/>
      <c r="I6" s="1149"/>
      <c r="J6" s="1149"/>
      <c r="K6" s="1149"/>
      <c r="L6" s="1149"/>
      <c r="M6" s="1149"/>
    </row>
    <row r="7" spans="1:18" ht="18" x14ac:dyDescent="0.25">
      <c r="A7" s="1275"/>
      <c r="B7" s="7" t="s">
        <v>41</v>
      </c>
      <c r="C7" s="8" t="s">
        <v>42</v>
      </c>
      <c r="D7" s="8" t="s">
        <v>41</v>
      </c>
      <c r="E7" s="8" t="s">
        <v>42</v>
      </c>
      <c r="F7" s="8" t="s">
        <v>41</v>
      </c>
      <c r="G7" s="8" t="s">
        <v>42</v>
      </c>
      <c r="H7" s="7" t="s">
        <v>41</v>
      </c>
      <c r="I7" s="8" t="s">
        <v>42</v>
      </c>
      <c r="J7" s="8" t="s">
        <v>41</v>
      </c>
      <c r="K7" s="8" t="s">
        <v>42</v>
      </c>
      <c r="L7" s="8" t="s">
        <v>41</v>
      </c>
      <c r="M7" s="8" t="s">
        <v>42</v>
      </c>
    </row>
    <row r="8" spans="1:18" ht="18" x14ac:dyDescent="0.25">
      <c r="A8" s="1236" t="s">
        <v>36</v>
      </c>
      <c r="B8" s="1239" t="s">
        <v>3</v>
      </c>
      <c r="C8" s="1217"/>
      <c r="D8" s="1217"/>
      <c r="E8" s="1217"/>
      <c r="F8" s="1217"/>
      <c r="G8" s="1236"/>
      <c r="H8" s="1239" t="s">
        <v>3</v>
      </c>
      <c r="I8" s="1217"/>
      <c r="J8" s="1217"/>
      <c r="K8" s="1217"/>
      <c r="L8" s="1217"/>
      <c r="M8" s="1236"/>
      <c r="R8" s="221"/>
    </row>
    <row r="9" spans="1:18" ht="18" x14ac:dyDescent="0.25">
      <c r="A9" s="1279"/>
      <c r="B9" s="1249"/>
      <c r="C9" s="1219"/>
      <c r="D9" s="1219"/>
      <c r="E9" s="1219"/>
      <c r="F9" s="1219"/>
      <c r="G9" s="1279"/>
      <c r="H9" s="1249"/>
      <c r="I9" s="1219"/>
      <c r="J9" s="1219"/>
      <c r="K9" s="1219"/>
      <c r="L9" s="1219"/>
      <c r="M9" s="1279"/>
      <c r="R9" s="1"/>
    </row>
    <row r="10" spans="1:18" ht="18" x14ac:dyDescent="0.25">
      <c r="A10" s="18">
        <v>1958</v>
      </c>
      <c r="B10" s="1271">
        <v>26</v>
      </c>
      <c r="C10" s="1224"/>
      <c r="D10" s="201"/>
      <c r="E10" s="201"/>
      <c r="F10" s="1224">
        <f t="shared" ref="F10:G56" si="0">B10+D10</f>
        <v>26</v>
      </c>
      <c r="G10" s="1228"/>
      <c r="H10" s="1354">
        <v>0</v>
      </c>
      <c r="I10" s="1355"/>
      <c r="J10" s="238"/>
      <c r="K10" s="238"/>
      <c r="L10" s="1234">
        <f>H10+J10</f>
        <v>0</v>
      </c>
      <c r="M10" s="1228"/>
    </row>
    <row r="11" spans="1:18" ht="18" x14ac:dyDescent="0.25">
      <c r="A11" s="18">
        <v>1959</v>
      </c>
      <c r="B11" s="1271">
        <v>53</v>
      </c>
      <c r="C11" s="1224"/>
      <c r="D11" s="201"/>
      <c r="E11" s="201"/>
      <c r="F11" s="1224">
        <f t="shared" si="0"/>
        <v>53</v>
      </c>
      <c r="G11" s="1228"/>
      <c r="H11" s="1356">
        <v>0</v>
      </c>
      <c r="I11" s="1357"/>
      <c r="J11" s="238"/>
      <c r="K11" s="238"/>
      <c r="L11" s="1234">
        <f>H11+J11</f>
        <v>0</v>
      </c>
      <c r="M11" s="1228"/>
    </row>
    <row r="12" spans="1:18" ht="18" x14ac:dyDescent="0.25">
      <c r="A12" s="18">
        <v>1960</v>
      </c>
      <c r="B12" s="1271">
        <v>79</v>
      </c>
      <c r="C12" s="1224"/>
      <c r="D12" s="201"/>
      <c r="E12" s="201"/>
      <c r="F12" s="1224">
        <f t="shared" si="0"/>
        <v>79</v>
      </c>
      <c r="G12" s="1228"/>
      <c r="H12" s="1356">
        <v>0</v>
      </c>
      <c r="I12" s="1357"/>
      <c r="J12" s="238"/>
      <c r="K12" s="238"/>
      <c r="L12" s="1234">
        <f t="shared" ref="L12:L54" si="1">H12+J12</f>
        <v>0</v>
      </c>
      <c r="M12" s="1228"/>
    </row>
    <row r="13" spans="1:18" ht="18" x14ac:dyDescent="0.25">
      <c r="A13" s="18">
        <v>1961</v>
      </c>
      <c r="B13" s="1271">
        <v>106</v>
      </c>
      <c r="C13" s="1224"/>
      <c r="D13" s="201"/>
      <c r="E13" s="201"/>
      <c r="F13" s="1224">
        <f t="shared" si="0"/>
        <v>106</v>
      </c>
      <c r="G13" s="1228"/>
      <c r="H13" s="1356">
        <v>0</v>
      </c>
      <c r="I13" s="1357"/>
      <c r="J13" s="238"/>
      <c r="K13" s="238"/>
      <c r="L13" s="1234">
        <f t="shared" si="1"/>
        <v>0</v>
      </c>
      <c r="M13" s="1228"/>
    </row>
    <row r="14" spans="1:18" ht="18" x14ac:dyDescent="0.25">
      <c r="A14" s="18">
        <v>1962</v>
      </c>
      <c r="B14" s="1271">
        <v>132</v>
      </c>
      <c r="C14" s="1224"/>
      <c r="D14" s="201"/>
      <c r="E14" s="201"/>
      <c r="F14" s="1224">
        <f t="shared" si="0"/>
        <v>132</v>
      </c>
      <c r="G14" s="1228"/>
      <c r="H14" s="1356">
        <v>0</v>
      </c>
      <c r="I14" s="1357"/>
      <c r="J14" s="238"/>
      <c r="K14" s="238"/>
      <c r="L14" s="1234">
        <f t="shared" si="1"/>
        <v>0</v>
      </c>
      <c r="M14" s="1228"/>
    </row>
    <row r="15" spans="1:18" ht="18" x14ac:dyDescent="0.25">
      <c r="A15" s="18">
        <v>1963</v>
      </c>
      <c r="B15" s="1271">
        <v>159</v>
      </c>
      <c r="C15" s="1224"/>
      <c r="D15" s="201"/>
      <c r="E15" s="201"/>
      <c r="F15" s="1224">
        <f t="shared" si="0"/>
        <v>159</v>
      </c>
      <c r="G15" s="1228"/>
      <c r="H15" s="1356">
        <v>0</v>
      </c>
      <c r="I15" s="1357"/>
      <c r="J15" s="238"/>
      <c r="K15" s="238"/>
      <c r="L15" s="1234">
        <f t="shared" si="1"/>
        <v>0</v>
      </c>
      <c r="M15" s="1228"/>
    </row>
    <row r="16" spans="1:18" ht="18" x14ac:dyDescent="0.25">
      <c r="A16" s="18">
        <v>1964</v>
      </c>
      <c r="B16" s="1271">
        <v>185</v>
      </c>
      <c r="C16" s="1224"/>
      <c r="D16" s="201"/>
      <c r="E16" s="201"/>
      <c r="F16" s="1224">
        <f t="shared" si="0"/>
        <v>185</v>
      </c>
      <c r="G16" s="1228"/>
      <c r="H16" s="1356">
        <v>0</v>
      </c>
      <c r="I16" s="1357"/>
      <c r="J16" s="238"/>
      <c r="K16" s="238"/>
      <c r="L16" s="1234">
        <f t="shared" si="1"/>
        <v>0</v>
      </c>
      <c r="M16" s="1228"/>
    </row>
    <row r="17" spans="1:13" ht="18" x14ac:dyDescent="0.25">
      <c r="A17" s="18">
        <v>1965</v>
      </c>
      <c r="B17" s="1271">
        <v>212</v>
      </c>
      <c r="C17" s="1224"/>
      <c r="D17" s="201"/>
      <c r="E17" s="201"/>
      <c r="F17" s="1224">
        <f t="shared" si="0"/>
        <v>212</v>
      </c>
      <c r="G17" s="1228"/>
      <c r="H17" s="1356">
        <v>0</v>
      </c>
      <c r="I17" s="1357"/>
      <c r="J17" s="238"/>
      <c r="K17" s="238"/>
      <c r="L17" s="1234">
        <f t="shared" si="1"/>
        <v>0</v>
      </c>
      <c r="M17" s="1228"/>
    </row>
    <row r="18" spans="1:13" ht="18" x14ac:dyDescent="0.25">
      <c r="A18" s="18">
        <v>1966</v>
      </c>
      <c r="B18" s="1271">
        <v>238</v>
      </c>
      <c r="C18" s="1224"/>
      <c r="D18" s="201"/>
      <c r="E18" s="201"/>
      <c r="F18" s="1224">
        <f t="shared" si="0"/>
        <v>238</v>
      </c>
      <c r="G18" s="1228"/>
      <c r="H18" s="1356">
        <v>0</v>
      </c>
      <c r="I18" s="1357"/>
      <c r="J18" s="238"/>
      <c r="K18" s="238"/>
      <c r="L18" s="1234">
        <f t="shared" si="1"/>
        <v>0</v>
      </c>
      <c r="M18" s="1228"/>
    </row>
    <row r="19" spans="1:13" ht="18" x14ac:dyDescent="0.25">
      <c r="A19" s="18">
        <v>1967</v>
      </c>
      <c r="B19" s="1271">
        <v>265</v>
      </c>
      <c r="C19" s="1224"/>
      <c r="D19" s="201"/>
      <c r="E19" s="201"/>
      <c r="F19" s="1224">
        <f t="shared" si="0"/>
        <v>265</v>
      </c>
      <c r="G19" s="1228"/>
      <c r="H19" s="1356">
        <v>0</v>
      </c>
      <c r="I19" s="1357"/>
      <c r="J19" s="238"/>
      <c r="K19" s="238"/>
      <c r="L19" s="1234">
        <f t="shared" si="1"/>
        <v>0</v>
      </c>
      <c r="M19" s="1228"/>
    </row>
    <row r="20" spans="1:13" ht="18" x14ac:dyDescent="0.25">
      <c r="A20" s="18">
        <v>1968</v>
      </c>
      <c r="B20" s="1271">
        <v>291</v>
      </c>
      <c r="C20" s="1224"/>
      <c r="D20" s="201"/>
      <c r="E20" s="201"/>
      <c r="F20" s="1224">
        <f t="shared" si="0"/>
        <v>291</v>
      </c>
      <c r="G20" s="1228"/>
      <c r="H20" s="1356">
        <v>0</v>
      </c>
      <c r="I20" s="1357"/>
      <c r="J20" s="238"/>
      <c r="K20" s="238"/>
      <c r="L20" s="1234">
        <f t="shared" si="1"/>
        <v>0</v>
      </c>
      <c r="M20" s="1228"/>
    </row>
    <row r="21" spans="1:13" ht="18" x14ac:dyDescent="0.25">
      <c r="A21" s="18">
        <v>1969</v>
      </c>
      <c r="B21" s="1271">
        <v>318</v>
      </c>
      <c r="C21" s="1224"/>
      <c r="D21" s="201"/>
      <c r="E21" s="201"/>
      <c r="F21" s="1224">
        <f t="shared" si="0"/>
        <v>318</v>
      </c>
      <c r="G21" s="1228"/>
      <c r="H21" s="1356">
        <v>0</v>
      </c>
      <c r="I21" s="1357"/>
      <c r="J21" s="238"/>
      <c r="K21" s="238"/>
      <c r="L21" s="1234">
        <f t="shared" si="1"/>
        <v>0</v>
      </c>
      <c r="M21" s="1228"/>
    </row>
    <row r="22" spans="1:13" ht="18" x14ac:dyDescent="0.25">
      <c r="A22" s="18">
        <v>1970</v>
      </c>
      <c r="B22" s="1271">
        <v>344</v>
      </c>
      <c r="C22" s="1224"/>
      <c r="D22" s="201"/>
      <c r="E22" s="201"/>
      <c r="F22" s="1224">
        <f t="shared" si="0"/>
        <v>344</v>
      </c>
      <c r="G22" s="1228"/>
      <c r="H22" s="1356">
        <v>0</v>
      </c>
      <c r="I22" s="1357"/>
      <c r="J22" s="238"/>
      <c r="K22" s="238"/>
      <c r="L22" s="1234">
        <f t="shared" si="1"/>
        <v>0</v>
      </c>
      <c r="M22" s="1228"/>
    </row>
    <row r="23" spans="1:13" ht="18" x14ac:dyDescent="0.25">
      <c r="A23" s="18">
        <v>1971</v>
      </c>
      <c r="B23" s="1271">
        <v>370</v>
      </c>
      <c r="C23" s="1224"/>
      <c r="D23" s="201"/>
      <c r="E23" s="201"/>
      <c r="F23" s="1224">
        <f t="shared" si="0"/>
        <v>370</v>
      </c>
      <c r="G23" s="1228"/>
      <c r="H23" s="1356">
        <v>0</v>
      </c>
      <c r="I23" s="1357"/>
      <c r="J23" s="238"/>
      <c r="K23" s="238"/>
      <c r="L23" s="1234">
        <f t="shared" si="1"/>
        <v>0</v>
      </c>
      <c r="M23" s="1228"/>
    </row>
    <row r="24" spans="1:13" ht="18" x14ac:dyDescent="0.25">
      <c r="A24" s="18">
        <v>1972</v>
      </c>
      <c r="B24" s="1271">
        <v>397</v>
      </c>
      <c r="C24" s="1224"/>
      <c r="D24" s="201"/>
      <c r="E24" s="201"/>
      <c r="F24" s="1224">
        <f t="shared" si="0"/>
        <v>397</v>
      </c>
      <c r="G24" s="1228"/>
      <c r="H24" s="1356">
        <v>0</v>
      </c>
      <c r="I24" s="1357"/>
      <c r="J24" s="238"/>
      <c r="K24" s="238"/>
      <c r="L24" s="1234">
        <f t="shared" si="1"/>
        <v>0</v>
      </c>
      <c r="M24" s="1228"/>
    </row>
    <row r="25" spans="1:13" ht="18" x14ac:dyDescent="0.25">
      <c r="A25" s="18">
        <v>1973</v>
      </c>
      <c r="B25" s="1271">
        <v>423</v>
      </c>
      <c r="C25" s="1224"/>
      <c r="D25" s="201"/>
      <c r="E25" s="201"/>
      <c r="F25" s="1224">
        <f t="shared" si="0"/>
        <v>423</v>
      </c>
      <c r="G25" s="1228"/>
      <c r="H25" s="1356">
        <v>0</v>
      </c>
      <c r="I25" s="1357"/>
      <c r="J25" s="238"/>
      <c r="K25" s="238"/>
      <c r="L25" s="1234">
        <f t="shared" si="1"/>
        <v>0</v>
      </c>
      <c r="M25" s="1228"/>
    </row>
    <row r="26" spans="1:13" ht="18" x14ac:dyDescent="0.25">
      <c r="A26" s="18">
        <v>1974</v>
      </c>
      <c r="B26" s="1271">
        <v>450</v>
      </c>
      <c r="C26" s="1224"/>
      <c r="D26" s="201"/>
      <c r="E26" s="201"/>
      <c r="F26" s="1224">
        <f t="shared" si="0"/>
        <v>450</v>
      </c>
      <c r="G26" s="1228"/>
      <c r="H26" s="1356">
        <v>0</v>
      </c>
      <c r="I26" s="1357"/>
      <c r="J26" s="238"/>
      <c r="K26" s="238"/>
      <c r="L26" s="1234">
        <f t="shared" si="1"/>
        <v>0</v>
      </c>
      <c r="M26" s="1228"/>
    </row>
    <row r="27" spans="1:13" ht="18" x14ac:dyDescent="0.25">
      <c r="A27" s="18">
        <v>1975</v>
      </c>
      <c r="B27" s="1271">
        <v>476</v>
      </c>
      <c r="C27" s="1224"/>
      <c r="D27" s="201"/>
      <c r="E27" s="201"/>
      <c r="F27" s="1224">
        <f t="shared" si="0"/>
        <v>476</v>
      </c>
      <c r="G27" s="1228"/>
      <c r="H27" s="1356">
        <v>0</v>
      </c>
      <c r="I27" s="1357"/>
      <c r="J27" s="238"/>
      <c r="K27" s="238"/>
      <c r="L27" s="1234">
        <f t="shared" si="1"/>
        <v>0</v>
      </c>
      <c r="M27" s="1228"/>
    </row>
    <row r="28" spans="1:13" ht="18" x14ac:dyDescent="0.25">
      <c r="A28" s="18">
        <v>1976</v>
      </c>
      <c r="B28" s="1271">
        <v>667</v>
      </c>
      <c r="C28" s="1224"/>
      <c r="D28" s="201"/>
      <c r="E28" s="201"/>
      <c r="F28" s="1224">
        <f t="shared" si="0"/>
        <v>667</v>
      </c>
      <c r="G28" s="1228"/>
      <c r="H28" s="1356">
        <v>0</v>
      </c>
      <c r="I28" s="1357"/>
      <c r="J28" s="238"/>
      <c r="K28" s="238"/>
      <c r="L28" s="1234">
        <f t="shared" si="1"/>
        <v>0</v>
      </c>
      <c r="M28" s="1228"/>
    </row>
    <row r="29" spans="1:13" ht="18" x14ac:dyDescent="0.25">
      <c r="A29" s="18">
        <v>1977</v>
      </c>
      <c r="B29" s="1271">
        <v>857</v>
      </c>
      <c r="C29" s="1224"/>
      <c r="D29" s="201"/>
      <c r="E29" s="201"/>
      <c r="F29" s="1224">
        <f t="shared" si="0"/>
        <v>857</v>
      </c>
      <c r="G29" s="1228"/>
      <c r="H29" s="1356">
        <v>0</v>
      </c>
      <c r="I29" s="1357"/>
      <c r="J29" s="238"/>
      <c r="K29" s="238"/>
      <c r="L29" s="1234">
        <f t="shared" si="1"/>
        <v>0</v>
      </c>
      <c r="M29" s="1228"/>
    </row>
    <row r="30" spans="1:13" ht="18" x14ac:dyDescent="0.25">
      <c r="A30" s="18">
        <v>1978</v>
      </c>
      <c r="B30" s="1271">
        <v>1048</v>
      </c>
      <c r="C30" s="1224"/>
      <c r="D30" s="201"/>
      <c r="E30" s="201"/>
      <c r="F30" s="1224">
        <f t="shared" si="0"/>
        <v>1048</v>
      </c>
      <c r="G30" s="1228"/>
      <c r="H30" s="1356">
        <v>0</v>
      </c>
      <c r="I30" s="1357"/>
      <c r="J30" s="238"/>
      <c r="K30" s="238"/>
      <c r="L30" s="1234">
        <f t="shared" si="1"/>
        <v>0</v>
      </c>
      <c r="M30" s="1228"/>
    </row>
    <row r="31" spans="1:13" ht="18" x14ac:dyDescent="0.25">
      <c r="A31" s="18">
        <v>1979</v>
      </c>
      <c r="B31" s="1271">
        <v>1238</v>
      </c>
      <c r="C31" s="1224"/>
      <c r="D31" s="201"/>
      <c r="E31" s="201"/>
      <c r="F31" s="1224">
        <f t="shared" si="0"/>
        <v>1238</v>
      </c>
      <c r="G31" s="1228"/>
      <c r="H31" s="1356">
        <v>0</v>
      </c>
      <c r="I31" s="1357"/>
      <c r="J31" s="238"/>
      <c r="K31" s="238"/>
      <c r="L31" s="1234">
        <f t="shared" si="1"/>
        <v>0</v>
      </c>
      <c r="M31" s="1228"/>
    </row>
    <row r="32" spans="1:13" ht="18" x14ac:dyDescent="0.25">
      <c r="A32" s="18">
        <v>1980</v>
      </c>
      <c r="B32" s="1271">
        <v>1429</v>
      </c>
      <c r="C32" s="1224"/>
      <c r="D32" s="201"/>
      <c r="E32" s="201"/>
      <c r="F32" s="1224">
        <f t="shared" si="0"/>
        <v>1429</v>
      </c>
      <c r="G32" s="1228"/>
      <c r="H32" s="1356">
        <f t="shared" ref="H32:H48" si="2">B32/B$49*H$49</f>
        <v>8.6629925599338655</v>
      </c>
      <c r="I32" s="1357"/>
      <c r="J32" s="238"/>
      <c r="K32" s="238"/>
      <c r="L32" s="1234">
        <f t="shared" si="1"/>
        <v>8.6629925599338655</v>
      </c>
      <c r="M32" s="1228"/>
    </row>
    <row r="33" spans="1:13" ht="18" x14ac:dyDescent="0.25">
      <c r="A33" s="18">
        <v>1981</v>
      </c>
      <c r="B33" s="1271">
        <v>1619</v>
      </c>
      <c r="C33" s="1224"/>
      <c r="D33" s="201"/>
      <c r="E33" s="201"/>
      <c r="F33" s="1224">
        <f t="shared" si="0"/>
        <v>1619</v>
      </c>
      <c r="G33" s="1228"/>
      <c r="H33" s="1356">
        <f t="shared" si="2"/>
        <v>9.8148250206668504</v>
      </c>
      <c r="I33" s="1357"/>
      <c r="J33" s="238"/>
      <c r="K33" s="238"/>
      <c r="L33" s="1234">
        <f t="shared" si="1"/>
        <v>9.8148250206668504</v>
      </c>
      <c r="M33" s="1228"/>
    </row>
    <row r="34" spans="1:13" ht="18" x14ac:dyDescent="0.25">
      <c r="A34" s="18">
        <v>1982</v>
      </c>
      <c r="B34" s="1271">
        <v>1810</v>
      </c>
      <c r="C34" s="1224"/>
      <c r="D34" s="201"/>
      <c r="E34" s="201"/>
      <c r="F34" s="1224">
        <f t="shared" si="0"/>
        <v>1810</v>
      </c>
      <c r="G34" s="1228"/>
      <c r="H34" s="1356">
        <f t="shared" si="2"/>
        <v>10.972719757508957</v>
      </c>
      <c r="I34" s="1357"/>
      <c r="J34" s="238"/>
      <c r="K34" s="238"/>
      <c r="L34" s="1234">
        <f t="shared" si="1"/>
        <v>10.972719757508957</v>
      </c>
      <c r="M34" s="1228"/>
    </row>
    <row r="35" spans="1:13" ht="18" x14ac:dyDescent="0.25">
      <c r="A35" s="18">
        <v>1983</v>
      </c>
      <c r="B35" s="1271">
        <v>2000</v>
      </c>
      <c r="C35" s="1224"/>
      <c r="D35" s="201"/>
      <c r="E35" s="201"/>
      <c r="F35" s="1224">
        <f t="shared" si="0"/>
        <v>2000</v>
      </c>
      <c r="G35" s="1228"/>
      <c r="H35" s="1356">
        <f t="shared" si="2"/>
        <v>12.12455221824194</v>
      </c>
      <c r="I35" s="1357"/>
      <c r="J35" s="238"/>
      <c r="K35" s="238"/>
      <c r="L35" s="1234">
        <f t="shared" si="1"/>
        <v>12.12455221824194</v>
      </c>
      <c r="M35" s="1228"/>
    </row>
    <row r="36" spans="1:13" ht="18" x14ac:dyDescent="0.25">
      <c r="A36" s="18">
        <v>1984</v>
      </c>
      <c r="B36" s="1271">
        <v>2191</v>
      </c>
      <c r="C36" s="1224"/>
      <c r="D36" s="201"/>
      <c r="E36" s="201"/>
      <c r="F36" s="1224">
        <f t="shared" si="0"/>
        <v>2191</v>
      </c>
      <c r="G36" s="1228"/>
      <c r="H36" s="1356">
        <f t="shared" si="2"/>
        <v>13.282446955084046</v>
      </c>
      <c r="I36" s="1357"/>
      <c r="J36" s="238"/>
      <c r="K36" s="238"/>
      <c r="L36" s="1234">
        <f t="shared" si="1"/>
        <v>13.282446955084046</v>
      </c>
      <c r="M36" s="1228"/>
    </row>
    <row r="37" spans="1:13" ht="18" x14ac:dyDescent="0.25">
      <c r="A37" s="18">
        <v>1985</v>
      </c>
      <c r="B37" s="1271">
        <v>2381</v>
      </c>
      <c r="C37" s="1224"/>
      <c r="D37" s="201"/>
      <c r="E37" s="201"/>
      <c r="F37" s="1224">
        <f t="shared" si="0"/>
        <v>2381</v>
      </c>
      <c r="G37" s="1228"/>
      <c r="H37" s="1356">
        <f t="shared" si="2"/>
        <v>14.434279415817029</v>
      </c>
      <c r="I37" s="1357"/>
      <c r="J37" s="238"/>
      <c r="K37" s="238"/>
      <c r="L37" s="1234">
        <f t="shared" si="1"/>
        <v>14.434279415817029</v>
      </c>
      <c r="M37" s="1228"/>
    </row>
    <row r="38" spans="1:13" ht="18" x14ac:dyDescent="0.25">
      <c r="A38" s="18">
        <v>1986</v>
      </c>
      <c r="B38" s="1271">
        <v>2381</v>
      </c>
      <c r="C38" s="1224"/>
      <c r="D38" s="201"/>
      <c r="E38" s="201"/>
      <c r="F38" s="1224">
        <f t="shared" si="0"/>
        <v>2381</v>
      </c>
      <c r="G38" s="1228"/>
      <c r="H38" s="1356">
        <f t="shared" si="2"/>
        <v>14.434279415817029</v>
      </c>
      <c r="I38" s="1357"/>
      <c r="J38" s="238"/>
      <c r="K38" s="238"/>
      <c r="L38" s="1234">
        <f t="shared" si="1"/>
        <v>14.434279415817029</v>
      </c>
      <c r="M38" s="1228"/>
    </row>
    <row r="39" spans="1:13" ht="18" x14ac:dyDescent="0.25">
      <c r="A39" s="18">
        <v>1987</v>
      </c>
      <c r="B39" s="1271">
        <v>2381</v>
      </c>
      <c r="C39" s="1224"/>
      <c r="D39" s="201"/>
      <c r="E39" s="201"/>
      <c r="F39" s="1224">
        <f t="shared" si="0"/>
        <v>2381</v>
      </c>
      <c r="G39" s="1228"/>
      <c r="H39" s="1356">
        <f t="shared" si="2"/>
        <v>14.434279415817029</v>
      </c>
      <c r="I39" s="1357"/>
      <c r="J39" s="238"/>
      <c r="K39" s="238"/>
      <c r="L39" s="1234">
        <f t="shared" si="1"/>
        <v>14.434279415817029</v>
      </c>
      <c r="M39" s="1228"/>
    </row>
    <row r="40" spans="1:13" ht="18" x14ac:dyDescent="0.25">
      <c r="A40" s="18">
        <v>1988</v>
      </c>
      <c r="B40" s="1271">
        <v>2381</v>
      </c>
      <c r="C40" s="1224"/>
      <c r="D40" s="201"/>
      <c r="E40" s="201"/>
      <c r="F40" s="1224">
        <f t="shared" si="0"/>
        <v>2381</v>
      </c>
      <c r="G40" s="1228"/>
      <c r="H40" s="1356">
        <f t="shared" si="2"/>
        <v>14.434279415817029</v>
      </c>
      <c r="I40" s="1357"/>
      <c r="J40" s="238"/>
      <c r="K40" s="238"/>
      <c r="L40" s="1234">
        <f t="shared" si="1"/>
        <v>14.434279415817029</v>
      </c>
      <c r="M40" s="1228"/>
    </row>
    <row r="41" spans="1:13" ht="18" x14ac:dyDescent="0.25">
      <c r="A41" s="18">
        <v>1989</v>
      </c>
      <c r="B41" s="1271">
        <v>2381</v>
      </c>
      <c r="C41" s="1224"/>
      <c r="D41" s="201"/>
      <c r="E41" s="201"/>
      <c r="F41" s="1224">
        <f t="shared" si="0"/>
        <v>2381</v>
      </c>
      <c r="G41" s="1228"/>
      <c r="H41" s="1356">
        <f t="shared" si="2"/>
        <v>14.434279415817029</v>
      </c>
      <c r="I41" s="1357"/>
      <c r="J41" s="238"/>
      <c r="K41" s="238"/>
      <c r="L41" s="1234">
        <f t="shared" si="1"/>
        <v>14.434279415817029</v>
      </c>
      <c r="M41" s="1228"/>
    </row>
    <row r="42" spans="1:13" ht="18" x14ac:dyDescent="0.25">
      <c r="A42" s="18">
        <v>1990</v>
      </c>
      <c r="B42" s="1271">
        <v>2722</v>
      </c>
      <c r="C42" s="1224"/>
      <c r="D42" s="201"/>
      <c r="E42" s="201"/>
      <c r="F42" s="1224">
        <f t="shared" si="0"/>
        <v>2722</v>
      </c>
      <c r="G42" s="1228"/>
      <c r="H42" s="1356">
        <f t="shared" si="2"/>
        <v>16.50151556902728</v>
      </c>
      <c r="I42" s="1357"/>
      <c r="J42" s="238"/>
      <c r="K42" s="238"/>
      <c r="L42" s="1234">
        <f t="shared" si="1"/>
        <v>16.50151556902728</v>
      </c>
      <c r="M42" s="1228"/>
    </row>
    <row r="43" spans="1:13" ht="18" x14ac:dyDescent="0.25">
      <c r="A43" s="18">
        <v>1991</v>
      </c>
      <c r="B43" s="1271">
        <v>2722</v>
      </c>
      <c r="C43" s="1224"/>
      <c r="D43" s="201"/>
      <c r="E43" s="201"/>
      <c r="F43" s="1224">
        <f t="shared" si="0"/>
        <v>2722</v>
      </c>
      <c r="G43" s="1228"/>
      <c r="H43" s="1356">
        <f t="shared" si="2"/>
        <v>16.50151556902728</v>
      </c>
      <c r="I43" s="1357"/>
      <c r="J43" s="238"/>
      <c r="K43" s="238"/>
      <c r="L43" s="1234">
        <f t="shared" si="1"/>
        <v>16.50151556902728</v>
      </c>
      <c r="M43" s="1228"/>
    </row>
    <row r="44" spans="1:13" ht="18" x14ac:dyDescent="0.25">
      <c r="A44" s="18">
        <v>1992</v>
      </c>
      <c r="B44" s="1271">
        <v>2722</v>
      </c>
      <c r="C44" s="1224"/>
      <c r="D44" s="201"/>
      <c r="E44" s="201"/>
      <c r="F44" s="1224">
        <f t="shared" si="0"/>
        <v>2722</v>
      </c>
      <c r="G44" s="1228"/>
      <c r="H44" s="1356">
        <f t="shared" si="2"/>
        <v>16.50151556902728</v>
      </c>
      <c r="I44" s="1357"/>
      <c r="J44" s="238"/>
      <c r="K44" s="238"/>
      <c r="L44" s="1234">
        <f t="shared" si="1"/>
        <v>16.50151556902728</v>
      </c>
      <c r="M44" s="1228"/>
    </row>
    <row r="45" spans="1:13" ht="18" x14ac:dyDescent="0.25">
      <c r="A45" s="18">
        <v>1993</v>
      </c>
      <c r="B45" s="1271">
        <v>2722</v>
      </c>
      <c r="C45" s="1224"/>
      <c r="D45" s="201"/>
      <c r="E45" s="201"/>
      <c r="F45" s="1224">
        <f t="shared" si="0"/>
        <v>2722</v>
      </c>
      <c r="G45" s="1228"/>
      <c r="H45" s="1356">
        <f t="shared" si="2"/>
        <v>16.50151556902728</v>
      </c>
      <c r="I45" s="1357"/>
      <c r="J45" s="238"/>
      <c r="K45" s="238"/>
      <c r="L45" s="1234">
        <f t="shared" si="1"/>
        <v>16.50151556902728</v>
      </c>
      <c r="M45" s="1228"/>
    </row>
    <row r="46" spans="1:13" ht="18" x14ac:dyDescent="0.25">
      <c r="A46" s="18">
        <v>1994</v>
      </c>
      <c r="B46" s="1271">
        <v>2722</v>
      </c>
      <c r="C46" s="1224"/>
      <c r="D46" s="201"/>
      <c r="E46" s="201"/>
      <c r="F46" s="1224">
        <f t="shared" si="0"/>
        <v>2722</v>
      </c>
      <c r="G46" s="1228"/>
      <c r="H46" s="1356">
        <f t="shared" si="2"/>
        <v>16.50151556902728</v>
      </c>
      <c r="I46" s="1357"/>
      <c r="J46" s="238"/>
      <c r="K46" s="238"/>
      <c r="L46" s="1234">
        <f t="shared" si="1"/>
        <v>16.50151556902728</v>
      </c>
      <c r="M46" s="1228"/>
    </row>
    <row r="47" spans="1:13" ht="18" x14ac:dyDescent="0.25">
      <c r="A47" s="18">
        <v>1995</v>
      </c>
      <c r="B47" s="1271">
        <v>3629</v>
      </c>
      <c r="C47" s="1224"/>
      <c r="D47" s="201"/>
      <c r="E47" s="201"/>
      <c r="F47" s="1224">
        <f t="shared" si="0"/>
        <v>3629</v>
      </c>
      <c r="G47" s="1228"/>
      <c r="H47" s="1356">
        <f t="shared" si="2"/>
        <v>22</v>
      </c>
      <c r="I47" s="1357"/>
      <c r="J47" s="238"/>
      <c r="K47" s="238"/>
      <c r="L47" s="1234">
        <f t="shared" si="1"/>
        <v>22</v>
      </c>
      <c r="M47" s="1228"/>
    </row>
    <row r="48" spans="1:13" ht="18" x14ac:dyDescent="0.25">
      <c r="A48" s="18">
        <v>1996</v>
      </c>
      <c r="B48" s="1271">
        <v>3629</v>
      </c>
      <c r="C48" s="1224"/>
      <c r="D48" s="201"/>
      <c r="E48" s="201"/>
      <c r="F48" s="1224">
        <f t="shared" si="0"/>
        <v>3629</v>
      </c>
      <c r="G48" s="1228"/>
      <c r="H48" s="1356">
        <f t="shared" si="2"/>
        <v>22</v>
      </c>
      <c r="I48" s="1357"/>
      <c r="J48" s="238"/>
      <c r="K48" s="238"/>
      <c r="L48" s="1234">
        <f t="shared" si="1"/>
        <v>22</v>
      </c>
      <c r="M48" s="1228"/>
    </row>
    <row r="49" spans="1:18" ht="18" x14ac:dyDescent="0.25">
      <c r="A49" s="18">
        <v>1997</v>
      </c>
      <c r="B49" s="1271">
        <v>3629</v>
      </c>
      <c r="C49" s="1224"/>
      <c r="D49" s="201"/>
      <c r="E49" s="201"/>
      <c r="F49" s="1224">
        <f t="shared" si="0"/>
        <v>3629</v>
      </c>
      <c r="G49" s="1228"/>
      <c r="H49" s="1358">
        <f>11*2</f>
        <v>22</v>
      </c>
      <c r="I49" s="1359"/>
      <c r="J49" s="238"/>
      <c r="K49" s="238"/>
      <c r="L49" s="1234">
        <f t="shared" si="1"/>
        <v>22</v>
      </c>
      <c r="M49" s="1228"/>
    </row>
    <row r="50" spans="1:18" ht="18" x14ac:dyDescent="0.25">
      <c r="A50" s="18">
        <v>1998</v>
      </c>
      <c r="B50" s="1271">
        <v>3629</v>
      </c>
      <c r="C50" s="1224"/>
      <c r="D50" s="201"/>
      <c r="E50" s="201"/>
      <c r="F50" s="1224">
        <f t="shared" si="0"/>
        <v>3629</v>
      </c>
      <c r="G50" s="1228"/>
      <c r="H50" s="1356">
        <f>B50/B$49*H$49</f>
        <v>22</v>
      </c>
      <c r="I50" s="1357"/>
      <c r="J50" s="238"/>
      <c r="K50" s="238"/>
      <c r="L50" s="1234">
        <f t="shared" si="1"/>
        <v>22</v>
      </c>
      <c r="M50" s="1228"/>
    </row>
    <row r="51" spans="1:18" ht="18" x14ac:dyDescent="0.25">
      <c r="A51" s="18">
        <v>1999</v>
      </c>
      <c r="B51" s="1271">
        <v>3629</v>
      </c>
      <c r="C51" s="1224"/>
      <c r="D51" s="201"/>
      <c r="E51" s="201"/>
      <c r="F51" s="1224">
        <f t="shared" si="0"/>
        <v>3629</v>
      </c>
      <c r="G51" s="1228"/>
      <c r="H51" s="1356">
        <f>B51/B$49*H$49</f>
        <v>22</v>
      </c>
      <c r="I51" s="1357"/>
      <c r="J51" s="238"/>
      <c r="K51" s="238"/>
      <c r="L51" s="1234">
        <f t="shared" si="1"/>
        <v>22</v>
      </c>
      <c r="M51" s="1228"/>
    </row>
    <row r="52" spans="1:18" ht="18" x14ac:dyDescent="0.25">
      <c r="A52" s="18">
        <v>2000</v>
      </c>
      <c r="B52" s="1271">
        <v>4368</v>
      </c>
      <c r="C52" s="1224"/>
      <c r="D52" s="201"/>
      <c r="E52" s="201"/>
      <c r="F52" s="1224">
        <f t="shared" si="0"/>
        <v>4368</v>
      </c>
      <c r="G52" s="1228"/>
      <c r="H52" s="1356">
        <f>B52/B$49*H$49</f>
        <v>26.4800220446404</v>
      </c>
      <c r="I52" s="1357"/>
      <c r="J52" s="238"/>
      <c r="K52" s="238"/>
      <c r="L52" s="1234">
        <f t="shared" si="1"/>
        <v>26.4800220446404</v>
      </c>
      <c r="M52" s="1228"/>
    </row>
    <row r="53" spans="1:18" ht="18" x14ac:dyDescent="0.25">
      <c r="A53" s="18">
        <v>2001</v>
      </c>
      <c r="B53" s="1271">
        <v>218</v>
      </c>
      <c r="C53" s="1224"/>
      <c r="D53" s="201"/>
      <c r="E53" s="201"/>
      <c r="F53" s="1224">
        <f t="shared" si="0"/>
        <v>218</v>
      </c>
      <c r="G53" s="1228"/>
      <c r="H53" s="1356">
        <f>B53/B$49*H$49</f>
        <v>1.3215761917883715</v>
      </c>
      <c r="I53" s="1357"/>
      <c r="J53" s="238"/>
      <c r="K53" s="238"/>
      <c r="L53" s="1234">
        <f t="shared" si="1"/>
        <v>1.3215761917883715</v>
      </c>
      <c r="M53" s="1228"/>
    </row>
    <row r="54" spans="1:18" ht="18" x14ac:dyDescent="0.25">
      <c r="A54" s="18">
        <v>2002</v>
      </c>
      <c r="B54" s="1271">
        <v>151</v>
      </c>
      <c r="C54" s="1224"/>
      <c r="D54" s="201"/>
      <c r="E54" s="201"/>
      <c r="F54" s="1224">
        <f t="shared" si="0"/>
        <v>151</v>
      </c>
      <c r="G54" s="1228"/>
      <c r="H54" s="1356">
        <f>B54/B$49*H$49</f>
        <v>0.91540369247726638</v>
      </c>
      <c r="I54" s="1357"/>
      <c r="J54" s="238"/>
      <c r="K54" s="238"/>
      <c r="L54" s="1234">
        <f t="shared" si="1"/>
        <v>0.91540369247726638</v>
      </c>
      <c r="M54" s="1228"/>
    </row>
    <row r="55" spans="1:18" ht="18" x14ac:dyDescent="0.25">
      <c r="A55" s="9">
        <v>2003</v>
      </c>
      <c r="B55" s="10">
        <v>50</v>
      </c>
      <c r="C55" s="11">
        <v>160</v>
      </c>
      <c r="D55" s="11">
        <v>50</v>
      </c>
      <c r="E55" s="11">
        <v>50</v>
      </c>
      <c r="F55" s="11">
        <f t="shared" si="0"/>
        <v>100</v>
      </c>
      <c r="G55" s="16">
        <f>C55+E55</f>
        <v>210</v>
      </c>
      <c r="H55" s="11">
        <v>0</v>
      </c>
      <c r="I55" s="11">
        <v>0</v>
      </c>
      <c r="J55" s="11">
        <v>0</v>
      </c>
      <c r="K55" s="11">
        <v>0</v>
      </c>
      <c r="L55" s="11">
        <f t="shared" ref="L55:M56" si="3">H55+J55</f>
        <v>0</v>
      </c>
      <c r="M55" s="16">
        <f>I55+K55</f>
        <v>0</v>
      </c>
      <c r="R55" s="107"/>
    </row>
    <row r="56" spans="1:18" ht="18" x14ac:dyDescent="0.25">
      <c r="A56" s="9">
        <v>2004</v>
      </c>
      <c r="B56" s="10">
        <v>50</v>
      </c>
      <c r="C56" s="11">
        <v>160</v>
      </c>
      <c r="D56" s="11">
        <v>100</v>
      </c>
      <c r="E56" s="11">
        <v>100</v>
      </c>
      <c r="F56" s="11">
        <f t="shared" si="0"/>
        <v>150</v>
      </c>
      <c r="G56" s="16">
        <f t="shared" si="0"/>
        <v>260</v>
      </c>
      <c r="H56" s="11">
        <v>0</v>
      </c>
      <c r="I56" s="11">
        <v>0</v>
      </c>
      <c r="J56" s="11">
        <v>0</v>
      </c>
      <c r="K56" s="11">
        <v>0</v>
      </c>
      <c r="L56" s="11">
        <f t="shared" si="3"/>
        <v>0</v>
      </c>
      <c r="M56" s="16">
        <f t="shared" si="3"/>
        <v>0</v>
      </c>
      <c r="R56" s="107"/>
    </row>
    <row r="57" spans="1:18" ht="18" x14ac:dyDescent="0.25">
      <c r="A57" s="9">
        <v>2005</v>
      </c>
      <c r="B57" s="10">
        <v>73</v>
      </c>
      <c r="C57" s="11">
        <v>162</v>
      </c>
      <c r="D57" s="11">
        <v>170</v>
      </c>
      <c r="E57" s="11">
        <v>170</v>
      </c>
      <c r="F57" s="11">
        <f t="shared" ref="F57:G82" si="4">B57+D57</f>
        <v>243</v>
      </c>
      <c r="G57" s="16">
        <f t="shared" si="4"/>
        <v>332</v>
      </c>
      <c r="H57" s="11">
        <v>0</v>
      </c>
      <c r="I57" s="11">
        <v>0</v>
      </c>
      <c r="J57" s="11">
        <v>0</v>
      </c>
      <c r="K57" s="11">
        <v>0</v>
      </c>
      <c r="L57" s="11">
        <f t="shared" ref="L57:M77" si="5">H57+J57</f>
        <v>0</v>
      </c>
      <c r="M57" s="16">
        <f t="shared" si="5"/>
        <v>0</v>
      </c>
      <c r="R57" s="107"/>
    </row>
    <row r="58" spans="1:18" ht="18" x14ac:dyDescent="0.25">
      <c r="A58" s="9">
        <v>2006</v>
      </c>
      <c r="B58" s="10">
        <v>50</v>
      </c>
      <c r="C58" s="11">
        <v>100</v>
      </c>
      <c r="D58" s="11">
        <v>250</v>
      </c>
      <c r="E58" s="11">
        <v>250</v>
      </c>
      <c r="F58" s="11">
        <f t="shared" si="4"/>
        <v>300</v>
      </c>
      <c r="G58" s="16">
        <f t="shared" si="4"/>
        <v>350</v>
      </c>
      <c r="H58" s="11">
        <v>0</v>
      </c>
      <c r="I58" s="11">
        <v>0</v>
      </c>
      <c r="J58" s="11">
        <v>0</v>
      </c>
      <c r="K58" s="11">
        <v>0</v>
      </c>
      <c r="L58" s="11">
        <f t="shared" si="5"/>
        <v>0</v>
      </c>
      <c r="M58" s="16">
        <f t="shared" si="5"/>
        <v>0</v>
      </c>
      <c r="R58" s="107"/>
    </row>
    <row r="59" spans="1:18" ht="18" x14ac:dyDescent="0.25">
      <c r="A59" s="9">
        <v>2007</v>
      </c>
      <c r="B59" s="10">
        <v>25</v>
      </c>
      <c r="C59" s="11">
        <v>50</v>
      </c>
      <c r="D59" s="11">
        <v>180</v>
      </c>
      <c r="E59" s="11">
        <v>180</v>
      </c>
      <c r="F59" s="11">
        <f t="shared" si="4"/>
        <v>205</v>
      </c>
      <c r="G59" s="16">
        <f t="shared" si="4"/>
        <v>230</v>
      </c>
      <c r="H59" s="11">
        <v>0</v>
      </c>
      <c r="I59" s="11">
        <v>0</v>
      </c>
      <c r="J59" s="11">
        <v>0</v>
      </c>
      <c r="K59" s="11">
        <v>0</v>
      </c>
      <c r="L59" s="11">
        <f t="shared" si="5"/>
        <v>0</v>
      </c>
      <c r="M59" s="16">
        <f t="shared" si="5"/>
        <v>0</v>
      </c>
      <c r="R59" s="107"/>
    </row>
    <row r="60" spans="1:18" ht="18" x14ac:dyDescent="0.25">
      <c r="A60" s="9">
        <v>2008</v>
      </c>
      <c r="B60" s="10">
        <v>0</v>
      </c>
      <c r="C60" s="11">
        <v>0</v>
      </c>
      <c r="D60" s="11">
        <v>100</v>
      </c>
      <c r="E60" s="11">
        <v>100</v>
      </c>
      <c r="F60" s="11">
        <f t="shared" si="4"/>
        <v>100</v>
      </c>
      <c r="G60" s="16">
        <f t="shared" si="4"/>
        <v>100</v>
      </c>
      <c r="H60" s="11">
        <v>0</v>
      </c>
      <c r="I60" s="11">
        <v>0</v>
      </c>
      <c r="J60" s="11">
        <v>0</v>
      </c>
      <c r="K60" s="11">
        <v>0</v>
      </c>
      <c r="L60" s="11">
        <f t="shared" si="5"/>
        <v>0</v>
      </c>
      <c r="M60" s="16">
        <f t="shared" si="5"/>
        <v>0</v>
      </c>
      <c r="R60" s="107"/>
    </row>
    <row r="61" spans="1:18" ht="18" x14ac:dyDescent="0.25">
      <c r="A61" s="9">
        <v>2009</v>
      </c>
      <c r="B61" s="10">
        <v>0</v>
      </c>
      <c r="C61" s="11">
        <v>0</v>
      </c>
      <c r="D61" s="11">
        <v>100</v>
      </c>
      <c r="E61" s="11">
        <v>100</v>
      </c>
      <c r="F61" s="11">
        <f t="shared" si="4"/>
        <v>100</v>
      </c>
      <c r="G61" s="16">
        <f t="shared" si="4"/>
        <v>100</v>
      </c>
      <c r="H61" s="11">
        <v>0</v>
      </c>
      <c r="I61" s="11">
        <v>0</v>
      </c>
      <c r="J61" s="11">
        <v>0</v>
      </c>
      <c r="K61" s="11">
        <v>0</v>
      </c>
      <c r="L61" s="11">
        <f t="shared" si="5"/>
        <v>0</v>
      </c>
      <c r="M61" s="16">
        <f t="shared" si="5"/>
        <v>0</v>
      </c>
      <c r="R61" s="107"/>
    </row>
    <row r="62" spans="1:18" ht="18" x14ac:dyDescent="0.25">
      <c r="A62" s="9">
        <v>2010</v>
      </c>
      <c r="B62" s="10">
        <v>0</v>
      </c>
      <c r="C62" s="11">
        <v>0</v>
      </c>
      <c r="D62" s="11">
        <v>100</v>
      </c>
      <c r="E62" s="11">
        <v>100</v>
      </c>
      <c r="F62" s="11">
        <f t="shared" si="4"/>
        <v>100</v>
      </c>
      <c r="G62" s="16">
        <f t="shared" si="4"/>
        <v>100</v>
      </c>
      <c r="H62" s="11">
        <v>0</v>
      </c>
      <c r="I62" s="11">
        <v>0</v>
      </c>
      <c r="J62" s="11">
        <v>0</v>
      </c>
      <c r="K62" s="11">
        <v>0</v>
      </c>
      <c r="L62" s="11">
        <f t="shared" si="5"/>
        <v>0</v>
      </c>
      <c r="M62" s="16">
        <f t="shared" si="5"/>
        <v>0</v>
      </c>
      <c r="R62" s="107"/>
    </row>
    <row r="63" spans="1:18" ht="18" x14ac:dyDescent="0.25">
      <c r="A63" s="9">
        <v>2011</v>
      </c>
      <c r="B63" s="10">
        <v>0</v>
      </c>
      <c r="C63" s="11">
        <v>0</v>
      </c>
      <c r="D63" s="11">
        <v>80</v>
      </c>
      <c r="E63" s="11">
        <v>100</v>
      </c>
      <c r="F63" s="11">
        <f t="shared" si="4"/>
        <v>80</v>
      </c>
      <c r="G63" s="16">
        <f t="shared" si="4"/>
        <v>100</v>
      </c>
      <c r="H63" s="11">
        <v>0</v>
      </c>
      <c r="I63" s="11">
        <v>0</v>
      </c>
      <c r="J63" s="11">
        <v>0</v>
      </c>
      <c r="K63" s="11">
        <v>0</v>
      </c>
      <c r="L63" s="11">
        <f t="shared" si="5"/>
        <v>0</v>
      </c>
      <c r="M63" s="16">
        <f t="shared" si="5"/>
        <v>0</v>
      </c>
      <c r="R63" s="107"/>
    </row>
    <row r="64" spans="1:18" ht="18" x14ac:dyDescent="0.25">
      <c r="A64" s="9">
        <v>2012</v>
      </c>
      <c r="B64" s="10">
        <v>0</v>
      </c>
      <c r="C64" s="11">
        <v>0</v>
      </c>
      <c r="D64" s="11">
        <v>60</v>
      </c>
      <c r="E64" s="11">
        <v>100</v>
      </c>
      <c r="F64" s="11">
        <f t="shared" si="4"/>
        <v>60</v>
      </c>
      <c r="G64" s="16">
        <f t="shared" si="4"/>
        <v>100</v>
      </c>
      <c r="H64" s="11">
        <v>0</v>
      </c>
      <c r="I64" s="11">
        <v>0</v>
      </c>
      <c r="J64" s="11">
        <v>0</v>
      </c>
      <c r="K64" s="11">
        <v>0</v>
      </c>
      <c r="L64" s="11">
        <f t="shared" si="5"/>
        <v>0</v>
      </c>
      <c r="M64" s="16">
        <f t="shared" si="5"/>
        <v>0</v>
      </c>
      <c r="R64" s="107"/>
    </row>
    <row r="65" spans="1:18" ht="18" x14ac:dyDescent="0.25">
      <c r="A65" s="9">
        <v>2013</v>
      </c>
      <c r="B65" s="10">
        <v>0</v>
      </c>
      <c r="C65" s="11">
        <v>0</v>
      </c>
      <c r="D65" s="11">
        <v>40</v>
      </c>
      <c r="E65" s="11">
        <v>100</v>
      </c>
      <c r="F65" s="11">
        <f t="shared" si="4"/>
        <v>40</v>
      </c>
      <c r="G65" s="16">
        <f t="shared" si="4"/>
        <v>100</v>
      </c>
      <c r="H65" s="11">
        <v>0</v>
      </c>
      <c r="I65" s="11">
        <v>0</v>
      </c>
      <c r="J65" s="11">
        <v>0</v>
      </c>
      <c r="K65" s="11">
        <v>0</v>
      </c>
      <c r="L65" s="11">
        <f t="shared" si="5"/>
        <v>0</v>
      </c>
      <c r="M65" s="16">
        <f t="shared" si="5"/>
        <v>0</v>
      </c>
      <c r="R65" s="107"/>
    </row>
    <row r="66" spans="1:18" ht="18" x14ac:dyDescent="0.25">
      <c r="A66" s="9">
        <v>2014</v>
      </c>
      <c r="B66" s="10">
        <v>0</v>
      </c>
      <c r="C66" s="11">
        <v>0</v>
      </c>
      <c r="D66" s="11">
        <v>20</v>
      </c>
      <c r="E66" s="11">
        <v>100</v>
      </c>
      <c r="F66" s="11">
        <f t="shared" si="4"/>
        <v>20</v>
      </c>
      <c r="G66" s="16">
        <f t="shared" si="4"/>
        <v>100</v>
      </c>
      <c r="H66" s="11">
        <v>0</v>
      </c>
      <c r="I66" s="11">
        <v>0</v>
      </c>
      <c r="J66" s="11">
        <v>0</v>
      </c>
      <c r="K66" s="11">
        <v>0</v>
      </c>
      <c r="L66" s="11">
        <f t="shared" si="5"/>
        <v>0</v>
      </c>
      <c r="M66" s="16">
        <f t="shared" si="5"/>
        <v>0</v>
      </c>
      <c r="R66" s="107"/>
    </row>
    <row r="67" spans="1:18" ht="18" x14ac:dyDescent="0.25">
      <c r="A67" s="9">
        <v>2015</v>
      </c>
      <c r="B67" s="10">
        <v>0</v>
      </c>
      <c r="C67" s="11">
        <v>0</v>
      </c>
      <c r="D67" s="11">
        <v>0</v>
      </c>
      <c r="E67" s="11">
        <v>100</v>
      </c>
      <c r="F67" s="11">
        <f t="shared" si="4"/>
        <v>0</v>
      </c>
      <c r="G67" s="16">
        <f t="shared" si="4"/>
        <v>100</v>
      </c>
      <c r="H67" s="11">
        <v>0</v>
      </c>
      <c r="I67" s="11">
        <v>0</v>
      </c>
      <c r="J67" s="11">
        <v>0</v>
      </c>
      <c r="K67" s="11">
        <v>0</v>
      </c>
      <c r="L67" s="11">
        <f t="shared" si="5"/>
        <v>0</v>
      </c>
      <c r="M67" s="16">
        <f t="shared" si="5"/>
        <v>0</v>
      </c>
      <c r="R67" s="107"/>
    </row>
    <row r="68" spans="1:18" ht="18" x14ac:dyDescent="0.25">
      <c r="A68" s="12">
        <v>2016</v>
      </c>
      <c r="B68" s="13">
        <v>0</v>
      </c>
      <c r="C68" s="14">
        <v>0</v>
      </c>
      <c r="D68" s="14">
        <v>0</v>
      </c>
      <c r="E68" s="14">
        <v>100</v>
      </c>
      <c r="F68" s="14">
        <f t="shared" si="4"/>
        <v>0</v>
      </c>
      <c r="G68" s="17">
        <f t="shared" si="4"/>
        <v>100</v>
      </c>
      <c r="H68" s="13">
        <v>0</v>
      </c>
      <c r="I68" s="14">
        <v>0</v>
      </c>
      <c r="J68" s="14">
        <v>0</v>
      </c>
      <c r="K68" s="14">
        <v>0</v>
      </c>
      <c r="L68" s="14">
        <f t="shared" si="5"/>
        <v>0</v>
      </c>
      <c r="M68" s="17">
        <f t="shared" si="5"/>
        <v>0</v>
      </c>
      <c r="R68" s="107"/>
    </row>
    <row r="69" spans="1:18" ht="18" x14ac:dyDescent="0.25">
      <c r="A69" s="12">
        <v>2017</v>
      </c>
      <c r="B69" s="13">
        <v>0</v>
      </c>
      <c r="C69" s="14">
        <v>0</v>
      </c>
      <c r="D69" s="14">
        <v>0</v>
      </c>
      <c r="E69" s="14">
        <v>100</v>
      </c>
      <c r="F69" s="14">
        <f t="shared" si="4"/>
        <v>0</v>
      </c>
      <c r="G69" s="17">
        <f t="shared" si="4"/>
        <v>100</v>
      </c>
      <c r="H69" s="13">
        <v>0</v>
      </c>
      <c r="I69" s="14">
        <v>0</v>
      </c>
      <c r="J69" s="14">
        <v>0</v>
      </c>
      <c r="K69" s="14">
        <v>0</v>
      </c>
      <c r="L69" s="14">
        <f t="shared" si="5"/>
        <v>0</v>
      </c>
      <c r="M69" s="17">
        <f t="shared" si="5"/>
        <v>0</v>
      </c>
      <c r="R69" s="107"/>
    </row>
    <row r="70" spans="1:18" ht="18" x14ac:dyDescent="0.25">
      <c r="A70" s="12">
        <v>2018</v>
      </c>
      <c r="B70" s="13">
        <v>0</v>
      </c>
      <c r="C70" s="14">
        <v>0</v>
      </c>
      <c r="D70" s="14">
        <v>0</v>
      </c>
      <c r="E70" s="14">
        <v>100</v>
      </c>
      <c r="F70" s="14">
        <f t="shared" si="4"/>
        <v>0</v>
      </c>
      <c r="G70" s="17">
        <f t="shared" si="4"/>
        <v>100</v>
      </c>
      <c r="H70" s="13">
        <v>0</v>
      </c>
      <c r="I70" s="14">
        <v>0</v>
      </c>
      <c r="J70" s="14">
        <v>0</v>
      </c>
      <c r="K70" s="14">
        <v>0</v>
      </c>
      <c r="L70" s="14">
        <f t="shared" si="5"/>
        <v>0</v>
      </c>
      <c r="M70" s="17">
        <f t="shared" si="5"/>
        <v>0</v>
      </c>
      <c r="R70" s="107"/>
    </row>
    <row r="71" spans="1:18" ht="18" x14ac:dyDescent="0.25">
      <c r="A71" s="12">
        <v>2019</v>
      </c>
      <c r="B71" s="13">
        <v>0</v>
      </c>
      <c r="C71" s="14">
        <v>0</v>
      </c>
      <c r="D71" s="14">
        <v>0</v>
      </c>
      <c r="E71" s="14">
        <v>100</v>
      </c>
      <c r="F71" s="14">
        <f t="shared" si="4"/>
        <v>0</v>
      </c>
      <c r="G71" s="17">
        <f t="shared" si="4"/>
        <v>100</v>
      </c>
      <c r="H71" s="13">
        <v>0</v>
      </c>
      <c r="I71" s="14">
        <v>0</v>
      </c>
      <c r="J71" s="14">
        <v>0</v>
      </c>
      <c r="K71" s="14">
        <v>0</v>
      </c>
      <c r="L71" s="14">
        <f t="shared" si="5"/>
        <v>0</v>
      </c>
      <c r="M71" s="17">
        <f t="shared" si="5"/>
        <v>0</v>
      </c>
      <c r="R71" s="107"/>
    </row>
    <row r="72" spans="1:18" ht="18" x14ac:dyDescent="0.25">
      <c r="A72" s="12">
        <v>2020</v>
      </c>
      <c r="B72" s="13">
        <v>0</v>
      </c>
      <c r="C72" s="14">
        <v>0</v>
      </c>
      <c r="D72" s="14">
        <v>0</v>
      </c>
      <c r="E72" s="14">
        <v>100</v>
      </c>
      <c r="F72" s="14">
        <f t="shared" si="4"/>
        <v>0</v>
      </c>
      <c r="G72" s="17">
        <f t="shared" si="4"/>
        <v>100</v>
      </c>
      <c r="H72" s="13">
        <v>0</v>
      </c>
      <c r="I72" s="14">
        <v>0</v>
      </c>
      <c r="J72" s="14">
        <v>0</v>
      </c>
      <c r="K72" s="14">
        <v>0</v>
      </c>
      <c r="L72" s="14">
        <f t="shared" si="5"/>
        <v>0</v>
      </c>
      <c r="M72" s="17">
        <f t="shared" si="5"/>
        <v>0</v>
      </c>
      <c r="R72" s="107"/>
    </row>
    <row r="73" spans="1:18" ht="18" x14ac:dyDescent="0.25">
      <c r="A73" s="12">
        <v>2021</v>
      </c>
      <c r="B73" s="13">
        <v>0</v>
      </c>
      <c r="C73" s="14">
        <v>0</v>
      </c>
      <c r="D73" s="14">
        <v>0</v>
      </c>
      <c r="E73" s="14">
        <v>100</v>
      </c>
      <c r="F73" s="14">
        <f t="shared" si="4"/>
        <v>0</v>
      </c>
      <c r="G73" s="17">
        <f t="shared" si="4"/>
        <v>100</v>
      </c>
      <c r="H73" s="13">
        <v>0</v>
      </c>
      <c r="I73" s="14">
        <v>0</v>
      </c>
      <c r="J73" s="14">
        <v>0</v>
      </c>
      <c r="K73" s="14">
        <v>0</v>
      </c>
      <c r="L73" s="14">
        <f t="shared" si="5"/>
        <v>0</v>
      </c>
      <c r="M73" s="17">
        <f t="shared" si="5"/>
        <v>0</v>
      </c>
      <c r="R73" s="107"/>
    </row>
    <row r="74" spans="1:18" ht="18" x14ac:dyDescent="0.25">
      <c r="A74" s="12">
        <v>2022</v>
      </c>
      <c r="B74" s="13">
        <v>0</v>
      </c>
      <c r="C74" s="14">
        <v>0</v>
      </c>
      <c r="D74" s="14">
        <v>0</v>
      </c>
      <c r="E74" s="14">
        <v>100</v>
      </c>
      <c r="F74" s="14">
        <f t="shared" si="4"/>
        <v>0</v>
      </c>
      <c r="G74" s="17">
        <f t="shared" si="4"/>
        <v>100</v>
      </c>
      <c r="H74" s="13">
        <v>0</v>
      </c>
      <c r="I74" s="14">
        <v>0</v>
      </c>
      <c r="J74" s="14">
        <v>0</v>
      </c>
      <c r="K74" s="14">
        <v>0</v>
      </c>
      <c r="L74" s="14">
        <f t="shared" si="5"/>
        <v>0</v>
      </c>
      <c r="M74" s="17">
        <f t="shared" si="5"/>
        <v>0</v>
      </c>
      <c r="R74" s="107"/>
    </row>
    <row r="75" spans="1:18" ht="18" x14ac:dyDescent="0.25">
      <c r="A75" s="12">
        <v>2023</v>
      </c>
      <c r="B75" s="13">
        <v>0</v>
      </c>
      <c r="C75" s="14">
        <v>0</v>
      </c>
      <c r="D75" s="14">
        <v>0</v>
      </c>
      <c r="E75" s="14">
        <v>100</v>
      </c>
      <c r="F75" s="14">
        <f t="shared" si="4"/>
        <v>0</v>
      </c>
      <c r="G75" s="17">
        <f t="shared" si="4"/>
        <v>100</v>
      </c>
      <c r="H75" s="13">
        <v>0</v>
      </c>
      <c r="I75" s="14">
        <v>0</v>
      </c>
      <c r="J75" s="14">
        <v>0</v>
      </c>
      <c r="K75" s="14">
        <v>0</v>
      </c>
      <c r="L75" s="14">
        <f t="shared" si="5"/>
        <v>0</v>
      </c>
      <c r="M75" s="17">
        <f t="shared" si="5"/>
        <v>0</v>
      </c>
      <c r="R75" s="107"/>
    </row>
    <row r="76" spans="1:18" ht="18" x14ac:dyDescent="0.25">
      <c r="A76" s="12">
        <v>2024</v>
      </c>
      <c r="B76" s="13">
        <v>0</v>
      </c>
      <c r="C76" s="14">
        <v>0</v>
      </c>
      <c r="D76" s="14">
        <v>0</v>
      </c>
      <c r="E76" s="14">
        <v>100</v>
      </c>
      <c r="F76" s="14">
        <f t="shared" si="4"/>
        <v>0</v>
      </c>
      <c r="G76" s="17">
        <f t="shared" si="4"/>
        <v>100</v>
      </c>
      <c r="H76" s="13">
        <v>0</v>
      </c>
      <c r="I76" s="14">
        <v>0</v>
      </c>
      <c r="J76" s="14">
        <v>0</v>
      </c>
      <c r="K76" s="14">
        <v>0</v>
      </c>
      <c r="L76" s="14">
        <f t="shared" si="5"/>
        <v>0</v>
      </c>
      <c r="M76" s="17">
        <f t="shared" si="5"/>
        <v>0</v>
      </c>
      <c r="R76" s="107"/>
    </row>
    <row r="77" spans="1:18" ht="18" x14ac:dyDescent="0.25">
      <c r="A77" s="12">
        <v>2025</v>
      </c>
      <c r="B77" s="13">
        <v>0</v>
      </c>
      <c r="C77" s="14">
        <v>0</v>
      </c>
      <c r="D77" s="14">
        <v>0</v>
      </c>
      <c r="E77" s="14">
        <v>100</v>
      </c>
      <c r="F77" s="14">
        <f t="shared" si="4"/>
        <v>0</v>
      </c>
      <c r="G77" s="17">
        <f t="shared" si="4"/>
        <v>100</v>
      </c>
      <c r="H77" s="13">
        <v>0</v>
      </c>
      <c r="I77" s="14">
        <v>0</v>
      </c>
      <c r="J77" s="14">
        <v>0</v>
      </c>
      <c r="K77" s="14">
        <v>0</v>
      </c>
      <c r="L77" s="14">
        <f t="shared" si="5"/>
        <v>0</v>
      </c>
      <c r="M77" s="17">
        <f t="shared" si="5"/>
        <v>0</v>
      </c>
      <c r="R77" s="107"/>
    </row>
    <row r="78" spans="1:18" ht="18" x14ac:dyDescent="0.25">
      <c r="A78" s="12">
        <v>2026</v>
      </c>
      <c r="B78" s="13">
        <v>0</v>
      </c>
      <c r="C78" s="14">
        <v>0</v>
      </c>
      <c r="D78" s="14">
        <v>0</v>
      </c>
      <c r="E78" s="14">
        <v>100</v>
      </c>
      <c r="F78" s="14">
        <f t="shared" si="4"/>
        <v>0</v>
      </c>
      <c r="G78" s="17">
        <f t="shared" si="4"/>
        <v>100</v>
      </c>
      <c r="H78" s="13">
        <v>0</v>
      </c>
      <c r="I78" s="14">
        <v>0</v>
      </c>
      <c r="J78" s="14">
        <v>0</v>
      </c>
      <c r="K78" s="14">
        <v>0</v>
      </c>
      <c r="L78" s="14">
        <f t="shared" ref="L78:M82" si="6">H78+J78</f>
        <v>0</v>
      </c>
      <c r="M78" s="17">
        <f t="shared" si="6"/>
        <v>0</v>
      </c>
      <c r="R78" s="107"/>
    </row>
    <row r="79" spans="1:18" ht="18" x14ac:dyDescent="0.25">
      <c r="A79" s="12">
        <v>2027</v>
      </c>
      <c r="B79" s="13">
        <v>0</v>
      </c>
      <c r="C79" s="14">
        <v>0</v>
      </c>
      <c r="D79" s="14">
        <v>0</v>
      </c>
      <c r="E79" s="14">
        <v>100</v>
      </c>
      <c r="F79" s="14">
        <f t="shared" si="4"/>
        <v>0</v>
      </c>
      <c r="G79" s="17">
        <f t="shared" si="4"/>
        <v>100</v>
      </c>
      <c r="H79" s="13">
        <v>0</v>
      </c>
      <c r="I79" s="14">
        <v>0</v>
      </c>
      <c r="J79" s="14">
        <v>0</v>
      </c>
      <c r="K79" s="14">
        <v>0</v>
      </c>
      <c r="L79" s="14">
        <f t="shared" si="6"/>
        <v>0</v>
      </c>
      <c r="M79" s="17">
        <f t="shared" si="6"/>
        <v>0</v>
      </c>
      <c r="R79" s="107"/>
    </row>
    <row r="80" spans="1:18" ht="18" x14ac:dyDescent="0.25">
      <c r="A80" s="12">
        <v>2028</v>
      </c>
      <c r="B80" s="13">
        <v>0</v>
      </c>
      <c r="C80" s="14">
        <v>0</v>
      </c>
      <c r="D80" s="14">
        <v>0</v>
      </c>
      <c r="E80" s="14">
        <v>100</v>
      </c>
      <c r="F80" s="14">
        <f t="shared" si="4"/>
        <v>0</v>
      </c>
      <c r="G80" s="17">
        <f t="shared" si="4"/>
        <v>100</v>
      </c>
      <c r="H80" s="13">
        <v>0</v>
      </c>
      <c r="I80" s="14">
        <v>0</v>
      </c>
      <c r="J80" s="14">
        <v>0</v>
      </c>
      <c r="K80" s="14">
        <v>0</v>
      </c>
      <c r="L80" s="14">
        <f t="shared" si="6"/>
        <v>0</v>
      </c>
      <c r="M80" s="17">
        <f t="shared" si="6"/>
        <v>0</v>
      </c>
      <c r="R80" s="107"/>
    </row>
    <row r="81" spans="1:18" ht="18" x14ac:dyDescent="0.25">
      <c r="A81" s="12">
        <v>2029</v>
      </c>
      <c r="B81" s="13">
        <v>0</v>
      </c>
      <c r="C81" s="14">
        <v>0</v>
      </c>
      <c r="D81" s="14">
        <v>0</v>
      </c>
      <c r="E81" s="14">
        <v>100</v>
      </c>
      <c r="F81" s="14">
        <f t="shared" si="4"/>
        <v>0</v>
      </c>
      <c r="G81" s="17">
        <f t="shared" si="4"/>
        <v>100</v>
      </c>
      <c r="H81" s="13">
        <v>0</v>
      </c>
      <c r="I81" s="14">
        <v>0</v>
      </c>
      <c r="J81" s="14">
        <v>0</v>
      </c>
      <c r="K81" s="14">
        <v>0</v>
      </c>
      <c r="L81" s="14">
        <f t="shared" si="6"/>
        <v>0</v>
      </c>
      <c r="M81" s="17">
        <f t="shared" si="6"/>
        <v>0</v>
      </c>
      <c r="R81" s="107"/>
    </row>
    <row r="82" spans="1:18" ht="18" x14ac:dyDescent="0.25">
      <c r="A82" s="12">
        <v>2030</v>
      </c>
      <c r="B82" s="13">
        <v>0</v>
      </c>
      <c r="C82" s="14">
        <v>0</v>
      </c>
      <c r="D82" s="14">
        <v>0</v>
      </c>
      <c r="E82" s="14">
        <v>100</v>
      </c>
      <c r="F82" s="14">
        <f t="shared" si="4"/>
        <v>0</v>
      </c>
      <c r="G82" s="17">
        <f t="shared" si="4"/>
        <v>100</v>
      </c>
      <c r="H82" s="13">
        <v>0</v>
      </c>
      <c r="I82" s="14">
        <v>0</v>
      </c>
      <c r="J82" s="14">
        <v>0</v>
      </c>
      <c r="K82" s="14">
        <v>0</v>
      </c>
      <c r="L82" s="14">
        <f t="shared" si="6"/>
        <v>0</v>
      </c>
      <c r="M82" s="17">
        <f t="shared" si="6"/>
        <v>0</v>
      </c>
      <c r="R82" s="107"/>
    </row>
    <row r="83" spans="1:18" ht="18" x14ac:dyDescent="0.25">
      <c r="A83" s="19" t="s">
        <v>4</v>
      </c>
      <c r="B83" s="1314">
        <f>ROUND(SUM(B10:B54),-1)</f>
        <v>65780</v>
      </c>
      <c r="C83" s="1314"/>
      <c r="D83" s="200">
        <v>0</v>
      </c>
      <c r="E83" s="200">
        <v>0</v>
      </c>
      <c r="F83" s="1314">
        <f>ROUND(SUM(F10:F54),-1)</f>
        <v>65780</v>
      </c>
      <c r="G83" s="1345"/>
      <c r="H83" s="1344">
        <f>ROUND(SUM(H10:I54),-1)</f>
        <v>350</v>
      </c>
      <c r="I83" s="1314"/>
      <c r="J83" s="237">
        <v>0</v>
      </c>
      <c r="K83" s="237">
        <v>0</v>
      </c>
      <c r="L83" s="1314">
        <f>ROUND(SUM(L10:L54),-1)</f>
        <v>350</v>
      </c>
      <c r="M83" s="1345"/>
      <c r="R83" s="1"/>
    </row>
    <row r="84" spans="1:18" ht="18" x14ac:dyDescent="0.25">
      <c r="A84" s="20" t="s">
        <v>5</v>
      </c>
      <c r="B84" s="22">
        <f t="shared" ref="B84:M84" si="7">ROUND(SUM(B55:B67),-1)</f>
        <v>250</v>
      </c>
      <c r="C84" s="23">
        <f t="shared" si="7"/>
        <v>630</v>
      </c>
      <c r="D84" s="23">
        <f t="shared" si="7"/>
        <v>1250</v>
      </c>
      <c r="E84" s="23">
        <f t="shared" si="7"/>
        <v>1550</v>
      </c>
      <c r="F84" s="23">
        <f t="shared" si="7"/>
        <v>1500</v>
      </c>
      <c r="G84" s="28">
        <f t="shared" si="7"/>
        <v>2180</v>
      </c>
      <c r="H84" s="22">
        <f t="shared" si="7"/>
        <v>0</v>
      </c>
      <c r="I84" s="23">
        <f t="shared" si="7"/>
        <v>0</v>
      </c>
      <c r="J84" s="23">
        <f t="shared" si="7"/>
        <v>0</v>
      </c>
      <c r="K84" s="23">
        <f t="shared" si="7"/>
        <v>0</v>
      </c>
      <c r="L84" s="23">
        <f t="shared" si="7"/>
        <v>0</v>
      </c>
      <c r="M84" s="28">
        <f t="shared" si="7"/>
        <v>0</v>
      </c>
    </row>
    <row r="85" spans="1:18" ht="18" x14ac:dyDescent="0.25">
      <c r="A85" s="20" t="s">
        <v>43</v>
      </c>
      <c r="B85" s="22">
        <f t="shared" ref="B85:M85" si="8">ROUND(SUM(B68:B82),-1)</f>
        <v>0</v>
      </c>
      <c r="C85" s="23">
        <f t="shared" si="8"/>
        <v>0</v>
      </c>
      <c r="D85" s="23">
        <f t="shared" si="8"/>
        <v>0</v>
      </c>
      <c r="E85" s="23">
        <f t="shared" si="8"/>
        <v>1500</v>
      </c>
      <c r="F85" s="23">
        <f t="shared" si="8"/>
        <v>0</v>
      </c>
      <c r="G85" s="28">
        <f t="shared" si="8"/>
        <v>1500</v>
      </c>
      <c r="H85" s="22">
        <f t="shared" si="8"/>
        <v>0</v>
      </c>
      <c r="I85" s="23">
        <f t="shared" si="8"/>
        <v>0</v>
      </c>
      <c r="J85" s="23">
        <f t="shared" si="8"/>
        <v>0</v>
      </c>
      <c r="K85" s="23">
        <f t="shared" si="8"/>
        <v>0</v>
      </c>
      <c r="L85" s="23">
        <f t="shared" si="8"/>
        <v>0</v>
      </c>
      <c r="M85" s="28">
        <f t="shared" si="8"/>
        <v>0</v>
      </c>
    </row>
    <row r="86" spans="1:18" ht="19" thickBot="1" x14ac:dyDescent="0.3">
      <c r="A86" s="21" t="s">
        <v>0</v>
      </c>
      <c r="B86" s="24">
        <f>SUM(B83:B85)</f>
        <v>66030</v>
      </c>
      <c r="C86" s="25">
        <f>B83+C84</f>
        <v>66410</v>
      </c>
      <c r="D86" s="25">
        <f>SUM(D83:D85)</f>
        <v>1250</v>
      </c>
      <c r="E86" s="25">
        <f>SUM(E83:E85)</f>
        <v>3050</v>
      </c>
      <c r="F86" s="25">
        <f>F84+F83</f>
        <v>67280</v>
      </c>
      <c r="G86" s="29">
        <f>F83+G84</f>
        <v>67960</v>
      </c>
      <c r="H86" s="24">
        <f>SUM(H83:H85)</f>
        <v>350</v>
      </c>
      <c r="I86" s="25">
        <f>H83+I84</f>
        <v>350</v>
      </c>
      <c r="J86" s="25">
        <f>SUM(J83:J85)</f>
        <v>0</v>
      </c>
      <c r="K86" s="25">
        <f>SUM(K83:K85)</f>
        <v>0</v>
      </c>
      <c r="L86" s="25">
        <f>L84+L83</f>
        <v>350</v>
      </c>
      <c r="M86" s="29">
        <f>L83+M84</f>
        <v>350</v>
      </c>
    </row>
  </sheetData>
  <mergeCells count="196">
    <mergeCell ref="B48:C48"/>
    <mergeCell ref="F48:G48"/>
    <mergeCell ref="B49:C49"/>
    <mergeCell ref="F49:G49"/>
    <mergeCell ref="B50:C50"/>
    <mergeCell ref="F50:G50"/>
    <mergeCell ref="B51:C51"/>
    <mergeCell ref="F51:G51"/>
    <mergeCell ref="B83:C83"/>
    <mergeCell ref="F83:G83"/>
    <mergeCell ref="B52:C52"/>
    <mergeCell ref="F52:G52"/>
    <mergeCell ref="B53:C53"/>
    <mergeCell ref="F53:G53"/>
    <mergeCell ref="B54:C54"/>
    <mergeCell ref="F54:G54"/>
    <mergeCell ref="B43:C43"/>
    <mergeCell ref="F43:G43"/>
    <mergeCell ref="B44:C44"/>
    <mergeCell ref="F44:G44"/>
    <mergeCell ref="B45:C45"/>
    <mergeCell ref="F45:G45"/>
    <mergeCell ref="B46:C46"/>
    <mergeCell ref="F46:G46"/>
    <mergeCell ref="B47:C47"/>
    <mergeCell ref="F47:G47"/>
    <mergeCell ref="B38:C38"/>
    <mergeCell ref="F38:G38"/>
    <mergeCell ref="B39:C39"/>
    <mergeCell ref="F39:G39"/>
    <mergeCell ref="B40:C40"/>
    <mergeCell ref="F40:G40"/>
    <mergeCell ref="B41:C41"/>
    <mergeCell ref="F41:G41"/>
    <mergeCell ref="B42:C42"/>
    <mergeCell ref="F42:G42"/>
    <mergeCell ref="B33:C33"/>
    <mergeCell ref="F33:G33"/>
    <mergeCell ref="B34:C34"/>
    <mergeCell ref="F34:G34"/>
    <mergeCell ref="B35:C35"/>
    <mergeCell ref="F35:G35"/>
    <mergeCell ref="B36:C36"/>
    <mergeCell ref="F36:G36"/>
    <mergeCell ref="B37:C37"/>
    <mergeCell ref="F37:G37"/>
    <mergeCell ref="B28:C28"/>
    <mergeCell ref="F28:G28"/>
    <mergeCell ref="B29:C29"/>
    <mergeCell ref="F29:G29"/>
    <mergeCell ref="B30:C30"/>
    <mergeCell ref="F30:G30"/>
    <mergeCell ref="B31:C31"/>
    <mergeCell ref="F31:G31"/>
    <mergeCell ref="B32:C32"/>
    <mergeCell ref="F32:G32"/>
    <mergeCell ref="B23:C23"/>
    <mergeCell ref="F23:G23"/>
    <mergeCell ref="B24:C24"/>
    <mergeCell ref="F24:G24"/>
    <mergeCell ref="B25:C25"/>
    <mergeCell ref="F25:G25"/>
    <mergeCell ref="B26:C26"/>
    <mergeCell ref="F26:G26"/>
    <mergeCell ref="B27:C27"/>
    <mergeCell ref="F27:G27"/>
    <mergeCell ref="B18:C18"/>
    <mergeCell ref="F18:G18"/>
    <mergeCell ref="B19:C19"/>
    <mergeCell ref="F19:G19"/>
    <mergeCell ref="B20:C20"/>
    <mergeCell ref="F20:G20"/>
    <mergeCell ref="B21:C21"/>
    <mergeCell ref="F21:G21"/>
    <mergeCell ref="B22:C22"/>
    <mergeCell ref="F22:G22"/>
    <mergeCell ref="B13:C13"/>
    <mergeCell ref="F13:G13"/>
    <mergeCell ref="B14:C14"/>
    <mergeCell ref="F14:G14"/>
    <mergeCell ref="B15:C15"/>
    <mergeCell ref="F15:G15"/>
    <mergeCell ref="B16:C16"/>
    <mergeCell ref="F16:G16"/>
    <mergeCell ref="B17:C17"/>
    <mergeCell ref="F17:G17"/>
    <mergeCell ref="L10:M10"/>
    <mergeCell ref="L11:M11"/>
    <mergeCell ref="L12:M12"/>
    <mergeCell ref="H4:M4"/>
    <mergeCell ref="H5:I6"/>
    <mergeCell ref="J5:K6"/>
    <mergeCell ref="L5:M6"/>
    <mergeCell ref="H8:M9"/>
    <mergeCell ref="A4:A7"/>
    <mergeCell ref="A8:A9"/>
    <mergeCell ref="B4:G4"/>
    <mergeCell ref="B5:C6"/>
    <mergeCell ref="D5:E6"/>
    <mergeCell ref="F5:G6"/>
    <mergeCell ref="B8:G9"/>
    <mergeCell ref="B10:C10"/>
    <mergeCell ref="F10:G10"/>
    <mergeCell ref="B11:C11"/>
    <mergeCell ref="F11:G11"/>
    <mergeCell ref="B12:C12"/>
    <mergeCell ref="F12:G12"/>
    <mergeCell ref="L19:M19"/>
    <mergeCell ref="L20:M20"/>
    <mergeCell ref="L21:M21"/>
    <mergeCell ref="L16:M16"/>
    <mergeCell ref="L17:M17"/>
    <mergeCell ref="L18:M18"/>
    <mergeCell ref="L13:M13"/>
    <mergeCell ref="L14:M14"/>
    <mergeCell ref="L15:M15"/>
    <mergeCell ref="L28:M28"/>
    <mergeCell ref="L29:M29"/>
    <mergeCell ref="L30:M30"/>
    <mergeCell ref="L25:M25"/>
    <mergeCell ref="L26:M26"/>
    <mergeCell ref="L27:M27"/>
    <mergeCell ref="L22:M22"/>
    <mergeCell ref="L23:M23"/>
    <mergeCell ref="L24:M24"/>
    <mergeCell ref="H52:I52"/>
    <mergeCell ref="H53:I53"/>
    <mergeCell ref="L40:M40"/>
    <mergeCell ref="L41:M41"/>
    <mergeCell ref="L42:M42"/>
    <mergeCell ref="H54:I54"/>
    <mergeCell ref="L37:M37"/>
    <mergeCell ref="L38:M38"/>
    <mergeCell ref="L39:M39"/>
    <mergeCell ref="L50:M50"/>
    <mergeCell ref="L51:M51"/>
    <mergeCell ref="H37:I37"/>
    <mergeCell ref="H38:I38"/>
    <mergeCell ref="H39:I39"/>
    <mergeCell ref="H40:I40"/>
    <mergeCell ref="H41:I41"/>
    <mergeCell ref="H42:I42"/>
    <mergeCell ref="H43:I43"/>
    <mergeCell ref="H44:I44"/>
    <mergeCell ref="H45:I45"/>
    <mergeCell ref="H46:I46"/>
    <mergeCell ref="H47:I47"/>
    <mergeCell ref="H48:I48"/>
    <mergeCell ref="H49:I49"/>
    <mergeCell ref="L46:M46"/>
    <mergeCell ref="L47:M47"/>
    <mergeCell ref="L48:M48"/>
    <mergeCell ref="H50:I50"/>
    <mergeCell ref="H51:I51"/>
    <mergeCell ref="L43:M43"/>
    <mergeCell ref="L44:M44"/>
    <mergeCell ref="L45:M45"/>
    <mergeCell ref="H29:I29"/>
    <mergeCell ref="H30:I30"/>
    <mergeCell ref="H31:I31"/>
    <mergeCell ref="H32:I32"/>
    <mergeCell ref="H33:I33"/>
    <mergeCell ref="H34:I34"/>
    <mergeCell ref="H35:I35"/>
    <mergeCell ref="H36:I36"/>
    <mergeCell ref="L49:M49"/>
    <mergeCell ref="L34:M34"/>
    <mergeCell ref="L35:M35"/>
    <mergeCell ref="L36:M36"/>
    <mergeCell ref="L31:M31"/>
    <mergeCell ref="L32:M32"/>
    <mergeCell ref="L33:M33"/>
    <mergeCell ref="H83:I83"/>
    <mergeCell ref="L83:M83"/>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L52:M52"/>
    <mergeCell ref="L53:M53"/>
    <mergeCell ref="L54:M54"/>
    <mergeCell ref="H24:I24"/>
    <mergeCell ref="H25:I25"/>
    <mergeCell ref="H26:I26"/>
    <mergeCell ref="H27:I27"/>
    <mergeCell ref="H28:I28"/>
  </mergeCells>
  <pageMargins left="0.75" right="0.75" top="1" bottom="1" header="0.5" footer="0.5"/>
  <pageSetup paperSize="9"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Results Summary</vt:lpstr>
      <vt:lpstr>Inventory Figures</vt:lpstr>
      <vt:lpstr>POSF Inventory</vt:lpstr>
      <vt:lpstr>Waste Calc</vt:lpstr>
      <vt:lpstr>Chinese Values</vt:lpstr>
      <vt:lpstr>POSF Zone Def</vt:lpstr>
      <vt:lpstr>POSF Emiss by Zone</vt:lpstr>
      <vt:lpstr>Subst Prop and FOFS</vt:lpstr>
      <vt:lpstr>Deposition Flux Compare</vt:lpstr>
      <vt:lpstr>Flux and Mass Bal Results</vt:lpstr>
      <vt:lpstr>PFSA_rain_snow</vt:lpstr>
      <vt:lpstr>PEC_ocean</vt:lpstr>
      <vt:lpstr>PEC_air</vt:lpstr>
      <vt:lpstr>Frequency Detection</vt:lpstr>
      <vt:lpstr>Armitage</vt:lpstr>
      <vt:lpstr>PHxSF-based</vt:lpstr>
      <vt:lpstr>PDSF-based</vt:lpstr>
    </vt:vector>
  </TitlesOfParts>
  <Company>ETH Zurich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Zhanyun Wang</dc:creator>
  <cp:lastModifiedBy>JB</cp:lastModifiedBy>
  <cp:lastPrinted>2016-05-31T08:45:52Z</cp:lastPrinted>
  <dcterms:created xsi:type="dcterms:W3CDTF">2012-10-14T12:47:54Z</dcterms:created>
  <dcterms:modified xsi:type="dcterms:W3CDTF">2016-11-04T16:08:45Z</dcterms:modified>
</cp:coreProperties>
</file>